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drawings/drawing4.xml" ContentType="application/vnd.openxmlformats-officedocument.drawing+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drawings/drawing5.xml" ContentType="application/vnd.openxmlformats-officedocument.drawing+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drawings/drawing6.xml" ContentType="application/vnd.openxmlformats-officedocument.drawing+xml"/>
  <Override PartName="/xl/drawings/drawing7.xml" ContentType="application/vnd.openxmlformats-officedocument.drawing+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drawings/drawing8.xml" ContentType="application/vnd.openxmlformats-officedocument.drawing+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drawings/drawing13.xml" ContentType="application/vnd.openxmlformats-officedocument.drawing+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drawings/drawing14.xml" ContentType="application/vnd.openxmlformats-officedocument.drawing+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drawings/drawing15.xml" ContentType="application/vnd.openxmlformats-officedocument.drawing+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drawings/drawing16.xml" ContentType="application/vnd.openxmlformats-officedocument.drawing+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drawings/drawing17.xml" ContentType="application/vnd.openxmlformats-officedocument.drawing+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drawings/drawing18.xml" ContentType="application/vnd.openxmlformats-officedocument.drawing+xml"/>
  <Override PartName="/xl/ctrlProps/ctrlProp234.xml" ContentType="application/vnd.ms-excel.controlproperties+xml"/>
  <Override PartName="/xl/ctrlProps/ctrlProp235.xml" ContentType="application/vnd.ms-excel.controlproperties+xml"/>
  <Override PartName="/xl/drawings/drawing19.xml" ContentType="application/vnd.openxmlformats-officedocument.drawing+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drawings/drawing20.xml" ContentType="application/vnd.openxmlformats-officedocument.drawing+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drawings/drawing21.xml" ContentType="application/vnd.openxmlformats-officedocument.drawing+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drawings/drawing22.xml" ContentType="application/vnd.openxmlformats-officedocument.drawing+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drawings/drawing23.xml" ContentType="application/vnd.openxmlformats-officedocument.drawing+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drawings/drawing24.xml" ContentType="application/vnd.openxmlformats-officedocument.drawing+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drawings/drawing25.xml" ContentType="application/vnd.openxmlformats-officedocument.drawing+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drawings/drawing26.xml" ContentType="application/vnd.openxmlformats-officedocument.drawing+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drawings/drawing27.xml" ContentType="application/vnd.openxmlformats-officedocument.drawing+xml"/>
  <Override PartName="/xl/ctrlProps/ctrlProp460.xml" ContentType="application/vnd.ms-excel.controlproperties+xml"/>
  <Override PartName="/xl/ctrlProps/ctrlProp461.xml" ContentType="application/vnd.ms-excel.controlproperties+xml"/>
  <Override PartName="/xl/drawings/drawing28.xml" ContentType="application/vnd.openxmlformats-officedocument.drawing+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drawings/drawing29.xml" ContentType="application/vnd.openxmlformats-officedocument.drawing+xml"/>
  <Override PartName="/xl/ctrlProps/ctrlProp487.xml" ContentType="application/vnd.ms-excel.controlproperties+xml"/>
  <Override PartName="/xl/drawings/drawing30.xml" ContentType="application/vnd.openxmlformats-officedocument.drawing+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drawings/drawing31.xml" ContentType="application/vnd.openxmlformats-officedocument.drawing+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drawings/drawing32.xml" ContentType="application/vnd.openxmlformats-officedocument.drawing+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drawings/drawing33.xml" ContentType="application/vnd.openxmlformats-officedocument.drawing+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drawings/drawing34.xml" ContentType="application/vnd.openxmlformats-officedocument.drawing+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drawings/drawing35.xml" ContentType="application/vnd.openxmlformats-officedocument.drawing+xml"/>
  <Override PartName="/xl/ctrlProps/ctrlProp646.xml" ContentType="application/vnd.ms-excel.controlproperties+xml"/>
  <Override PartName="/xl/drawings/drawing36.xml" ContentType="application/vnd.openxmlformats-officedocument.drawing+xml"/>
  <Override PartName="/xl/ctrlProps/ctrlProp647.xml" ContentType="application/vnd.ms-excel.controlproperties+xml"/>
  <Override PartName="/xl/drawings/drawing37.xml" ContentType="application/vnd.openxmlformats-officedocument.drawing+xml"/>
  <Override PartName="/xl/ctrlProps/ctrlProp648.xml" ContentType="application/vnd.ms-excel.controlproperties+xml"/>
  <Override PartName="/xl/drawings/drawing38.xml" ContentType="application/vnd.openxmlformats-officedocument.drawing+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defaultThemeVersion="124226"/>
  <mc:AlternateContent xmlns:mc="http://schemas.openxmlformats.org/markup-compatibility/2006">
    <mc:Choice Requires="x15">
      <x15ac:absPath xmlns:x15ac="http://schemas.microsoft.com/office/spreadsheetml/2010/11/ac" url="C:\Users\user\Downloads\"/>
    </mc:Choice>
  </mc:AlternateContent>
  <xr:revisionPtr revIDLastSave="0" documentId="13_ncr:1_{7A0259C1-38AA-4A21-A199-A74DB7256668}" xr6:coauthVersionLast="47" xr6:coauthVersionMax="47" xr10:uidLastSave="{00000000-0000-0000-0000-000000000000}"/>
  <bookViews>
    <workbookView xWindow="-110" yWindow="-110" windowWidth="19420" windowHeight="10420" tabRatio="806" firstSheet="1" activeTab="31" xr2:uid="{00000000-000D-0000-FFFF-FFFF00000000}"/>
  </bookViews>
  <sheets>
    <sheet name="dropdown" sheetId="235" state="hidden" r:id="rId1"/>
    <sheet name="list" sheetId="236" r:id="rId2"/>
    <sheet name="activesheet" sheetId="238" state="hidden" r:id="rId3"/>
    <sheet name="List of Tables &amp; Boxes" sheetId="192" r:id="rId4"/>
    <sheet name="SchInfo" sheetId="1" r:id="rId5"/>
    <sheet name="Table1" sheetId="175" r:id="rId6"/>
    <sheet name="Table2" sheetId="198" r:id="rId7"/>
    <sheet name="Table3" sheetId="231" r:id="rId8"/>
    <sheet name="Table4" sheetId="174" r:id="rId9"/>
    <sheet name="Table5" sheetId="190" r:id="rId10"/>
    <sheet name="Table6" sheetId="191" r:id="rId11"/>
    <sheet name="Tables7-8" sheetId="177" r:id="rId12"/>
    <sheet name="Table9" sheetId="143" r:id="rId13"/>
    <sheet name="Table10" sheetId="32" r:id="rId14"/>
    <sheet name="Table11" sheetId="169" r:id="rId15"/>
    <sheet name="Tables12-15" sheetId="176" r:id="rId16"/>
    <sheet name="Tables16-17" sheetId="171" r:id="rId17"/>
    <sheet name="Tables18-21" sheetId="200" r:id="rId18"/>
    <sheet name="Table22" sheetId="88" r:id="rId19"/>
    <sheet name="Table23-Box2" sheetId="183" r:id="rId20"/>
    <sheet name="Table24-Box3" sheetId="206" r:id="rId21"/>
    <sheet name="Boxes4-6" sheetId="133" r:id="rId22"/>
    <sheet name="Table25" sheetId="97" r:id="rId23"/>
    <sheet name="Table26" sheetId="105" r:id="rId24"/>
    <sheet name="Box7-Table27" sheetId="188" r:id="rId25"/>
    <sheet name="Table28" sheetId="201" r:id="rId26"/>
    <sheet name="Table29" sheetId="203" r:id="rId27"/>
    <sheet name="Table30" sheetId="204" r:id="rId28"/>
    <sheet name="Table31" sheetId="205" r:id="rId29"/>
    <sheet name="Table32-Box8" sheetId="104" r:id="rId30"/>
    <sheet name="Box9" sheetId="100" r:id="rId31"/>
    <sheet name="Box10" sheetId="106" r:id="rId32"/>
    <sheet name="Table33a-b" sheetId="113" r:id="rId33"/>
    <sheet name="Table33c-d-Box11" sheetId="117" r:id="rId34"/>
    <sheet name="Box12-Table34" sheetId="78" r:id="rId35"/>
    <sheet name="Tables35-37" sheetId="194" r:id="rId36"/>
    <sheet name="Box13" sheetId="193" r:id="rId37"/>
    <sheet name="Box14" sheetId="186" r:id="rId38"/>
    <sheet name="Box15" sheetId="195" r:id="rId39"/>
    <sheet name="Box16" sheetId="121" r:id="rId40"/>
    <sheet name="Box 17-18" sheetId="196" r:id="rId41"/>
    <sheet name="Boxes19-20" sheetId="185" r:id="rId42"/>
    <sheet name="Box 21-23" sheetId="85" r:id="rId43"/>
    <sheet name="Boxes24-25" sheetId="184" r:id="rId44"/>
    <sheet name="Box26" sheetId="180" r:id="rId45"/>
    <sheet name="Box27" sheetId="134" r:id="rId46"/>
    <sheet name="Table38" sheetId="135" r:id="rId47"/>
    <sheet name="Table39" sheetId="77" r:id="rId48"/>
    <sheet name="Table39 cont." sheetId="154" r:id="rId49"/>
    <sheet name="Table40" sheetId="155" r:id="rId50"/>
    <sheet name="Table41" sheetId="156" r:id="rId51"/>
    <sheet name="Box28_part1" sheetId="207" r:id="rId52"/>
    <sheet name="Box28_part2_4" sheetId="209" r:id="rId53"/>
    <sheet name="Box28_part5" sheetId="210" r:id="rId54"/>
    <sheet name="Box29_part1" sheetId="213" r:id="rId55"/>
    <sheet name="Box29_part2" sheetId="214" r:id="rId56"/>
    <sheet name="Box30_part1" sheetId="215" r:id="rId57"/>
    <sheet name="Box30_part2" sheetId="216" r:id="rId58"/>
    <sheet name="Box30_part3a" sheetId="222" r:id="rId59"/>
    <sheet name="Box30_part3b" sheetId="233" r:id="rId60"/>
    <sheet name="Box30_part3b cont." sheetId="225" r:id="rId61"/>
    <sheet name="Box31_part1&amp;2" sheetId="159" r:id="rId62"/>
    <sheet name="Box31_part3a" sheetId="227" r:id="rId63"/>
    <sheet name="Box31_part3b" sheetId="228" r:id="rId64"/>
    <sheet name="Box31_part3c" sheetId="229" r:id="rId65"/>
    <sheet name="Box31_part3d" sheetId="230" r:id="rId66"/>
    <sheet name="Box32" sheetId="182" r:id="rId67"/>
  </sheets>
  <definedNames>
    <definedName name="_">list!$A$1:$Q$1</definedName>
    <definedName name="_Fill" localSheetId="2" hidden="1">#REF!</definedName>
    <definedName name="_Fill" localSheetId="40" hidden="1">#REF!</definedName>
    <definedName name="_Fill" localSheetId="31" hidden="1">#REF!</definedName>
    <definedName name="_Fill" localSheetId="36" hidden="1">#REF!</definedName>
    <definedName name="_Fill" localSheetId="37" hidden="1">#REF!</definedName>
    <definedName name="_Fill" localSheetId="38" hidden="1">#REF!</definedName>
    <definedName name="_Fill" localSheetId="39" hidden="1">#REF!</definedName>
    <definedName name="_Fill" localSheetId="44" hidden="1">#REF!</definedName>
    <definedName name="_Fill" localSheetId="45" hidden="1">#REF!</definedName>
    <definedName name="_Fill" localSheetId="51" hidden="1">#REF!</definedName>
    <definedName name="_Fill" localSheetId="52" hidden="1">#REF!</definedName>
    <definedName name="_Fill" localSheetId="53" hidden="1">#REF!</definedName>
    <definedName name="_Fill" localSheetId="54" hidden="1">#REF!</definedName>
    <definedName name="_Fill" localSheetId="55" hidden="1">#REF!</definedName>
    <definedName name="_Fill" localSheetId="56" hidden="1">#REF!</definedName>
    <definedName name="_Fill" localSheetId="57" hidden="1">#REF!</definedName>
    <definedName name="_Fill" localSheetId="58" hidden="1">#REF!</definedName>
    <definedName name="_Fill" localSheetId="59" hidden="1">#REF!</definedName>
    <definedName name="_Fill" localSheetId="60" hidden="1">#REF!</definedName>
    <definedName name="_Fill" localSheetId="62" hidden="1">#REF!</definedName>
    <definedName name="_Fill" localSheetId="63" hidden="1">#REF!</definedName>
    <definedName name="_Fill" localSheetId="64" hidden="1">#REF!</definedName>
    <definedName name="_Fill" localSheetId="65" hidden="1">#REF!</definedName>
    <definedName name="_Fill" localSheetId="66" hidden="1">#REF!</definedName>
    <definedName name="_Fill" localSheetId="30" hidden="1">#REF!</definedName>
    <definedName name="_Fill" localSheetId="41" hidden="1">#REF!</definedName>
    <definedName name="_Fill" localSheetId="43" hidden="1">#REF!</definedName>
    <definedName name="_Fill" localSheetId="21" hidden="1">#REF!</definedName>
    <definedName name="_Fill" localSheetId="3" hidden="1">#REF!</definedName>
    <definedName name="_Fill" localSheetId="5" hidden="1">#REF!</definedName>
    <definedName name="_Fill" localSheetId="19" hidden="1">#REF!</definedName>
    <definedName name="_Fill" localSheetId="20" hidden="1">#REF!</definedName>
    <definedName name="_Fill" localSheetId="22" hidden="1">#REF!</definedName>
    <definedName name="_Fill" localSheetId="23" hidden="1">#REF!</definedName>
    <definedName name="_Fill" localSheetId="29" hidden="1">#REF!</definedName>
    <definedName name="_Fill" localSheetId="32" hidden="1">#REF!</definedName>
    <definedName name="_Fill" localSheetId="33" hidden="1">#REF!</definedName>
    <definedName name="_Fill" localSheetId="46" hidden="1">#REF!</definedName>
    <definedName name="_Fill" localSheetId="48" hidden="1">#REF!</definedName>
    <definedName name="_Fill" localSheetId="49" hidden="1">#REF!</definedName>
    <definedName name="_Fill" localSheetId="50" hidden="1">#REF!</definedName>
    <definedName name="_Fill" localSheetId="10" hidden="1">#REF!</definedName>
    <definedName name="_Fill" localSheetId="12" hidden="1">#REF!</definedName>
    <definedName name="_Fill" localSheetId="15" hidden="1">#REF!</definedName>
    <definedName name="_Fill" localSheetId="16" hidden="1">#REF!</definedName>
    <definedName name="_Fill" localSheetId="17" hidden="1">#REF!</definedName>
    <definedName name="_Fill" localSheetId="35" hidden="1">#REF!</definedName>
    <definedName name="_Fill" localSheetId="11" hidden="1">#REF!</definedName>
    <definedName name="_Fill" hidden="1">#REF!</definedName>
    <definedName name="_xlnm._FilterDatabase" localSheetId="2" hidden="1">activesheet!$A$1:$P$5144</definedName>
    <definedName name="_ref_broadcast_station">dropdown!$J$13:$K$17</definedName>
    <definedName name="_ref_cell_serv_provider">dropdown!$J$1:$K$9</definedName>
    <definedName name="_ref_cell_wtg">dropdown!$M$1:$N$5</definedName>
    <definedName name="_ref_funding_source">dropdown!$G$1:$H$9</definedName>
    <definedName name="_ref_internet">dropdown!$A$1:$B$5</definedName>
    <definedName name="_ref_purpose">dropdown!$G$13:$H$16</definedName>
    <definedName name="_ref_service_provider">dropdown!$D$1:$E$9</definedName>
    <definedName name="_ref_stat_partnership">dropdown!$M$13:$N$16</definedName>
    <definedName name="_ref_type_printer">dropdown!$D$13:$E$20</definedName>
    <definedName name="_ref_type_radio">dropdown!$D$24:$E$26</definedName>
    <definedName name="action_research_last_sy">'Table23-Box2'!$AM$19</definedName>
    <definedName name="action_research_ongoing">'Table23-Box2'!$AM$20</definedName>
    <definedName name="action_research_tobe_conducted">'Table23-Box2'!$AM$21</definedName>
    <definedName name="action_research_yes">'Table23-Box2'!$AP$17</definedName>
    <definedName name="areaspec_bachelormaj_ap_over40">'Tables18-21'!$Z$25</definedName>
    <definedName name="areaspec_bachelormaj_ap_under40">'Tables18-21'!$U$25</definedName>
    <definedName name="areaspec_bachelormaj_eng_over40">'Tables18-21'!$Z$21</definedName>
    <definedName name="areaspec_bachelormaj_eng_under40">'Tables18-21'!$U$21</definedName>
    <definedName name="areaspec_bachelormaj_esp_over40">'Tables18-21'!$Z$26</definedName>
    <definedName name="areaspec_bachelormaj_esp_under40">'Tables18-21'!$U$26</definedName>
    <definedName name="areaspec_bachelormaj_fil_over40">'Tables18-21'!$Z$23</definedName>
    <definedName name="areaspec_bachelormaj_fil_under40">'Tables18-21'!$U$23</definedName>
    <definedName name="areaspec_bachelormaj_mapeh_over40">'Tables18-21'!$Z$28</definedName>
    <definedName name="areaspec_bachelormaj_mapeh_under40">'Tables18-21'!$U$28</definedName>
    <definedName name="areaspec_bachelormaj_math_over40">'Tables18-21'!$Z$22</definedName>
    <definedName name="areaspec_bachelormaj_math_under40">'Tables18-21'!$U$22</definedName>
    <definedName name="areaspec_bachelormaj_sci_over40">'Tables18-21'!$Z$24</definedName>
    <definedName name="areaspec_bachelormaj_sci_under40">'Tables18-21'!$U$24</definedName>
    <definedName name="areaspec_bachelormaj_tle_over40">'Tables18-21'!$Z$27</definedName>
    <definedName name="areaspec_bachelormaj_tle_under40">'Tables18-21'!$U$27</definedName>
    <definedName name="areaspec_bachelormin_ap_over40">'Tables18-21'!$AJ$25</definedName>
    <definedName name="areaspec_bachelormin_ap_under40">'Tables18-21'!$AE$25</definedName>
    <definedName name="areaspec_bachelormin_eng_over40">'Tables18-21'!$AJ$21</definedName>
    <definedName name="areaspec_bachelormin_eng_under40">'Tables18-21'!$AE$21</definedName>
    <definedName name="areaspec_bachelormin_esp_over40">'Tables18-21'!$AJ$26</definedName>
    <definedName name="areaspec_bachelormin_esp_under40">'Tables18-21'!$AE$26</definedName>
    <definedName name="areaspec_bachelormin_fil_over40">'Tables18-21'!$AJ$23</definedName>
    <definedName name="areaspec_bachelormin_fil_under40">'Tables18-21'!$AE$23</definedName>
    <definedName name="areaspec_bachelormin_mapeh_over40">'Tables18-21'!$AJ$28</definedName>
    <definedName name="areaspec_bachelormin_mapeh_under40">'Tables18-21'!$AE$28</definedName>
    <definedName name="areaspec_bachelormin_math_over40">'Tables18-21'!$AJ$22</definedName>
    <definedName name="areaspec_bachelormin_math_under40">'Tables18-21'!$AE$22</definedName>
    <definedName name="areaspec_bachelormin_sci_over40">'Tables18-21'!$AJ$24</definedName>
    <definedName name="areaspec_bachelormin_sci_under40">'Tables18-21'!$AE$24</definedName>
    <definedName name="areaspec_bachelormin_tle_over40">'Tables18-21'!$AJ$27</definedName>
    <definedName name="areaspec_bachelormin_tle_under40">'Tables18-21'!$AE$27</definedName>
    <definedName name="areaspec_gradmaj_ap_over40">'Tables18-21'!$P$25</definedName>
    <definedName name="areaspec_gradmaj_ap_under40">'Tables18-21'!$K$25</definedName>
    <definedName name="areaspec_gradmaj_eng_over40">'Tables18-21'!$P$21</definedName>
    <definedName name="areaspec_gradmaj_eng_under40">'Tables18-21'!$K$21</definedName>
    <definedName name="areaspec_gradmaj_esp_over40">'Tables18-21'!$P$26</definedName>
    <definedName name="areaspec_gradmaj_esp_under40">'Tables18-21'!$K$26</definedName>
    <definedName name="areaspec_gradmaj_fil_over40">'Tables18-21'!$P$23</definedName>
    <definedName name="areaspec_gradmaj_fil_under40">'Tables18-21'!$K$23</definedName>
    <definedName name="areaspec_gradmaj_mapeh_over40">'Tables18-21'!$P$28</definedName>
    <definedName name="areaspec_gradmaj_mapeh_under40">'Tables18-21'!$K$28</definedName>
    <definedName name="areaspec_gradmaj_math_over40">'Tables18-21'!$P$22</definedName>
    <definedName name="areaspec_gradmaj_math_under40">'Tables18-21'!$K$22</definedName>
    <definedName name="areaspec_gradmaj_sci_over40">'Tables18-21'!$P$24</definedName>
    <definedName name="areaspec_gradmaj_sci_under40">'Tables18-21'!$K$24</definedName>
    <definedName name="areaspec_gradmaj_tle_over40">'Tables18-21'!$P$27</definedName>
    <definedName name="areaspec_gradmaj_tle_under40">'Tables18-21'!$K$27</definedName>
    <definedName name="areaspec_wospcltrng_ap_over40">'Tables18-21'!$BD$25</definedName>
    <definedName name="areaspec_wospcltrng_ap_under40">'Tables18-21'!$AY$25</definedName>
    <definedName name="areaspec_wospcltrng_eng_over40">'Tables18-21'!$BD$21</definedName>
    <definedName name="areaspec_wospcltrng_eng_under40">'Tables18-21'!$AY$21</definedName>
    <definedName name="areaspec_wospcltrng_esp_over40">'Tables18-21'!$BD$26</definedName>
    <definedName name="areaspec_wospcltrng_esp_under40">'Tables18-21'!$AY$26</definedName>
    <definedName name="areaspec_wospcltrng_fil_over40">'Tables18-21'!$BD$23</definedName>
    <definedName name="areaspec_wospcltrng_fil_under40">'Tables18-21'!$AY$23</definedName>
    <definedName name="areaspec_wospcltrng_mapeh_over40">'Tables18-21'!$BD$28</definedName>
    <definedName name="areaspec_wospcltrng_mapeh_under40">'Tables18-21'!$AY$28</definedName>
    <definedName name="areaspec_wospcltrng_math_over40">'Tables18-21'!$BD$22</definedName>
    <definedName name="areaspec_wospcltrng_math_under40">'Tables18-21'!$AY$22</definedName>
    <definedName name="areaspec_wospcltrng_sci_over40">'Tables18-21'!$BD$24</definedName>
    <definedName name="areaspec_wospcltrng_sci_under40">'Tables18-21'!$AY$24</definedName>
    <definedName name="areaspec_wospcltrng_tle_over40">'Tables18-21'!$BD$27</definedName>
    <definedName name="areaspec_wospcltrng_tle_under40">'Tables18-21'!$AY$27</definedName>
    <definedName name="areaspec_wspcltrng_ap_over40">'Tables18-21'!$AT$25</definedName>
    <definedName name="areaspec_wspcltrng_ap_under40">'Tables18-21'!$AO$25</definedName>
    <definedName name="areaspec_wspcltrng_eng_over40">'Tables18-21'!$AT$21</definedName>
    <definedName name="areaspec_wspcltrng_eng_under40">'Tables18-21'!$AO$21</definedName>
    <definedName name="areaspec_wspcltrng_esp_over40">'Tables18-21'!$AT$26</definedName>
    <definedName name="areaspec_wspcltrng_esp_under40">'Tables18-21'!$AO$26</definedName>
    <definedName name="areaspec_wspcltrng_fil_over40">'Tables18-21'!$AT$23</definedName>
    <definedName name="areaspec_wspcltrng_fil_under40">'Tables18-21'!$AO$23</definedName>
    <definedName name="areaspec_wspcltrng_mapeh_over40">'Tables18-21'!$AT$28</definedName>
    <definedName name="areaspec_wspcltrng_mapeh_under40">'Tables18-21'!$AO$28</definedName>
    <definedName name="areaspec_wspcltrng_math_over40">'Tables18-21'!$AT$22</definedName>
    <definedName name="areaspec_wspcltrng_math_under40">'Tables18-21'!$AO$22</definedName>
    <definedName name="areaspec_wspcltrng_sci_over40">'Tables18-21'!$AT$24</definedName>
    <definedName name="areaspec_wspcltrng_sci_under40">'Tables18-21'!$AO$24</definedName>
    <definedName name="areaspec_wspcltrng_tle_over40">'Tables18-21'!$AT$27</definedName>
    <definedName name="areaspec_wspcltrng_tle_under40">'Tables18-21'!$AO$27</definedName>
    <definedName name="avail_sp_sportsclub_aerogymn">'Box27'!$R$18</definedName>
    <definedName name="avail_sp_sportsclub_archery">'Box27'!$R$5</definedName>
    <definedName name="avail_sp_sportsclub_arnis">'Box27'!$R$6</definedName>
    <definedName name="avail_sp_sportsclub_athlrun">'Box27'!$R$8</definedName>
    <definedName name="avail_sp_sportsclub_athlthrow">'Box27'!$R$7</definedName>
    <definedName name="avail_sp_sportsclub_badminton">'Box27'!$R$9</definedName>
    <definedName name="avail_sp_sportsclub_baseball">'Box27'!$R$11</definedName>
    <definedName name="avail_sp_sportsclub_basketball">'Box27'!$R$10</definedName>
    <definedName name="avail_sp_sportsclub_billard">'Box27'!$R$12</definedName>
    <definedName name="avail_sp_sportsclub_bocce">'Box27'!$AK$17</definedName>
    <definedName name="avail_sp_sportsclub_boxing">'Box27'!$R$13</definedName>
    <definedName name="avail_sp_sportsclub_chess">'Box27'!$R$14</definedName>
    <definedName name="avail_sp_sportsclub_dancesports">'Box27'!$R$15</definedName>
    <definedName name="avail_sp_sportsclub_football">'Box27'!$R$16</definedName>
    <definedName name="avail_sp_sportsclub_futsal">'Box27'!$R$17</definedName>
    <definedName name="avail_sp_sportsclub_goalball">'Box27'!$AK$18</definedName>
    <definedName name="avail_sp_sportsclub_mag">'Box27'!$R$19</definedName>
    <definedName name="avail_sp_sportsclub_pencaksilat">'Box27'!$AK$7</definedName>
    <definedName name="avail_sp_sportsclub_rg">'Box27'!$AK$6</definedName>
    <definedName name="avail_sp_sportsclub_sepaktakraw">'Box27'!$AK$8</definedName>
    <definedName name="avail_sp_sportsclub_softball">'Box27'!$AK$9</definedName>
    <definedName name="avail_sp_sportsclub_swimming">'Box27'!$AK$10</definedName>
    <definedName name="avail_sp_sportsclub_tabletennis">'Box27'!$AK$11</definedName>
    <definedName name="avail_sp_sportsclub_taekwondo">'Box27'!$AK$12</definedName>
    <definedName name="avail_sp_sportsclub_tennis">'Box27'!$AK$13</definedName>
    <definedName name="avail_sp_sportsclub_volleyball">'Box27'!$AK$14</definedName>
    <definedName name="avail_sp_sportsclub_wag">'Box27'!$AK$5</definedName>
    <definedName name="avail_sp_sportsclub_wrestling">'Box27'!$AK$15</definedName>
    <definedName name="avail_sp_sportsclub_wushu">'Box27'!$AK$16</definedName>
    <definedName name="avail_sp_sportsevent_aerogymn">'Box27'!$O$18</definedName>
    <definedName name="avail_sp_sportsevent_archery">'Box27'!$O$5</definedName>
    <definedName name="avail_sp_sportsevent_arnis">'Box27'!$O$6</definedName>
    <definedName name="avail_sp_sportsevent_athlrun">'Box27'!$O$8</definedName>
    <definedName name="avail_sp_sportsevent_athlthrow">'Box27'!$O$7</definedName>
    <definedName name="avail_sp_sportsevent_badminton">'Box27'!$O$9</definedName>
    <definedName name="avail_sp_sportsevent_baseball">'Box27'!$O$11</definedName>
    <definedName name="avail_sp_sportsevent_basketball">'Box27'!$O$10</definedName>
    <definedName name="avail_sp_sportsevent_billard">'Box27'!$O$12</definedName>
    <definedName name="avail_sp_sportsevent_bocce">'Box27'!$AH$17</definedName>
    <definedName name="avail_sp_sportsevent_boxing">'Box27'!$O$13</definedName>
    <definedName name="avail_sp_sportsevent_chess">'Box27'!$O$14</definedName>
    <definedName name="avail_sp_sportsevent_dancesports">'Box27'!$O$15</definedName>
    <definedName name="avail_sp_sportsevent_football">'Box27'!$O$16</definedName>
    <definedName name="avail_sp_sportsevent_futsal">'Box27'!$O$17</definedName>
    <definedName name="avail_sp_sportsevent_goalball">'Box27'!$AH$18</definedName>
    <definedName name="avail_sp_sportsevent_mag">'Box27'!$O$19</definedName>
    <definedName name="avail_sp_sportsevent_pencaksilat">'Box27'!$AH$7</definedName>
    <definedName name="avail_sp_sportsevent_rg">'Box27'!$AH$6</definedName>
    <definedName name="avail_sp_sportsevent_sepaktakraw">'Box27'!$AH$8</definedName>
    <definedName name="avail_sp_sportsevent_softball">'Box27'!$AH$9</definedName>
    <definedName name="avail_sp_sportsevent_swimming">'Box27'!$AH$10</definedName>
    <definedName name="avail_sp_sportsevent_tabletennis">'Box27'!$AH$11</definedName>
    <definedName name="avail_sp_sportsevent_taekwondo">'Box27'!$AH$12</definedName>
    <definedName name="avail_sp_sportsevent_tennis">'Box27'!$AH$13</definedName>
    <definedName name="avail_sp_sportsevent_volleyball">'Box27'!$AH$14</definedName>
    <definedName name="avail_sp_sportsevent_wag">'Box27'!$AH$5</definedName>
    <definedName name="avail_sp_sportsevent_wrestling">'Box27'!$AH$15</definedName>
    <definedName name="avail_sp_sportsevent_wushu">'Box27'!$AH$16</definedName>
    <definedName name="avail_sp_sportsfac_aerogymn">'Box27'!$U$18</definedName>
    <definedName name="avail_sp_sportsfac_archery">'Box27'!$U$5</definedName>
    <definedName name="avail_sp_sportsfac_arnis">'Box27'!$U$6</definedName>
    <definedName name="avail_sp_sportsfac_athlrun">'Box27'!$U$8</definedName>
    <definedName name="avail_sp_sportsfac_athlthrow">'Box27'!$U$7</definedName>
    <definedName name="avail_sp_sportsfac_badminton">'Box27'!$U$9</definedName>
    <definedName name="avail_sp_sportsfac_baseball">'Box27'!$U$11</definedName>
    <definedName name="avail_sp_sportsfac_basketball">'Box27'!$U$10</definedName>
    <definedName name="avail_sp_sportsfac_billard">'Box27'!$U$12</definedName>
    <definedName name="avail_sp_sportsfac_bocce">'Box27'!$AN$17</definedName>
    <definedName name="avail_sp_sportsfac_boxing">'Box27'!$U$13</definedName>
    <definedName name="avail_sp_sportsfac_chess">'Box27'!$U$14</definedName>
    <definedName name="avail_sp_sportsfac_dancesports">'Box27'!$U$15</definedName>
    <definedName name="avail_sp_sportsfac_football">'Box27'!$U$16</definedName>
    <definedName name="avail_sp_sportsfac_futsal">'Box27'!$U$17</definedName>
    <definedName name="avail_sp_sportsfac_goalball">'Box27'!$AN$18</definedName>
    <definedName name="avail_sp_sportsfac_mag">'Box27'!$U$19</definedName>
    <definedName name="avail_sp_sportsfac_pencaksilat">'Box27'!$AN$7</definedName>
    <definedName name="avail_sp_sportsfac_rg">'Box27'!$AN$6</definedName>
    <definedName name="avail_sp_sportsfac_sepaktakraw">'Box27'!$AN$8</definedName>
    <definedName name="avail_sp_sportsfac_softball">'Box27'!$AN$9</definedName>
    <definedName name="avail_sp_sportsfac_swimming">'Box27'!$AN$10</definedName>
    <definedName name="avail_sp_sportsfac_tabletennis">'Box27'!$AN$11</definedName>
    <definedName name="avail_sp_sportsfac_taekwondo">'Box27'!$AN$12</definedName>
    <definedName name="avail_sp_sportsfac_tennis">'Box27'!$AN$13</definedName>
    <definedName name="avail_sp_sportsfac_volleyball">'Box27'!$AN$14</definedName>
    <definedName name="avail_sp_sportsfac_wag">'Box27'!$AN$5</definedName>
    <definedName name="avail_sp_sportsfac_wrestling">'Box27'!$AN$15</definedName>
    <definedName name="avail_sp_sportsfac_wushu">'Box27'!$AN$16</definedName>
    <definedName name="ave_cost_monthly_bills_amount">'Table32-Box8'!$AQ$12</definedName>
    <definedName name="BARMM">list!$O$2:$O$16</definedName>
    <definedName name="CAR">list!$P$2:$P$9</definedName>
    <definedName name="CARAGA">list!$N$2:$N$13</definedName>
    <definedName name="cgp_conducted_career_guid_actvty_yes">'Boxes4-6'!$Z$46</definedName>
    <definedName name="cgp_guid_adv_yes">'Boxes4-6'!$Z$44</definedName>
    <definedName name="cgp_guid_ofc_yes">'Boxes4-6'!$Z$48</definedName>
    <definedName name="cgp_sch_gc_yes">'Boxes4-6'!$Z$41</definedName>
    <definedName name="cgp_schfunded_career_guid_actvty_yes">'Boxes4-6'!$Z$47</definedName>
    <definedName name="clinic_designated_yes">'Table33c-d-Box11'!$Y$19</definedName>
    <definedName name="clinic_tools_height_microtoise">'Table33c-d-Box11'!$U$33</definedName>
    <definedName name="clinic_tools_height_others">'Table33c-d-Box11'!$AD$33</definedName>
    <definedName name="clinic_tools_height_stadiometer">'Table33c-d-Box11'!$U$34</definedName>
    <definedName name="clinic_tools_height_steeltape">'Table33c-d-Box11'!$K$34</definedName>
    <definedName name="clinic_tools_height_tapemeasure">'Table33c-d-Box11'!$K$33</definedName>
    <definedName name="combo_avemonthlyexpense_fundingsource1">'Box7-Table27'!$AI$27</definedName>
    <definedName name="combo_avemonthlyexpense_fundingsource2">'Box7-Table27'!$AI$28</definedName>
    <definedName name="combo_avemonthlyexpense_fundingsource3">'Box7-Table27'!$AI$29</definedName>
    <definedName name="combo_avemonthlyexpense_fundingsource4">'Box7-Table27'!$AI$30</definedName>
    <definedName name="combo_avemonthlyexpense_fundingsource5">'Box7-Table27'!$AI$31</definedName>
    <definedName name="combo_avemonthlyexpense_internetserviceprovider1">'Box7-Table27'!$M$27</definedName>
    <definedName name="combo_avemonthlyexpense_internetserviceprovider2">'Box7-Table27'!$M$28</definedName>
    <definedName name="combo_avemonthlyexpense_internetserviceprovider3">'Box7-Table27'!$M$29</definedName>
    <definedName name="combo_avemonthlyexpense_internetserviceprovider4">'Box7-Table27'!$M$30</definedName>
    <definedName name="combo_avemonthlyexpense_internetserviceprovider5">'Box7-Table27'!$M$31</definedName>
    <definedName name="combo_avemontlyexpense_typesofinternet1">'Box7-Table27'!$B$27</definedName>
    <definedName name="combo_avemontlyexpense_typesofinternet2">'Box7-Table27'!$B$28</definedName>
    <definedName name="combo_avemontlyexpense_typesofinternet3">'Box7-Table27'!$B$29</definedName>
    <definedName name="combo_avemontlyexpense_typesofinternet4">'Box7-Table27'!$B$30</definedName>
    <definedName name="combo_avemontlyexpense_typesofinternet5">'Box7-Table27'!$B$31</definedName>
    <definedName name="combo_jhs_broadcasting_status1">Table30!$AA$6</definedName>
    <definedName name="combo_jhs_broadcasting_status2">Table30!$AA$7</definedName>
    <definedName name="combo_jhs_broadcasting_status3">Table30!$AA$8</definedName>
    <definedName name="combo_jhs_broadcasting_status4">Table30!$AA$9</definedName>
    <definedName name="combo_jhs_broadcasting_status5">Table30!$AA$10</definedName>
    <definedName name="combo_jhs_broadcasting_status6">Table30!$AA$11</definedName>
    <definedName name="combo_jhs_broadcasting_status7">Table30!$AA$12</definedName>
    <definedName name="combo_jhs_broadcasting_status8">Table30!$AA$13</definedName>
    <definedName name="combo_jhs_broadcasting_status9">Table30!$AA$14</definedName>
    <definedName name="combo_jhs_broadcastingtype1">Table30!$B$6</definedName>
    <definedName name="combo_jhs_broadcastingtype2">Table30!$B$7</definedName>
    <definedName name="combo_jhs_broadcastingtype3">Table30!$B$8</definedName>
    <definedName name="combo_jhs_broadcastingtype4">Table30!$B$9</definedName>
    <definedName name="combo_jhs_broadcastingtype5">Table30!$B$10</definedName>
    <definedName name="combo_jhs_broadcastingtype6">Table30!$B$11</definedName>
    <definedName name="combo_jhs_broadcastingtype7">Table30!$B$12</definedName>
    <definedName name="combo_jhs_broadcastingtype8">Table30!$B$13</definedName>
    <definedName name="combo_jhs_broadcastingtype9">Table30!$B$14</definedName>
    <definedName name="combo_jhs_cell_fundsource1">Table28!$AK$7</definedName>
    <definedName name="combo_jhs_cell_fundsource2">Table28!$AK$10</definedName>
    <definedName name="combo_jhs_cell_fundsource3">Table28!$AK$13</definedName>
    <definedName name="combo_jhs_cell_fundsource4">Table28!$AK$16</definedName>
    <definedName name="combo_jhs_cell_fundsource5">Table28!$AK$19</definedName>
    <definedName name="combo_jhs_cellularsp1">Table28!$B$7</definedName>
    <definedName name="combo_jhs_cellularsp2">Table28!$B$10</definedName>
    <definedName name="combo_jhs_cellularsp3">Table28!$B$13</definedName>
    <definedName name="combo_jhs_cellularsp4">Table28!$B$16</definedName>
    <definedName name="combo_jhs_cellularsp5">Table28!$B$19</definedName>
    <definedName name="combo_jhs_cellulartype1">Table28!$U$7</definedName>
    <definedName name="combo_jhs_cellulartype2">Table28!$U$10</definedName>
    <definedName name="combo_jhs_cellulartype3">Table28!$U$13</definedName>
    <definedName name="combo_jhs_cellulartype4">Table28!$U$16</definedName>
    <definedName name="combo_jhs_cellulartype5">Table28!$U$19</definedName>
    <definedName name="combo_jhs_printer_fundingsource1">Table29!$Z$7</definedName>
    <definedName name="combo_jhs_printer_fundingsource10">Table29!$Z$16</definedName>
    <definedName name="combo_jhs_printer_fundingsource2">Table29!$Z$8</definedName>
    <definedName name="combo_jhs_printer_fundingsource3">Table29!$Z$9</definedName>
    <definedName name="combo_jhs_printer_fundingsource4">Table29!$Z$10</definedName>
    <definedName name="combo_jhs_printer_fundingsource5">Table29!$Z$11</definedName>
    <definedName name="combo_jhs_printer_fundingsource6">Table29!$Z$12</definedName>
    <definedName name="combo_jhs_printer_fundingsource7">Table29!$Z$13</definedName>
    <definedName name="combo_jhs_printer_fundingsource8">Table29!$Z$14</definedName>
    <definedName name="combo_jhs_printer_fundingsource9">Table29!$Z$15</definedName>
    <definedName name="combo_jhs_printer_purpose1">Table29!$AH$7</definedName>
    <definedName name="combo_jhs_printer_purpose10">Table29!$AH$16</definedName>
    <definedName name="combo_jhs_printer_purpose2">Table29!$AH$8</definedName>
    <definedName name="combo_jhs_printer_purpose3">Table29!$AH$9</definedName>
    <definedName name="combo_jhs_printer_purpose4">Table29!$AH$10</definedName>
    <definedName name="combo_jhs_printer_purpose5">Table29!$AH$11</definedName>
    <definedName name="combo_jhs_printer_purpose6">Table29!$AH$12</definedName>
    <definedName name="combo_jhs_printer_purpose7">Table29!$AH$13</definedName>
    <definedName name="combo_jhs_printer_purpose8">Table29!$AH$14</definedName>
    <definedName name="combo_jhs_printer_purpose9">Table29!$AH$15</definedName>
    <definedName name="combo_jhs_printer_type1">Table29!$B$7</definedName>
    <definedName name="combo_jhs_printer_type10">Table29!$B$16</definedName>
    <definedName name="combo_jhs_printer_type2">Table29!$B$8</definedName>
    <definedName name="combo_jhs_printer_type3">Table29!$B$9</definedName>
    <definedName name="combo_jhs_printer_type4">Table29!$B$10</definedName>
    <definedName name="combo_jhs_printer_type5">Table29!$B$11</definedName>
    <definedName name="combo_jhs_printer_type6">Table29!$B$12</definedName>
    <definedName name="combo_jhs_printer_type7">Table29!$B$13</definedName>
    <definedName name="combo_jhs_printer_type8">Table29!$B$14</definedName>
    <definedName name="combo_jhs_printer_type9">Table29!$B$15</definedName>
    <definedName name="combo_jhs_radio_purpose1">Table31!$J$7</definedName>
    <definedName name="combo_jhs_radio_purpose10">Table31!$J$16</definedName>
    <definedName name="combo_jhs_radio_purpose2">Table31!$J$8</definedName>
    <definedName name="combo_jhs_radio_purpose3">Table31!$J$9</definedName>
    <definedName name="combo_jhs_radio_purpose4">Table31!$J$10</definedName>
    <definedName name="combo_jhs_radio_purpose5">Table31!$J$11</definedName>
    <definedName name="combo_jhs_radio_purpose6">Table31!$J$12</definedName>
    <definedName name="combo_jhs_radio_purpose7">Table31!$J$13</definedName>
    <definedName name="combo_jhs_radio_purpose8">Table31!$J$14</definedName>
    <definedName name="combo_jhs_radio_purpose9">Table31!$J$15</definedName>
    <definedName name="combo_jhs_radio_type1">Table31!$B$7</definedName>
    <definedName name="combo_jhs_radio_type10">Table31!$B$16</definedName>
    <definedName name="combo_jhs_radio_type2">Table31!$B$8</definedName>
    <definedName name="combo_jhs_radio_type3">Table31!$B$9</definedName>
    <definedName name="combo_jhs_radio_type4">Table31!$B$10</definedName>
    <definedName name="combo_jhs_radio_type5">Table31!$B$11</definedName>
    <definedName name="combo_jhs_radio_type6">Table31!$B$12</definedName>
    <definedName name="combo_jhs_radio_type7">Table31!$B$13</definedName>
    <definedName name="combo_jhs_radio_type8">Table31!$B$14</definedName>
    <definedName name="combo_jhs_radio_type9">Table31!$B$15</definedName>
    <definedName name="completed_acceidited_course_f_nonteach">Box31_part3d!$M$10</definedName>
    <definedName name="completed_acceidited_course_f_teach">Box31_part3d!$G$10</definedName>
    <definedName name="completed_acceidited_course_m_nonteach">Box31_part3d!$J$10</definedName>
    <definedName name="completed_acceidited_course_m_teach">Box31_part3d!$D$10</definedName>
    <definedName name="depedtv_frequent_f">'Table24-Box3'!$O$26</definedName>
    <definedName name="depedtv_frequent_m">'Table24-Box3'!$J$26</definedName>
    <definedName name="depedtv_method_download">'Table24-Box3'!$AQ$25</definedName>
    <definedName name="depedtv_method_facebook">'Table24-Box3'!$AH$25</definedName>
    <definedName name="depedtv_method_tv">'Table24-Box3'!$AH$24</definedName>
    <definedName name="depedtv_method_youtube">'Table24-Box3'!$AQ$24</definedName>
    <definedName name="depedtv_never_f">'Table24-Box3'!$O$28</definedName>
    <definedName name="depedtv_never_m">'Table24-Box3'!$J$28</definedName>
    <definedName name="depedtv_seldom_f">'Table24-Box3'!$O$27</definedName>
    <definedName name="depedtv_seldom_m">'Table24-Box3'!$J$27</definedName>
    <definedName name="depedtv_supplemental_ap">'Table24-Box3'!$AH$37</definedName>
    <definedName name="depedtv_supplemental_eng">'Table24-Box3'!$AH$31</definedName>
    <definedName name="depedtv_supplemental_esp">'Table24-Box3'!$AQ$31</definedName>
    <definedName name="depedtv_supplemental_fil">'Table24-Box3'!$AH$33</definedName>
    <definedName name="depedtv_supplemental_mapeh">'Table24-Box3'!$AQ$33</definedName>
    <definedName name="depedtv_supplemental_math">'Table24-Box3'!$AH$32</definedName>
    <definedName name="depedtv_supplemental_others">'Table24-Box3'!$AQ$35</definedName>
    <definedName name="depedtv_supplemental_others_specify">'Table24-Box3'!$AV$35</definedName>
    <definedName name="depedtv_supplemental_sci">'Table24-Box3'!$AH$35</definedName>
    <definedName name="depedtv_supplemental_tle">'Table24-Box3'!$AQ$32</definedName>
    <definedName name="deps_lrdms">'Table24-Box3'!$V$43</definedName>
    <definedName name="deps_lrdms_pos">'Table24-Box3'!$Z$45</definedName>
    <definedName name="disaster_armeconflictexp_apr">Table40!$AO$8</definedName>
    <definedName name="disaster_armeconflictexp_aug">Table40!$Y$8</definedName>
    <definedName name="disaster_armeconflictexp_dec">Table40!$AG$8</definedName>
    <definedName name="disaster_armeconflictexp_feb">Table40!$AK$8</definedName>
    <definedName name="disaster_armeconflictexp_jan">Table40!$AI$8</definedName>
    <definedName name="disaster_armeconflictexp_july">Table40!$W$8</definedName>
    <definedName name="disaster_armeconflictexp_jun">Table40!$U$8</definedName>
    <definedName name="disaster_armeconflictexp_mar">Table40!$AM$8</definedName>
    <definedName name="disaster_armeconflictexp_may">Table40!$AQ$8</definedName>
    <definedName name="disaster_armeconflictexp_nov">Table40!$AE$8</definedName>
    <definedName name="disaster_armeconflictexp_oct">Table40!$AC$8</definedName>
    <definedName name="disaster_armeconflictexp_sep">Table40!$AA$8</definedName>
    <definedName name="disaster_armedconflict_apr_nonstateactors_asg">Table40!$AO$17</definedName>
    <definedName name="disaster_armedconflict_apr_nonstateactors_biff">Table40!$AO$18</definedName>
    <definedName name="disaster_armedconflict_apr_nonstateactors_maute">Table40!$AO$20</definedName>
    <definedName name="disaster_armedconflict_apr_nonstateactors_mnlf">Table40!$AO$21</definedName>
    <definedName name="disaster_armedconflict_apr_nonstateactors_npa">Table40!$AO$19</definedName>
    <definedName name="disaster_armedconflict_apr_nonstateactors_others_specify">Table40!$AO$22</definedName>
    <definedName name="disaster_armedconflict_apr_stateactors_afp">Table40!$AO$11</definedName>
    <definedName name="disaster_armedconflict_apr_stateactors_others_specify">Table40!$AO$13</definedName>
    <definedName name="disaster_armedconflict_apr_stateactors_pnp">Table40!$AO$12</definedName>
    <definedName name="disaster_armedconflict_aug_nonstateactors_asg">Table40!$Y$17</definedName>
    <definedName name="disaster_armedconflict_aug_nonstateactors_biff">Table40!$Y$18</definedName>
    <definedName name="disaster_armedconflict_aug_nonstateactors_maute">Table40!$Y$20</definedName>
    <definedName name="disaster_armedconflict_aug_nonstateactors_mnlf">Table40!$Y$21</definedName>
    <definedName name="disaster_armedconflict_aug_nonstateactors_npa">Table40!$Y$19</definedName>
    <definedName name="disaster_armedconflict_aug_nonstateactors_others_specify">Table40!$Y$22</definedName>
    <definedName name="disaster_armedconflict_aug_stateactors_afp">Table40!$Y$11</definedName>
    <definedName name="disaster_armedconflict_aug_stateactors_others_specify">Table40!$Y$13</definedName>
    <definedName name="disaster_armedconflict_aug_stateactors_pnp">Table40!$Y$12</definedName>
    <definedName name="disaster_armedconflict_dec_nonstateactors_asg">Table40!$AG$17</definedName>
    <definedName name="disaster_armedconflict_dec_nonstateactors_biff">Table40!$AG$18</definedName>
    <definedName name="disaster_armedconflict_dec_nonstateactors_maute">Table40!$AG$20</definedName>
    <definedName name="disaster_armedconflict_dec_nonstateactors_mnlf">Table40!$AG$21</definedName>
    <definedName name="disaster_armedconflict_dec_nonstateactors_npa">Table40!$AG$19</definedName>
    <definedName name="disaster_armedconflict_dec_nonstateactors_others_specify">Table40!$AG$22</definedName>
    <definedName name="disaster_armedconflict_dec_stateactors_afp">Table40!$AG$11</definedName>
    <definedName name="disaster_armedconflict_dec_stateactors_others_specify">Table40!$AG$13</definedName>
    <definedName name="disaster_armedconflict_dec_stateactors_pnp">Table40!$AG$12</definedName>
    <definedName name="disaster_armedconflict_feb_nonstateactors_asg">Table40!$AK$17</definedName>
    <definedName name="disaster_armedconflict_feb_nonstateactors_biff">Table40!$AK$18</definedName>
    <definedName name="disaster_armedconflict_feb_nonstateactors_maute">Table40!$AK$20</definedName>
    <definedName name="disaster_armedconflict_feb_nonstateactors_mnlf">Table40!$AK$21</definedName>
    <definedName name="disaster_armedconflict_feb_nonstateactors_npa">Table40!$AK$19</definedName>
    <definedName name="disaster_armedconflict_feb_nonstateactors_others_specify">Table40!$AK$22</definedName>
    <definedName name="disaster_armedconflict_feb_stateactors_afp">Table40!$AK$11</definedName>
    <definedName name="disaster_armedconflict_feb_stateactors_others_specify">Table40!$AK$13</definedName>
    <definedName name="disaster_armedconflict_feb_stateactors_pnp">Table40!$AK$12</definedName>
    <definedName name="disaster_armedconflict_jan_nonstateactors_asg">Table40!$AI$17</definedName>
    <definedName name="disaster_armedconflict_jan_nonstateactors_biff">Table40!$AI$18</definedName>
    <definedName name="disaster_armedconflict_jan_nonstateactors_maute">Table40!$AI$20</definedName>
    <definedName name="disaster_armedconflict_jan_nonstateactors_mnlf">Table40!$AI$21</definedName>
    <definedName name="disaster_armedconflict_jan_nonstateactors_npa">Table40!$AI$19</definedName>
    <definedName name="disaster_armedconflict_jan_nonstateactors_others_specify">Table40!$AI$22</definedName>
    <definedName name="disaster_armedconflict_jan_stateactors_afp">Table40!$AI$11</definedName>
    <definedName name="disaster_armedconflict_jan_stateactors_others_specify">Table40!$AI$13</definedName>
    <definedName name="disaster_armedconflict_jan_stateactors_pnp">Table40!$AI$12</definedName>
    <definedName name="disaster_armedconflict_jul_nonstateactors_asg">Table40!$W$17</definedName>
    <definedName name="disaster_armedconflict_jul_nonstateactors_biff">Table40!$W$18</definedName>
    <definedName name="disaster_armedconflict_jul_nonstateactors_maute">Table40!$W$20</definedName>
    <definedName name="disaster_armedconflict_jul_nonstateactors_mnlf">Table40!$W$21</definedName>
    <definedName name="disaster_armedconflict_jul_nonstateactors_npa">Table40!$W$19</definedName>
    <definedName name="disaster_armedconflict_jul_nonstateactors_others_specify">Table40!$W$22</definedName>
    <definedName name="disaster_armedconflict_jul_stateactors_afp">Table40!$W$11</definedName>
    <definedName name="disaster_armedconflict_jul_stateactors_others_specify">Table40!$W$13</definedName>
    <definedName name="disaster_armedconflict_jul_stateactors_pnp">Table40!$W$12</definedName>
    <definedName name="disaster_armedconflict_jun_nonstateactors_asg">Table40!$U$17</definedName>
    <definedName name="disaster_armedconflict_jun_nonstateactors_biff">Table40!$U$18</definedName>
    <definedName name="disaster_armedconflict_jun_nonstateactors_maute">Table40!$U$20</definedName>
    <definedName name="disaster_armedconflict_jun_nonstateactors_mnlf">Table40!$U$21</definedName>
    <definedName name="disaster_armedconflict_jun_nonstateactors_npa">Table40!$U$19</definedName>
    <definedName name="disaster_armedconflict_jun_nonstateactors_others_specify">Table40!$U$22</definedName>
    <definedName name="disaster_armedconflict_jun_stateactors_afp">Table40!$U$11</definedName>
    <definedName name="disaster_armedconflict_jun_stateactors_others_specify">Table40!$U$13</definedName>
    <definedName name="disaster_armedconflict_jun_stateactors_pnp">Table40!$U$12</definedName>
    <definedName name="disaster_armedconflict_mar_nonstateactors_asg">Table40!$AM$17</definedName>
    <definedName name="disaster_armedconflict_mar_nonstateactors_biff">Table40!$AM$18</definedName>
    <definedName name="disaster_armedconflict_mar_nonstateactors_maute">Table40!$AM$20</definedName>
    <definedName name="disaster_armedconflict_mar_nonstateactors_mnlf">Table40!$AM$21</definedName>
    <definedName name="disaster_armedconflict_mar_nonstateactors_npa">Table40!$AM$19</definedName>
    <definedName name="disaster_armedconflict_mar_nonstateactors_others_specify">Table40!$AM$22</definedName>
    <definedName name="disaster_armedconflict_mar_stateactors_afp">Table40!$AM$11</definedName>
    <definedName name="disaster_armedconflict_mar_stateactors_others_specify">Table40!$AM$13</definedName>
    <definedName name="disaster_armedconflict_mar_stateactors_pnp">Table40!$AM$12</definedName>
    <definedName name="disaster_armedconflict_may_nonstateactors_asg">Table40!$AQ$17</definedName>
    <definedName name="disaster_armedconflict_may_nonstateactors_biff">Table40!$AQ$18</definedName>
    <definedName name="disaster_armedconflict_may_nonstateactors_maute">Table40!$AQ$20</definedName>
    <definedName name="disaster_armedconflict_may_nonstateactors_mnlf">Table40!$AQ$21</definedName>
    <definedName name="disaster_armedconflict_may_nonstateactors_npa">Table40!$AQ$19</definedName>
    <definedName name="disaster_armedconflict_may_nonstateactors_others_specify">Table40!$AQ$22</definedName>
    <definedName name="disaster_armedconflict_may_stateactors_afp">Table40!$AQ$11</definedName>
    <definedName name="disaster_armedconflict_may_stateactors_others_specify">Table40!$AQ$13</definedName>
    <definedName name="disaster_armedconflict_may_stateactors_pnp">Table40!$AQ$12</definedName>
    <definedName name="disaster_armedconflict_nov_nonstateactors_asg">Table40!$AE$17</definedName>
    <definedName name="disaster_armedconflict_nov_nonstateactors_biff">Table40!$AE$18</definedName>
    <definedName name="disaster_armedconflict_nov_nonstateactors_maute">Table40!$AE$20</definedName>
    <definedName name="disaster_armedconflict_nov_nonstateactors_mnlf">Table40!$AE$21</definedName>
    <definedName name="disaster_armedconflict_nov_nonstateactors_npa">Table40!$AE$19</definedName>
    <definedName name="disaster_armedconflict_nov_nonstateactors_others_specify">Table40!$AE$22</definedName>
    <definedName name="disaster_armedconflict_nov_stateactors_afp">Table40!$AE$11</definedName>
    <definedName name="disaster_armedconflict_nov_stateactors_others_specify">Table40!$AE$13</definedName>
    <definedName name="disaster_armedconflict_nov_stateactors_pnp">Table40!$AE$12</definedName>
    <definedName name="disaster_armedconflict_oct_nonstateactors_asg">Table40!$AC$17</definedName>
    <definedName name="disaster_armedconflict_oct_nonstateactors_biff">Table40!$AC$18</definedName>
    <definedName name="disaster_armedconflict_oct_nonstateactors_maute">Table40!$AC$20</definedName>
    <definedName name="disaster_armedconflict_oct_nonstateactors_mnlf">Table40!$AC$21</definedName>
    <definedName name="disaster_armedconflict_oct_nonstateactors_npa">Table40!$AC$19</definedName>
    <definedName name="disaster_armedconflict_oct_nonstateactors_others_specify">Table40!$AC$22</definedName>
    <definedName name="disaster_armedconflict_oct_stateactors_afp">Table40!$AC$11</definedName>
    <definedName name="disaster_armedconflict_oct_stateactors_others_specify">Table40!$AC$13</definedName>
    <definedName name="disaster_armedconflict_oct_stateactors_pnp">Table40!$AC$12</definedName>
    <definedName name="disaster_armedconflict_sep_nonstateactors_asg">Table40!$AA$17</definedName>
    <definedName name="disaster_armedconflict_sep_nonstateactors_biff">Table40!$AA$18</definedName>
    <definedName name="disaster_armedconflict_sep_nonstateactors_maute">Table40!$AA$20</definedName>
    <definedName name="disaster_armedconflict_sep_nonstateactors_mnlf">Table40!$AA$21</definedName>
    <definedName name="disaster_armedconflict_sep_nonstateactors_npa">Table40!$AA$19</definedName>
    <definedName name="disaster_armedconflict_sep_nonstateactors_others_specify">Table40!$AA$22</definedName>
    <definedName name="disaster_armedconflict_sep_stateactors_afp">Table40!$AA$11</definedName>
    <definedName name="disaster_armedconflict_sep_stateactors_others_specify">Table40!$AA$13</definedName>
    <definedName name="disaster_armedconflict_sep_stateactors_pnp">Table40!$AA$12</definedName>
    <definedName name="disaster_childrightviolations_apr_abduction">Table40!$AO$28</definedName>
    <definedName name="disaster_childrightviolations_apr_attacks">Table40!$AO$29</definedName>
    <definedName name="disaster_childrightviolations_apr_denial">Table40!$AO$30</definedName>
    <definedName name="disaster_childrightviolations_apr_killing">Table40!$AO$27</definedName>
    <definedName name="disaster_childrightviolations_apr_recruit">Table40!$AO$31</definedName>
    <definedName name="disaster_childrightviolations_apr_sexual">Table40!$AO$32</definedName>
    <definedName name="disaster_childrightviolations_aug_abduction">Table40!$Y$28</definedName>
    <definedName name="disaster_childrightviolations_aug_attacks">Table40!$Y$29</definedName>
    <definedName name="disaster_childrightviolations_aug_denial">Table40!$Y$30</definedName>
    <definedName name="disaster_childrightviolations_aug_killing">Table40!$Y$27</definedName>
    <definedName name="disaster_childrightviolations_aug_recruit">Table40!$Y$31</definedName>
    <definedName name="disaster_childrightviolations_aug_sexual">Table40!$Y$32</definedName>
    <definedName name="disaster_childrightviolations_dec_abduction">Table40!$AG$28</definedName>
    <definedName name="disaster_childrightviolations_dec_attacks">Table40!$AG$29</definedName>
    <definedName name="disaster_childrightviolations_dec_denial">Table40!$AG$30</definedName>
    <definedName name="disaster_childrightviolations_dec_killing">Table40!$AG$27</definedName>
    <definedName name="disaster_childrightviolations_dec_recruit">Table40!$AG$31</definedName>
    <definedName name="disaster_childrightviolations_dec_sexual">Table40!$AG$32</definedName>
    <definedName name="disaster_childrightviolations_feb_abduction">Table40!$AK$28</definedName>
    <definedName name="disaster_childrightviolations_feb_attacks">Table40!$AK$29</definedName>
    <definedName name="disaster_childrightviolations_feb_denial">Table40!$AK$30</definedName>
    <definedName name="disaster_childrightviolations_feb_killing">Table40!$AK$27</definedName>
    <definedName name="disaster_childrightviolations_feb_recruit">Table40!$AK$31</definedName>
    <definedName name="disaster_childrightviolations_feb_sexual">Table40!$AK$32</definedName>
    <definedName name="disaster_childrightviolations_jan_abduction">Table40!$AI$28</definedName>
    <definedName name="disaster_childrightviolations_jan_attacks">Table40!$AI$29</definedName>
    <definedName name="disaster_childrightviolations_jan_denial">Table40!$AI$30</definedName>
    <definedName name="disaster_childrightviolations_jan_killing">Table40!$AI$27</definedName>
    <definedName name="disaster_childrightviolations_jan_recruit">Table40!$AI$31</definedName>
    <definedName name="disaster_childrightviolations_jan_sexual">Table40!$AI$32</definedName>
    <definedName name="disaster_childrightviolations_jul_abduction">Table40!$W$28</definedName>
    <definedName name="disaster_childrightviolations_jul_attacks">Table40!$W$29</definedName>
    <definedName name="disaster_childrightviolations_jul_denial">Table40!$W$30</definedName>
    <definedName name="disaster_childrightviolations_jul_killing">Table40!$W$27</definedName>
    <definedName name="disaster_childrightviolations_jul_recruit">Table40!$W$31</definedName>
    <definedName name="disaster_childrightviolations_jul_sexual">Table40!$W$32</definedName>
    <definedName name="disaster_childrightviolations_jun_abduction">Table40!$U$28</definedName>
    <definedName name="disaster_childrightviolations_jun_attacks">Table40!$U$29</definedName>
    <definedName name="disaster_childrightviolations_jun_denial">Table40!$U$30</definedName>
    <definedName name="disaster_childrightviolations_jun_killing">Table40!$U$27</definedName>
    <definedName name="disaster_childrightviolations_jun_recruit">Table40!$U$31</definedName>
    <definedName name="disaster_childrightviolations_jun_sexual">Table40!$U$32</definedName>
    <definedName name="disaster_childrightviolations_mar_abduction">Table40!$AM$28</definedName>
    <definedName name="disaster_childrightviolations_mar_attacks">Table40!$AM$29</definedName>
    <definedName name="disaster_childrightviolations_mar_denial">Table40!$AM$30</definedName>
    <definedName name="disaster_childrightviolations_mar_killing">Table40!$AM$27</definedName>
    <definedName name="disaster_childrightviolations_mar_recruit">Table40!$AM$31</definedName>
    <definedName name="disaster_childrightviolations_mar_sexual">Table40!$AM$32</definedName>
    <definedName name="disaster_childrightviolations_may_abduction">Table40!$AQ$28</definedName>
    <definedName name="disaster_childrightviolations_may_attacks">Table40!$AQ$29</definedName>
    <definedName name="disaster_childrightviolations_may_denial">Table40!$AQ$30</definedName>
    <definedName name="disaster_childrightviolations_may_killing">Table40!$AQ$27</definedName>
    <definedName name="disaster_childrightviolations_may_recruit">Table40!$AQ$31</definedName>
    <definedName name="disaster_childrightviolations_may_sexual">Table40!$AQ$32</definedName>
    <definedName name="disaster_childrightviolations_nov_abduction">Table40!$AE$28</definedName>
    <definedName name="disaster_childrightviolations_nov_attacks">Table40!$AE$29</definedName>
    <definedName name="disaster_childrightviolations_nov_denial">Table40!$AE$30</definedName>
    <definedName name="disaster_childrightviolations_nov_killing">Table40!$AE$27</definedName>
    <definedName name="disaster_childrightviolations_nov_recruit">Table40!$AE$31</definedName>
    <definedName name="disaster_childrightviolations_nov_sexual">Table40!$AE$32</definedName>
    <definedName name="disaster_childrightviolations_oct_abduction">Table40!$AC$28</definedName>
    <definedName name="disaster_childrightviolations_oct_attacks">Table40!$AC$29</definedName>
    <definedName name="disaster_childrightviolations_oct_denial">Table40!$AC$30</definedName>
    <definedName name="disaster_childrightviolations_oct_killing">Table40!$AC$27</definedName>
    <definedName name="disaster_childrightviolations_oct_recruit">Table40!$AC$31</definedName>
    <definedName name="disaster_childrightviolations_oct_sexual">Table40!$AC$32</definedName>
    <definedName name="disaster_childrightviolations_sep_abduction">Table40!$AA$28</definedName>
    <definedName name="disaster_childrightviolations_sep_attacks">Table40!$AA$29</definedName>
    <definedName name="disaster_childrightviolations_sep_denial">Table40!$AA$30</definedName>
    <definedName name="disaster_childrightviolations_sep_killing">Table40!$AA$27</definedName>
    <definedName name="disaster_childrightviolations_sep_recruit">Table40!$AA$31</definedName>
    <definedName name="disaster_childrightviolations_sep_sexual">Table40!$AA$32</definedName>
    <definedName name="disaster_response_mhpss_nonteaching_f">Box30_part3b!$W$9</definedName>
    <definedName name="disaster_response_mhpss_nonteaching_m">Box30_part3b!$T$9</definedName>
    <definedName name="disaster_response_mhpss_teaching_f">Box30_part3b!$Q$9</definedName>
    <definedName name="disaster_response_mhpss_teaching_m">Box30_part3b!$N$9</definedName>
    <definedName name="disaster_response_pss_nonteaching_f">Box30_part3b!$W$12</definedName>
    <definedName name="disaster_response_pss_nonteaching_m">Box30_part3b!$T$12</definedName>
    <definedName name="disaster_response_pss_teaching_f">Box30_part3b!$Q$12</definedName>
    <definedName name="disaster_response_pss_teaching_m">Box30_part3b!$N$12</definedName>
    <definedName name="disaster_response_referral_nonteaching_f">Box30_part3b!$W$15</definedName>
    <definedName name="disaster_response_referral_nonteaching_m">Box30_part3b!$T$15</definedName>
    <definedName name="disaster_response_referral_teaching_f">Box30_part3b!$Q$15</definedName>
    <definedName name="disaster_response_referral_teaching_m">Box30_part3b!$N$15</definedName>
    <definedName name="disastercalamities_armedconfIct_nonstateactors_others_specify">Table40!$F$23</definedName>
    <definedName name="disastercalamities_armedconfIct_stateactors_others_specify">Table40!$F$14</definedName>
    <definedName name="disastercalamities_human_induced_apr_bomb_schprem">Table39!$AO$18</definedName>
    <definedName name="disastercalamities_human_induced_apr_bombthreat_schprem">Table39!$AO$17</definedName>
    <definedName name="disastercalamities_human_induced_apr_crime_learners">Table39!$AO$19</definedName>
    <definedName name="disastercalamities_human_induced_apr_crime_non_teachers">Table39!$AO$20</definedName>
    <definedName name="disastercalamities_human_induced_apr_crime_schhead">Table39!$AO$21</definedName>
    <definedName name="disastercalamities_human_induced_apr_crime_schproperty">Table39!$AO$22</definedName>
    <definedName name="disastercalamities_human_induced_apr_crime_teachers">Table39!$AO$23</definedName>
    <definedName name="disastercalamities_human_induced_apr_fire">Table39!$AO$24</definedName>
    <definedName name="disastercalamities_human_induced_apr_hazarous_materials">Table39!$AO$25</definedName>
    <definedName name="disastercalamities_human_induced_apr_healththreat">Table39!$AO$26</definedName>
    <definedName name="disastercalamities_human_induced_apr_hostage_insch">Table39!$AO$27</definedName>
    <definedName name="disastercalamities_human_induced_apr_others_specify">Table39!$AO$30</definedName>
    <definedName name="disastercalamities_human_induced_apr_schooting_insch">Table39!$AO$28</definedName>
    <definedName name="disastercalamities_human_induced_apr_structural_collapse">Table39!$AO$29</definedName>
    <definedName name="disastercalamities_human_induced_aug_bomb_schprem">Table39!$Y$18</definedName>
    <definedName name="disastercalamities_human_induced_aug_bombthreat_schprem">Table39!$Y$17</definedName>
    <definedName name="disastercalamities_human_induced_aug_crime_learners">Table39!$Y$19</definedName>
    <definedName name="disastercalamities_human_induced_aug_crime_non_teachers">Table39!$Y$20</definedName>
    <definedName name="disastercalamities_human_induced_aug_crime_schhead">Table39!$Y$21</definedName>
    <definedName name="disastercalamities_human_induced_aug_crime_schproperty">Table39!$Y$22</definedName>
    <definedName name="disastercalamities_human_induced_aug_crime_teachers">Table39!$Y$23</definedName>
    <definedName name="disastercalamities_human_induced_aug_fire">Table39!$Y$24</definedName>
    <definedName name="disastercalamities_human_induced_aug_hazarous_materials">Table39!$Y$25</definedName>
    <definedName name="disastercalamities_human_induced_aug_healththreat">Table39!$Y$26</definedName>
    <definedName name="disastercalamities_human_induced_aug_hostage_insch">Table39!$Y$27</definedName>
    <definedName name="disastercalamities_human_induced_aug_others_specify">Table39!$Y$30</definedName>
    <definedName name="disastercalamities_human_induced_aug_schooting_insch">Table39!$Y$28</definedName>
    <definedName name="disastercalamities_human_induced_aug_structural_collapse">Table39!$Y$29</definedName>
    <definedName name="disastercalamities_human_induced_dec_bomb_schprem">Table39!$AG$18</definedName>
    <definedName name="disastercalamities_human_induced_dec_bombthreat_schprem">Table39!$AG$17</definedName>
    <definedName name="disastercalamities_human_induced_dec_crime_learners">Table39!$AG$19</definedName>
    <definedName name="disastercalamities_human_induced_dec_crime_non_teachers">Table39!$AG$20</definedName>
    <definedName name="disastercalamities_human_induced_dec_crime_schhead">Table39!$AG$21</definedName>
    <definedName name="disastercalamities_human_induced_dec_crime_schproperty">Table39!$AG$22</definedName>
    <definedName name="disastercalamities_human_induced_dec_crime_teachers">Table39!$AG$23</definedName>
    <definedName name="disastercalamities_human_induced_dec_fire">Table39!$AG$24</definedName>
    <definedName name="disastercalamities_human_induced_dec_hazarous_materials">Table39!$AG$25</definedName>
    <definedName name="disastercalamities_human_induced_dec_healththreat">Table39!$AG$26</definedName>
    <definedName name="disastercalamities_human_induced_dec_hostage_insch">Table39!$AG$27</definedName>
    <definedName name="disastercalamities_human_induced_dec_others_specify">Table39!$AG$30</definedName>
    <definedName name="disastercalamities_human_induced_dec_schooting_insch">Table39!$AG$28</definedName>
    <definedName name="disastercalamities_human_induced_dec_structural_collapse">Table39!$AG$29</definedName>
    <definedName name="disastercalamities_human_induced_feb_bomb_schprem">Table39!$AK$18</definedName>
    <definedName name="disastercalamities_human_induced_feb_bombthreat_schprem">Table39!$AK$17</definedName>
    <definedName name="disastercalamities_human_induced_feb_crime_learners">Table39!$AK$19</definedName>
    <definedName name="disastercalamities_human_induced_feb_crime_non_teachers">Table39!$AK$20</definedName>
    <definedName name="disastercalamities_human_induced_feb_crime_schhead">Table39!$AK$21</definedName>
    <definedName name="disastercalamities_human_induced_feb_crime_schproperty">Table39!$AK$22</definedName>
    <definedName name="disastercalamities_human_induced_feb_crime_teachers">Table39!$AK$23</definedName>
    <definedName name="disastercalamities_human_induced_feb_fire">Table39!$AK$24</definedName>
    <definedName name="disastercalamities_human_induced_feb_hazarous_materials">Table39!$AK$25</definedName>
    <definedName name="disastercalamities_human_induced_feb_healththreat">Table39!$AK$26</definedName>
    <definedName name="disastercalamities_human_induced_feb_hostage_insch">Table39!$AK$27</definedName>
    <definedName name="disastercalamities_human_induced_feb_others_specify">Table39!$AK$30</definedName>
    <definedName name="disastercalamities_human_induced_feb_schooting_insch">Table39!$AK$28</definedName>
    <definedName name="disastercalamities_human_induced_feb_structural_collapse">Table39!$AK$29</definedName>
    <definedName name="disastercalamities_human_induced_jan_bomb_schprem">Table39!$AI$18</definedName>
    <definedName name="disastercalamities_human_induced_jan_bombthreat_schprem">Table39!$AI$17</definedName>
    <definedName name="disastercalamities_human_induced_jan_crime_learners">Table39!$AI$19</definedName>
    <definedName name="disastercalamities_human_induced_jan_crime_non_teachers">Table39!$AI$20</definedName>
    <definedName name="disastercalamities_human_induced_jan_crime_schhead">Table39!$AI$21</definedName>
    <definedName name="disastercalamities_human_induced_jan_crime_schproperty">Table39!$AI$22</definedName>
    <definedName name="disastercalamities_human_induced_jan_crime_teachers">Table39!$AI$23</definedName>
    <definedName name="disastercalamities_human_induced_jan_fire">Table39!$AI$24</definedName>
    <definedName name="disastercalamities_human_induced_jan_hazarous_materials">Table39!$AI$25</definedName>
    <definedName name="disastercalamities_human_induced_jan_healththreat">Table39!$AI$26</definedName>
    <definedName name="disastercalamities_human_induced_jan_hostage_insch">Table39!$AI$27</definedName>
    <definedName name="disastercalamities_human_induced_jan_others_specify">Table39!$AI$30</definedName>
    <definedName name="disastercalamities_human_induced_jan_schooting_insch">Table39!$AI$28</definedName>
    <definedName name="disastercalamities_human_induced_jan_structural_collapse">Table39!$AI$29</definedName>
    <definedName name="disastercalamities_human_induced_jul_bomb_schprem">Table39!$W$18</definedName>
    <definedName name="disastercalamities_human_induced_jul_bombthreat_schprem">Table39!$W$17</definedName>
    <definedName name="disastercalamities_human_induced_jul_crime_learners">Table39!$W$19</definedName>
    <definedName name="disastercalamities_human_induced_jul_crime_non_teachers">Table39!$W$20</definedName>
    <definedName name="disastercalamities_human_induced_jul_crime_schhead">Table39!$W$21</definedName>
    <definedName name="disastercalamities_human_induced_jul_crime_schproperty">Table39!$W$22</definedName>
    <definedName name="disastercalamities_human_induced_jul_crime_teachers">Table39!$W$23</definedName>
    <definedName name="disastercalamities_human_induced_jul_fire">Table39!$W$24</definedName>
    <definedName name="disastercalamities_human_induced_jul_hazarous_materials">Table39!$W$25</definedName>
    <definedName name="disastercalamities_human_induced_jul_healththreat">Table39!$W$26</definedName>
    <definedName name="disastercalamities_human_induced_jul_hostage_insch">Table39!$W$27</definedName>
    <definedName name="disastercalamities_human_induced_jul_others_specify">Table39!$W$30</definedName>
    <definedName name="disastercalamities_human_induced_jul_schooting_insch">Table39!$W$28</definedName>
    <definedName name="disastercalamities_human_induced_jul_structural_collapse">Table39!$W$29</definedName>
    <definedName name="disastercalamities_human_induced_jun_bomb_schprem">Table39!$U$18</definedName>
    <definedName name="disastercalamities_human_induced_jun_bombthreat_schprem">Table39!$U$17</definedName>
    <definedName name="disastercalamities_human_induced_jun_crime_learners">Table39!$U$19</definedName>
    <definedName name="disastercalamities_human_induced_jun_crime_non_teachers">Table39!$U$20</definedName>
    <definedName name="disastercalamities_human_induced_jun_crime_schhead">Table39!$U$21</definedName>
    <definedName name="disastercalamities_human_induced_jun_crime_schproperty">Table39!$U$22</definedName>
    <definedName name="disastercalamities_human_induced_jun_crime_teachers">Table39!$U$23</definedName>
    <definedName name="disastercalamities_human_induced_jun_fire">Table39!$U$24</definedName>
    <definedName name="disastercalamities_human_induced_jun_hazardous_materials">Table39!$U$25</definedName>
    <definedName name="disastercalamities_human_induced_jun_healththreat">Table39!$U$26</definedName>
    <definedName name="disastercalamities_human_induced_jun_hostage_insch">Table39!$U$27</definedName>
    <definedName name="disastercalamities_human_induced_jun_others_specify">Table39!$U$30</definedName>
    <definedName name="disastercalamities_human_induced_jun_shooting_insch">Table39!$U$28</definedName>
    <definedName name="disastercalamities_human_induced_jun_structural_collapse">Table39!$U$29</definedName>
    <definedName name="disastercalamities_human_induced_mar_bomb_schprem">Table39!$AM$18</definedName>
    <definedName name="disastercalamities_human_induced_mar_bombthreat_schprem">Table39!$AM$17</definedName>
    <definedName name="disastercalamities_human_induced_mar_crime_learners">Table39!$AM$19</definedName>
    <definedName name="disastercalamities_human_induced_mar_crime_non_teachers">Table39!$AM$20</definedName>
    <definedName name="disastercalamities_human_induced_mar_crime_schhead">Table39!$AM$21</definedName>
    <definedName name="disastercalamities_human_induced_mar_crime_schproperty">Table39!$AM$22</definedName>
    <definedName name="disastercalamities_human_induced_mar_crime_teachers">Table39!$AM$23</definedName>
    <definedName name="disastercalamities_human_induced_mar_fire">Table39!$AM$24</definedName>
    <definedName name="disastercalamities_human_induced_mar_hazarous_materials">Table39!$AM$25</definedName>
    <definedName name="disastercalamities_human_induced_mar_healththreat">Table39!$AM$26</definedName>
    <definedName name="disastercalamities_human_induced_mar_hostage_insch">Table39!$AM$27</definedName>
    <definedName name="disastercalamities_human_induced_mar_others_specify">Table39!$AM$30</definedName>
    <definedName name="disastercalamities_human_induced_mar_schooting_insch">Table39!$AM$28</definedName>
    <definedName name="disastercalamities_human_induced_mar_structural_collapse">Table39!$AM$29</definedName>
    <definedName name="disastercalamities_human_induced_may_bomb_schprem">Table39!$AQ$18</definedName>
    <definedName name="disastercalamities_human_induced_may_bombthreat_schprem">Table39!$AQ$17</definedName>
    <definedName name="disastercalamities_human_induced_may_crime_learners">Table39!$AQ$19</definedName>
    <definedName name="disastercalamities_human_induced_may_crime_non_teachers">Table39!$AQ$20</definedName>
    <definedName name="disastercalamities_human_induced_may_crime_schhead">Table39!$AQ$21</definedName>
    <definedName name="disastercalamities_human_induced_may_crime_schproperty">Table39!$AQ$22</definedName>
    <definedName name="disastercalamities_human_induced_may_crime_teachers">Table39!$AQ$23</definedName>
    <definedName name="disastercalamities_human_induced_may_fire">Table39!$AQ$24</definedName>
    <definedName name="disastercalamities_human_induced_may_hazarous_materials">Table39!$AQ$25</definedName>
    <definedName name="disastercalamities_human_induced_may_healththreat">Table39!$AQ$26</definedName>
    <definedName name="disastercalamities_human_induced_may_hostage_insch">Table39!$AQ$27</definedName>
    <definedName name="disastercalamities_human_induced_may_others_specify">Table39!$AQ$30</definedName>
    <definedName name="disastercalamities_human_induced_may_schooting_insch">Table39!$AQ$28</definedName>
    <definedName name="disastercalamities_human_induced_may_structural_collapse">Table39!$AQ$29</definedName>
    <definedName name="disastercalamities_human_induced_nov_bomb_schprem">Table39!$AE$18</definedName>
    <definedName name="disastercalamities_human_induced_nov_bombthreat_schprem">Table39!$AE$17</definedName>
    <definedName name="disastercalamities_human_induced_nov_crime_learners">Table39!$AE$19</definedName>
    <definedName name="disastercalamities_human_induced_nov_crime_non_teachers">Table39!$AE$20</definedName>
    <definedName name="disastercalamities_human_induced_nov_crime_schhead">Table39!$AE$21</definedName>
    <definedName name="disastercalamities_human_induced_nov_crime_schproperty">Table39!$AE$22</definedName>
    <definedName name="disastercalamities_human_induced_nov_crime_teachers">Table39!$AE$23</definedName>
    <definedName name="disastercalamities_human_induced_nov_fire">Table39!$AE$24</definedName>
    <definedName name="disastercalamities_human_induced_nov_hazarous_materials">Table39!$AE$25</definedName>
    <definedName name="disastercalamities_human_induced_nov_healththreat">Table39!$AE$26</definedName>
    <definedName name="disastercalamities_human_induced_nov_hostage_insch">Table39!$AE$27</definedName>
    <definedName name="disastercalamities_human_induced_nov_others_specify">Table39!$AE$30</definedName>
    <definedName name="disastercalamities_human_induced_nov_schooting_insch">Table39!$AE$28</definedName>
    <definedName name="disastercalamities_human_induced_nov_structural_collapse">Table39!$AE$29</definedName>
    <definedName name="disastercalamities_human_induced_oct_bomb_schprem">Table39!$AC$18</definedName>
    <definedName name="disastercalamities_human_induced_oct_bombthreat_schprem">Table39!$AC$17</definedName>
    <definedName name="disastercalamities_human_induced_oct_crime_learners">Table39!$AC$19</definedName>
    <definedName name="disastercalamities_human_induced_oct_crime_non_teachers">Table39!$AC$20</definedName>
    <definedName name="disastercalamities_human_induced_oct_crime_schhead">Table39!$AC$21</definedName>
    <definedName name="disastercalamities_human_induced_oct_crime_schproperty">Table39!$AC$22</definedName>
    <definedName name="disastercalamities_human_induced_oct_crime_teachers">Table39!$AC$23</definedName>
    <definedName name="disastercalamities_human_induced_oct_fire">Table39!$AC$24</definedName>
    <definedName name="disastercalamities_human_induced_oct_hazarous_materials">Table39!$AC$25</definedName>
    <definedName name="disastercalamities_human_induced_oct_healththreat">Table39!$AC$26</definedName>
    <definedName name="disastercalamities_human_induced_oct_hostage_insch">Table39!$AC$27</definedName>
    <definedName name="disastercalamities_human_induced_oct_others_specify">Table39!$AC$30</definedName>
    <definedName name="disastercalamities_human_induced_oct_schooting_insch">Table39!$AC$28</definedName>
    <definedName name="disastercalamities_human_induced_oct_structural_collapse">Table39!$AC$29</definedName>
    <definedName name="disastercalamities_human_induced_others_specify">Table39!$C$31</definedName>
    <definedName name="disastercalamities_human_induced_sep_bomb_schprem">Table39!$AA$18</definedName>
    <definedName name="disastercalamities_human_induced_sep_bombthreat_schprem">Table39!$AA$17</definedName>
    <definedName name="disastercalamities_human_induced_sep_crime_learners">Table39!$AA$19</definedName>
    <definedName name="disastercalamities_human_induced_sep_crime_non_teachers">Table39!$AA$20</definedName>
    <definedName name="disastercalamities_human_induced_sep_crime_schhead">Table39!$AA$21</definedName>
    <definedName name="disastercalamities_human_induced_sep_crime_schproperty">Table39!$AA$22</definedName>
    <definedName name="disastercalamities_human_induced_sep_crime_teachers">Table39!$AA$23</definedName>
    <definedName name="disastercalamities_human_induced_sep_fire">Table39!$AA$24</definedName>
    <definedName name="disastercalamities_human_induced_sep_hazarous_materials">Table39!$AA$25</definedName>
    <definedName name="disastercalamities_human_induced_sep_healththreat">Table39!$AA$26</definedName>
    <definedName name="disastercalamities_human_induced_sep_hostage_insch">Table39!$AA$27</definedName>
    <definedName name="disastercalamities_human_induced_sep_others_specify">Table39!$AA$30</definedName>
    <definedName name="disastercalamities_human_induced_sep_schooting_insch">Table39!$AA$28</definedName>
    <definedName name="disastercalamities_human_induced_sep_structural_collapse">Table39!$AA$29</definedName>
    <definedName name="disastercalamities_natural_apr_drought">Table39!$AO$7</definedName>
    <definedName name="disastercalamities_natural_apr_earthquake">Table39!$AO$8</definedName>
    <definedName name="disastercalamities_natural_apr_fire">Table39!$AO$9</definedName>
    <definedName name="disastercalamities_natural_apr_flood">Table39!$AO$10</definedName>
    <definedName name="disastercalamities_natural_apr_landslide">Table39!$AO$11</definedName>
    <definedName name="disastercalamities_natural_apr_stormsurge">Table39!$AO$12</definedName>
    <definedName name="disastercalamities_natural_apr_tropicyclone">Table39!$AO$13</definedName>
    <definedName name="disastercalamities_natural_apr_tsunami">Table39!$AO$14</definedName>
    <definedName name="disastercalamities_natural_apr_volcanerupt">Table39!$AO$15</definedName>
    <definedName name="disastercalamities_natural_aug_drought">Table39!$Y$7</definedName>
    <definedName name="disastercalamities_natural_aug_earthquake">Table39!$Y$8</definedName>
    <definedName name="disastercalamities_natural_aug_fire">Table39!$Y$9</definedName>
    <definedName name="disastercalamities_natural_aug_flood">Table39!$Y$10</definedName>
    <definedName name="disastercalamities_natural_aug_landslide">Table39!$Y$11</definedName>
    <definedName name="disastercalamities_natural_aug_stormsurge">Table39!$Y$12</definedName>
    <definedName name="disastercalamities_natural_aug_tropicyclone">Table39!$Y$13</definedName>
    <definedName name="disastercalamities_natural_aug_tsunami">Table39!$Y$14</definedName>
    <definedName name="disastercalamities_natural_aug_volcanerupt">Table39!$Y$15</definedName>
    <definedName name="disastercalamities_natural_dec_drought">Table39!$AG$7</definedName>
    <definedName name="disastercalamities_natural_dec_earthquake">Table39!$AG$8</definedName>
    <definedName name="disastercalamities_natural_dec_fire">Table39!$AG$9</definedName>
    <definedName name="disastercalamities_natural_dec_flood">Table39!$AG$10</definedName>
    <definedName name="disastercalamities_natural_dec_landslide">Table39!$AG$11</definedName>
    <definedName name="disastercalamities_natural_dec_stormsurge">Table39!$AG$12</definedName>
    <definedName name="disastercalamities_natural_dec_tropicyclone">Table39!$AG$13</definedName>
    <definedName name="disastercalamities_natural_dec_tsunami">Table39!$AG$14</definedName>
    <definedName name="disastercalamities_natural_dec_volcanerupt">Table39!$AG$15</definedName>
    <definedName name="disastercalamities_natural_feb_drought">Table39!$AK$7</definedName>
    <definedName name="disastercalamities_natural_feb_earthquake">Table39!$AK$8</definedName>
    <definedName name="disastercalamities_natural_feb_fire">Table39!$AK$9</definedName>
    <definedName name="disastercalamities_natural_feb_flood">Table39!$AK$10</definedName>
    <definedName name="disastercalamities_natural_feb_landslide">Table39!$AK$11</definedName>
    <definedName name="disastercalamities_natural_feb_stormsurge">Table39!$AK$12</definedName>
    <definedName name="disastercalamities_natural_feb_tropicyclone">Table39!$AK$13</definedName>
    <definedName name="disastercalamities_natural_feb_tsunami">Table39!$AK$14</definedName>
    <definedName name="disastercalamities_natural_feb_volcanerupt">Table39!$AK$15</definedName>
    <definedName name="disastercalamities_natural_jan_drought">Table39!$AI$7</definedName>
    <definedName name="disastercalamities_natural_jan_earthquake">Table39!$AI$8</definedName>
    <definedName name="disastercalamities_natural_jan_fire">Table39!$AI$9</definedName>
    <definedName name="disastercalamities_natural_jan_flood">Table39!$AI$10</definedName>
    <definedName name="disastercalamities_natural_jan_landslide">Table39!$AI$11</definedName>
    <definedName name="disastercalamities_natural_jan_stormsurge">Table39!$AI$12</definedName>
    <definedName name="disastercalamities_natural_jan_tropicyclone">Table39!$AI$13</definedName>
    <definedName name="disastercalamities_natural_jan_tsunami">Table39!$AI$14</definedName>
    <definedName name="disastercalamities_natural_jan_volcanerupt">Table39!$AI$15</definedName>
    <definedName name="disastercalamities_natural_jul_drought">Table39!$W$7</definedName>
    <definedName name="disastercalamities_natural_jul_earthquake">Table39!$W$8</definedName>
    <definedName name="disastercalamities_natural_jul_fire">Table39!$W$9</definedName>
    <definedName name="disastercalamities_natural_jul_flood">Table39!$W$10</definedName>
    <definedName name="disastercalamities_natural_jul_landslide">Table39!$W$11</definedName>
    <definedName name="disastercalamities_natural_jul_stormsurge">Table39!$W$12</definedName>
    <definedName name="disastercalamities_natural_jul_tropicyclone">Table39!$W$13</definedName>
    <definedName name="disastercalamities_natural_jul_tsunami">Table39!$W$14</definedName>
    <definedName name="disastercalamities_natural_jul_volcanerupt">Table39!$W$15</definedName>
    <definedName name="disastercalamities_natural_jun_drought">Table39!$U$7</definedName>
    <definedName name="disastercalamities_natural_jun_earthquake">Table39!$U$8</definedName>
    <definedName name="disastercalamities_natural_jun_fire">Table39!$U$9</definedName>
    <definedName name="disastercalamities_natural_jun_flood">Table39!$U$10</definedName>
    <definedName name="disastercalamities_natural_jun_landslide">Table39!$U$11</definedName>
    <definedName name="disastercalamities_natural_jun_stormsurge">Table39!$U$12</definedName>
    <definedName name="disastercalamities_natural_jun_tropicyclone">Table39!$U$13</definedName>
    <definedName name="disastercalamities_natural_jun_tsunami">Table39!$U$14</definedName>
    <definedName name="disastercalamities_natural_jun_volcanerupt">Table39!$U$15</definedName>
    <definedName name="disastercalamities_natural_mar_drought">Table39!$AM$7</definedName>
    <definedName name="disastercalamities_natural_mar_earthquake">Table39!$AM$8</definedName>
    <definedName name="disastercalamities_natural_mar_fire">Table39!$AM$9</definedName>
    <definedName name="disastercalamities_natural_mar_flood">Table39!$AM$10</definedName>
    <definedName name="disastercalamities_natural_mar_landslide">Table39!$AM$11</definedName>
    <definedName name="disastercalamities_natural_mar_stormsurge">Table39!$AM$12</definedName>
    <definedName name="disastercalamities_natural_mar_tropicyclone">Table39!$AM$13</definedName>
    <definedName name="disastercalamities_natural_mar_tsunami">Table39!$AM$14</definedName>
    <definedName name="disastercalamities_natural_mar_volcanerupt">Table39!$AM$15</definedName>
    <definedName name="disastercalamities_natural_may_drought">Table39!$AQ$7</definedName>
    <definedName name="disastercalamities_natural_may_earthquake">Table39!$AQ$8</definedName>
    <definedName name="disastercalamities_natural_may_fire">Table39!$AQ$9</definedName>
    <definedName name="disastercalamities_natural_may_flood">Table39!$AQ$10</definedName>
    <definedName name="disastercalamities_natural_may_landslide">Table39!$AQ$11</definedName>
    <definedName name="disastercalamities_natural_may_stormsurge">Table39!$AQ$12</definedName>
    <definedName name="disastercalamities_natural_may_tropicyclone">Table39!$AQ$13</definedName>
    <definedName name="disastercalamities_natural_may_tsunami">Table39!$AQ$14</definedName>
    <definedName name="disastercalamities_natural_may_volcanerupt">Table39!$AQ$15</definedName>
    <definedName name="disastercalamities_natural_nov_drought">Table39!$AE$7</definedName>
    <definedName name="disastercalamities_natural_nov_earthquake">Table39!$AE$8</definedName>
    <definedName name="disastercalamities_natural_nov_fire">Table39!$AE$9</definedName>
    <definedName name="disastercalamities_natural_nov_flood">Table39!$AE$10</definedName>
    <definedName name="disastercalamities_natural_nov_landslide">Table39!$AE$11</definedName>
    <definedName name="disastercalamities_natural_nov_stormsurge">Table39!$AE$12</definedName>
    <definedName name="disastercalamities_natural_nov_tropicyclone">Table39!$AE$13</definedName>
    <definedName name="disastercalamities_natural_nov_tsunami">Table39!$AE$14</definedName>
    <definedName name="disastercalamities_natural_nov_volcanerupt">Table39!$AE$15</definedName>
    <definedName name="disastercalamities_natural_oct_drought">Table39!$AC$7</definedName>
    <definedName name="disastercalamities_natural_oct_earthquake">Table39!$AC$8</definedName>
    <definedName name="disastercalamities_natural_oct_fire">Table39!$AC$9</definedName>
    <definedName name="disastercalamities_natural_oct_flood">Table39!$AC$10</definedName>
    <definedName name="disastercalamities_natural_oct_landslide">Table39!$AC$11</definedName>
    <definedName name="disastercalamities_natural_oct_stormsurge">Table39!$AC$12</definedName>
    <definedName name="disastercalamities_natural_oct_tropicyclone">Table39!$AC$13</definedName>
    <definedName name="disastercalamities_natural_oct_tsunami">Table39!$AC$14</definedName>
    <definedName name="disastercalamities_natural_oct_volcanerupt">Table39!$AC$15</definedName>
    <definedName name="disastercalamities_natural_sep_drought">Table39!$AA$7</definedName>
    <definedName name="disastercalamities_natural_sep_earthquake">Table39!$AA$8</definedName>
    <definedName name="disastercalamities_natural_sep_fire">Table39!$AA$9</definedName>
    <definedName name="disastercalamities_natural_sep_flood">Table39!$AA$10</definedName>
    <definedName name="disastercalamities_natural_sep_landslide">Table39!$AA$11</definedName>
    <definedName name="disastercalamities_natural_sep_stormsurge">Table39!$AA$12</definedName>
    <definedName name="disastercalamities_natural_sep_tropicyclone">Table39!$AA$13</definedName>
    <definedName name="disastercalamities_natural_sep_tsunami">Table39!$AA$14</definedName>
    <definedName name="disastercalamities_natural_sep_volcanerupt">Table39!$AA$15</definedName>
    <definedName name="do_acct_name">'Table32-Box8'!$B$24</definedName>
    <definedName name="do_acct_post">'Table32-Box8'!$F$26</definedName>
    <definedName name="do_child_prot_coor_name">'Boxes24-25'!$T$41</definedName>
    <definedName name="do_child_prot_coor_post">'Boxes24-25'!$X$43</definedName>
    <definedName name="do_cid_pers_name">'Table23-Box2'!$B$26</definedName>
    <definedName name="do_cid_pers_post">'Table23-Box2'!$F$28</definedName>
    <definedName name="do_engr_name">'Table32-Box8'!$AJ$24</definedName>
    <definedName name="do_engr_post">'Table32-Box8'!$AN$26</definedName>
    <definedName name="do_hr_name">'Tables7-8'!$AI$5</definedName>
    <definedName name="do_hr_post">'Tables7-8'!$AM$7</definedName>
    <definedName name="do_iped_coor_name">'Box32'!$T$59</definedName>
    <definedName name="do_iped_coor_pos">'Box32'!$X$61</definedName>
    <definedName name="do_ito_name">Table25!$S$39</definedName>
    <definedName name="do_sch_health_coor_name">'Table33a-b'!$R$42</definedName>
    <definedName name="do_sch_health_coor_post">'Table33a-b'!$V$44</definedName>
    <definedName name="do_seps_hrtd_name">'Tables7-8'!$AI$24</definedName>
    <definedName name="do_seps_prs_sgod_name">'Table23-Box2'!$AI$26</definedName>
    <definedName name="do_sped_coor_name">Table5!$X$37</definedName>
    <definedName name="do_sped_coor_pos">Table5!$AB$39</definedName>
    <definedName name="do_sports_coor_name">'Box27'!$Q$25</definedName>
    <definedName name="do_sports_coor_post">'Box27'!$U$27</definedName>
    <definedName name="do_yfc_coor_name">'Boxes4-6'!$Z$52</definedName>
    <definedName name="do_yfc_coor_post">'Boxes4-6'!$AD$54</definedName>
    <definedName name="drills_lrnrs_f_excluding">Box30_part2!$I$65</definedName>
    <definedName name="drills_lrnrs_f_ip">Box30_part2!$O$65</definedName>
    <definedName name="drills_lrnrs_f_muslim">Box30_part2!$U$65</definedName>
    <definedName name="drills_lrnrs_f_pwd">Box30_part2!$AA$65</definedName>
    <definedName name="drills_lrnrs_m_excluding">Box30_part2!$F$65</definedName>
    <definedName name="drills_lrnrs_m_ip">Box30_part2!$L$65</definedName>
    <definedName name="drills_lrnrs_m_muslim">Box30_part2!$R$65</definedName>
    <definedName name="drills_lrnrs_m_pwd">Box30_part2!$X$65</definedName>
    <definedName name="drills_nonteaching_f">Box30_part2!$O$59</definedName>
    <definedName name="drills_nonteaching_m">Box30_part2!$L$59</definedName>
    <definedName name="drills_teaching_f">Box30_part2!$I$59</definedName>
    <definedName name="drills_teaching_m">Box30_part2!$F$59</definedName>
    <definedName name="drm_evacuationplan">Box30_part1!$D$28</definedName>
    <definedName name="drm_humhazards_armedconflict">Box30_part1!$V$18</definedName>
    <definedName name="drm_humhazards_bomb">Box30_part1!$V$19</definedName>
    <definedName name="drm_humhazards_civviolence">Box30_part1!$V$20</definedName>
    <definedName name="drm_humhazards_fire">Box30_part1!$V$21</definedName>
    <definedName name="drm_humhazards_others">Box30_part1!$V$22</definedName>
    <definedName name="drm_humhazards_others_specify">Box30_part1!$AA$22</definedName>
    <definedName name="drm_nathazards_drought">Box30_part1!$D$21</definedName>
    <definedName name="drm_nathazards_earthquake">Box30_part1!$J$18</definedName>
    <definedName name="drm_nathazards_fire">Box30_part1!$J$21</definedName>
    <definedName name="drm_nathazards_flood">Box30_part1!$D$20</definedName>
    <definedName name="drm_nathazards_landslide">Box30_part1!$D$22</definedName>
    <definedName name="drm_nathazards_stormsurge">Box30_part1!$D$19</definedName>
    <definedName name="drm_nathazards_tropicalcyclone">Box30_part1!$D$18</definedName>
    <definedName name="drm_nathazards_tsunami">Box30_part1!$J$20</definedName>
    <definedName name="drm_nathazards_volcaniceruption">Box30_part1!$J$19</definedName>
    <definedName name="drm_reunificationplan">Box30_part1!$D$29</definedName>
    <definedName name="drrm_coor_name">Table39!$Q$37</definedName>
    <definedName name="drrm_coor_post">Table39!$U$39</definedName>
    <definedName name="drrm_parents">Box30_part1!$R$45</definedName>
    <definedName name="drrm_partners">Box30_part1!$AB$45</definedName>
    <definedName name="drrm_personnel">Box30_part1!$L$45</definedName>
    <definedName name="drrm_wlearners">Box30_part1!$G$45</definedName>
    <definedName name="drrm_wlgu">Box30_part1!$W$45</definedName>
    <definedName name="electrical_funding_source_others_specify">'Table32-Box8'!$AM$16</definedName>
    <definedName name="electrical_funding_sources_canteen">'Table32-Box8'!$AH$14</definedName>
    <definedName name="electrical_funding_sources_lgu">'Table32-Box8'!$AB$15</definedName>
    <definedName name="electrical_funding_sources_mooe">'Table32-Box8'!$AB$14</definedName>
    <definedName name="electrical_funding_sources_others">'Table32-Box8'!$AH$16</definedName>
    <definedName name="electrical_funding_sources_private">'Table32-Box8'!$AH$15</definedName>
    <definedName name="electrical_funding_sources_pta">'Table32-Box8'!$AB$16</definedName>
    <definedName name="electrical_nosource">'Table32-Box8'!$AB$11</definedName>
    <definedName name="electrical_offgrid_generator">'Table32-Box8'!$AE$9</definedName>
    <definedName name="electrical_offgrid_others">'Table32-Box8'!$AE$10</definedName>
    <definedName name="electrical_offgrid_others_specify">'Table32-Box8'!$AJ$10</definedName>
    <definedName name="electrical_offgrid_solar_power">'Table32-Box8'!$AE$8</definedName>
    <definedName name="electrical_supply_sources_grid">'Table32-Box8'!$AB$6</definedName>
    <definedName name="electrical_supply_sources_offgrid">'Table32-Box8'!$AB$7</definedName>
    <definedName name="electricity_available_inaday_hours">'Table32-Box8'!$AN$17</definedName>
    <definedName name="emrgcy_cadaverbag">Box30_part2!$N$12</definedName>
    <definedName name="emrgcy_cadaverbag_prtnr">Box30_part2!$Q$12</definedName>
    <definedName name="emrgcy_cot">Box30_part2!$N$14</definedName>
    <definedName name="emrgcy_cot_prtnr">Box30_part2!$Q$14</definedName>
    <definedName name="emrgcy_cprboard">Box30_part2!$N$15</definedName>
    <definedName name="emrgcy_cprboard_prtnr">Box30_part2!$Q$15</definedName>
    <definedName name="emrgcy_flashlight_rechargable">Box30_part2!$N$27</definedName>
    <definedName name="emrgcy_flashlight_rechargable_prtnr">Box30_part2!$Q$27</definedName>
    <definedName name="emrgcy_frstaid_lrnr">Box30_part2!$N$19</definedName>
    <definedName name="emrgcy_frstaid_lrnr_prtnr">Box30_part2!$Q$19</definedName>
    <definedName name="emrgcy_frstaid_personnel">Box30_part2!$N$20</definedName>
    <definedName name="emrgcy_frstaid_personnel_prtnr">Box30_part2!$Q$20</definedName>
    <definedName name="emrgcy_medical_cushion">Box30_part2!$N$30</definedName>
    <definedName name="emrgcy_medical_cushion_prtnr">Box30_part2!$Q$30</definedName>
    <definedName name="emrgcy_pasystem">Box30_part2!$N$33</definedName>
    <definedName name="emrgcy_pasystem_prtnr">Box30_part2!$Q$33</definedName>
    <definedName name="emrgcy_searchlight">Box30_part2!$N$28</definedName>
    <definedName name="emrgcy_searchlight_prtnr">Box30_part2!$Q$28</definedName>
    <definedName name="emrgcy_steelboxes">Box30_part2!$N$38</definedName>
    <definedName name="emrgcy_steelboxes_prtnr">Box30_part2!$Q$38</definedName>
    <definedName name="emrgcy_steelcabinets">Box30_part2!$N$39</definedName>
    <definedName name="emrgcy_steelcabinets_prtnr">Box30_part2!$Q$39</definedName>
    <definedName name="emrgcy_trafficvest">Box30_part2!$N$40</definedName>
    <definedName name="emrgcy_trafficvest_prtnr">Box30_part2!$Q$40</definedName>
    <definedName name="emrgcy_transportbag">Box30_part2!$N$41</definedName>
    <definedName name="emrgcy_transportbag_prtnr">Box30_part2!$Q$41</definedName>
    <definedName name="emrgcy_traumabag">Box30_part2!$N$42</definedName>
    <definedName name="emrgcy_traumabag_prtnr">Box30_part2!$Q$42</definedName>
    <definedName name="emrgcysupp_ccollar">Box30_part2!$N$13</definedName>
    <definedName name="emrgcysupp_ccollar_prtnr">Box30_part2!$Q$13</definedName>
    <definedName name="emrgcysupp_emrgncyheadlamp">Box30_part2!$N$16</definedName>
    <definedName name="emrgcysupp_emrgncyheadlamp_prtnr">Box30_part2!$Q$16</definedName>
    <definedName name="emrgcysupp_emrgncywhistle">Box30_part2!$N$17</definedName>
    <definedName name="emrgcysupp_emrgncywhistle_prtnr">Box30_part2!$Q$17</definedName>
    <definedName name="emrgcysupp_fireextinguisher">Box30_part2!$N$18</definedName>
    <definedName name="emrgcysupp_fireextinguisher_prtnr">Box30_part2!$Q$18</definedName>
    <definedName name="emrgcysupp_gobaglrnr">Box30_part2!$N$22</definedName>
    <definedName name="emrgcysupp_gobaglrnr_prtnr">Box30_part2!$Q$22</definedName>
    <definedName name="emrgcysupp_handheldradio">Box30_part2!$N$26</definedName>
    <definedName name="emrgcysupp_handheldradio_prtnr">Box30_part2!$Q$26</definedName>
    <definedName name="emrgcysupp_lifevest">Box30_part2!$N$29</definedName>
    <definedName name="emrgcysupp_lifevest_prtnr">Box30_part2!$Q$29</definedName>
    <definedName name="emrgcysupp_personnel">Box30_part2!$N$24</definedName>
    <definedName name="emrgcysupp_personnel_prtnr">Box30_part2!$Q$24</definedName>
    <definedName name="emrgcysupp_safetycoat">Box30_part2!$N$34</definedName>
    <definedName name="emrgcysupp_safetycoat_prtnr">Box30_part2!$Q$34</definedName>
    <definedName name="emrgcysupp_safetyhat">Box30_part2!$N$35</definedName>
    <definedName name="emrgcysupp_safetyhat_prtnr">Box30_part2!$Q$35</definedName>
    <definedName name="emrgcysupp_safetyshoes">Box30_part2!$N$36</definedName>
    <definedName name="emrgcysupp_safetyshoes_prtnr">Box30_part2!$Q$36</definedName>
    <definedName name="emrgcysupp_spineboardwsafetybelt">Box30_part2!$N$31</definedName>
    <definedName name="emrgcysupp_spineboardwsafetybelt_prtnr">Box30_part2!$Q$31</definedName>
    <definedName name="emrgcysupp_splinter">Box30_part2!$N$37</definedName>
    <definedName name="emrgcysupp_splinter_prtnr">Box30_part2!$Q$37</definedName>
    <definedName name="emrgcysupp_twofoldstretcher">Box30_part2!$N$11</definedName>
    <definedName name="emrgcysupp_twofoldstretcher_prtnr">Box30_part2!$Q$11</definedName>
    <definedName name="emrgcysupp_uniheadimmobilizer">Box30_part2!$N$44</definedName>
    <definedName name="emrgcysupp_uniheadimmobilizer_prtnr">Box30_part2!$Q$44</definedName>
    <definedName name="feed_prog_agri_fishery_crops">'Boxes19-20'!$I$14</definedName>
    <definedName name="feed_prog_agri_fishery_fishpond">'Boxes19-20'!$I$13</definedName>
    <definedName name="feed_prog_agri_fishery_gulayan">'Boxes19-20'!$I$11</definedName>
    <definedName name="feed_prog_agri_fishery_gulayan_fruit">'Boxes19-20'!$X$12</definedName>
    <definedName name="feed_prog_agri_fishery_gulayan_leafy">'Boxes19-20'!$Q$12</definedName>
    <definedName name="feed_prog_agri_fishery_gulayan_legumes">'Boxes19-20'!$L$12</definedName>
    <definedName name="feed_prog_agri_fishery_gulayan_rootcrops">'Boxes19-20'!$AD$12</definedName>
    <definedName name="feed_prog_agri_fishery_livestock">'Boxes19-20'!$I$15</definedName>
    <definedName name="feed_prog_agri_fishery_none">'Boxes19-20'!$I$17</definedName>
    <definedName name="feed_prog_agri_fishery_others">'Boxes19-20'!$I$16</definedName>
    <definedName name="feed_prog_agri_fishery_usedfp_yes">'Boxes19-20'!$Y$18</definedName>
    <definedName name="feed_prog_agri_fishery_usedfp_yes_fundsource_brgy">'Boxes19-20'!$X$20</definedName>
    <definedName name="feed_prog_agri_fishery_usedfp_yes_fundsource_canteen">'Boxes19-20'!$I$21</definedName>
    <definedName name="feed_prog_agri_fishery_usedfp_yes_fundsource_lgu">'Boxes19-20'!$Q$20</definedName>
    <definedName name="feed_prog_agri_fishery_usedfp_yes_fundsource_others">'Boxes19-20'!$AG$20</definedName>
    <definedName name="feed_prog_agri_fishery_usedfp_yes_fundsource_private">'Boxes19-20'!$X$21</definedName>
    <definedName name="feed_prog_agri_fishery_usedfp_yes_fundsource_pta">'Boxes19-20'!$Q$21</definedName>
    <definedName name="feed_prog_agri_fishery_usedfp_yes_fundsource_schmooe">'Boxes19-20'!$I$20</definedName>
    <definedName name="feed_prog_yes">'Boxes19-20'!$S$5</definedName>
    <definedName name="feed_prog_yes_fundsource_brgy">'Boxes19-20'!$X$7</definedName>
    <definedName name="feed_prog_yes_fundsource_canteen">'Boxes19-20'!$I$8</definedName>
    <definedName name="feed_prog_yes_fundsource_lgu">'Boxes19-20'!$Q$7</definedName>
    <definedName name="feed_prog_yes_fundsource_others">'Boxes19-20'!$AG$8</definedName>
    <definedName name="feed_prog_yes_fundsource_private">'Boxes19-20'!$X$8</definedName>
    <definedName name="feed_prog_yes_fundsource_pta">'Boxes19-20'!$Q$8</definedName>
    <definedName name="feed_prog_yes_fundsource_sbfp">'Boxes19-20'!$AG$7</definedName>
    <definedName name="feed_prog_yes_fundsource_schmooe">'Boxes19-20'!$I$7</definedName>
    <definedName name="food_hndlg_canteen_mngd_others">'Boxes19-20'!$I$34</definedName>
    <definedName name="food_hndlg_canteen_mngd_others_personnel_health_cert_yes">'Boxes19-20'!$AH$35</definedName>
    <definedName name="food_hndlg_canteen_mngd_sch">'Boxes19-20'!$I$30</definedName>
    <definedName name="food_hndlg_canteen_mngd_sch_personnel_health_cert_yes">'Boxes19-20'!$AH$30</definedName>
    <definedName name="food_hndlg_canteen_mngd_tchcoop">'Boxes19-20'!$I$32</definedName>
    <definedName name="food_hndlg_canteen_mngd_tchcoop_personnel_health_cert_yes">'Boxes19-20'!$AH$32</definedName>
    <definedName name="food_hndlg_canteen_yes">'Boxes19-20'!$Q$27</definedName>
    <definedName name="head_name">SchInfo!$F$38</definedName>
    <definedName name="head_pos_title">SchInfo!$F$40</definedName>
    <definedName name="I">list!$A$2:$A$15</definedName>
    <definedName name="II">list!$B$2:$B$10</definedName>
    <definedName name="III">list!$C$2:$C$21</definedName>
    <definedName name="intervention_alternativedelivery_drrm_date">Box30_part3a!$Q$24</definedName>
    <definedName name="intervention_alternativedelivery_drrm_no">Box30_part3a!$M$24</definedName>
    <definedName name="intervention_alternativedelivery_prtnr">Box30_part3a!$AH$18</definedName>
    <definedName name="intervention_donation_prtnr">Box30_part3a!$AH$13</definedName>
    <definedName name="intervention_emrgncyfeeding_drrm_date">Box30_part3a!$Q$19</definedName>
    <definedName name="intervention_emrgncyfeeding_drrm_no">Box30_part3a!$M$19</definedName>
    <definedName name="intervention_emrgncyfeeding_prtnr">Box30_part3a!$AH$14</definedName>
    <definedName name="intervention_hygienekit_drrm_date">Box30_part3a!$Q$21</definedName>
    <definedName name="intervention_hygienekit_drrm_no">Box30_part3a!$M$21</definedName>
    <definedName name="intervention_hygienekit_prtnr">Box30_part3a!$AH$15</definedName>
    <definedName name="intervention_lrnrkit_drrm_date">Box30_part3a!$Q$22</definedName>
    <definedName name="intervention_lrnrkit_drrm_no">Box30_part3a!$M$22</definedName>
    <definedName name="intervention_lrnrkit_prtnr">Box30_part3a!$AH$16</definedName>
    <definedName name="intervention_mhpss_prtnr">Box30_part3a!$AH$20</definedName>
    <definedName name="intervention_minorcleanup_drrm_date">Box30_part3a!$Q$13</definedName>
    <definedName name="intervention_minorcleanup_drrm_no">Box30_part3a!$M$13</definedName>
    <definedName name="intervention_teacherkit_drrm_date">Box30_part3a!$Q$23</definedName>
    <definedName name="intervention_teacherkit_drrm_no">Box30_part3a!$M$23</definedName>
    <definedName name="intervention_teacherkit_prtnr">Box30_part3a!$AH$17</definedName>
    <definedName name="intervention_tempspace_drrm_date">Box30_part3a!$Q$15</definedName>
    <definedName name="intervention_tempspace_drrm_no">Box30_part3a!$M$15</definedName>
    <definedName name="intervention_tempspace_prtnr">Box30_part3a!$AH$21</definedName>
    <definedName name="intervention_tempwash_drrm_date">Box30_part3a!$Q$17</definedName>
    <definedName name="intervention_tempwash_drrm_no">Box30_part3a!$M$17</definedName>
    <definedName name="intervention_tempwash_prtnr">Box30_part3a!$AH$23</definedName>
    <definedName name="iped_cannotbereach_loc">'Box32'!$D$9</definedName>
    <definedName name="iped_celebrate_ipday">'Box32'!$O$28</definedName>
    <definedName name="iped_celebrate_ipmonth">'Box32'!$AK$28</definedName>
    <definedName name="iped_occationaldangerous">'Box32'!$D$11</definedName>
    <definedName name="iped_orientation_deped">'Box32'!$AK$30</definedName>
    <definedName name="iped_peace_educ">'Box32'!$D$7</definedName>
    <definedName name="iped_sch_anscdom_armedconflict">'Box32'!$AK$44</definedName>
    <definedName name="iped_schexp_teaching">'Box32'!$AK$25</definedName>
    <definedName name="iped_schhead_ip">'Box32'!$O$30</definedName>
    <definedName name="iped_schhead_specify">'Box32'!$O$31</definedName>
    <definedName name="iped_teachres_outsch_f_g10">'Box32'!$AI$22</definedName>
    <definedName name="iped_teachres_outsch_f_g7">'Box32'!$Q$22</definedName>
    <definedName name="iped_teachres_outsch_f_g8">'Box32'!$W$22</definedName>
    <definedName name="iped_teachres_outsch_f_g9">'Box32'!$AC$22</definedName>
    <definedName name="iped_teachres_outsch_m_g10">'Box32'!$AF$22</definedName>
    <definedName name="iped_teachres_outsch_m_g7">'Box32'!$N$22</definedName>
    <definedName name="iped_teachres_outsch_m_g8">'Box32'!$T$22</definedName>
    <definedName name="iped_teachres_outsch_m_g9">'Box32'!$Z$22</definedName>
    <definedName name="iped_teachres_wtnsch_f_g10">'Box32'!$AI$21</definedName>
    <definedName name="iped_teachres_wtnsch_f_g7">'Box32'!$Q$21</definedName>
    <definedName name="iped_teachres_wtnsch_f_g8">'Box32'!$W$21</definedName>
    <definedName name="iped_teachres_wtnsch_f_g9">'Box32'!$AC$21</definedName>
    <definedName name="iped_teachres_wtnsch_m_g10">'Box32'!$AF$21</definedName>
    <definedName name="iped_teachres_wtnsch_m_g7">'Box32'!$N$21</definedName>
    <definedName name="iped_teachres_wtnsch_m_g8">'Box32'!$T$21</definedName>
    <definedName name="iped_teachres_wtnsch_m_g9">'Box32'!$Z$21</definedName>
    <definedName name="iplrnrs_measlesvaccine_f">'Box32'!$O$48</definedName>
    <definedName name="iplrnrs_measlesvaccine_m">'Box32'!$L$48</definedName>
    <definedName name="iplrnrs_tetanusvaccine_f">'Box32'!$O$49</definedName>
    <definedName name="iplrnrs_tetanusvaccine_m">'Box32'!$L$49</definedName>
    <definedName name="IVA">list!$D$2:$D$23</definedName>
    <definedName name="IVB">list!$E$2:$E$8</definedName>
    <definedName name="IX">list!$J$2:$J$9</definedName>
    <definedName name="jhs_avail_hazardmaps">Box30_part1!$D$10</definedName>
    <definedName name="jhs_broadcasting_address1">Table30!$AP$6</definedName>
    <definedName name="jhs_broadcasting_address2">Table30!$AP$7</definedName>
    <definedName name="jhs_broadcasting_address3">Table30!$AP$8</definedName>
    <definedName name="jhs_broadcasting_address4">Table30!$AP$9</definedName>
    <definedName name="jhs_broadcasting_address5">Table30!$AP$10</definedName>
    <definedName name="jhs_broadcasting_address6">Table30!$AP$11</definedName>
    <definedName name="jhs_broadcasting_address7">Table30!$AP$12</definedName>
    <definedName name="jhs_broadcasting_address8">Table30!$AP$13</definedName>
    <definedName name="jhs_broadcasting_address9">Table30!$AP$14</definedName>
    <definedName name="jhs_broadcasting_datestarted1">Table30!$AF$6</definedName>
    <definedName name="jhs_broadcasting_datestarted2">Table30!$AF$7</definedName>
    <definedName name="jhs_broadcasting_datestarted3">Table30!$AF$8</definedName>
    <definedName name="jhs_broadcasting_datestarted4">Table30!$AF$9</definedName>
    <definedName name="jhs_broadcasting_datestarted5">Table30!$AF$10</definedName>
    <definedName name="jhs_broadcasting_datestarted6">Table30!$AF$11</definedName>
    <definedName name="jhs_broadcasting_datestarted7">Table30!$AF$12</definedName>
    <definedName name="jhs_broadcasting_datestarted8">Table30!$AF$13</definedName>
    <definedName name="jhs_broadcasting_datestarted9">Table30!$AF$14</definedName>
    <definedName name="jhs_broadcasting_email1">Table30!$AU$6</definedName>
    <definedName name="jhs_broadcasting_email2">Table30!$AU$7</definedName>
    <definedName name="jhs_broadcasting_email3">Table30!$AU$8</definedName>
    <definedName name="jhs_broadcasting_email4">Table30!$AU$9</definedName>
    <definedName name="jhs_broadcasting_email5">Table30!$AU$10</definedName>
    <definedName name="jhs_broadcasting_email6">Table30!$AU$11</definedName>
    <definedName name="jhs_broadcasting_email7">Table30!$AU$12</definedName>
    <definedName name="jhs_broadcasting_email8">Table30!$AU$13</definedName>
    <definedName name="jhs_broadcasting_email9">Table30!$AU$14</definedName>
    <definedName name="jhs_broadcasting_frequency1">Table30!$L$6</definedName>
    <definedName name="jhs_broadcasting_frequency2">Table30!$L$7</definedName>
    <definedName name="jhs_broadcasting_frequency3">Table30!$L$8</definedName>
    <definedName name="jhs_broadcasting_frequency4">Table30!$L$9</definedName>
    <definedName name="jhs_broadcasting_frequency5">Table30!$L$10</definedName>
    <definedName name="jhs_broadcasting_frequency6">Table30!$L$11</definedName>
    <definedName name="jhs_broadcasting_frequency7">Table30!$L$12</definedName>
    <definedName name="jhs_broadcasting_frequency8">Table30!$L$13</definedName>
    <definedName name="jhs_broadcasting_frequency9">Table30!$L$14</definedName>
    <definedName name="jhs_broadcasting_name1">Table30!$G$6</definedName>
    <definedName name="jhs_broadcasting_name2">Table30!$G$7</definedName>
    <definedName name="jhs_broadcasting_name3">Table30!$G$8</definedName>
    <definedName name="jhs_broadcasting_name4">Table30!$G$9</definedName>
    <definedName name="jhs_broadcasting_name5">Table30!$G$10</definedName>
    <definedName name="jhs_broadcasting_name6">Table30!$G$11</definedName>
    <definedName name="jhs_broadcasting_name7">Table30!$G$12</definedName>
    <definedName name="jhs_broadcasting_name8">Table30!$G$13</definedName>
    <definedName name="jhs_broadcasting_name9">Table30!$G$14</definedName>
    <definedName name="jhs_broadcasting_ntclicense1">Table30!$Q$6</definedName>
    <definedName name="jhs_broadcasting_ntclicense2">Table30!$Q$7</definedName>
    <definedName name="jhs_broadcasting_ntclicense3">Table30!$Q$8</definedName>
    <definedName name="jhs_broadcasting_ntclicense4">Table30!$Q$9</definedName>
    <definedName name="jhs_broadcasting_ntclicense5">Table30!$Q$10</definedName>
    <definedName name="jhs_broadcasting_ntclicense6">Table30!$Q$11</definedName>
    <definedName name="jhs_broadcasting_ntclicense7">Table30!$Q$12</definedName>
    <definedName name="jhs_broadcasting_ntclicense8">Table30!$Q$13</definedName>
    <definedName name="jhs_broadcasting_ntclicense9">Table30!$Q$14</definedName>
    <definedName name="jhs_broadcasting_number1">Table30!$AK$6</definedName>
    <definedName name="jhs_broadcasting_number2">Table30!$AK$7</definedName>
    <definedName name="jhs_broadcasting_number3">Table30!$AK$8</definedName>
    <definedName name="jhs_broadcasting_number4">Table30!$AK$9</definedName>
    <definedName name="jhs_broadcasting_number5">Table30!$AK$10</definedName>
    <definedName name="jhs_broadcasting_number6">Table30!$AK$11</definedName>
    <definedName name="jhs_broadcasting_number7">Table30!$AK$12</definedName>
    <definedName name="jhs_broadcasting_number8">Table30!$AK$13</definedName>
    <definedName name="jhs_broadcasting_number9">Table30!$AK$14</definedName>
    <definedName name="jhs_broadcasting_owner1">Table30!$V$6</definedName>
    <definedName name="jhs_broadcasting_owner2">Table30!$V$7</definedName>
    <definedName name="jhs_broadcasting_owner3">Table30!$V$8</definedName>
    <definedName name="jhs_broadcasting_owner4">Table30!$V$9</definedName>
    <definedName name="jhs_broadcasting_owner5">Table30!$V$10</definedName>
    <definedName name="jhs_broadcasting_owner6">Table30!$V$11</definedName>
    <definedName name="jhs_broadcasting_owner7">Table30!$V$12</definedName>
    <definedName name="jhs_broadcasting_owner8">Table30!$V$13</definedName>
    <definedName name="jhs_broadcasting_owner9">Table30!$V$14</definedName>
    <definedName name="jhs_cell_avemonthlyexpense1">Table28!$AC$7</definedName>
    <definedName name="jhs_cell_avemonthlyexpense2">Table28!$AC$10</definedName>
    <definedName name="jhs_cell_avemonthlyexpense3">Table28!$AC$13</definedName>
    <definedName name="jhs_cell_avemonthlyexpense4">Table28!$AC$16</definedName>
    <definedName name="jhs_cell_avemonthlyexpense5">Table28!$AC$19</definedName>
    <definedName name="jhs_cellcapacity_call1">Table28!$J$8</definedName>
    <definedName name="jhs_cellcapacity_call2">Table28!$J$11</definedName>
    <definedName name="jhs_cellcapacity_call3">Table28!$J$14</definedName>
    <definedName name="jhs_cellcapacity_call4">Table28!$J$17</definedName>
    <definedName name="jhs_cellcapacity_call5">Table28!$J$20</definedName>
    <definedName name="jhs_cellcapacity_images1">Table28!$J$9</definedName>
    <definedName name="jhs_cellcapacity_images2">Table28!$J$12</definedName>
    <definedName name="jhs_cellcapacity_images3">Table28!$J$15</definedName>
    <definedName name="jhs_cellcapacity_images4">Table28!$J$18</definedName>
    <definedName name="jhs_cellcapacity_images5">Table28!$J$21</definedName>
    <definedName name="jhs_cellcapacity_nosignal1">Table28!$P$8</definedName>
    <definedName name="jhs_cellcapacity_nosignal2">Table28!$P$11</definedName>
    <definedName name="jhs_cellcapacity_nosignal3">Table28!$P$14</definedName>
    <definedName name="jhs_cellcapacity_nosignal4">Table28!$P$17</definedName>
    <definedName name="jhs_cellcapacity_nosignal5">Table28!$P$20</definedName>
    <definedName name="jhs_cellcapacity_text1">Table28!$J$7</definedName>
    <definedName name="jhs_cellcapacity_text2">Table28!$J$10</definedName>
    <definedName name="jhs_cellcapacity_text3">Table28!$J$13</definedName>
    <definedName name="jhs_cellcapacity_text4">Table28!$J$16</definedName>
    <definedName name="jhs_cellcapacity_text5">Table28!$J$19</definedName>
    <definedName name="jhs_cellcapacity_videocall1">Table28!$P$7</definedName>
    <definedName name="jhs_cellcapacity_videocall2">Table28!$P$10</definedName>
    <definedName name="jhs_cellcapacity_videocall3">Table28!$P$13</definedName>
    <definedName name="jhs_cellcapacity_videocall4">Table28!$P$16</definedName>
    <definedName name="jhs_cellcapacity_videocall5">Table28!$P$19</definedName>
    <definedName name="jhs_considers_IKSP">Box28_part2_4!$D$8</definedName>
    <definedName name="jhs_considers_LWD">Box28_part2_4!$D$7</definedName>
    <definedName name="jhs_css_monitor">Box28_part5!$D$6</definedName>
    <definedName name="jhs_data_collectionconsollidation">Box28_part2_4!$D$44</definedName>
    <definedName name="jhs_data_nonteacher_trained_f">Box28_part2_4!$M$36</definedName>
    <definedName name="jhs_data_nonteacher_trained_m">Box28_part2_4!$J$36</definedName>
    <definedName name="jhs_data_teacher_trained_f">Box28_part2_4!$G$36</definedName>
    <definedName name="jhs_data_teacher_trained_m">Box28_part2_4!$D$36</definedName>
    <definedName name="jhs_datamanagement_training">Box28_part2_4!$AB$38</definedName>
    <definedName name="jhs_developed_drrm_wlgu">Box28_part2_4!$S$6</definedName>
    <definedName name="jhs_developed_drrm_wparents">Box28_part2_4!$N$6</definedName>
    <definedName name="jhs_developed_drrm_wpartners">Box28_part2_4!$W$6</definedName>
    <definedName name="jhs_developed_drrm_wpersonnel">Box28_part2_4!$G$6</definedName>
    <definedName name="jhs_enabling_ccam_budget">Box28_part2_4!$S$27</definedName>
    <definedName name="jhs_enabling_ccam_costppa">Box28_part2_4!$P$27</definedName>
    <definedName name="jhs_enabling_ccam_noppa">Box28_part2_4!$M$27</definedName>
    <definedName name="jhs_enabling_comprehensiveDRRMplan">Box28_part2_4!$D$4</definedName>
    <definedName name="jhs_enabling_comprehensiveDRRMplan2">Box28_part2_4!$D$10</definedName>
    <definedName name="jhs_enabling_consult_learners">Box28_part1!$D$37</definedName>
    <definedName name="jhs_enabling_consult_lgu">Box28_part1!$S$37</definedName>
    <definedName name="jhs_enabling_consult_ngo">Box28_part1!$X$37</definedName>
    <definedName name="jhs_enabling_consult_parents">Box28_part1!$N$37</definedName>
    <definedName name="jhs_enabling_consult_personnel">Box28_part1!$I$37</definedName>
    <definedName name="jhs_enabling_DM221">Box28_part1!$D$26</definedName>
    <definedName name="jhs_enabling_DO21">Box28_part1!$D$13</definedName>
    <definedName name="jhs_enabling_DO23">Box28_part1!$D$14</definedName>
    <definedName name="jhs_enabling_DO24">Box28_part1!$D$18</definedName>
    <definedName name="jhs_enabling_DO27">Box28_part1!$D$15</definedName>
    <definedName name="jhs_enabling_DO28">Box28_part1!$D$17</definedName>
    <definedName name="jhs_enabling_do32">Box28_part1!$D$25</definedName>
    <definedName name="jhs_enabling_DO33">Box28_part1!$D$19</definedName>
    <definedName name="jhs_enabling_DO37">Box28_part1!$D$16</definedName>
    <definedName name="jhs_enabling_DO40">Box28_part1!$D$23</definedName>
    <definedName name="jhs_enabling_DO43">Box28_part1!$D$12</definedName>
    <definedName name="jhs_enabling_DO44">Box28_part1!$D$22</definedName>
    <definedName name="jhs_enabling_DO57">Box28_part1!$D$24</definedName>
    <definedName name="jhs_enabling_DO82">Box28_part1!$D$10</definedName>
    <definedName name="jhs_enabling_DO83">Box28_part1!$D$11</definedName>
    <definedName name="jhs_enabling_DO84">Box28_part1!$D$20</definedName>
    <definedName name="jhs_enabling_drrm_budget">Box28_part2_4!$J$27</definedName>
    <definedName name="jhs_enabling_drrm_costppa">Box28_part2_4!$G$27</definedName>
    <definedName name="jhs_enabling_drrm_noppa">Box28_part2_4!$D$27</definedName>
    <definedName name="jhs_enabling_females_excluding">Box28_part1!$G$31</definedName>
    <definedName name="jhs_enabling_females_ip">Box28_part1!$M$31</definedName>
    <definedName name="jhs_enabling_females_muslim">Box28_part1!$S$31</definedName>
    <definedName name="jhs_enabling_females_participated_excluding">Box28_part2_4!$G$15</definedName>
    <definedName name="jhs_enabling_females_participated_ip">Box28_part2_4!$M$15</definedName>
    <definedName name="jhs_enabling_females_participated_muslim">Box28_part2_4!$S$15</definedName>
    <definedName name="jhs_enabling_females_participated_wdisability">Box28_part2_4!$Y$15</definedName>
    <definedName name="jhs_enabling_females_wdisability">Box28_part1!$Y$31</definedName>
    <definedName name="jhs_enabling_males_excluding">Box28_part1!$D$31</definedName>
    <definedName name="jhs_enabling_males_ip">Box28_part1!$J$31</definedName>
    <definedName name="jhs_enabling_males_muslim">Box28_part1!$P$31</definedName>
    <definedName name="jhs_enabling_males_participated_excluding">Box28_part2_4!$D$15</definedName>
    <definedName name="jhs_enabling_males_participated_ip">Box28_part2_4!$J$15</definedName>
    <definedName name="jhs_enabling_males_participated_muslim">Box28_part2_4!$P$15</definedName>
    <definedName name="jhs_enabling_males_participated_wdisability">Box28_part2_4!$V$15</definedName>
    <definedName name="jhs_enabling_males_wdisability">Box28_part1!$V$31</definedName>
    <definedName name="jhs_enabling_peacebuilding_budget">Box28_part2_4!$AB$27</definedName>
    <definedName name="jhs_enabling_peacebuilding_costppa">Box28_part2_4!$Y$27</definedName>
    <definedName name="jhs_enabling_peacebuilding_noppa">Box28_part2_4!$V$27</definedName>
    <definedName name="jhs_enabling_schDRRM_coor">Box28_part2_4!$D$23</definedName>
    <definedName name="jhs_enabling_schDRRMteam_roles">Box28_part2_4!$D$22</definedName>
    <definedName name="jhs_evidencebased_training">Box28_part2_4!$AB$40</definedName>
    <definedName name="jhs_gendersensitive">Box28_part2_4!$D$9</definedName>
    <definedName name="jhs_goodpractice_drrm_ccam">Box28_part5!$J$12</definedName>
    <definedName name="jhs_goodpractice_peacebuilding">Box28_part5!$P$12</definedName>
    <definedName name="jhs_implement_studentledmapping">Box30_part1!$D$8</definedName>
    <definedName name="jhs_linked_resultsmapping">Box30_part1!$D$14</definedName>
    <definedName name="jhs_locfundteacher_f_q">'Tables7-8'!$G$25</definedName>
    <definedName name="jhs_locfundteacher_f_t">'Tables7-8'!$V$25</definedName>
    <definedName name="jhs_locfundteacher_m_q">'Tables7-8'!$B$25</definedName>
    <definedName name="jhs_locfundteacher_m_t">'Tables7-8'!$Q$25</definedName>
    <definedName name="jhs_monitoring_evaluation">Box28_part5!$D$4</definedName>
    <definedName name="jhs_printer_avemonthlyexpense1">Table29!$R$7</definedName>
    <definedName name="jhs_printer_avemonthlyexpense10">Table29!$R$16</definedName>
    <definedName name="jhs_printer_avemonthlyexpense2">Table29!$R$8</definedName>
    <definedName name="jhs_printer_avemonthlyexpense3">Table29!$R$9</definedName>
    <definedName name="jhs_printer_avemonthlyexpense4">Table29!$R$10</definedName>
    <definedName name="jhs_printer_avemonthlyexpense5">Table29!$R$11</definedName>
    <definedName name="jhs_printer_avemonthlyexpense6">Table29!$R$12</definedName>
    <definedName name="jhs_printer_avemonthlyexpense7">Table29!$R$13</definedName>
    <definedName name="jhs_printer_avemonthlyexpense8">Table29!$R$14</definedName>
    <definedName name="jhs_printer_avemonthlyexpense9">Table29!$R$15</definedName>
    <definedName name="jhs_printer_brand1">Table29!$J$7</definedName>
    <definedName name="jhs_printer_brand10">Table29!$J$16</definedName>
    <definedName name="jhs_printer_brand2">Table29!$J$8</definedName>
    <definedName name="jhs_printer_brand3">Table29!$J$9</definedName>
    <definedName name="jhs_printer_brand4">Table29!$J$10</definedName>
    <definedName name="jhs_printer_brand5">Table29!$J$11</definedName>
    <definedName name="jhs_printer_brand6">Table29!$J$12</definedName>
    <definedName name="jhs_printer_brand7">Table29!$J$13</definedName>
    <definedName name="jhs_printer_brand8">Table29!$J$14</definedName>
    <definedName name="jhs_printer_brand9">Table29!$J$15</definedName>
    <definedName name="jhs_programs_monitoring">Box28_part5!$AB$14</definedName>
    <definedName name="jhs_programs_training">Box28_part2_4!$AB$42</definedName>
    <definedName name="jhs_radio_frequency1">Table31!$R$7</definedName>
    <definedName name="jhs_radio_frequency10">Table31!$R$16</definedName>
    <definedName name="jhs_radio_frequency2">Table31!$R$8</definedName>
    <definedName name="jhs_radio_frequency3">Table31!$R$9</definedName>
    <definedName name="jhs_radio_frequency4">Table31!$R$10</definedName>
    <definedName name="jhs_radio_frequency5">Table31!$R$11</definedName>
    <definedName name="jhs_radio_frequency6">Table31!$R$12</definedName>
    <definedName name="jhs_radio_frequency7">Table31!$R$13</definedName>
    <definedName name="jhs_radio_frequency8">Table31!$R$14</definedName>
    <definedName name="jhs_radio_frequency9">Table31!$R$15</definedName>
    <definedName name="jhs_radio_ntcnumber1">Table31!$Z$7</definedName>
    <definedName name="jhs_radio_ntcnumber10">Table31!$Z$16</definedName>
    <definedName name="jhs_radio_ntcnumber2">Table31!$Z$8</definedName>
    <definedName name="jhs_radio_ntcnumber3">Table31!$Z$9</definedName>
    <definedName name="jhs_radio_ntcnumber4">Table31!$Z$10</definedName>
    <definedName name="jhs_radio_ntcnumber5">Table31!$Z$11</definedName>
    <definedName name="jhs_radio_ntcnumber6">Table31!$Z$12</definedName>
    <definedName name="jhs_radio_ntcnumber7">Table31!$Z$13</definedName>
    <definedName name="jhs_radio_ntcnumber8">Table31!$Z$14</definedName>
    <definedName name="jhs_radio_ntcnumber9">Table31!$Z$15</definedName>
    <definedName name="jhs_radio_units1">Table31!$AH$7</definedName>
    <definedName name="jhs_radio_units10">Table31!$AH$16</definedName>
    <definedName name="jhs_radio_units2">Table31!$AH$8</definedName>
    <definedName name="jhs_radio_units3">Table31!$AH$9</definedName>
    <definedName name="jhs_radio_units4">Table31!$AH$10</definedName>
    <definedName name="jhs_radio_units5">Table31!$AH$11</definedName>
    <definedName name="jhs_radio_units6">Table31!$AH$12</definedName>
    <definedName name="jhs_radio_units7">Table31!$AH$13</definedName>
    <definedName name="jhs_radio_units8">Table31!$AH$14</definedName>
    <definedName name="jhs_radio_units9">Table31!$AH$15</definedName>
    <definedName name="jhs_studentled_mapping">Box30_part1!$D$7</definedName>
    <definedName name="jhs_submit_mapping">Box30_part1!$D$12</definedName>
    <definedName name="jhs_teachers_cbgs_cmo_g10_f">'Tables16-17'!$U$10</definedName>
    <definedName name="jhs_teachers_cbgs_cmo_g10_m">'Tables16-17'!$R$10</definedName>
    <definedName name="jhs_teachers_cbgs_cmo_g7_f">'Tables16-17'!$U$7</definedName>
    <definedName name="jhs_teachers_cbgs_cmo_g7_m">'Tables16-17'!$R$7</definedName>
    <definedName name="jhs_teachers_cbgs_cmo_g8_f">'Tables16-17'!$U$8</definedName>
    <definedName name="jhs_teachers_cbgs_cmo_g8_m">'Tables16-17'!$R$8</definedName>
    <definedName name="jhs_teachers_cbgs_cmo_g9_f">'Tables16-17'!$U$9</definedName>
    <definedName name="jhs_teachers_cbgs_cmo_g9_m">'Tables16-17'!$R$9</definedName>
    <definedName name="jhs_teachers_cbgs_coo_g10_f">'Tables16-17'!$L$10</definedName>
    <definedName name="jhs_teachers_cbgs_coo_g10_m">'Tables16-17'!$I$10</definedName>
    <definedName name="jhs_teachers_cbgs_coo_g7_f">'Tables16-17'!$L$7</definedName>
    <definedName name="jhs_teachers_cbgs_coo_g7_m">'Tables16-17'!$I$7</definedName>
    <definedName name="jhs_teachers_cbgs_coo_g8_f">'Tables16-17'!$L$8</definedName>
    <definedName name="jhs_teachers_cbgs_coo_g8_m">'Tables16-17'!$I$8</definedName>
    <definedName name="jhs_teachers_cbgs_coo_g9_f">'Tables16-17'!$L$9</definedName>
    <definedName name="jhs_teachers_cbgs_coo_g9_m">'Tables16-17'!$I$9</definedName>
    <definedName name="lac_session_last_sy">'Table23-Box2'!$Q$19</definedName>
    <definedName name="lac_session_plan_curr_sy">'Table23-Box2'!$Q$20</definedName>
    <definedName name="lac_session_yes">'Table23-Box2'!$P$17</definedName>
    <definedName name="learners_by_spa_creativewriting_f_g10">Table1!$AI$10</definedName>
    <definedName name="learners_by_spa_creativewriting_f_g7">Table1!$Q$10</definedName>
    <definedName name="learners_by_spa_creativewriting_f_g8">Table1!$W$10</definedName>
    <definedName name="learners_by_spa_creativewriting_f_g9">Table1!$AC$10</definedName>
    <definedName name="learners_by_spa_creativewriting_f_total">Table1!$AO$10</definedName>
    <definedName name="learners_by_spa_creativewriting_m_g10">Table1!$AF$10</definedName>
    <definedName name="learners_by_spa_creativewriting_m_g7">Table1!$N$10</definedName>
    <definedName name="learners_by_spa_creativewriting_m_g8">Table1!$T$10</definedName>
    <definedName name="learners_by_spa_creativewriting_m_g9">Table1!$Z$10</definedName>
    <definedName name="learners_by_spa_creativewriting_m_total">Table1!$AL$10</definedName>
    <definedName name="learners_by_spa_dance_f_g10">Table1!$AI$8</definedName>
    <definedName name="learners_by_spa_dance_f_g7">Table1!$Q$8</definedName>
    <definedName name="learners_by_spa_dance_f_g8">Table1!$W$8</definedName>
    <definedName name="learners_by_spa_dance_f_g9">Table1!$AC$8</definedName>
    <definedName name="learners_by_spa_dance_f_total">Table1!$AO$8</definedName>
    <definedName name="learners_by_spa_dance_m_g10">Table1!$AF$8</definedName>
    <definedName name="learners_by_spa_dance_m_g7">Table1!$N$8</definedName>
    <definedName name="learners_by_spa_dance_m_g8">Table1!$T$8</definedName>
    <definedName name="learners_by_spa_dance_m_g9">Table1!$Z$8</definedName>
    <definedName name="learners_by_spa_dance_m_total">Table1!$AL$8</definedName>
    <definedName name="learners_by_spa_mediaart_f_g10">Table1!$AI$11</definedName>
    <definedName name="learners_by_spa_mediaart_f_g7">Table1!$Q$11</definedName>
    <definedName name="learners_by_spa_mediaart_f_g8">Table1!$W$11</definedName>
    <definedName name="learners_by_spa_mediaart_f_g9">Table1!$AC$11</definedName>
    <definedName name="learners_by_spa_mediaart_f_total">Table1!$AO$11</definedName>
    <definedName name="learners_by_spa_mediaart_m_g10">Table1!$AF$11</definedName>
    <definedName name="learners_by_spa_mediaart_m_g7">Table1!$N$11</definedName>
    <definedName name="learners_by_spa_mediaart_m_g8">Table1!$T$11</definedName>
    <definedName name="learners_by_spa_mediaart_m_g9">Table1!$Z$11</definedName>
    <definedName name="learners_by_spa_mediaart_m_total">Table1!$AL$11</definedName>
    <definedName name="learners_by_spa_music_f_g10">Table1!$AI$7</definedName>
    <definedName name="learners_by_spa_music_f_g7">Table1!$Q$7</definedName>
    <definedName name="learners_by_spa_music_f_g8">Table1!$W$7</definedName>
    <definedName name="learners_by_spa_music_f_g9">Table1!$AC$7</definedName>
    <definedName name="learners_by_spa_music_f_total">Table1!$AO$7</definedName>
    <definedName name="learners_by_spa_music_m_g10">Table1!$AF$7</definedName>
    <definedName name="learners_by_spa_music_m_g7">Table1!$N$7</definedName>
    <definedName name="learners_by_spa_music_m_g8">Table1!$T$7</definedName>
    <definedName name="learners_by_spa_music_m_g9">Table1!$Z$7</definedName>
    <definedName name="learners_by_spa_music_m_total">Table1!$AL$7</definedName>
    <definedName name="learners_by_spa_theaterarts_f_g10">Table1!$AI$9</definedName>
    <definedName name="learners_by_spa_theaterarts_f_g7">Table1!$Q$9</definedName>
    <definedName name="learners_by_spa_theaterarts_f_g8">Table1!$W$9</definedName>
    <definedName name="learners_by_spa_theaterarts_f_g9">Table1!$AC$9</definedName>
    <definedName name="learners_by_spa_theaterarts_f_total">Table1!$AO$9</definedName>
    <definedName name="learners_by_spa_theaterarts_m_g10">Table1!$AF$9</definedName>
    <definedName name="learners_by_spa_theaterarts_m_g7">Table1!$N$9</definedName>
    <definedName name="learners_by_spa_theaterarts_m_g8">Table1!$T$9</definedName>
    <definedName name="learners_by_spa_theaterarts_m_g9">Table1!$Z$9</definedName>
    <definedName name="learners_by_spa_theaterarts_m_total">Table1!$AL$9</definedName>
    <definedName name="learners_by_spa_visualart_f_g10">Table1!$AI$12</definedName>
    <definedName name="learners_by_spa_visualart_f_g7">Table1!$Q$12</definedName>
    <definedName name="learners_by_spa_visualart_f_g8">Table1!$W$12</definedName>
    <definedName name="learners_by_spa_visualart_f_g9">Table1!$AC$12</definedName>
    <definedName name="learners_by_spa_visualart_f_total">Table1!$AO$12</definedName>
    <definedName name="learners_by_spa_visualart_m_g10">Table1!$AF$12</definedName>
    <definedName name="learners_by_spa_visualart_m_g7">Table1!$N$12</definedName>
    <definedName name="learners_by_spa_visualart_m_g8">Table1!$T$12</definedName>
    <definedName name="learners_by_spa_visualart_m_g9">Table1!$Z$12</definedName>
    <definedName name="learners_by_spa_visualart_m_total">Table1!$AL$12</definedName>
    <definedName name="learners_by_spfl_chn_f_g10">Table1!$AI$14</definedName>
    <definedName name="learners_by_spfl_chn_f_g7">Table1!$Q$14</definedName>
    <definedName name="learners_by_spfl_chn_f_g8">Table1!$W$14</definedName>
    <definedName name="learners_by_spfl_chn_f_g9">Table1!$AC$14</definedName>
    <definedName name="learners_by_spfl_chn_f_total">Table1!$AO$14</definedName>
    <definedName name="learners_by_spfl_chn_m_g10">Table1!$AF$14</definedName>
    <definedName name="learners_by_spfl_chn_m_g7">Table1!$N$14</definedName>
    <definedName name="learners_by_spfl_chn_m_g8">Table1!$T$14</definedName>
    <definedName name="learners_by_spfl_chn_m_g9">Table1!$Z$14</definedName>
    <definedName name="learners_by_spfl_chn_m_total">Table1!$AL$14</definedName>
    <definedName name="learners_by_spfl_fre_f_g10">Table1!$AI$15</definedName>
    <definedName name="learners_by_spfl_fre_f_g7">Table1!$Q$15</definedName>
    <definedName name="learners_by_spfl_fre_f_g8">Table1!$W$15</definedName>
    <definedName name="learners_by_spfl_fre_f_g9">Table1!$AC$15</definedName>
    <definedName name="learners_by_spfl_fre_f_total">Table1!$AO$15</definedName>
    <definedName name="learners_by_spfl_fre_m_g10">Table1!$AF$15</definedName>
    <definedName name="learners_by_spfl_fre_m_g7">Table1!$N$15</definedName>
    <definedName name="learners_by_spfl_fre_m_g8">Table1!$T$15</definedName>
    <definedName name="learners_by_spfl_fre_m_g9">Table1!$Z$15</definedName>
    <definedName name="learners_by_spfl_fre_m_total">Table1!$AL$15</definedName>
    <definedName name="learners_by_spfl_ger_f_g10">Table1!$AI$16</definedName>
    <definedName name="learners_by_spfl_ger_f_g7">Table1!$Q$16</definedName>
    <definedName name="learners_by_spfl_ger_f_g8">Table1!$W$16</definedName>
    <definedName name="learners_by_spfl_ger_f_g9">Table1!$AC$16</definedName>
    <definedName name="learners_by_spfl_ger_f_total">Table1!$AO$16</definedName>
    <definedName name="learners_by_spfl_ger_m_g10">Table1!$AF$16</definedName>
    <definedName name="learners_by_spfl_ger_m_g7">Table1!$N$16</definedName>
    <definedName name="learners_by_spfl_ger_m_g8">Table1!$T$16</definedName>
    <definedName name="learners_by_spfl_ger_m_g9">Table1!$Z$16</definedName>
    <definedName name="learners_by_spfl_ger_m_total">Table1!$AL$16</definedName>
    <definedName name="learners_by_spfl_jap_f_g10">Table1!$AI$17</definedName>
    <definedName name="learners_by_spfl_jap_f_g7">Table1!$Q$17</definedName>
    <definedName name="learners_by_spfl_jap_f_g8">Table1!$W$17</definedName>
    <definedName name="learners_by_spfl_jap_f_g9">Table1!$AC$17</definedName>
    <definedName name="learners_by_spfl_jap_f_total">Table1!$AO$17</definedName>
    <definedName name="learners_by_spfl_jap_m_g10">Table1!$AF$17</definedName>
    <definedName name="learners_by_spfl_jap_m_g7">Table1!$N$17</definedName>
    <definedName name="learners_by_spfl_jap_m_g8">Table1!$T$17</definedName>
    <definedName name="learners_by_spfl_jap_m_g9">Table1!$Z$17</definedName>
    <definedName name="learners_by_spfl_jap_m_total">Table1!$AL$17</definedName>
    <definedName name="learners_by_spfl_kor_f_g10">Table1!$AI$18</definedName>
    <definedName name="learners_by_spfl_kor_f_g7">Table1!$Q$18</definedName>
    <definedName name="learners_by_spfl_kor_f_g8">Table1!$W$18</definedName>
    <definedName name="learners_by_spfl_kor_f_g9">Table1!$AC$18</definedName>
    <definedName name="learners_by_spfl_kor_f_total">Table1!$AO$18</definedName>
    <definedName name="learners_by_spfl_kor_m_g10">Table1!$AF$18</definedName>
    <definedName name="learners_by_spfl_kor_m_g7">Table1!$N$18</definedName>
    <definedName name="learners_by_spfl_kor_m_g8">Table1!$T$18</definedName>
    <definedName name="learners_by_spfl_kor_m_g9">Table1!$Z$18</definedName>
    <definedName name="learners_by_spfl_kor_m_total">Table1!$AL$18</definedName>
    <definedName name="learners_by_spfl_spa_f_g10">Table1!$AI$19</definedName>
    <definedName name="learners_by_spfl_spa_f_g7">Table1!$Q$19</definedName>
    <definedName name="learners_by_spfl_spa_f_g8">Table1!$W$19</definedName>
    <definedName name="learners_by_spfl_spa_f_g9">Table1!$AC$19</definedName>
    <definedName name="learners_by_spfl_spa_f_total">Table1!$AO$19</definedName>
    <definedName name="learners_by_spfl_spa_m_g10">Table1!$AF$19</definedName>
    <definedName name="learners_by_spfl_spa_m_g7">Table1!$N$19</definedName>
    <definedName name="learners_by_spfl_spa_m_g8">Table1!$T$19</definedName>
    <definedName name="learners_by_spfl_spa_m_g9">Table1!$Z$19</definedName>
    <definedName name="learners_by_spfl_spa_m_total">Table1!$AL$19</definedName>
    <definedName name="learners_by_spj_f_g10">Table1!$AI$20</definedName>
    <definedName name="learners_by_spj_f_g7">Table1!$Q$20</definedName>
    <definedName name="learners_by_spj_f_g8">Table1!$W$20</definedName>
    <definedName name="learners_by_spj_f_g9">Table1!$AC$20</definedName>
    <definedName name="learners_by_spj_f_total">Table1!$AO$20</definedName>
    <definedName name="learners_by_spj_m_g10">Table1!$AF$20</definedName>
    <definedName name="learners_by_spj_m_g7">Table1!$N$20</definedName>
    <definedName name="learners_by_spj_m_g8">Table1!$T$20</definedName>
    <definedName name="learners_by_spj_m_g9">Table1!$Z$20</definedName>
    <definedName name="learners_by_spj_m_total">Table1!$AL$20</definedName>
    <definedName name="learners_by_sps_ds_f_g10">Table1!$AI$24</definedName>
    <definedName name="learners_by_sps_ds_f_g7">Table1!$Q$24</definedName>
    <definedName name="learners_by_sps_ds_f_g8">Table1!$W$24</definedName>
    <definedName name="learners_by_sps_ds_f_g9">Table1!$AC$24</definedName>
    <definedName name="learners_by_sps_ds_f_total">Table1!$AO$24</definedName>
    <definedName name="learners_by_sps_ds_m_g10">Table1!$AF$24</definedName>
    <definedName name="learners_by_sps_ds_m_g7">Table1!$N$24</definedName>
    <definedName name="learners_by_sps_ds_m_g8">Table1!$T$24</definedName>
    <definedName name="learners_by_sps_ds_m_g9">Table1!$Z$24</definedName>
    <definedName name="learners_by_sps_ds_m_total">Table1!$AL$24</definedName>
    <definedName name="learners_by_sps_is_f_g10">Table1!$AI$23</definedName>
    <definedName name="learners_by_sps_is_f_g7">Table1!$Q$23</definedName>
    <definedName name="learners_by_sps_is_f_g8">Table1!$W$23</definedName>
    <definedName name="learners_by_sps_is_f_g9">Table1!$AC$23</definedName>
    <definedName name="learners_by_sps_is_f_total">Table1!$AO$23</definedName>
    <definedName name="learners_by_sps_is_m_g10">Table1!$AF$23</definedName>
    <definedName name="learners_by_sps_is_m_g7">Table1!$N$23</definedName>
    <definedName name="learners_by_sps_is_m_g8">Table1!$T$23</definedName>
    <definedName name="learners_by_sps_is_m_g9">Table1!$Z$23</definedName>
    <definedName name="learners_by_sps_is_m_total">Table1!$AL$23</definedName>
    <definedName name="learners_by_sps_ts_f_g10">Table1!$AI$25</definedName>
    <definedName name="learners_by_sps_ts_f_g7">Table1!$Q$25</definedName>
    <definedName name="learners_by_sps_ts_f_g8">Table1!$W$25</definedName>
    <definedName name="learners_by_sps_ts_f_g9">Table1!$AC$25</definedName>
    <definedName name="learners_by_sps_ts_f_total">Table1!$AO$25</definedName>
    <definedName name="learners_by_sps_ts_m_g10">Table1!$AF$25</definedName>
    <definedName name="learners_by_sps_ts_m_g7">Table1!$N$25</definedName>
    <definedName name="learners_by_sps_ts_m_g8">Table1!$T$25</definedName>
    <definedName name="learners_by_sps_ts_m_g9">Table1!$Z$25</definedName>
    <definedName name="learners_by_sps_ts_m_total">Table1!$AL$25</definedName>
    <definedName name="learners_by_spste_f_g10">Table1!$AI$21</definedName>
    <definedName name="learners_by_spste_f_g7">Table1!$Q$21</definedName>
    <definedName name="learners_by_spste_f_g8">Table1!$W$21</definedName>
    <definedName name="learners_by_spste_f_g9">Table1!$AC$21</definedName>
    <definedName name="learners_by_spste_f_total">Table1!$AO$21</definedName>
    <definedName name="learners_by_spste_m_g10">Table1!$AF$21</definedName>
    <definedName name="learners_by_spste_m_g7">Table1!$N$21</definedName>
    <definedName name="learners_by_spste_m_g8">Table1!$T$21</definedName>
    <definedName name="learners_by_spste_m_g9">Table1!$Z$21</definedName>
    <definedName name="learners_by_spste_m_total">Table1!$AL$21</definedName>
    <definedName name="learners_mhpss_f_excluding">Box30_part3a!$R$54</definedName>
    <definedName name="learners_mhpss_f_ip">Box30_part3a!$X$54</definedName>
    <definedName name="learners_mhpss_f_muslim">Box30_part3a!$AD$54</definedName>
    <definedName name="learners_mhpss_f_pwd">Box30_part3a!$AJ$54</definedName>
    <definedName name="learners_mhpss_m_excluding">Box30_part3a!$O$54</definedName>
    <definedName name="learners_mhpss_m_ip">Box30_part3a!$U$54</definedName>
    <definedName name="learners_mhpss_m_muslim">Box30_part3a!$AA$54</definedName>
    <definedName name="learners_mhpss_m_pwd">Box30_part3a!$AG$54</definedName>
    <definedName name="learners_prvded_learningsession_f_excluding">Box30_part3a!$R$53</definedName>
    <definedName name="learners_prvded_learningsession_f_ip">Box30_part3a!$X$53</definedName>
    <definedName name="learners_prvded_learningsession_f_muslim">Box30_part3a!$AD$53</definedName>
    <definedName name="learners_prvded_learningsession_f_pwd">Box30_part3a!$AJ$53</definedName>
    <definedName name="learners_prvded_learningsession_m_excluding">Box30_part3a!$O$53</definedName>
    <definedName name="learners_prvded_learningsession_m_ip">Box30_part3a!$U$53</definedName>
    <definedName name="learners_prvded_learningsession_m_muslim">Box30_part3a!$AA$53</definedName>
    <definedName name="learners_prvded_learningsession_m_pwd">Box30_part3a!$AG$53</definedName>
    <definedName name="learners_pss_f_excluding">Box30_part3a!$R$55</definedName>
    <definedName name="learners_pss_f_ip">Box30_part3a!$X$55</definedName>
    <definedName name="learners_pss_f_muslim">Box30_part3a!$AD$55</definedName>
    <definedName name="learners_pss_f_pwd">Box30_part3a!$AJ$55</definedName>
    <definedName name="learners_pss_m_excluding">Box30_part3a!$O$55</definedName>
    <definedName name="learners_pss_m_ip">Box30_part3a!$U$55</definedName>
    <definedName name="learners_pss_m_muslim">Box30_part3a!$AA$55</definedName>
    <definedName name="learners_pss_m_pwd">Box30_part3a!$AG$55</definedName>
    <definedName name="learners_referral_f_excluding">Box30_part3a!$R$56</definedName>
    <definedName name="learners_referral_f_ip">Box30_part3a!$X$56</definedName>
    <definedName name="learners_referral_f_muslim">Box30_part3a!$AD$56</definedName>
    <definedName name="learners_referral_f_pwd">Box30_part3a!$AJ$56</definedName>
    <definedName name="learners_referral_m_excluding">Box30_part3a!$O$56</definedName>
    <definedName name="learners_referral_m_ip">Box30_part3a!$U$56</definedName>
    <definedName name="learners_referral_m_muslim">Box30_part3a!$AA$56</definedName>
    <definedName name="learners_referral_m_pwd">Box30_part3a!$AG$56</definedName>
    <definedName name="learners_spfl_dele_passer_f_g10">Table3!$BA$11</definedName>
    <definedName name="learners_spfl_dele_passer_f_g7">Table3!$AO$11</definedName>
    <definedName name="learners_spfl_dele_passer_f_g8">Table3!$AS$11</definedName>
    <definedName name="learners_spfl_dele_passer_f_g9">Table3!$AW$11</definedName>
    <definedName name="learners_spfl_dele_passer_f_total">Table3!$BE$11</definedName>
    <definedName name="learners_spfl_dele_passer_m_g10">Table3!$AY$11</definedName>
    <definedName name="learners_spfl_dele_passer_m_g7">Table3!$AM$11</definedName>
    <definedName name="learners_spfl_dele_passer_m_g8">Table3!$AQ$11</definedName>
    <definedName name="learners_spfl_dele_passer_m_g9">Table3!$AU$11</definedName>
    <definedName name="learners_spfl_dele_passer_m_total">Table3!$BC$11</definedName>
    <definedName name="learners_spfl_dele_takers_f_g10">Table3!$AG$11</definedName>
    <definedName name="learners_spfl_dele_takers_f_g7">Table3!$U$11</definedName>
    <definedName name="learners_spfl_dele_takers_f_g8">Table3!$Y$11</definedName>
    <definedName name="learners_spfl_dele_takers_f_g9">Table3!$AC$11</definedName>
    <definedName name="learners_spfl_dele_takers_f_total">Table3!$AK$11</definedName>
    <definedName name="learners_spfl_dele_takers_m_g10">Table3!$AE$11</definedName>
    <definedName name="learners_spfl_dele_takers_m_g7">Table3!$S$11</definedName>
    <definedName name="learners_spfl_dele_takers_m_g8">Table3!$W$11</definedName>
    <definedName name="learners_spfl_dele_takers_m_g9">Table3!$AA$11</definedName>
    <definedName name="learners_spfl_dele_takers_m_total">Table3!$AI$11</definedName>
    <definedName name="learners_spfl_delf_passer_f_g10">Table3!$BA$7</definedName>
    <definedName name="learners_spfl_delf_passer_f_g7">Table3!$AO$7</definedName>
    <definedName name="learners_spfl_delf_passer_f_g8">Table3!$AS$7</definedName>
    <definedName name="learners_spfl_delf_passer_f_g9">Table3!$AW$7</definedName>
    <definedName name="learners_spfl_delf_passer_f_total">Table3!$BE$7</definedName>
    <definedName name="learners_spfl_delf_passer_m_g10">Table3!$AY$7</definedName>
    <definedName name="learners_spfl_delf_passer_m_g7">Table3!$AM$7</definedName>
    <definedName name="learners_spfl_delf_passer_m_g8">Table3!$AQ$7</definedName>
    <definedName name="learners_spfl_delf_passer_m_g9">Table3!$AU$7</definedName>
    <definedName name="learners_spfl_delf_passer_m_total">Table3!$BC$7</definedName>
    <definedName name="learners_spfl_delf_takers_f_g10">Table3!$AG$7</definedName>
    <definedName name="learners_spfl_delf_takers_f_g7">Table3!$U$7</definedName>
    <definedName name="learners_spfl_delf_takers_f_g8">Table3!$Y$7</definedName>
    <definedName name="learners_spfl_delf_takers_f_g9">Table3!$AC$7</definedName>
    <definedName name="learners_spfl_delf_takers_f_total">Table3!$AK$7</definedName>
    <definedName name="learners_spfl_delf_takers_m_g10">Table3!$AE$7</definedName>
    <definedName name="learners_spfl_delf_takers_m_g7">Table3!$S$7</definedName>
    <definedName name="learners_spfl_delf_takers_m_g8">Table3!$W$7</definedName>
    <definedName name="learners_spfl_delf_takers_m_g9">Table3!$AA$7</definedName>
    <definedName name="learners_spfl_delf_takers_m_total">Table3!$AI$7</definedName>
    <definedName name="learners_spfl_jlpt_passer_f_g10">Table3!$BA$9</definedName>
    <definedName name="learners_spfl_jlpt_passer_f_g7">Table3!$AO$9</definedName>
    <definedName name="learners_spfl_jlpt_passer_f_g8">Table3!$AS$9</definedName>
    <definedName name="learners_spfl_jlpt_passer_f_g9">Table3!$AW$9</definedName>
    <definedName name="learners_spfl_jlpt_passer_f_total">Table3!$BE$9</definedName>
    <definedName name="learners_spfl_jlpt_passer_m_g10">Table3!$AY$9</definedName>
    <definedName name="learners_spfl_jlpt_passer_m_g7">Table3!$AM$9</definedName>
    <definedName name="learners_spfl_jlpt_passer_m_g8">Table3!$AQ$9</definedName>
    <definedName name="learners_spfl_jlpt_passer_m_g9">Table3!$AU$9</definedName>
    <definedName name="learners_spfl_jlpt_passer_m_total">Table3!$BC$9</definedName>
    <definedName name="learners_spfl_jlpt_takers_f_g10">Table3!$AG$9</definedName>
    <definedName name="learners_spfl_jlpt_takers_f_g7">Table3!$U$9</definedName>
    <definedName name="learners_spfl_jlpt_takers_f_g8">Table3!$Y$9</definedName>
    <definedName name="learners_spfl_jlpt_takers_f_g9">Table3!$AC$9</definedName>
    <definedName name="learners_spfl_jlpt_takers_f_total">Table3!$AK$9</definedName>
    <definedName name="learners_spfl_jlpt_takers_m_g10">Table3!$AE$9</definedName>
    <definedName name="learners_spfl_jlpt_takers_m_g7">Table3!$S$9</definedName>
    <definedName name="learners_spfl_jlpt_takers_m_g8">Table3!$W$9</definedName>
    <definedName name="learners_spfl_jlpt_takers_m_g9">Table3!$AA$9</definedName>
    <definedName name="learners_spfl_jlpt_takers_m_total">Table3!$AI$9</definedName>
    <definedName name="learners_spfl_topik_passer_f_g10">Table3!$BA$10</definedName>
    <definedName name="learners_spfl_topik_passer_f_g7">Table3!$AO$10</definedName>
    <definedName name="learners_spfl_topik_passer_f_g8">Table3!$AS$10</definedName>
    <definedName name="learners_spfl_topik_passer_f_g9">Table3!$AW$10</definedName>
    <definedName name="learners_spfl_topik_passer_f_total">Table3!$BE$10</definedName>
    <definedName name="learners_spfl_topik_passer_m_g10">Table3!$AY$10</definedName>
    <definedName name="learners_spfl_topik_passer_m_g7">Table3!$AM$10</definedName>
    <definedName name="learners_spfl_topik_passer_m_g8">Table3!$AQ$10</definedName>
    <definedName name="learners_spfl_topik_passer_m_g9">Table3!$AU$10</definedName>
    <definedName name="learners_spfl_topik_passer_m_total">Table3!$BC$10</definedName>
    <definedName name="learners_spfl_topik_takers_f_g10">Table3!$AG$10</definedName>
    <definedName name="learners_spfl_topik_takers_f_g7">Table3!$U$10</definedName>
    <definedName name="learners_spfl_topik_takers_f_g8">Table3!$Y$10</definedName>
    <definedName name="learners_spfl_topik_takers_f_g9">Table3!$AC$10</definedName>
    <definedName name="learners_spfl_topik_takers_f_total">Table3!$AK$10</definedName>
    <definedName name="learners_spfl_topik_takers_m_g10">Table3!$AE$10</definedName>
    <definedName name="learners_spfl_topik_takers_m_g7">Table3!$S$10</definedName>
    <definedName name="learners_spfl_topik_takers_m_g8">Table3!$W$10</definedName>
    <definedName name="learners_spfl_topik_takers_m_g9">Table3!$AA$10</definedName>
    <definedName name="learners_spfl_topik_takers_m_total">Table3!$AI$10</definedName>
    <definedName name="learners_spfl_yct_passer_f_g10">Table3!$BA$6</definedName>
    <definedName name="learners_spfl_yct_passer_f_g7">Table3!$AO$6</definedName>
    <definedName name="learners_spfl_yct_passer_f_g8">Table3!$AS$6</definedName>
    <definedName name="learners_spfl_yct_passer_f_g9">Table3!$AW$6</definedName>
    <definedName name="learners_spfl_yct_passer_f_total">Table3!$BE$6</definedName>
    <definedName name="learners_spfl_yct_passer_m_g10">Table3!$AY$6</definedName>
    <definedName name="learners_spfl_yct_passer_m_g7">Table3!$AM$6</definedName>
    <definedName name="learners_spfl_yct_passer_m_g8">Table3!$AQ$6</definedName>
    <definedName name="learners_spfl_yct_passer_m_g9">Table3!$AU$6</definedName>
    <definedName name="learners_spfl_yct_passer_m_total">Table3!$BC$6</definedName>
    <definedName name="learners_spfl_yct_takers_f_g10">Table3!$AG$6</definedName>
    <definedName name="learners_spfl_yct_takers_f_g7">Table3!$U$6</definedName>
    <definedName name="learners_spfl_yct_takers_f_g8">Table3!$Y$6</definedName>
    <definedName name="learners_spfl_yct_takers_f_g9">Table3!$AC$6</definedName>
    <definedName name="learners_spfl_yct_takers_f_total">Table3!$AK$6</definedName>
    <definedName name="learners_spfl_yct_takers_m_g10">Table3!$AE$6</definedName>
    <definedName name="learners_spfl_yct_takers_m_g7">Table3!$S$6</definedName>
    <definedName name="learners_spfl_yct_takers_m_g8">Table3!$W$6</definedName>
    <definedName name="learners_spfl_yct_takers_m_g9">Table3!$AA$6</definedName>
    <definedName name="learners_spfl_yct_takers_m_total">Table3!$AI$6</definedName>
    <definedName name="learners_spfl_zd_passer_f_g10">Table3!$BA$8</definedName>
    <definedName name="learners_spfl_zd_passer_f_g7">Table3!$AO$8</definedName>
    <definedName name="learners_spfl_zd_passer_f_g8">Table3!$AS$8</definedName>
    <definedName name="learners_spfl_zd_passer_f_g9">Table3!$AW$8</definedName>
    <definedName name="learners_spfl_zd_passer_f_total">Table3!$BE$8</definedName>
    <definedName name="learners_spfl_zd_passer_m_g10">Table3!$AY$8</definedName>
    <definedName name="learners_spfl_zd_passer_m_g7">Table3!$AM$8</definedName>
    <definedName name="learners_spfl_zd_passer_m_g8">Table3!$AQ$8</definedName>
    <definedName name="learners_spfl_zd_passer_m_g9">Table3!$AU$8</definedName>
    <definedName name="learners_spfl_zd_passer_m_total">Table3!$BC$8</definedName>
    <definedName name="learners_spfl_zd_takers_f_g10">Table3!$AG$8</definedName>
    <definedName name="learners_spfl_zd_takers_f_g7">Table3!$U$8</definedName>
    <definedName name="learners_spfl_zd_takers_f_g8">Table3!$Y$8</definedName>
    <definedName name="learners_spfl_zd_takers_f_g9">Table3!$AC$8</definedName>
    <definedName name="learners_spfl_zd_takers_f_total">Table3!$AK$8</definedName>
    <definedName name="learners_spfl_zd_takers_m_g10">Table3!$AE$8</definedName>
    <definedName name="learners_spfl_zd_takers_m_g7">Table3!$S$8</definedName>
    <definedName name="learners_spfl_zd_takers_m_g8">Table3!$W$8</definedName>
    <definedName name="learners_spfl_zd_takers_m_g9">Table3!$AA$8</definedName>
    <definedName name="learners_spfl_zd_takers_m_total">Table3!$AI$8</definedName>
    <definedName name="learners_sptve_agricorptech_f_g10">Table2!$AJ$22</definedName>
    <definedName name="learners_sptve_agricorptech_f_g7">Table2!$R$22</definedName>
    <definedName name="learners_sptve_agricorptech_f_g8">Table2!$X$22</definedName>
    <definedName name="learners_sptve_agricorptech_f_g9">Table2!$AD$22</definedName>
    <definedName name="learners_sptve_agricorptech_f_total">Table2!$AP$22</definedName>
    <definedName name="learners_sptve_agricorptech_m_g10">Table2!$AG$22</definedName>
    <definedName name="learners_sptve_agricorptech_m_g7">Table2!$O$22</definedName>
    <definedName name="learners_sptve_agricorptech_m_g8">Table2!$U$22</definedName>
    <definedName name="learners_sptve_agricorptech_m_g9">Table2!$AA$22</definedName>
    <definedName name="learners_sptve_agricorptech_m_total">Table2!$AM$22</definedName>
    <definedName name="learners_sptve_aircontech_f_g10">Table2!$AJ$11</definedName>
    <definedName name="learners_sptve_aircontech_f_g7">Table2!$R$11</definedName>
    <definedName name="learners_sptve_aircontech_f_g8">Table2!$X$11</definedName>
    <definedName name="learners_sptve_aircontech_f_g9">Table2!$AD$11</definedName>
    <definedName name="learners_sptve_aircontech_f_total">Table2!$AP$11</definedName>
    <definedName name="learners_sptve_aircontech_m_g10">Table2!$AG$11</definedName>
    <definedName name="learners_sptve_aircontech_m_g7">Table2!$O$11</definedName>
    <definedName name="learners_sptve_aircontech_m_g8">Table2!$U$11</definedName>
    <definedName name="learners_sptve_aircontech_m_g9">Table2!$AA$11</definedName>
    <definedName name="learners_sptve_aircontech_m_total">Table2!$AM$11</definedName>
    <definedName name="learners_sptve_aniprodtech_f_g10">Table2!$AJ$23</definedName>
    <definedName name="learners_sptve_aniprodtech_f_g7">Table2!$R$23</definedName>
    <definedName name="learners_sptve_aniprodtech_f_g8">Table2!$X$23</definedName>
    <definedName name="learners_sptve_aniprodtech_f_g9">Table2!$AD$23</definedName>
    <definedName name="learners_sptve_aniprodtech_f_total">Table2!$AP$23</definedName>
    <definedName name="learners_sptve_aniprodtech_m_g10">Table2!$AG$23</definedName>
    <definedName name="learners_sptve_aniprodtech_m_g7">Table2!$O$23</definedName>
    <definedName name="learners_sptve_aniprodtech_m_g8">Table2!$U$23</definedName>
    <definedName name="learners_sptve_aniprodtech_m_g9">Table2!$AA$23</definedName>
    <definedName name="learners_sptve_aniprodtech_m_total">Table2!$AM$23</definedName>
    <definedName name="learners_sptve_autotech_f_g10">Table2!$AJ$16</definedName>
    <definedName name="learners_sptve_autotech_f_g7">Table2!$R$16</definedName>
    <definedName name="learners_sptve_autotech_f_g8">Table2!$X$16</definedName>
    <definedName name="learners_sptve_autotech_f_g9">Table2!$AD$16</definedName>
    <definedName name="learners_sptve_autotech_f_total">Table2!$AP$16</definedName>
    <definedName name="learners_sptve_autotech_m_g10">Table2!$AG$16</definedName>
    <definedName name="learners_sptve_autotech_m_g7">Table2!$O$16</definedName>
    <definedName name="learners_sptve_autotech_m_g8">Table2!$U$16</definedName>
    <definedName name="learners_sptve_autotech_m_g9">Table2!$AA$16</definedName>
    <definedName name="learners_sptve_autotech_m_total">Table2!$AM$16</definedName>
    <definedName name="learners_sptve_beautycarewell_f_g10">Table2!$AJ$8</definedName>
    <definedName name="learners_sptve_beautycarewell_f_g7">Table2!$R$8</definedName>
    <definedName name="learners_sptve_beautycarewell_f_g8">Table2!$X$8</definedName>
    <definedName name="learners_sptve_beautycarewell_f_g9">Table2!$AD$8</definedName>
    <definedName name="learners_sptve_beautycarewell_f_total">Table2!$AP$8</definedName>
    <definedName name="learners_sptve_beautycarewell_m_g10">Table2!$AG$8</definedName>
    <definedName name="learners_sptve_beautycarewell_m_g7">Table2!$O$8</definedName>
    <definedName name="learners_sptve_beautycarewell_m_g8">Table2!$U$8</definedName>
    <definedName name="learners_sptve_beautycarewell_m_g9">Table2!$AA$8</definedName>
    <definedName name="learners_sptve_beautycarewell_m_total">Table2!$AM$8</definedName>
    <definedName name="learners_sptve_bldgconstech_f_g10">Table2!$AJ$14</definedName>
    <definedName name="learners_sptve_bldgconstech_f_g7">Table2!$R$14</definedName>
    <definedName name="learners_sptve_bldgconstech_f_g8">Table2!$X$14</definedName>
    <definedName name="learners_sptve_bldgconstech_f_g9">Table2!$AD$14</definedName>
    <definedName name="learners_sptve_bldgconstech_f_total">Table2!$AP$14</definedName>
    <definedName name="learners_sptve_bldgconstech_m_g10">Table2!$AG$14</definedName>
    <definedName name="learners_sptve_bldgconstech_m_g7">Table2!$O$14</definedName>
    <definedName name="learners_sptve_bldgconstech_m_g8">Table2!$U$14</definedName>
    <definedName name="learners_sptve_bldgconstech_m_g9">Table2!$AA$14</definedName>
    <definedName name="learners_sptve_bldgconstech_m_total">Table2!$AM$14</definedName>
    <definedName name="learners_sptve_comptech_f_g10">Table2!$AJ$12</definedName>
    <definedName name="learners_sptve_comptech_f_g7">Table2!$R$12</definedName>
    <definedName name="learners_sptve_comptech_f_g8">Table2!$X$12</definedName>
    <definedName name="learners_sptve_comptech_f_g9">Table2!$AD$12</definedName>
    <definedName name="learners_sptve_comptech_f_total">Table2!$AP$12</definedName>
    <definedName name="learners_sptve_comptech_m_g10">Table2!$AG$12</definedName>
    <definedName name="learners_sptve_comptech_m_g7">Table2!$O$12</definedName>
    <definedName name="learners_sptve_comptech_m_g8">Table2!$U$12</definedName>
    <definedName name="learners_sptve_comptech_m_g9">Table2!$AA$12</definedName>
    <definedName name="learners_sptve_comptech_m_total">Table2!$AM$12</definedName>
    <definedName name="learners_sptve_draftingtech_f_g10">Table2!$AJ$19</definedName>
    <definedName name="learners_sptve_draftingtech_f_g7">Table2!$R$19</definedName>
    <definedName name="learners_sptve_draftingtech_f_g8">Table2!$X$19</definedName>
    <definedName name="learners_sptve_draftingtech_f_g9">Table2!$AD$19</definedName>
    <definedName name="learners_sptve_draftingtech_f_total">Table2!$AP$19</definedName>
    <definedName name="learners_sptve_draftingtech_m_g10">Table2!$AG$19</definedName>
    <definedName name="learners_sptve_draftingtech_m_g7">Table2!$O$19</definedName>
    <definedName name="learners_sptve_draftingtech_m_g8">Table2!$U$19</definedName>
    <definedName name="learners_sptve_draftingtech_m_g9">Table2!$AA$19</definedName>
    <definedName name="learners_sptve_draftingtech_m_total">Table2!$AM$19</definedName>
    <definedName name="learners_sptve_electricaltech_f_g10">Table2!$AJ$18</definedName>
    <definedName name="learners_sptve_electricaltech_f_g7">Table2!$R$18</definedName>
    <definedName name="learners_sptve_electricaltech_f_g8">Table2!$X$18</definedName>
    <definedName name="learners_sptve_electricaltech_f_g9">Table2!$AD$18</definedName>
    <definedName name="learners_sptve_electricaltech_f_total">Table2!$AP$18</definedName>
    <definedName name="learners_sptve_electricaltech_m_g10">Table2!$AG$18</definedName>
    <definedName name="learners_sptve_electricaltech_m_g7">Table2!$O$18</definedName>
    <definedName name="learners_sptve_electricaltech_m_g8">Table2!$U$18</definedName>
    <definedName name="learners_sptve_electricaltech_m_g9">Table2!$AA$18</definedName>
    <definedName name="learners_sptve_electricaltech_m_total">Table2!$AM$18</definedName>
    <definedName name="learners_sptve_electronictech_f_g10">Table2!$AJ$15</definedName>
    <definedName name="learners_sptve_electronictech_f_g7">Table2!$R$15</definedName>
    <definedName name="learners_sptve_electronictech_f_g8">Table2!$X$15</definedName>
    <definedName name="learners_sptve_electronictech_f_g9">Table2!$AD$15</definedName>
    <definedName name="learners_sptve_electronictech_f_total">Table2!$AP$15</definedName>
    <definedName name="learners_sptve_electronictech_m_g10">Table2!$AG$15</definedName>
    <definedName name="learners_sptve_electronictech_m_g7">Table2!$O$15</definedName>
    <definedName name="learners_sptve_electronictech_m_g8">Table2!$U$15</definedName>
    <definedName name="learners_sptve_electronictech_m_g9">Table2!$AA$15</definedName>
    <definedName name="learners_sptve_electronictech_m_total">Table2!$AM$15</definedName>
    <definedName name="learners_sptve_enterp_f_g10">Table2!$AJ$29</definedName>
    <definedName name="learners_sptve_enterp_f_g7">Table2!$R$29</definedName>
    <definedName name="learners_sptve_enterp_f_g8">Table2!$X$29</definedName>
    <definedName name="learners_sptve_enterp_f_g9">Table2!$AD$29</definedName>
    <definedName name="learners_sptve_enterp_f_total">Table2!$AP$29</definedName>
    <definedName name="learners_sptve_enterp_m_g10">Table2!$AG$29</definedName>
    <definedName name="learners_sptve_enterp_m_g7">Table2!$O$29</definedName>
    <definedName name="learners_sptve_enterp_m_g8">Table2!$U$29</definedName>
    <definedName name="learners_sptve_enterp_m_g9">Table2!$AA$29</definedName>
    <definedName name="learners_sptve_enterp_m_total">Table2!$AM$29</definedName>
    <definedName name="learners_sptve_fishprodtech_f_g10">Table2!$AJ$26</definedName>
    <definedName name="learners_sptve_fishprodtech_f_g7">Table2!$R$26</definedName>
    <definedName name="learners_sptve_fishprodtech_f_g8">Table2!$X$26</definedName>
    <definedName name="learners_sptve_fishprodtech_f_g9">Table2!$AD$26</definedName>
    <definedName name="learners_sptve_fishprodtech_f_total">Table2!$AP$26</definedName>
    <definedName name="learners_sptve_fishprodtech_m_g10">Table2!$AG$26</definedName>
    <definedName name="learners_sptve_fishprodtech_m_g7">Table2!$O$26</definedName>
    <definedName name="learners_sptve_fishprodtech_m_g8">Table2!$U$26</definedName>
    <definedName name="learners_sptve_fishprodtech_m_g9">Table2!$AA$26</definedName>
    <definedName name="learners_sptve_fishprodtech_m_total">Table2!$AM$26</definedName>
    <definedName name="learners_sptve_foodprotech_f_g10">Table2!$AJ$24</definedName>
    <definedName name="learners_sptve_foodprotech_f_g7">Table2!$R$24</definedName>
    <definedName name="learners_sptve_foodprotech_f_g8">Table2!$X$24</definedName>
    <definedName name="learners_sptve_foodprotech_f_g9">Table2!$AD$24</definedName>
    <definedName name="learners_sptve_foodprotech_f_total">Table2!$AP$24</definedName>
    <definedName name="learners_sptve_foodprotech_m_g10">Table2!$AG$24</definedName>
    <definedName name="learners_sptve_foodprotech_m_g7">Table2!$O$24</definedName>
    <definedName name="learners_sptve_foodprotech_m_g8">Table2!$U$24</definedName>
    <definedName name="learners_sptve_foodprotech_m_g9">Table2!$AA$24</definedName>
    <definedName name="learners_sptve_foodprotech_m_total">Table2!$AM$24</definedName>
    <definedName name="learners_sptve_foodtech_f_g10">Table2!$AJ$10</definedName>
    <definedName name="learners_sptve_foodtech_f_g7">Table2!$R$10</definedName>
    <definedName name="learners_sptve_foodtech_f_g8">Table2!$X$10</definedName>
    <definedName name="learners_sptve_foodtech_f_g9">Table2!$AD$10</definedName>
    <definedName name="learners_sptve_foodtech_f_total">Table2!$AP$10</definedName>
    <definedName name="learners_sptve_foodtech_m_g10">Table2!$AG$10</definedName>
    <definedName name="learners_sptve_foodtech_m_g7">Table2!$O$10</definedName>
    <definedName name="learners_sptve_foodtech_m_g8">Table2!$U$10</definedName>
    <definedName name="learners_sptve_foodtech_m_g9">Table2!$AA$10</definedName>
    <definedName name="learners_sptve_foodtech_m_total">Table2!$AM$10</definedName>
    <definedName name="learners_sptve_furntech_f_g10">Table2!$AJ$20</definedName>
    <definedName name="learners_sptve_furntech_f_g7">Table2!$R$20</definedName>
    <definedName name="learners_sptve_furntech_f_g8">Table2!$X$20</definedName>
    <definedName name="learners_sptve_furntech_f_g9">Table2!$AD$20</definedName>
    <definedName name="learners_sptve_furntech_f_total">Table2!$AP$20</definedName>
    <definedName name="learners_sptve_furntech_m_g10">Table2!$AG$20</definedName>
    <definedName name="learners_sptve_furntech_m_g7">Table2!$O$20</definedName>
    <definedName name="learners_sptve_furntech_m_g8">Table2!$U$20</definedName>
    <definedName name="learners_sptve_furntech_m_g9">Table2!$AA$20</definedName>
    <definedName name="learners_sptve_furntech_m_total">Table2!$AM$20</definedName>
    <definedName name="learners_sptve_garmenttech_f_g10">Table2!$AJ$9</definedName>
    <definedName name="learners_sptve_garmenttech_f_g7">Table2!$R$9</definedName>
    <definedName name="learners_sptve_garmenttech_f_g8">Table2!$X$9</definedName>
    <definedName name="learners_sptve_garmenttech_f_g9">Table2!$AD$9</definedName>
    <definedName name="learners_sptve_garmenttech_f_total">Table2!$AP$9</definedName>
    <definedName name="learners_sptve_garmenttech_m_g10">Table2!$AG$9</definedName>
    <definedName name="learners_sptve_garmenttech_m_g7">Table2!$O$9</definedName>
    <definedName name="learners_sptve_garmenttech_m_g8">Table2!$U$9</definedName>
    <definedName name="learners_sptve_garmenttech_m_g9">Table2!$AA$9</definedName>
    <definedName name="learners_sptve_garmenttech_m_total">Table2!$AM$9</definedName>
    <definedName name="learners_sptve_internetfundamentals_f_g10">Table2!$AJ$28</definedName>
    <definedName name="learners_sptve_internetfundamentals_f_g7">Table2!$R$28</definedName>
    <definedName name="learners_sptve_internetfundamentals_f_g8">Table2!$X$28</definedName>
    <definedName name="learners_sptve_internetfundamentals_f_g9">Table2!$AD$28</definedName>
    <definedName name="learners_sptve_internetfundamentals_f_total">Table2!$AP$28</definedName>
    <definedName name="learners_sptve_internetfundamentals_m_g10">Table2!$AG$28</definedName>
    <definedName name="learners_sptve_internetfundamentals_m_g7">Table2!$O$28</definedName>
    <definedName name="learners_sptve_internetfundamentals_m_g8">Table2!$U$28</definedName>
    <definedName name="learners_sptve_internetfundamentals_m_g9">Table2!$AA$28</definedName>
    <definedName name="learners_sptve_internetfundamentals_m_total">Table2!$AM$28</definedName>
    <definedName name="learners_sptve_machtech_f_g10">Table2!$AJ$13</definedName>
    <definedName name="learners_sptve_machtech_f_g7">Table2!$R$13</definedName>
    <definedName name="learners_sptve_machtech_f_g8">Table2!$X$13</definedName>
    <definedName name="learners_sptve_machtech_f_g9">Table2!$AD$13</definedName>
    <definedName name="learners_sptve_machtech_m_g10">Table2!$AG$13</definedName>
    <definedName name="learners_sptve_machtech_m_g7">Table2!$O$13</definedName>
    <definedName name="learners_sptve_machtech_m_g8">Table2!$U$13</definedName>
    <definedName name="learners_sptve_machtech_m_g9">Table2!$AA$13</definedName>
    <definedName name="learners_sptve_techdrawing_f_g10">Table2!$AJ$30</definedName>
    <definedName name="learners_sptve_techdrawing_f_g7">Table2!$R$30</definedName>
    <definedName name="learners_sptve_techdrawing_f_g8">Table2!$X$30</definedName>
    <definedName name="learners_sptve_techdrawing_f_g9">Table2!$AD$30</definedName>
    <definedName name="learners_sptve_techdrawing_f_total">Table2!$AP$30</definedName>
    <definedName name="learners_sptve_techdrawing_m_g10">Table2!$AG$30</definedName>
    <definedName name="learners_sptve_techdrawing_m_g7">Table2!$O$30</definedName>
    <definedName name="learners_sptve_techdrawing_m_g8">Table2!$U$30</definedName>
    <definedName name="learners_sptve_techdrawing_m_g9">Table2!$AA$30</definedName>
    <definedName name="learners_sptve_techdrawing_m_total">Table2!$AM$30</definedName>
    <definedName name="learners_sptve_weldintech_f_g10">Table2!$AJ$17</definedName>
    <definedName name="learners_sptve_weldintech_f_g7">Table2!$R$17</definedName>
    <definedName name="learners_sptve_weldintech_f_g8">Table2!$X$17</definedName>
    <definedName name="learners_sptve_weldintech_f_g9">Table2!$AD$17</definedName>
    <definedName name="learners_sptve_weldintech_f_total">Table2!$AP$17</definedName>
    <definedName name="learners_sptve_weldintech_m_g10">Table2!$AG$17</definedName>
    <definedName name="learners_sptve_weldintech_m_g7">Table2!$O$17</definedName>
    <definedName name="learners_sptve_weldintech_m_g8">Table2!$U$17</definedName>
    <definedName name="learners_sptve_weldintech_m_g9">Table2!$AA$17</definedName>
    <definedName name="learners_sptve_weldintech_m_total">Table2!$AM$17</definedName>
    <definedName name="learners_tle_afa_agricrops_f_g10">Table4!$AK$18</definedName>
    <definedName name="learners_tle_afa_agricrops_f_g7">Table4!$S$18</definedName>
    <definedName name="learners_tle_afa_agricrops_f_g8">Table4!$Y$18</definedName>
    <definedName name="learners_tle_afa_agricrops_f_g9">Table4!$AE$18</definedName>
    <definedName name="learners_tle_afa_agricrops_f_total">Table4!$AQ$18</definedName>
    <definedName name="learners_tle_afa_agricrops_m_g10">Table4!$AH$18</definedName>
    <definedName name="learners_tle_afa_agricrops_m_g7">Table4!$P$18</definedName>
    <definedName name="learners_tle_afa_agricrops_m_g8">Table4!$V$18</definedName>
    <definedName name="learners_tle_afa_agricrops_m_g9">Table4!$AB$18</definedName>
    <definedName name="learners_tle_afa_agricrops_m_total">Table4!$AN$18</definedName>
    <definedName name="learners_tle_afa_animalprod_f_g10">Table4!$AK$19</definedName>
    <definedName name="learners_tle_afa_animalprod_f_g7">Table4!$S$19</definedName>
    <definedName name="learners_tle_afa_animalprod_f_g8">Table4!$Y$19</definedName>
    <definedName name="learners_tle_afa_animalprod_f_g9">Table4!$AE$19</definedName>
    <definedName name="learners_tle_afa_animalprod_f_total">Table4!$AQ$19</definedName>
    <definedName name="learners_tle_afa_animalprod_m_g10">Table4!$AH$19</definedName>
    <definedName name="learners_tle_afa_animalprod_m_g7">Table4!$P$19</definedName>
    <definedName name="learners_tle_afa_animalprod_m_g8">Table4!$V$19</definedName>
    <definedName name="learners_tle_afa_animalprod_m_g9">Table4!$AB$19</definedName>
    <definedName name="learners_tle_afa_animalprod_m_total">Table4!$AN$19</definedName>
    <definedName name="learners_tle_afa_aquaculture_f_g10">Table4!$AK$20</definedName>
    <definedName name="learners_tle_afa_aquaculture_f_g7">Table4!$S$20</definedName>
    <definedName name="learners_tle_afa_aquaculture_f_g8">Table4!$Y$20</definedName>
    <definedName name="learners_tle_afa_aquaculture_f_g9">Table4!$AE$20</definedName>
    <definedName name="learners_tle_afa_aquaculture_f_total">Table4!$AQ$20</definedName>
    <definedName name="learners_tle_afa_aquaculture_m_g10">Table4!$AH$20</definedName>
    <definedName name="learners_tle_afa_aquaculture_m_g7">Table4!$P$20</definedName>
    <definedName name="learners_tle_afa_aquaculture_m_g8">Table4!$V$20</definedName>
    <definedName name="learners_tle_afa_aquaculture_m_g9">Table4!$AB$20</definedName>
    <definedName name="learners_tle_afa_aquaculture_m_total">Table4!$AN$20</definedName>
    <definedName name="learners_tle_afa_fishprocessing_f_g10">Table4!$AK$21</definedName>
    <definedName name="learners_tle_afa_fishprocessing_f_g7">Table4!$S$21</definedName>
    <definedName name="learners_tle_afa_fishprocessing_f_g8">Table4!$Y$21</definedName>
    <definedName name="learners_tle_afa_fishprocessing_f_g9">Table4!$AE$21</definedName>
    <definedName name="learners_tle_afa_fishprocessing_f_total">Table4!$AQ$21</definedName>
    <definedName name="learners_tle_afa_fishprocessing_m_g10">Table4!$AH$21</definedName>
    <definedName name="learners_tle_afa_fishprocessing_m_g7">Table4!$P$21</definedName>
    <definedName name="learners_tle_afa_fishprocessing_m_g8">Table4!$V$21</definedName>
    <definedName name="learners_tle_afa_fishprocessing_m_g9">Table4!$AB$21</definedName>
    <definedName name="learners_tle_afa_fishprocessing_m_total">Table4!$AN$21</definedName>
    <definedName name="learners_tle_he_beautycare_f_g10">Table4!$AK$8</definedName>
    <definedName name="learners_tle_he_beautycare_f_g7">Table4!$S$8</definedName>
    <definedName name="learners_tle_he_beautycare_f_g8">Table4!$Y$8</definedName>
    <definedName name="learners_tle_he_beautycare_f_g9">Table4!$AE$8</definedName>
    <definedName name="learners_tle_he_beautycare_f_total">Table4!$AQ$8</definedName>
    <definedName name="learners_tle_he_beautycare_m_g10">Table4!$AH$8</definedName>
    <definedName name="learners_tle_he_beautycare_m_g7">Table4!$P$8</definedName>
    <definedName name="learners_tle_he_beautycare_m_g8">Table4!$V$8</definedName>
    <definedName name="learners_tle_he_beautycare_m_g9">Table4!$AB$8</definedName>
    <definedName name="learners_tle_he_beautycare_m_total">Table4!$AN$8</definedName>
    <definedName name="learners_tle_he_caregiving_f_g10">Table4!$AK$9</definedName>
    <definedName name="learners_tle_he_caregiving_f_g7">Table4!$S$9</definedName>
    <definedName name="learners_tle_he_caregiving_f_g8">Table4!$Y$9</definedName>
    <definedName name="learners_tle_he_caregiving_f_g9">Table4!$AE$9</definedName>
    <definedName name="learners_tle_he_caregiving_f_total">Table4!$AQ$9</definedName>
    <definedName name="learners_tle_he_caregiving_m_g10">Table4!$AH$9</definedName>
    <definedName name="learners_tle_he_caregiving_m_g7">Table4!$P$9</definedName>
    <definedName name="learners_tle_he_caregiving_m_g8">Table4!$V$9</definedName>
    <definedName name="learners_tle_he_caregiving_m_g9">Table4!$AB$9</definedName>
    <definedName name="learners_tle_he_caregiving_m_total">Table4!$AN$9</definedName>
    <definedName name="learners_tle_he_cookery_f_g10">Table4!$AK$10</definedName>
    <definedName name="learners_tle_he_cookery_f_g7">Table4!$S$10</definedName>
    <definedName name="learners_tle_he_cookery_f_g8">Table4!$Y$10</definedName>
    <definedName name="learners_tle_he_cookery_f_g9">Table4!$AE$10</definedName>
    <definedName name="learners_tle_he_cookery_f_total">Table4!$AQ$10</definedName>
    <definedName name="learners_tle_he_cookery_m_g10">Table4!$AH$10</definedName>
    <definedName name="learners_tle_he_cookery_m_g7">Table4!$P$10</definedName>
    <definedName name="learners_tle_he_cookery_m_g8">Table4!$V$10</definedName>
    <definedName name="learners_tle_he_cookery_m_g9">Table4!$AB$10</definedName>
    <definedName name="learners_tle_he_cookery_m_total">Table4!$AN$10</definedName>
    <definedName name="learners_tle_he_dressmaking_f_g10">Table4!$AK$11</definedName>
    <definedName name="learners_tle_he_dressmaking_f_g7">Table4!$S$11</definedName>
    <definedName name="learners_tle_he_dressmaking_f_g8">Table4!$Y$11</definedName>
    <definedName name="learners_tle_he_dressmaking_f_g9">Table4!$AE$11</definedName>
    <definedName name="learners_tle_he_dressmaking_f_total">Table4!$AQ$11</definedName>
    <definedName name="learners_tle_he_dressmaking_m_g10">Table4!$AH$11</definedName>
    <definedName name="learners_tle_he_dressmaking_m_g7">Table4!$P$11</definedName>
    <definedName name="learners_tle_he_dressmaking_m_g8">Table4!$V$11</definedName>
    <definedName name="learners_tle_he_dressmaking_m_g9">Table4!$AB$11</definedName>
    <definedName name="learners_tle_he_dressmaking_m_total">Table4!$AN$11</definedName>
    <definedName name="learners_tle_he_frontofficesrvc_f_g10">Table4!$AK$12</definedName>
    <definedName name="learners_tle_he_frontofficesrvc_f_g7">Table4!$S$12</definedName>
    <definedName name="learners_tle_he_frontofficesrvc_f_g8">Table4!$Y$12</definedName>
    <definedName name="learners_tle_he_frontofficesrvc_f_g9">Table4!$AE$12</definedName>
    <definedName name="learners_tle_he_frontofficesrvc_f_total">Table4!$AQ$12</definedName>
    <definedName name="learners_tle_he_frontofficesrvc_m_g10">Table4!$AH$12</definedName>
    <definedName name="learners_tle_he_frontofficesrvc_m_g7">Table4!$P$12</definedName>
    <definedName name="learners_tle_he_frontofficesrvc_m_g8">Table4!$V$12</definedName>
    <definedName name="learners_tle_he_frontofficesrvc_m_g9">Table4!$AB$12</definedName>
    <definedName name="learners_tle_he_frontofficesrvc_m_total">Table4!$AN$12</definedName>
    <definedName name="learners_tle_he_handicraft_f_g10">Table4!$AK$13</definedName>
    <definedName name="learners_tle_he_handicraft_f_g7">Table4!$S$13</definedName>
    <definedName name="learners_tle_he_handicraft_f_g8">Table4!$Y$13</definedName>
    <definedName name="learners_tle_he_handicraft_f_g9">Table4!$AE$13</definedName>
    <definedName name="learners_tle_he_handicraft_f_total">Table4!$AQ$13</definedName>
    <definedName name="learners_tle_he_handicraft_m_g10">Table4!$AH$13</definedName>
    <definedName name="learners_tle_he_handicraft_m_g7">Table4!$P$13</definedName>
    <definedName name="learners_tle_he_handicraft_m_g8">Table4!$V$13</definedName>
    <definedName name="learners_tle_he_handicraft_m_g9">Table4!$AB$13</definedName>
    <definedName name="learners_tle_he_handicraft_m_total">Table4!$AN$13</definedName>
    <definedName name="learners_tle_he_householdsrvc_f_g10">Table4!$AK$14</definedName>
    <definedName name="learners_tle_he_householdsrvc_f_g7">Table4!$S$14</definedName>
    <definedName name="learners_tle_he_householdsrvc_f_g8">Table4!$Y$14</definedName>
    <definedName name="learners_tle_he_householdsrvc_f_g9">Table4!$AE$14</definedName>
    <definedName name="learners_tle_he_householdsrvc_f_total">Table4!$AQ$14</definedName>
    <definedName name="learners_tle_he_householdsrvc_m_g10">Table4!$AH$14</definedName>
    <definedName name="learners_tle_he_householdsrvc_m_g7">Table4!$P$14</definedName>
    <definedName name="learners_tle_he_householdsrvc_m_g8">Table4!$V$14</definedName>
    <definedName name="learners_tle_he_householdsrvc_m_g9">Table4!$AB$14</definedName>
    <definedName name="learners_tle_he_householdsrvc_m_total">Table4!$AN$14</definedName>
    <definedName name="learners_tle_he_travelservices_f_g10">Table4!$AK$15</definedName>
    <definedName name="learners_tle_he_travelservices_f_g7">Table4!$S$15</definedName>
    <definedName name="learners_tle_he_travelservices_f_g8">Table4!$Y$15</definedName>
    <definedName name="learners_tle_he_travelservices_f_g9">Table4!$AE$15</definedName>
    <definedName name="learners_tle_he_travelservices_f_total">Table4!$AQ$15</definedName>
    <definedName name="learners_tle_he_travelservices_m_g10">Table4!$AH$15</definedName>
    <definedName name="learners_tle_he_travelservices_m_g7">Table4!$P$15</definedName>
    <definedName name="learners_tle_he_travelservices_m_g8">Table4!$V$15</definedName>
    <definedName name="learners_tle_he_travelservices_m_g9">Table4!$AB$15</definedName>
    <definedName name="learners_tle_he_travelservices_m_total">Table4!$AN$15</definedName>
    <definedName name="learners_tle_he_wellness_f_g10">Table4!$AK$16</definedName>
    <definedName name="learners_tle_he_wellness_f_g7">Table4!$S$16</definedName>
    <definedName name="learners_tle_he_wellness_f_g8">Table4!$Y$16</definedName>
    <definedName name="learners_tle_he_wellness_f_g9">Table4!$AE$16</definedName>
    <definedName name="learners_tle_he_wellness_f_total">Table4!$AQ$16</definedName>
    <definedName name="learners_tle_he_wellness_m_g10">Table4!$AH$16</definedName>
    <definedName name="learners_tle_he_wellness_m_g7">Table4!$P$16</definedName>
    <definedName name="learners_tle_he_wellness_m_g8">Table4!$V$16</definedName>
    <definedName name="learners_tle_he_wellness_m_g9">Table4!$AB$16</definedName>
    <definedName name="learners_tle_he_wellness_m_total">Table4!$AN$16</definedName>
    <definedName name="learners_tle_ia_automotiveservicing_f_g10">Table4!$AK$23</definedName>
    <definedName name="learners_tle_ia_automotiveservicing_f_g7">Table4!$S$23</definedName>
    <definedName name="learners_tle_ia_automotiveservicing_f_g8">Table4!$Y$23</definedName>
    <definedName name="learners_tle_ia_automotiveservicing_f_g9">Table4!$AE$23</definedName>
    <definedName name="learners_tle_ia_automotiveservicing_f_total">Table4!$AQ$23</definedName>
    <definedName name="learners_tle_ia_automotiveservicing_m_g10">Table4!$AH$23</definedName>
    <definedName name="learners_tle_ia_automotiveservicing_m_g7">Table4!$P$23</definedName>
    <definedName name="learners_tle_ia_automotiveservicing_m_g8">Table4!$V$23</definedName>
    <definedName name="learners_tle_ia_automotiveservicing_m_g9">Table4!$AB$23</definedName>
    <definedName name="learners_tle_ia_automotiveservicing_m_total">Table4!$AN$23</definedName>
    <definedName name="learners_tle_ia_carpentry_f_g10">Table4!$AK$24</definedName>
    <definedName name="learners_tle_ia_carpentry_f_g7">Table4!$S$24</definedName>
    <definedName name="learners_tle_ia_carpentry_f_g8">Table4!$Y$24</definedName>
    <definedName name="learners_tle_ia_carpentry_f_g9">Table4!$AE$24</definedName>
    <definedName name="learners_tle_ia_carpentry_f_total">Table4!$AQ$24</definedName>
    <definedName name="learners_tle_ia_carpentry_m_g10">Table4!$AH$24</definedName>
    <definedName name="learners_tle_ia_carpentry_m_g7">Table4!$P$24</definedName>
    <definedName name="learners_tle_ia_carpentry_m_g8">Table4!$V$24</definedName>
    <definedName name="learners_tle_ia_carpentry_m_g9">Table4!$AB$24</definedName>
    <definedName name="learners_tle_ia_carpentry_m_total">Table4!$AN$24</definedName>
    <definedName name="learners_tle_ia_elecinstallation_f_g10">Table4!$AK$25</definedName>
    <definedName name="learners_tle_ia_elecinstallation_f_g7">Table4!$S$25</definedName>
    <definedName name="learners_tle_ia_elecinstallation_f_g8">Table4!$Y$25</definedName>
    <definedName name="learners_tle_ia_elecinstallation_f_g9">Table4!$AE$25</definedName>
    <definedName name="learners_tle_ia_elecinstallation_f_total">Table4!$AQ$25</definedName>
    <definedName name="learners_tle_ia_elecinstallation_m_g10">Table4!$AH$25</definedName>
    <definedName name="learners_tle_ia_elecinstallation_m_g7">Table4!$P$25</definedName>
    <definedName name="learners_tle_ia_elecinstallation_m_g8">Table4!$V$25</definedName>
    <definedName name="learners_tle_ia_elecinstallation_m_g9">Table4!$AB$25</definedName>
    <definedName name="learners_tle_ia_elecinstallation_m_total">Table4!$AN$25</definedName>
    <definedName name="learners_tle_ia_elecproduction_f_g10">Table4!$AK$26</definedName>
    <definedName name="learners_tle_ia_elecproduction_f_g7">Table4!$S$26</definedName>
    <definedName name="learners_tle_ia_elecproduction_f_g8">Table4!$Y$26</definedName>
    <definedName name="learners_tle_ia_elecproduction_f_g9">Table4!$AE$26</definedName>
    <definedName name="learners_tle_ia_elecproduction_f_total">Table4!$AQ$26</definedName>
    <definedName name="learners_tle_ia_elecproduction_m_g10">Table4!$AH$26</definedName>
    <definedName name="learners_tle_ia_elecproduction_m_g7">Table4!$P$26</definedName>
    <definedName name="learners_tle_ia_elecproduction_m_g8">Table4!$V$26</definedName>
    <definedName name="learners_tle_ia_elecproduction_m_g9">Table4!$AB$26</definedName>
    <definedName name="learners_tle_ia_elecproduction_m_total">Table4!$AN$26</definedName>
    <definedName name="learners_tle_ia_masonry_f_g10">Table4!$AK$27</definedName>
    <definedName name="learners_tle_ia_masonry_f_g7">Table4!$S$27</definedName>
    <definedName name="learners_tle_ia_masonry_f_g8">Table4!$Y$27</definedName>
    <definedName name="learners_tle_ia_masonry_f_g9">Table4!$AE$27</definedName>
    <definedName name="learners_tle_ia_masonry_f_total">Table4!$AQ$27</definedName>
    <definedName name="learners_tle_ia_masonry_m_g10">Table4!$AH$27</definedName>
    <definedName name="learners_tle_ia_masonry_m_g7">Table4!$P$27</definedName>
    <definedName name="learners_tle_ia_masonry_m_g8">Table4!$V$27</definedName>
    <definedName name="learners_tle_ia_masonry_m_g9">Table4!$AB$27</definedName>
    <definedName name="learners_tle_ia_masonry_m_total">Table4!$AN$27</definedName>
    <definedName name="learners_tle_ia_plumbing_f_g10">Table4!$AK$28</definedName>
    <definedName name="learners_tle_ia_plumbing_f_g7">Table4!$S$28</definedName>
    <definedName name="learners_tle_ia_plumbing_f_g8">Table4!$Y$28</definedName>
    <definedName name="learners_tle_ia_plumbing_f_g9">Table4!$AE$28</definedName>
    <definedName name="learners_tle_ia_plumbing_f_total">Table4!$AQ$28</definedName>
    <definedName name="learners_tle_ia_plumbing_m_g10">Table4!$AH$28</definedName>
    <definedName name="learners_tle_ia_plumbing_m_g7">Table4!$P$28</definedName>
    <definedName name="learners_tle_ia_plumbing_m_g8">Table4!$V$28</definedName>
    <definedName name="learners_tle_ia_plumbing_m_g9">Table4!$AB$28</definedName>
    <definedName name="learners_tle_ia_plumbing_m_total">Table4!$AN$28</definedName>
    <definedName name="learners_tle_ia_refnairconditioning_f_g10">Table4!$AK$29</definedName>
    <definedName name="learners_tle_ia_refnairconditioning_f_g7">Table4!$S$29</definedName>
    <definedName name="learners_tle_ia_refnairconditioning_f_g8">Table4!$Y$29</definedName>
    <definedName name="learners_tle_ia_refnairconditioning_f_g9">Table4!$AE$29</definedName>
    <definedName name="learners_tle_ia_refnairconditioning_f_total">Table4!$AQ$29</definedName>
    <definedName name="learners_tle_ia_refnairconditioning_m_g10">Table4!$AH$29</definedName>
    <definedName name="learners_tle_ia_refnairconditioning_m_g7">Table4!$P$29</definedName>
    <definedName name="learners_tle_ia_refnairconditioning_m_g8">Table4!$V$29</definedName>
    <definedName name="learners_tle_ia_refnairconditioning_m_g9">Table4!$AB$29</definedName>
    <definedName name="learners_tle_ia_refnairconditioning_m_total">Table4!$AN$29</definedName>
    <definedName name="learners_tle_ia_shieldedmetalwelding_f_g10">Table4!$AK$30</definedName>
    <definedName name="learners_tle_ia_shieldedmetalwelding_f_g7">Table4!$S$30</definedName>
    <definedName name="learners_tle_ia_shieldedmetalwelding_f_g8">Table4!$Y$30</definedName>
    <definedName name="learners_tle_ia_shieldedmetalwelding_f_g9">Table4!$AE$30</definedName>
    <definedName name="learners_tle_ia_shieldedmetalwelding_f_total">Table4!$AQ$30</definedName>
    <definedName name="learners_tle_ia_shieldedmetalwelding_m_g10">Table4!$AH$30</definedName>
    <definedName name="learners_tle_ia_shieldedmetalwelding_m_g7">Table4!$P$30</definedName>
    <definedName name="learners_tle_ia_shieldedmetalwelding_m_g8">Table4!$V$30</definedName>
    <definedName name="learners_tle_ia_shieldedmetalwelding_m_g9">Table4!$AB$30</definedName>
    <definedName name="learners_tle_ia_shieldedmetalwelding_m_total">Table4!$AN$30</definedName>
    <definedName name="learners_tle_ict_compsystemservicing_f_g10">Table4!$AK$32</definedName>
    <definedName name="learners_tle_ict_compsystemservicing_f_g7">Table4!$S$32</definedName>
    <definedName name="learners_tle_ict_compsystemservicing_f_g8">Table4!$Y$32</definedName>
    <definedName name="learners_tle_ict_compsystemservicing_f_g9">Table4!$AE$32</definedName>
    <definedName name="learners_tle_ict_compsystemservicing_f_total">Table4!$AQ$32</definedName>
    <definedName name="learners_tle_ict_compsystemservicing_m_g10">Table4!$AH$32</definedName>
    <definedName name="learners_tle_ict_compsystemservicing_m_g7">Table4!$P$32</definedName>
    <definedName name="learners_tle_ict_compsystemservicing_m_g8">Table4!$V$32</definedName>
    <definedName name="learners_tle_ict_compsystemservicing_m_g9">Table4!$AB$32</definedName>
    <definedName name="learners_tle_ict_compsystemservicing_m_total">Table4!$AN$32</definedName>
    <definedName name="learners_tle_ict_contactcenterservices_f_g10">Table4!$AK$33</definedName>
    <definedName name="learners_tle_ict_contactcenterservices_f_g7">Table4!$S$33</definedName>
    <definedName name="learners_tle_ict_contactcenterservices_f_g8">Table4!$Y$33</definedName>
    <definedName name="learners_tle_ict_contactcenterservices_f_g9">Table4!$AE$33</definedName>
    <definedName name="learners_tle_ict_contactcenterservices_f_total">Table4!$AQ$33</definedName>
    <definedName name="learners_tle_ict_contactcenterservices_m_g10">Table4!$AH$33</definedName>
    <definedName name="learners_tle_ict_contactcenterservices_m_g7">Table4!$P$33</definedName>
    <definedName name="learners_tle_ict_contactcenterservices_m_g8">Table4!$V$33</definedName>
    <definedName name="learners_tle_ict_contactcenterservices_m_g9">Table4!$AB$33</definedName>
    <definedName name="learners_tle_ict_contactcenterservices_m_total">Table4!$AN$33</definedName>
    <definedName name="learners_tle_ict_illustration_f_g10">Table4!$AK$34</definedName>
    <definedName name="learners_tle_ict_illustration_f_g7">Table4!$S$34</definedName>
    <definedName name="learners_tle_ict_illustration_f_g8">Table4!$Y$34</definedName>
    <definedName name="learners_tle_ict_illustration_f_g9">Table4!$AE$34</definedName>
    <definedName name="learners_tle_ict_illustration_f_total">Table4!$AQ$34</definedName>
    <definedName name="learners_tle_ict_illustration_m_g10">Table4!$AH$34</definedName>
    <definedName name="learners_tle_ict_illustration_m_g7">Table4!$P$34</definedName>
    <definedName name="learners_tle_ict_illustration_m_g8">Table4!$V$34</definedName>
    <definedName name="learners_tle_ict_illustration_m_g9">Table4!$AB$34</definedName>
    <definedName name="learners_tle_ict_illustration_m_total">Table4!$AN$34</definedName>
    <definedName name="learners_tle_ict_techdrafting_f_g10">Table4!$AK$35</definedName>
    <definedName name="learners_tle_ict_techdrafting_f_g7">Table4!$S$35</definedName>
    <definedName name="learners_tle_ict_techdrafting_f_g8">Table4!$Y$35</definedName>
    <definedName name="learners_tle_ict_techdrafting_f_g9">Table4!$AE$35</definedName>
    <definedName name="learners_tle_ict_techdrafting_f_total">Table4!$AQ$35</definedName>
    <definedName name="learners_tle_ict_techdrafting_m_g10">Table4!$AH$35</definedName>
    <definedName name="learners_tle_ict_techdrafting_m_g7">Table4!$P$35</definedName>
    <definedName name="learners_tle_ict_techdrafting_m_g8">Table4!$V$35</definedName>
    <definedName name="learners_tle_ict_techdrafting_m_g9">Table4!$AB$35</definedName>
    <definedName name="learners_tle_ict_techdrafting_m_total">Table4!$AN$35</definedName>
    <definedName name="learners_wd_fataad_ad">Table6!$L$43</definedName>
    <definedName name="learners_wd_fataad_atd">Table6!$L$42</definedName>
    <definedName name="learners_wd_uhhbp_wdlms_home_asd_12to15">Table5!$O$11</definedName>
    <definedName name="learners_wd_uhhbp_wdlms_home_asd_16to20">Table5!$R$11</definedName>
    <definedName name="learners_wd_uhhbp_wdlms_home_asd_21to25">Table5!$U$11</definedName>
    <definedName name="learners_wd_uhhbp_wdlms_home_asd_g7tog10">Table5!$AD$11</definedName>
    <definedName name="learners_wd_uhhbp_wdlms_home_asd_tp">Table5!$AA$11</definedName>
    <definedName name="learners_wd_uhhbp_wdlms_home_ca_12to15">Table5!$O$17</definedName>
    <definedName name="learners_wd_uhhbp_wdlms_home_ca_16to20">Table5!$R$17</definedName>
    <definedName name="learners_wd_uhhbp_wdlms_home_ca_21to25">Table5!$U$17</definedName>
    <definedName name="learners_wd_uhhbp_wdlms_home_ca_g7tog10">Table5!$AD$17</definedName>
    <definedName name="learners_wd_uhhbp_wdlms_home_ca_tp">Table5!$AA$17</definedName>
    <definedName name="learners_wd_uhhbp_wdlms_home_cp_12to15">Table5!$O$15</definedName>
    <definedName name="learners_wd_uhhbp_wdlms_home_cp_16to20">Table5!$R$15</definedName>
    <definedName name="learners_wd_uhhbp_wdlms_home_cp_21to25">Table5!$U$15</definedName>
    <definedName name="learners_wd_uhhbp_wdlms_home_cp_g7tog10">Table5!$AD$15</definedName>
    <definedName name="learners_wd_uhhbp_wdlms_home_cp_tp">Table5!$AA$15</definedName>
    <definedName name="learners_wd_uhhbp_wdlms_home_ebd_12to15">Table5!$O$12</definedName>
    <definedName name="learners_wd_uhhbp_wdlms_home_ebd_16to20">Table5!$R$12</definedName>
    <definedName name="learners_wd_uhhbp_wdlms_home_ebd_21to25">Table5!$U$12</definedName>
    <definedName name="learners_wd_uhhbp_wdlms_home_ebd_g7tog10">Table5!$AD$12</definedName>
    <definedName name="learners_wd_uhhbp_wdlms_home_ebd_tp">Table5!$AA$12</definedName>
    <definedName name="learners_wd_uhhbp_wdlms_home_hi_12to15">Table5!$O$8</definedName>
    <definedName name="learners_wd_uhhbp_wdlms_home_hi_16to20">Table5!$R$8</definedName>
    <definedName name="learners_wd_uhhbp_wdlms_home_hi_21to25">Table5!$U$8</definedName>
    <definedName name="learners_wd_uhhbp_wdlms_home_hi_g7tog10">Table5!$AD$8</definedName>
    <definedName name="learners_wd_uhhbp_wdlms_home_hi_tp">Table5!$AA$8</definedName>
    <definedName name="learners_wd_uhhbp_wdlms_home_id_12to15">Table5!$O$10</definedName>
    <definedName name="learners_wd_uhhbp_wdlms_home_id_16to20">Table5!$R$10</definedName>
    <definedName name="learners_wd_uhhbp_wdlms_home_id_21to25">Table5!$U$10</definedName>
    <definedName name="learners_wd_uhhbp_wdlms_home_id_g7tog10">Table5!$AD$10</definedName>
    <definedName name="learners_wd_uhhbp_wdlms_home_id_tp">Table5!$AA$10</definedName>
    <definedName name="learners_wd_uhhbp_wdlms_home_ld_12to15">Table5!$O$9</definedName>
    <definedName name="learners_wd_uhhbp_wdlms_home_ld_16to20">Table5!$R$9</definedName>
    <definedName name="learners_wd_uhhbp_wdlms_home_ld_21to25">Table5!$U$9</definedName>
    <definedName name="learners_wd_uhhbp_wdlms_home_ld_g7tog10">Table5!$AD$9</definedName>
    <definedName name="learners_wd_uhhbp_wdlms_home_ld_tp">Table5!$AA$9</definedName>
    <definedName name="learners_wd_uhhbp_wdlms_home_md_12to15">Table5!$O$18</definedName>
    <definedName name="learners_wd_uhhbp_wdlms_home_md_16to20">Table5!$R$18</definedName>
    <definedName name="learners_wd_uhhbp_wdlms_home_md_21to25">Table5!$U$18</definedName>
    <definedName name="learners_wd_uhhbp_wdlms_home_md_g7tog10">Table5!$AD$18</definedName>
    <definedName name="learners_wd_uhhbp_wdlms_home_md_tp">Table5!$AA$18</definedName>
    <definedName name="learners_wd_uhhbp_wdlms_home_oph_12to15">Table5!$O$13</definedName>
    <definedName name="learners_wd_uhhbp_wdlms_home_oph_16to20">Table5!$R$13</definedName>
    <definedName name="learners_wd_uhhbp_wdlms_home_oph_21to25">Table5!$U$13</definedName>
    <definedName name="learners_wd_uhhbp_wdlms_home_oph_g7tog10">Table5!$AD$13</definedName>
    <definedName name="learners_wd_uhhbp_wdlms_home_oph_tp">Table5!$AA$13</definedName>
    <definedName name="learners_wd_uhhbp_wdlms_home_shpcd_12to15">Table5!$O$16</definedName>
    <definedName name="learners_wd_uhhbp_wdlms_home_shpcd_16to20">Table5!$R$16</definedName>
    <definedName name="learners_wd_uhhbp_wdlms_home_shpcd_21to25">Table5!$U$16</definedName>
    <definedName name="learners_wd_uhhbp_wdlms_home_shpcd_g7tog10">Table5!$AD$16</definedName>
    <definedName name="learners_wd_uhhbp_wdlms_home_shpcd_tp">Table5!$AA$16</definedName>
    <definedName name="learners_wd_uhhbp_wdlms_home_sld_12to15">Table5!$O$14</definedName>
    <definedName name="learners_wd_uhhbp_wdlms_home_sld_16to20">Table5!$R$14</definedName>
    <definedName name="learners_wd_uhhbp_wdlms_home_sld_21to25">Table5!$U$14</definedName>
    <definedName name="learners_wd_uhhbp_wdlms_home_sld_g7tog10">Table5!$AD$14</definedName>
    <definedName name="learners_wd_uhhbp_wdlms_home_sld_tp">Table5!$AA$14</definedName>
    <definedName name="learners_wd_uhhbp_wdlms_home_vi_12to15">Table5!$O$7</definedName>
    <definedName name="learners_wd_uhhbp_wdlms_home_vi_16to20">Table5!$R$7</definedName>
    <definedName name="learners_wd_uhhbp_wdlms_home_vi_21to25">Table5!$U$7</definedName>
    <definedName name="learners_wd_uhhbp_wdlms_home_vi_g7tog10">Table5!$AD$7</definedName>
    <definedName name="learners_wd_uhhbp_wdlms_home_vi_tp">Table5!$AA$7</definedName>
    <definedName name="learners_wd_uhhbp_wdlms_hosp_asd_12to15">Table5!$AJ$11</definedName>
    <definedName name="learners_wd_uhhbp_wdlms_hosp_asd_16to20">Table5!$AM$11</definedName>
    <definedName name="learners_wd_uhhbp_wdlms_hosp_asd_21to25">Table5!$AP$11</definedName>
    <definedName name="learners_wd_uhhbp_wdlms_hosp_asd_g7tog10">Table5!$AY$11</definedName>
    <definedName name="learners_wd_uhhbp_wdlms_hosp_asd_tp">Table5!$AV$11</definedName>
    <definedName name="learners_wd_uhhbp_wdlms_hosp_ca_12to15">Table5!$AJ$17</definedName>
    <definedName name="learners_wd_uhhbp_wdlms_hosp_ca_16to20">Table5!$AM$17</definedName>
    <definedName name="learners_wd_uhhbp_wdlms_hosp_ca_21to25">Table5!$AP$17</definedName>
    <definedName name="learners_wd_uhhbp_wdlms_hosp_ca_g7tog10">Table5!$AY$17</definedName>
    <definedName name="learners_wd_uhhbp_wdlms_hosp_ca_tp">Table5!$AV$17</definedName>
    <definedName name="learners_wd_uhhbp_wdlms_hosp_cp_12to15">Table5!$AJ$15</definedName>
    <definedName name="learners_wd_uhhbp_wdlms_hosp_cp_16to20">Table5!$AM$15</definedName>
    <definedName name="learners_wd_uhhbp_wdlms_hosp_cp_21to25">Table5!$AP$15</definedName>
    <definedName name="learners_wd_uhhbp_wdlms_hosp_cp_g7tog10">Table5!$AY$15</definedName>
    <definedName name="learners_wd_uhhbp_wdlms_hosp_cp_tp">Table5!$AV$15</definedName>
    <definedName name="learners_wd_uhhbp_wdlms_hosp_ebd_12to15">Table5!$AJ$12</definedName>
    <definedName name="learners_wd_uhhbp_wdlms_hosp_ebd_16to20">Table5!$AM$12</definedName>
    <definedName name="learners_wd_uhhbp_wdlms_hosp_ebd_21to25">Table5!$AP$12</definedName>
    <definedName name="learners_wd_uhhbp_wdlms_hosp_ebd_g7tog10">Table5!$AY$12</definedName>
    <definedName name="learners_wd_uhhbp_wdlms_hosp_ebd_tp">Table5!$AV$12</definedName>
    <definedName name="learners_wd_uhhbp_wdlms_hosp_hi_12to15">Table5!$AJ$8</definedName>
    <definedName name="learners_wd_uhhbp_wdlms_hosp_hi_16to20">Table5!$AM$8</definedName>
    <definedName name="learners_wd_uhhbp_wdlms_hosp_hi_21to25">Table5!$AP$8</definedName>
    <definedName name="learners_wd_uhhbp_wdlms_hosp_hi_g7tog10">Table5!$AY$8</definedName>
    <definedName name="learners_wd_uhhbp_wdlms_hosp_hi_tp">Table5!$AV$8</definedName>
    <definedName name="learners_wd_uhhbp_wdlms_hosp_id_12to15">Table5!$AJ$10</definedName>
    <definedName name="learners_wd_uhhbp_wdlms_hosp_id_16to20">Table5!$AM$10</definedName>
    <definedName name="learners_wd_uhhbp_wdlms_hosp_id_21to25">Table5!$AP$10</definedName>
    <definedName name="learners_wd_uhhbp_wdlms_hosp_id_g7tog10">Table5!$AY$10</definedName>
    <definedName name="learners_wd_uhhbp_wdlms_hosp_id_tp">Table5!$AV$10</definedName>
    <definedName name="learners_wd_uhhbp_wdlms_hosp_ld_12to15">Table5!$AJ$9</definedName>
    <definedName name="learners_wd_uhhbp_wdlms_hosp_ld_16to20">Table5!$AM$9</definedName>
    <definedName name="learners_wd_uhhbp_wdlms_hosp_ld_21to25">Table5!$AP$9</definedName>
    <definedName name="learners_wd_uhhbp_wdlms_hosp_ld_g7tog10">Table5!$AY$9</definedName>
    <definedName name="learners_wd_uhhbp_wdlms_hosp_ld_tp">Table5!$AV$9</definedName>
    <definedName name="learners_wd_uhhbp_wdlms_hosp_md_12to15">Table5!$AJ$18</definedName>
    <definedName name="learners_wd_uhhbp_wdlms_hosp_md_16to20">Table5!$AM$18</definedName>
    <definedName name="learners_wd_uhhbp_wdlms_hosp_md_21to25">Table5!$AP$18</definedName>
    <definedName name="learners_wd_uhhbp_wdlms_hosp_md_g7tog10">Table5!$AY$18</definedName>
    <definedName name="learners_wd_uhhbp_wdlms_hosp_md_tp">Table5!$AV$18</definedName>
    <definedName name="learners_wd_uhhbp_wdlms_hosp_oph_12to15">Table5!$AJ$13</definedName>
    <definedName name="learners_wd_uhhbp_wdlms_hosp_oph_16to20">Table5!$AM$13</definedName>
    <definedName name="learners_wd_uhhbp_wdlms_hosp_oph_21to25">Table5!$AP$13</definedName>
    <definedName name="learners_wd_uhhbp_wdlms_hosp_oph_g7tog10">Table5!$AY$13</definedName>
    <definedName name="learners_wd_uhhbp_wdlms_hosp_oph_tp">Table5!$AV$13</definedName>
    <definedName name="learners_wd_uhhbp_wdlms_hosp_shpcd_12to15">Table5!$AJ$16</definedName>
    <definedName name="learners_wd_uhhbp_wdlms_hosp_shpcd_16to20">Table5!$AM$16</definedName>
    <definedName name="learners_wd_uhhbp_wdlms_hosp_shpcd_21to25">Table5!$AP$16</definedName>
    <definedName name="learners_wd_uhhbp_wdlms_hosp_shpcd_g7tog10">Table5!$AY$16</definedName>
    <definedName name="learners_wd_uhhbp_wdlms_hosp_shpcd_tp">Table5!$AV$16</definedName>
    <definedName name="learners_wd_uhhbp_wdlms_hosp_sld_12to15">Table5!$AJ$14</definedName>
    <definedName name="learners_wd_uhhbp_wdlms_hosp_sld_16to20">Table5!$AM$14</definedName>
    <definedName name="learners_wd_uhhbp_wdlms_hosp_sld_21to25">Table5!$AP$14</definedName>
    <definedName name="learners_wd_uhhbp_wdlms_hosp_sld_g7tog10">Table5!$AY$14</definedName>
    <definedName name="learners_wd_uhhbp_wdlms_hosp_sld_tp">Table5!$AV$14</definedName>
    <definedName name="learners_wd_uhhbp_wdlms_hosp_vi_12to15">Table5!$AJ$7</definedName>
    <definedName name="learners_wd_uhhbp_wdlms_hosp_vi_16to20">Table5!$AM$7</definedName>
    <definedName name="learners_wd_uhhbp_wdlms_hosp_vi_21to25">Table5!$AP$7</definedName>
    <definedName name="learners_wd_uhhbp_wdlms_hosp_vi_g7tog10">Table5!$AY$7</definedName>
    <definedName name="learners_wd_uhhbp_wdlms_hosp_vi_tp">Table5!$AV$7</definedName>
    <definedName name="learners_wd_uhhbp_wm_home_daas_12to15">Table5!$O$24</definedName>
    <definedName name="learners_wd_uhhbp_wm_home_daas_16to20">Table5!$R$24</definedName>
    <definedName name="learners_wd_uhhbp_wm_home_daas_21to25">Table5!$U$24</definedName>
    <definedName name="learners_wd_uhhbp_wm_home_daas_g7tog10">Table5!$AD$24</definedName>
    <definedName name="learners_wd_uhhbp_wm_home_daas_tp">Table5!$AA$24</definedName>
    <definedName name="learners_wd_uhhbp_wm_home_dak_12to15">Table5!$O$22</definedName>
    <definedName name="learners_wd_uhhbp_wm_home_dak_16to20">Table5!$R$22</definedName>
    <definedName name="learners_wd_uhhbp_wm_home_dak_21to25">Table5!$U$22</definedName>
    <definedName name="learners_wd_uhhbp_wm_home_dak_g7tog10">Table5!$AD$22</definedName>
    <definedName name="learners_wd_uhhbp_wm_home_dak_tp">Table5!$AA$22</definedName>
    <definedName name="learners_wd_uhhbp_wm_home_dc_12to15">Table5!$O$27</definedName>
    <definedName name="learners_wd_uhhbp_wm_home_dc_16to20">Table5!$R$27</definedName>
    <definedName name="learners_wd_uhhbp_wm_home_dc_21to25">Table5!$U$27</definedName>
    <definedName name="learners_wd_uhhbp_wm_home_dc_g7tog10">Table5!$AD$27</definedName>
    <definedName name="learners_wd_uhhbp_wm_home_dc_tp">Table5!$AA$27</definedName>
    <definedName name="learners_wd_uhhbp_wm_home_ddipb_12to15">Table5!$O$25</definedName>
    <definedName name="learners_wd_uhhbp_wm_home_ddipb_16to20">Table5!$R$25</definedName>
    <definedName name="learners_wd_uhhbp_wm_home_ddipb_21to25">Table5!$U$25</definedName>
    <definedName name="learners_wd_uhhbp_wm_home_ddipb_g7tog10">Table5!$AD$25</definedName>
    <definedName name="learners_wd_uhhbp_wm_home_ddipb_tp">Table5!$AA$25</definedName>
    <definedName name="learners_wd_uhhbp_wm_home_dh_12to15">Table5!$O$21</definedName>
    <definedName name="learners_wd_uhhbp_wm_home_dh_16to20">Table5!$R$21</definedName>
    <definedName name="learners_wd_uhhbp_wm_home_dh_21to25">Table5!$U$21</definedName>
    <definedName name="learners_wd_uhhbp_wm_home_dh_g7tog10">Table5!$AD$21</definedName>
    <definedName name="learners_wd_uhhbp_wm_home_dh_tp">Table5!$AA$21</definedName>
    <definedName name="learners_wd_uhhbp_wm_home_dm_12to15">Table5!$O$26</definedName>
    <definedName name="learners_wd_uhhbp_wm_home_dm_16to20">Table5!$R$26</definedName>
    <definedName name="learners_wd_uhhbp_wm_home_dm_21to25">Table5!$U$26</definedName>
    <definedName name="learners_wd_uhhbp_wm_home_dm_g7tog10">Table5!$AD$26</definedName>
    <definedName name="learners_wd_uhhbp_wm_home_dm_tp">Table5!$AA$26</definedName>
    <definedName name="learners_wd_uhhbp_wm_home_drcpau_12to15">Table5!$O$23</definedName>
    <definedName name="learners_wd_uhhbp_wm_home_drcpau_16to20">Table5!$R$23</definedName>
    <definedName name="learners_wd_uhhbp_wm_home_drcpau_21to25">Table5!$U$23</definedName>
    <definedName name="learners_wd_uhhbp_wm_home_drcpau_g7tog10">Table5!$AD$23</definedName>
    <definedName name="learners_wd_uhhbp_wm_home_drcpau_tp">Table5!$AA$23</definedName>
    <definedName name="learners_wd_uhhbp_wm_home_ds_12to15">Table5!$O$20</definedName>
    <definedName name="learners_wd_uhhbp_wm_home_ds_16to20">Table5!$R$20</definedName>
    <definedName name="learners_wd_uhhbp_wm_home_ds_21to25">Table5!$U$20</definedName>
    <definedName name="learners_wd_uhhbp_wm_home_ds_g7tog10">Table5!$AD$20</definedName>
    <definedName name="learners_wd_uhhbp_wm_home_ds_tp">Table5!$AA$20</definedName>
    <definedName name="locfundteach_lgu">'Tables7-8'!$N$7</definedName>
    <definedName name="locfundteach_others">'Tables7-8'!$T$7</definedName>
    <definedName name="locfundteach_sef_muni">'Tables7-8'!$H$7</definedName>
    <definedName name="locfundteach_sef_prov">'Tables7-8'!$B$7</definedName>
    <definedName name="lrnrs_BFA_f_excluding">Box31_part3b!$S$9</definedName>
    <definedName name="lrnrs_BFA_f_ip">Box31_part3b!$Y$9</definedName>
    <definedName name="lrnrs_BFA_f_muslim">Box31_part3b!$AE$9</definedName>
    <definedName name="lrnrs_BFA_f_pwd">Box31_part3b!$AK$9</definedName>
    <definedName name="lrnrs_BFA_m_excluding">Box31_part3b!$P$9</definedName>
    <definedName name="lrnrs_BFA_m_ip">Box31_part3b!$V$9</definedName>
    <definedName name="lrnrs_BFA_m_muslim">Box31_part3b!$AB$9</definedName>
    <definedName name="lrnrs_BFA_m_pwd">Box31_part3b!$AH$9</definedName>
    <definedName name="lrnrs_caaas_f_excluding">Box31_part3b!$S$27</definedName>
    <definedName name="lrnrs_caaas_f_ip">Box31_part3b!$Y$27</definedName>
    <definedName name="lrnrs_caaas_f_muslim">Box31_part3b!$AE$27</definedName>
    <definedName name="lrnrs_caaas_f_pwd">Box31_part3b!$AK$27</definedName>
    <definedName name="lrnrs_caaas_m_excluding">Box31_part3b!$P$27</definedName>
    <definedName name="lrnrs_caaas_m_ip">Box31_part3b!$V$27</definedName>
    <definedName name="lrnrs_caaas_m_muslim">Box31_part3b!$AB$27</definedName>
    <definedName name="lrnrs_caaas_m_pwd">Box31_part3b!$AH$27</definedName>
    <definedName name="lrnrs_camp_f_excluding">Box31_part3b!$S$24</definedName>
    <definedName name="lrnrs_camp_f_ip">Box31_part3b!$Y$24</definedName>
    <definedName name="lrnrs_camp_f_muslim">Box31_part3b!$AE$24</definedName>
    <definedName name="lrnrs_camp_f_pwd">Box31_part3b!$AK$24</definedName>
    <definedName name="lrnrs_camp_m_excluding">Box31_part3b!$P$24</definedName>
    <definedName name="lrnrs_camp_m_ip">Box31_part3b!$V$24</definedName>
    <definedName name="lrnrs_camp_m_muslim">Box31_part3b!$AB$24</definedName>
    <definedName name="lrnrs_camp_m_pwd">Box31_part3b!$AH$24</definedName>
    <definedName name="lrnrs_ccamart_f_excluding">Box31_part3b!$S$22</definedName>
    <definedName name="lrnrs_ccamart_f_ip">Box31_part3b!$Y$22</definedName>
    <definedName name="lrnrs_ccamart_f_muslim">Box31_part3b!$AE$22</definedName>
    <definedName name="lrnrs_ccamart_f_pwd">Box31_part3b!$AK$22</definedName>
    <definedName name="lrnrs_ccamart_m_excluding">Box31_part3b!$P$22</definedName>
    <definedName name="lrnrs_ccamart_m_ip">Box31_part3b!$V$22</definedName>
    <definedName name="lrnrs_ccamart_m_muslim">Box31_part3b!$AB$22</definedName>
    <definedName name="lrnrs_ccamart_m_pwd">Box31_part3b!$AH$22</definedName>
    <definedName name="lrnrs_ccamceleb_f_excluding">Box31_part3b!$S$32</definedName>
    <definedName name="lrnrs_ccamceleb_f_ip">Box31_part3b!$Y$32</definedName>
    <definedName name="lrnrs_ccamceleb_f_muslim">Box31_part3b!$AE$32</definedName>
    <definedName name="lrnrs_ccamceleb_f_pwd">Box31_part3b!$AK$32</definedName>
    <definedName name="lrnrs_ccamceleb_m_excluding">Box31_part3b!$P$32</definedName>
    <definedName name="lrnrs_ccamceleb_m_ip">Box31_part3b!$V$32</definedName>
    <definedName name="lrnrs_ccamceleb_m_muslim">Box31_part3b!$AB$32</definedName>
    <definedName name="lrnrs_ccamceleb_m_pwd">Box31_part3b!$AH$32</definedName>
    <definedName name="lrnrs_ccamothers_f_excluding">Box31_part3b!$S$33</definedName>
    <definedName name="lrnrs_ccamothers_f_ip">Box31_part3b!$Y$33</definedName>
    <definedName name="lrnrs_ccamothers_f_muslim">Box31_part3b!$AE$33</definedName>
    <definedName name="lrnrs_ccamothers_f_pwd">Box31_part3b!$AK$33</definedName>
    <definedName name="lrnrs_ccamothers_m_excluding">Box31_part3b!$P$33</definedName>
    <definedName name="lrnrs_ccamothers_m_ip">Box31_part3b!$V$33</definedName>
    <definedName name="lrnrs_ccamothers_m_muslim">Box31_part3b!$AB$33</definedName>
    <definedName name="lrnrs_ccamothers_m_pwd">Box31_part3b!$AH$33</definedName>
    <definedName name="lrnrs_ccamothers_specify">Box31_part3b!$E$34</definedName>
    <definedName name="lrnrs_celebdrrm_f_excluding">Box31_part3b!$S$13</definedName>
    <definedName name="lrnrs_celebdrrm_f_ip">Box31_part3b!$Y$13</definedName>
    <definedName name="lrnrs_celebdrrm_f_muslim">Box31_part3b!$AE$13</definedName>
    <definedName name="lrnrs_celebdrrm_f_pwd">Box31_part3b!$AK$13</definedName>
    <definedName name="lrnrs_celebdrrm_m_excluding">Box31_part3b!$P$13</definedName>
    <definedName name="lrnrs_celebdrrm_m_ip">Box31_part3b!$V$13</definedName>
    <definedName name="lrnrs_celebdrrm_m_muslim">Box31_part3b!$AB$13</definedName>
    <definedName name="lrnrs_celebdrrm_m_pwd">Box31_part3b!$AH$13</definedName>
    <definedName name="lrnrs_chngcurrent_f_excluding">Box31_part3b!$S$23</definedName>
    <definedName name="lrnrs_chngcurrent_f_ip">Box31_part3b!$Y$23</definedName>
    <definedName name="lrnrs_chngcurrent_f_muslim">Box31_part3b!$AE$23</definedName>
    <definedName name="lrnrs_chngcurrent_f_pwd">Box31_part3b!$AK$23</definedName>
    <definedName name="lrnrs_chngcurrent_m_excluding">Box31_part3b!$P$23</definedName>
    <definedName name="lrnrs_chngcurrent_m_ip">Box31_part3b!$V$23</definedName>
    <definedName name="lrnrs_chngcurrent_m_muslim">Box31_part3b!$AB$23</definedName>
    <definedName name="lrnrs_chngcurrent_m_pwd">Box31_part3b!$AH$23</definedName>
    <definedName name="lrnrs_coledppa_f_excluding">Box31_part3c!$R$10</definedName>
    <definedName name="lrnrs_coledppa_f_ip">Box31_part3c!$X$10</definedName>
    <definedName name="lrnrs_coledppa_f_muslim">Box31_part3c!$AD$10</definedName>
    <definedName name="lrnrs_coledppa_f_pwd">Box31_part3c!$AJ$10</definedName>
    <definedName name="lrnrs_coledppa_m_excluding">Box31_part3c!$O$10</definedName>
    <definedName name="lrnrs_coledppa_m_ip">Box31_part3c!$U$10</definedName>
    <definedName name="lrnrs_coledppa_m_muslim">Box31_part3c!$AA$10</definedName>
    <definedName name="lrnrs_coledppa_m_pwd">Box31_part3c!$AG$10</definedName>
    <definedName name="lrnrs_complete_training_f_excluding">Box31_part3c!$R$8</definedName>
    <definedName name="lrnrs_complete_training_f_ip">Box31_part3c!$X$8</definedName>
    <definedName name="lrnrs_complete_training_f_muslim">Box31_part3c!$AD$8</definedName>
    <definedName name="lrnrs_complete_training_f_pwd">Box31_part3c!$AJ$8</definedName>
    <definedName name="lrnrs_complete_training_m_excluding">Box31_part3c!$O$8</definedName>
    <definedName name="lrnrs_complete_training_m_ip">Box31_part3c!$U$8</definedName>
    <definedName name="lrnrs_complete_training_m_muslim">Box31_part3c!$AA$8</definedName>
    <definedName name="lrnrs_complete_training_m_pwd">Box31_part3c!$AG$8</definedName>
    <definedName name="lrnrs_consult_iecmats_survey_f_excluding">'Box31_part1&amp;2'!$Q$46</definedName>
    <definedName name="lrnrs_consult_iecmats_survey_f_ip">'Box31_part1&amp;2'!$W$46</definedName>
    <definedName name="lrnrs_consult_iecmats_survey_f_muslim">'Box31_part1&amp;2'!$AC$46</definedName>
    <definedName name="lrnrs_consult_iecmats_survey_f_pwd">'Box31_part1&amp;2'!$AI$46</definedName>
    <definedName name="lrnrs_consult_iecmats_survey_m_excluding">'Box31_part1&amp;2'!$N$46</definedName>
    <definedName name="lrnrs_consult_iecmats_survey_m_ip">'Box31_part1&amp;2'!$T$46</definedName>
    <definedName name="lrnrs_consult_iecmats_survey_m_muslim">'Box31_part1&amp;2'!$Z$46</definedName>
    <definedName name="lrnrs_consult_iecmats_survey_m_pwd">'Box31_part1&amp;2'!$AF$46</definedName>
    <definedName name="lrnrs_developed_iecmats_survey_f_excluding">'Box31_part1&amp;2'!$Q$47</definedName>
    <definedName name="lrnrs_developed_iecmats_survey_f_ip">'Box31_part1&amp;2'!$W$47</definedName>
    <definedName name="lrnrs_developed_iecmats_survey_f_muslim">'Box31_part1&amp;2'!$AC$47</definedName>
    <definedName name="lrnrs_developed_iecmats_survey_f_pwd">'Box31_part1&amp;2'!$AI$47</definedName>
    <definedName name="lrnrs_developed_iecmats_survey_m_excluding">'Box31_part1&amp;2'!$N$47</definedName>
    <definedName name="lrnrs_developed_iecmats_survey_m_ip">'Box31_part1&amp;2'!$T$47</definedName>
    <definedName name="lrnrs_developed_iecmats_survey_m_muslim">'Box31_part1&amp;2'!$Z$47</definedName>
    <definedName name="lrnrs_developed_iecmats_survey_m_pwd">'Box31_part1&amp;2'!$AF$47</definedName>
    <definedName name="lrnrs_drrmcamp_f_excluding">Box31_part3b!$S$14</definedName>
    <definedName name="lrnrs_drrmcamp_f_ip">Box31_part3b!$Y$14</definedName>
    <definedName name="lrnrs_drrmcamp_f_muslim">Box31_part3b!$AE$14</definedName>
    <definedName name="lrnrs_drrmcamp_f_pwd">Box31_part3b!$AK$14</definedName>
    <definedName name="lrnrs_drrmcamp_m_excluding">Box31_part3b!$P$14</definedName>
    <definedName name="lrnrs_drrmcamp_m_ip">Box31_part3b!$V$14</definedName>
    <definedName name="lrnrs_drrmcamp_m_muslim">Box31_part3b!$AB$14</definedName>
    <definedName name="lrnrs_drrmcamp_m_pwd">Box31_part3b!$AH$14</definedName>
    <definedName name="lrnrs_drrmothers_f_excluding">Box31_part3b!$S$18</definedName>
    <definedName name="lrnrs_drrmothers_f_ip">Box31_part3b!$Y$18</definedName>
    <definedName name="lrnrs_drrmothers_f_muslim">Box31_part3b!$AE$18</definedName>
    <definedName name="lrnrs_drrmothers_f_pwd">Box31_part3b!$AK$18</definedName>
    <definedName name="lrnrs_drrmothers_m_excluding">Box31_part3b!$P$18</definedName>
    <definedName name="lrnrs_drrmothers_m_ip">Box31_part3b!$V$18</definedName>
    <definedName name="lrnrs_drrmothers_m_muslim">Box31_part3b!$AB$18</definedName>
    <definedName name="lrnrs_drrmothers_m_pwd">Box31_part3b!$AH$18</definedName>
    <definedName name="lrnrs_FEP_f_excluding">Box31_part3b!$S$10</definedName>
    <definedName name="lrnrs_FEP_f_ip">Box31_part3b!$Y$10</definedName>
    <definedName name="lrnrs_FEP_f_muslim">Box31_part3b!$AE$10</definedName>
    <definedName name="lrnrs_FEP_f_pwd">Box31_part3b!$AK$10</definedName>
    <definedName name="lrnrs_FEP_m_excluding">Box31_part3b!$P$10</definedName>
    <definedName name="lrnrs_FEP_m_ip">Box31_part3b!$V$10</definedName>
    <definedName name="lrnrs_FEP_m_muslim">Box31_part3b!$AB$10</definedName>
    <definedName name="lrnrs_FEP_m_pwd">Box31_part3b!$AH$10</definedName>
    <definedName name="lrnrs_gulayan_f_excluding">Box31_part3b!$S$26</definedName>
    <definedName name="lrnrs_gulayan_f_ip">Box31_part3b!$Y$26</definedName>
    <definedName name="lrnrs_gulayan_f_muslim">Box31_part3b!$AE$26</definedName>
    <definedName name="lrnrs_gulayan_f_pwd">Box31_part3b!$AK$26</definedName>
    <definedName name="lrnrs_gulayan_m_excluding">Box31_part3b!$P$26</definedName>
    <definedName name="lrnrs_gulayan_m_ip">Box31_part3b!$V$26</definedName>
    <definedName name="lrnrs_gulayan_m_muslim">Box31_part3b!$AB$26</definedName>
    <definedName name="lrnrs_gulayan_m_pwd">Box31_part3b!$AH$26</definedName>
    <definedName name="lrnrs_hazmap_f_excluding">Box31_part3b!$S$11</definedName>
    <definedName name="lrnrs_hazmap_f_ip">Box31_part3b!$Y$11</definedName>
    <definedName name="lrnrs_hazmap_f_muslim">Box31_part3b!$AE$11</definedName>
    <definedName name="lrnrs_hazmap_f_pwd">Box31_part3b!$AK$11</definedName>
    <definedName name="lrnrs_hazmap_m_excluding">Box31_part3b!$P$11</definedName>
    <definedName name="lrnrs_hazmap_m_ip">Box31_part3b!$V$11</definedName>
    <definedName name="lrnrs_hazmap_m_muslim">Box31_part3b!$AB$11</definedName>
    <definedName name="lrnrs_hazmap_m_pwd">Box31_part3b!$AH$11</definedName>
    <definedName name="lrnrs_initiate_iecmats_survey_f_excluding">'Box31_part1&amp;2'!$Q$48</definedName>
    <definedName name="lrnrs_initiate_iecmats_survey_f_ip">'Box31_part1&amp;2'!$W$48</definedName>
    <definedName name="lrnrs_initiate_iecmats_survey_f_muslim">'Box31_part1&amp;2'!$AC$48</definedName>
    <definedName name="lrnrs_initiate_iecmats_survey_f_pwd">'Box31_part1&amp;2'!$AI$48</definedName>
    <definedName name="lrnrs_initiate_iecmats_survey_m_excluding">'Box31_part1&amp;2'!$N$48</definedName>
    <definedName name="lrnrs_initiate_iecmats_survey_m_ip">'Box31_part1&amp;2'!$T$48</definedName>
    <definedName name="lrnrs_initiate_iecmats_survey_m_muslim">'Box31_part1&amp;2'!$Z$48</definedName>
    <definedName name="lrnrs_initiate_iecmats_survey_m_pwd">'Box31_part1&amp;2'!$AF$48</definedName>
    <definedName name="lrnrs_journalism_f_excluding">Box31_part3b!$S$17</definedName>
    <definedName name="lrnrs_journalism_f_ip">Box31_part3b!$Y$17</definedName>
    <definedName name="lrnrs_journalism_f_muslim">Box31_part3b!$AE$17</definedName>
    <definedName name="lrnrs_journalism_f_pwd">Box31_part3b!$AK$17</definedName>
    <definedName name="lrnrs_journalism_m_excluding">Box31_part3b!$P$17</definedName>
    <definedName name="lrnrs_journalism_m_ip">Box31_part3b!$V$17</definedName>
    <definedName name="lrnrs_journalism_m_muslim">Box31_part3b!$AB$17</definedName>
    <definedName name="lrnrs_journalism_m_pwd">Box31_part3b!$AH$17</definedName>
    <definedName name="lrnrs_journalismtraining_f_excluding">Box31_part3b!$S$25</definedName>
    <definedName name="lrnrs_journalismtraining_f_ip">Box31_part3b!$Y$25</definedName>
    <definedName name="lrnrs_journalismtraining_f_muslim">Box31_part3b!$AE$25</definedName>
    <definedName name="lrnrs_journalismtraining_f_pwd">Box31_part3b!$AK$25</definedName>
    <definedName name="lrnrs_journalismtraining_m_excluding">Box31_part3b!$P$25</definedName>
    <definedName name="lrnrs_journalismtraining_m_ip">Box31_part3b!$V$25</definedName>
    <definedName name="lrnrs_journalismtraining_m_muslim">Box31_part3b!$AB$25</definedName>
    <definedName name="lrnrs_journalismtraining_m_pwd">Box31_part3b!$AH$25</definedName>
    <definedName name="lrnrs_ledppa_ccam">Box31_part3c!$K$20</definedName>
    <definedName name="lrnrs_ledppa_drrm">Box31_part3c!$K$19</definedName>
    <definedName name="lrnrs_ledppa_f_excluding">Box31_part3c!$R$11</definedName>
    <definedName name="lrnrs_ledppa_f_ip">Box31_part3c!$X$11</definedName>
    <definedName name="lrnrs_ledppa_f_muslim">Box31_part3c!$AD$11</definedName>
    <definedName name="lrnrs_ledppa_f_pwd">Box31_part3c!$AJ$11</definedName>
    <definedName name="lrnrs_ledppa_m_excluding">Box31_part3c!$O$11</definedName>
    <definedName name="lrnrs_ledppa_m_ip">Box31_part3c!$U$11</definedName>
    <definedName name="lrnrs_ledppa_m_muslim">Box31_part3c!$AA$11</definedName>
    <definedName name="lrnrs_ledppa_m_pwd">Box31_part3c!$AG$11</definedName>
    <definedName name="lrnrs_ledppa_peacebuilding">Box31_part3c!$K$21</definedName>
    <definedName name="lrnrs_onlinemhpss_f_excluding">Box31_part3b!$S$12</definedName>
    <definedName name="lrnrs_onlinemhpss_f_ip">Box31_part3b!$Y$12</definedName>
    <definedName name="lrnrs_onlinemhpss_f_muslim">Box31_part3b!$AE$12</definedName>
    <definedName name="lrnrs_onlinemhpss_f_pwd">Box31_part3b!$AK$12</definedName>
    <definedName name="lrnrs_onlinemhpss_m_excluding">Box31_part3b!$P$12</definedName>
    <definedName name="lrnrs_onlinemhpss_m_ip">Box31_part3b!$V$12</definedName>
    <definedName name="lrnrs_onlinemhpss_m_muslim">Box31_part3b!$AB$12</definedName>
    <definedName name="lrnrs_onlinemhpss_m_pwd">Box31_part3b!$AH$12</definedName>
    <definedName name="lrnrs_participate_iecmats_survey_f_excluding">'Box31_part1&amp;2'!$Q$45</definedName>
    <definedName name="lrnrs_participate_iecmats_survey_f_ip">'Box31_part1&amp;2'!$W$45</definedName>
    <definedName name="lrnrs_participate_iecmats_survey_f_muslim">'Box31_part1&amp;2'!$AC$45</definedName>
    <definedName name="lrnrs_participate_iecmats_survey_f_pwd">'Box31_part1&amp;2'!$AI$45</definedName>
    <definedName name="lrnrs_participate_iecmats_survey_m_excluding">'Box31_part1&amp;2'!$N$45</definedName>
    <definedName name="lrnrs_participate_iecmats_survey_m_ip">'Box31_part1&amp;2'!$T$45</definedName>
    <definedName name="lrnrs_participate_iecmats_survey_m_muslim">'Box31_part1&amp;2'!$Z$45</definedName>
    <definedName name="lrnrs_participate_iecmats_survey_m_pwd">'Box31_part1&amp;2'!$AF$45</definedName>
    <definedName name="lrnrs_peacecamps_f_excluding">Box31_part3b!$S$37</definedName>
    <definedName name="lrnrs_peacecamps_f_ip">Box31_part3b!$Y$37</definedName>
    <definedName name="lrnrs_peacecamps_f_muslim">Box31_part3b!$AE$37</definedName>
    <definedName name="lrnrs_peacecamps_f_pwd">Box31_part3b!$AK$37</definedName>
    <definedName name="lrnrs_peacecamps_m_excluding">Box31_part3b!$P$37</definedName>
    <definedName name="lrnrs_peacecamps_m_ip">Box31_part3b!$V$37</definedName>
    <definedName name="lrnrs_peacecamps_m_muslim">Box31_part3b!$AB$37</definedName>
    <definedName name="lrnrs_peacecamps_m_pwd">Box31_part3b!$AH$37</definedName>
    <definedName name="lrnrs_peaceceleb_f_excluding">Box31_part3b!$S$40</definedName>
    <definedName name="lrnrs_peaceceleb_f_ip">Box31_part3b!$Y$40</definedName>
    <definedName name="lrnrs_peaceceleb_f_muslim">Box31_part3b!$AE$40</definedName>
    <definedName name="lrnrs_peaceceleb_f_pwd">Box31_part3b!$AK$40</definedName>
    <definedName name="lrnrs_peaceceleb_m_excluding">Box31_part3b!$P$40</definedName>
    <definedName name="lrnrs_peaceceleb_m_ip">Box31_part3b!$V$40</definedName>
    <definedName name="lrnrs_peaceceleb_m_muslim">Box31_part3b!$AB$40</definedName>
    <definedName name="lrnrs_peaceceleb_m_pwd">Box31_part3b!$AH$40</definedName>
    <definedName name="lrnrs_peacecontests_f_excluding">Box31_part3b!$S$39</definedName>
    <definedName name="lrnrs_peacecontests_f_ip">Box31_part3b!$Y$39</definedName>
    <definedName name="lrnrs_peacecontests_f_muslim">Box31_part3b!$AE$39</definedName>
    <definedName name="lrnrs_peacecontests_f_pwd">Box31_part3b!$AK$39</definedName>
    <definedName name="lrnrs_peacecontests_m_excluding">Box31_part3b!$P$39</definedName>
    <definedName name="lrnrs_peacecontests_m_ip">Box31_part3b!$V$39</definedName>
    <definedName name="lrnrs_peacecontests_m_muslim">Box31_part3b!$AB$39</definedName>
    <definedName name="lrnrs_peacecontests_m_pwd">Box31_part3b!$AH$39</definedName>
    <definedName name="lrnrs_peaceothers_f_excluding">Box31_part3b!$S$41</definedName>
    <definedName name="lrnrs_peaceothers_f_ip">Box31_part3b!$Y$41</definedName>
    <definedName name="lrnrs_peaceothers_f_muslim">Box31_part3b!$AE$41</definedName>
    <definedName name="lrnrs_peaceothers_f_pwd">Box31_part3b!$AK$41</definedName>
    <definedName name="lrnrs_peaceothers_m_excluding">Box31_part3b!$P$41</definedName>
    <definedName name="lrnrs_peaceothers_m_ip">Box31_part3b!$V$41</definedName>
    <definedName name="lrnrs_peaceothers_m_muslim">Box31_part3b!$AB$41</definedName>
    <definedName name="lrnrs_peaceothers_m_pwd">Box31_part3b!$AH$41</definedName>
    <definedName name="lrnrs_peaceothers_specify">Box31_part3b!$E$42</definedName>
    <definedName name="lrnrs_ptop_mhpss_f_excluding">Box31_part3d!$G$26</definedName>
    <definedName name="lrnrs_ptop_mhpss_f_ip">Box31_part3d!$M$26</definedName>
    <definedName name="lrnrs_ptop_mhpss_f_muslim">Box31_part3d!$S$26</definedName>
    <definedName name="lrnrs_ptop_mhpss_f_pwd">Box31_part3d!$Y$26</definedName>
    <definedName name="lrnrs_ptop_mhpss_m_excluding">Box31_part3d!$D$26</definedName>
    <definedName name="lrnrs_ptop_mhpss_m_ip">Box31_part3d!$J$26</definedName>
    <definedName name="lrnrs_ptop_mhpss_m_muslim">Box31_part3d!$P$26</definedName>
    <definedName name="lrnrs_ptop_mhpss_m_pwd">Box31_part3d!$V$26</definedName>
    <definedName name="lrnrs_recycling_f_excluding">Box31_part3b!$S$29</definedName>
    <definedName name="lrnrs_recycling_f_ip">Box31_part3b!$Y$29</definedName>
    <definedName name="lrnrs_recycling_f_muslim">Box31_part3b!$AE$29</definedName>
    <definedName name="lrnrs_recycling_f_pwd">Box31_part3b!$AK$29</definedName>
    <definedName name="lrnrs_recycling_m_excluding">Box31_part3b!$P$29</definedName>
    <definedName name="lrnrs_recycling_m_ip">Box31_part3b!$V$29</definedName>
    <definedName name="lrnrs_recycling_m_muslim">Box31_part3b!$AB$29</definedName>
    <definedName name="lrnrs_recycling_m_pwd">Box31_part3b!$AH$29</definedName>
    <definedName name="lrnrs_swm_f_excluding">Box31_part3b!$S$28</definedName>
    <definedName name="lrnrs_swm_f_ip">Box31_part3b!$Y$28</definedName>
    <definedName name="lrnrs_swm_f_muslim">Box31_part3b!$AE$28</definedName>
    <definedName name="lrnrs_swm_f_pwd">Box31_part3b!$AK$28</definedName>
    <definedName name="lrnrs_swm_m_excluding">Box31_part3b!$P$28</definedName>
    <definedName name="lrnrs_swm_m_ip">Box31_part3b!$V$28</definedName>
    <definedName name="lrnrs_swm_m_muslim">Box31_part3b!$AB$28</definedName>
    <definedName name="lrnrs_swm_m_pwd">Box31_part3b!$AH$28</definedName>
    <definedName name="lrnrs_trained_f_excluding">Box31_part3c!$R$9</definedName>
    <definedName name="lrnrs_trained_f_ip">Box31_part3c!$X$9</definedName>
    <definedName name="lrnrs_trained_f_muslim">Box31_part3c!$AD$9</definedName>
    <definedName name="lrnrs_trained_f_pwd">Box31_part3c!$AJ$9</definedName>
    <definedName name="lrnrs_trained_m_excluding">Box31_part3c!$O$9</definedName>
    <definedName name="lrnrs_trained_m_ip">Box31_part3c!$U$9</definedName>
    <definedName name="lrnrs_trained_m_muslim">Box31_part3c!$AA$9</definedName>
    <definedName name="lrnrs_trained_m_pwd">Box31_part3c!$AG$9</definedName>
    <definedName name="lrnrs_treeplanting_f_excluding">Box31_part3b!$S$30</definedName>
    <definedName name="lrnrs_treeplanting_f_ip">Box31_part3b!$Y$30</definedName>
    <definedName name="lrnrs_treeplanting_f_muslim">Box31_part3b!$AE$30</definedName>
    <definedName name="lrnrs_treeplanting_f_pwd">Box31_part3b!$AK$30</definedName>
    <definedName name="lrnrs_treeplanting_m_excluding">Box31_part3b!$P$30</definedName>
    <definedName name="lrnrs_treeplanting_m_ip">Box31_part3b!$V$30</definedName>
    <definedName name="lrnrs_treeplanting_m_muslim">Box31_part3b!$AB$30</definedName>
    <definedName name="lrnrs_treeplanting_m_pwd">Box31_part3b!$AH$30</definedName>
    <definedName name="lrnrs_yac_f_excluding">Box31_part3b!$S$16</definedName>
    <definedName name="lrnrs_yac_f_ip">Box31_part3b!$Y$16</definedName>
    <definedName name="lrnrs_yac_f_muslim">Box31_part3b!$AE$16</definedName>
    <definedName name="lrnrs_yac_f_pwd">Box31_part3b!$AK$16</definedName>
    <definedName name="lrnrs_yac_m_excluding">Box31_part3b!$P$16</definedName>
    <definedName name="lrnrs_yac_m_ip">Box31_part3b!$V$16</definedName>
    <definedName name="lrnrs_yac_m_muslim">Box31_part3b!$AB$16</definedName>
    <definedName name="lrnrs_yac_m_pwd">Box31_part3b!$AH$16</definedName>
    <definedName name="lrnrs_youthcouncil_f_excluding">Box31_part3b!$S$15</definedName>
    <definedName name="lrnrs_youthcouncil_f_ip">Box31_part3b!$Y$15</definedName>
    <definedName name="lrnrs_youthcouncil_f_muslim">Box31_part3b!$AE$15</definedName>
    <definedName name="lrnrs_youthcouncil_f_pwd">Box31_part3b!$AK$15</definedName>
    <definedName name="lrnrs_youthcouncil_m_excluding">Box31_part3b!$P$15</definedName>
    <definedName name="lrnrs_youthcouncil_m_ip">Box31_part3b!$V$15</definedName>
    <definedName name="lrnrs_youthcouncil_m_muslim">Box31_part3b!$AB$15</definedName>
    <definedName name="lrnrs_youthcouncil_m_pwd">Box31_part3b!$AH$15</definedName>
    <definedName name="lrnrs_youthnetworks_f_excluding">Box31_part3b!$S$38</definedName>
    <definedName name="lrnrs_youthnetworks_f_ip">Box31_part3b!$Y$38</definedName>
    <definedName name="lrnrs_youthnetworks_f_muslim">Box31_part3b!$AE$38</definedName>
    <definedName name="lrnrs_youthnetworks_f_pwd">Box31_part3b!$AK$38</definedName>
    <definedName name="lrnrs_youthnetworks_m_excluding">Box31_part3b!$P$38</definedName>
    <definedName name="lrnrs_youthnetworks_m_ip">Box31_part3b!$V$38</definedName>
    <definedName name="lrnrs_youthnetworks_m_muslim">Box31_part3b!$AB$38</definedName>
    <definedName name="lrnrs_youthnetworks_m_pwd">Box31_part3b!$AH$38</definedName>
    <definedName name="lrnrs_ysc_f_excluding">Box31_part3b!$S$31</definedName>
    <definedName name="lrnrs_ysc_f_ip">Box31_part3b!$Y$31</definedName>
    <definedName name="lrnrs_ysc_f_muslim">Box31_part3b!$AE$31</definedName>
    <definedName name="lrnrs_ysc_f_pwd">Box31_part3b!$AK$31</definedName>
    <definedName name="lrnrs_ysc_m_excluding">Box31_part3b!$P$31</definedName>
    <definedName name="lrnrs_ysc_m_ip">Box31_part3b!$V$31</definedName>
    <definedName name="lrnrs_ysc_m_muslim">Box31_part3b!$AB$31</definedName>
    <definedName name="lrnrs_ysc_m_pwd">Box31_part3b!$AH$31</definedName>
    <definedName name="lrns_drrmothers_specify">Box31_part3b!$E$19</definedName>
    <definedName name="mathnsciteach_eng_engmaj_fulltime">'Tables18-21'!$G$40</definedName>
    <definedName name="mathnsciteach_eng_engmaj_parttime">'Tables18-21'!$AH$40</definedName>
    <definedName name="mathnsciteach_eng_engmin_fulltime">'Tables18-21'!$S$40</definedName>
    <definedName name="mathnsciteach_eng_engmin_parttime">'Tables18-21'!$AT$40</definedName>
    <definedName name="mathnsciteach_eng_filmaj_fulltime">'Tables18-21'!$J$40</definedName>
    <definedName name="mathnsciteach_eng_filmaj_parttime">'Tables18-21'!$AK$40</definedName>
    <definedName name="mathnsciteach_eng_filmin_fulltime">'Tables18-21'!$V$40</definedName>
    <definedName name="mathnsciteach_eng_filmin_parttime">'Tables18-21'!$AW$40</definedName>
    <definedName name="mathnsciteach_eng_mathmaj_fulltime">'Tables18-21'!$M$40</definedName>
    <definedName name="mathnsciteach_eng_mathmaj_parttime">'Tables18-21'!$AN$40</definedName>
    <definedName name="mathnsciteach_eng_mathmin_fulltime">'Tables18-21'!$Y$40</definedName>
    <definedName name="mathnsciteach_eng_mathmin_parttime">'Tables18-21'!$AZ$40</definedName>
    <definedName name="mathnsciteach_eng_othermajmin_fulltime">'Tables18-21'!$AE$40</definedName>
    <definedName name="mathnsciteach_eng_othermajmin_parttime">'Tables18-21'!$BF$40</definedName>
    <definedName name="mathnsciteach_eng_scimaj_fulltime">'Tables18-21'!$P$40</definedName>
    <definedName name="mathnsciteach_eng_scimaj_parttime">'Tables18-21'!$AQ$40</definedName>
    <definedName name="mathnsciteach_eng_scimin_fulltime">'Tables18-21'!$AB$40</definedName>
    <definedName name="mathnsciteach_eng_scimin_parttime">'Tables18-21'!$BC$40</definedName>
    <definedName name="mathnsciteach_fil_engmaj_fulltime">'Tables18-21'!$G$41</definedName>
    <definedName name="mathnsciteach_fil_engmaj_parttime">'Tables18-21'!$AH$41</definedName>
    <definedName name="mathnsciteach_fil_engmin_fulltime">'Tables18-21'!$S$41</definedName>
    <definedName name="mathnsciteach_fil_engmin_parttime">'Tables18-21'!$AT$41</definedName>
    <definedName name="mathnsciteach_fil_filmaj_fulltime">'Tables18-21'!$J$41</definedName>
    <definedName name="mathnsciteach_fil_filmaj_parttime">'Tables18-21'!$AK$41</definedName>
    <definedName name="mathnsciteach_fil_filmin_fulltime">'Tables18-21'!$V$41</definedName>
    <definedName name="mathnsciteach_fil_filmin_parttime">'Tables18-21'!$AW$41</definedName>
    <definedName name="mathnsciteach_fil_mathmaj_fulltime">'Tables18-21'!$M$41</definedName>
    <definedName name="mathnsciteach_fil_mathmaj_parttime">'Tables18-21'!$AN$41</definedName>
    <definedName name="mathnsciteach_fil_mathmin_fulltime">'Tables18-21'!$Y$41</definedName>
    <definedName name="mathnsciteach_fil_mathmin_parttime">'Tables18-21'!$AZ$41</definedName>
    <definedName name="mathnsciteach_fil_othermajmin_fulltime">'Tables18-21'!$AE$41</definedName>
    <definedName name="mathnsciteach_fil_othermajmin_parttime">'Tables18-21'!$BF$41</definedName>
    <definedName name="mathnsciteach_fil_scimaj_fulltime">'Tables18-21'!$P$41</definedName>
    <definedName name="mathnsciteach_fil_scimaj_parttime">'Tables18-21'!$AQ$41</definedName>
    <definedName name="mathnsciteach_fil_scimin_fulltime">'Tables18-21'!$AB$41</definedName>
    <definedName name="mathnsciteach_fil_scimin_parttime">'Tables18-21'!$BC$41</definedName>
    <definedName name="mathnsciteach_math_engmaj_fulltime">'Tables18-21'!$G$42</definedName>
    <definedName name="mathnsciteach_math_engmaj_parttime">'Tables18-21'!$AH$42</definedName>
    <definedName name="mathnsciteach_math_engmin_fulltime">'Tables18-21'!$S$42</definedName>
    <definedName name="mathnsciteach_math_engmin_parttime">'Tables18-21'!$AT$42</definedName>
    <definedName name="mathnsciteach_math_filmaj_fulltime">'Tables18-21'!$J$42</definedName>
    <definedName name="mathnsciteach_math_filmaj_parttime">'Tables18-21'!$AK$42</definedName>
    <definedName name="mathnsciteach_math_filmin_fulltime">'Tables18-21'!$V$42</definedName>
    <definedName name="mathnsciteach_math_filmin_parttime">'Tables18-21'!$AW$42</definedName>
    <definedName name="mathnsciteach_math_mathmaj_fulltime">'Tables18-21'!$M$42</definedName>
    <definedName name="mathnsciteach_math_mathmaj_parttime">'Tables18-21'!$AN$42</definedName>
    <definedName name="mathnsciteach_math_mathmin_fulltime">'Tables18-21'!$Y$42</definedName>
    <definedName name="mathnsciteach_math_mathmin_parttime">'Tables18-21'!$AZ$42</definedName>
    <definedName name="mathnsciteach_math_othermajmin_fulltime">'Tables18-21'!$AE$42</definedName>
    <definedName name="mathnsciteach_math_othermajmin_parttime">'Tables18-21'!$BF$42</definedName>
    <definedName name="mathnsciteach_math_scimaj_fulltime">'Tables18-21'!$P$42</definedName>
    <definedName name="mathnsciteach_math_scimaj_parttime">'Tables18-21'!$AQ$42</definedName>
    <definedName name="mathnsciteach_math_scimin_fulltime">'Tables18-21'!$AB$42</definedName>
    <definedName name="mathnsciteach_math_scimin_parttime">'Tables18-21'!$BC$42</definedName>
    <definedName name="mathnsciteach_sci_engmaj_fulltime">'Tables18-21'!$G$43</definedName>
    <definedName name="mathnsciteach_sci_engmaj_parttime">'Tables18-21'!$AH$43</definedName>
    <definedName name="mathnsciteach_sci_engmin_fulltime">'Tables18-21'!$S$43</definedName>
    <definedName name="mathnsciteach_sci_engmin_parttime">'Tables18-21'!$AT$43</definedName>
    <definedName name="mathnsciteach_sci_filmaj_fulltime">'Tables18-21'!$J$43</definedName>
    <definedName name="mathnsciteach_sci_filmaj_parttime">'Tables18-21'!$AK$43</definedName>
    <definedName name="mathnsciteach_sci_filmin_fulltime">'Tables18-21'!$V$43</definedName>
    <definedName name="mathnsciteach_sci_filmin_parttime">'Tables18-21'!$AW$43</definedName>
    <definedName name="mathnsciteach_sci_mathmaj_fulltime">'Tables18-21'!$M$43</definedName>
    <definedName name="mathnsciteach_sci_mathmaj_parttime">'Tables18-21'!$AN$43</definedName>
    <definedName name="mathnsciteach_sci_mathmin_fulltime">'Tables18-21'!$Y$43</definedName>
    <definedName name="mathnsciteach_sci_mathmin_parttime">'Tables18-21'!$AZ$43</definedName>
    <definedName name="mathnsciteach_sci_othermajmin_fulltime">'Tables18-21'!$AE$43</definedName>
    <definedName name="mathnsciteach_sci_othermajmin_parttime">'Tables18-21'!$BF$43</definedName>
    <definedName name="mathnsciteach_sci_scimaj_fulltime">'Tables18-21'!$P$43</definedName>
    <definedName name="mathnsciteach_sci_scimaj_parttime">'Tables18-21'!$AQ$43</definedName>
    <definedName name="mathnsciteach_sci_scimin_fulltime">'Tables18-21'!$AB$43</definedName>
    <definedName name="mathnsciteach_sci_scimin_parttime">'Tables18-21'!$BC$43</definedName>
    <definedName name="menshygiene_avail_sanpads_yes">'Box 21-23'!$X$34</definedName>
    <definedName name="menshygiene_avail_sanpads_yes_canteen">'Box 21-23'!$I$36</definedName>
    <definedName name="menshygiene_avail_sanpads_yes_clinic">'Box 21-23'!$I$37</definedName>
    <definedName name="menshygiene_avail_sanpads_yes_guidance_ofc">'Box 21-23'!$U$36</definedName>
    <definedName name="menshygiene_avail_sanpads_yes_others">'Box 21-23'!$U$37</definedName>
    <definedName name="mhpss_conducted_ccam_learner">Box31_part3d!$I$19</definedName>
    <definedName name="mhpss_conducted_ccam_teacher">Box31_part3d!$N$19</definedName>
    <definedName name="mhpss_conducted_drrm_learner">Box31_part3d!$I$18</definedName>
    <definedName name="mhpss_conducted_drrm_teacher">Box31_part3d!$N$18</definedName>
    <definedName name="mhpss_conducted_peacebuilding_learner">Box31_part3d!$I$20</definedName>
    <definedName name="mhpss_conducted_peacebuilding_teacher">Box31_part3d!$N$20</definedName>
    <definedName name="mooe_alloc_jantodec_amount">'Table32-Box8'!$J$6</definedName>
    <definedName name="mooe_liqui_jantodec_amount">'Table32-Box8'!$J$8</definedName>
    <definedName name="mooe_utili_jantodec_amount">'Table32-Box8'!$J$7</definedName>
    <definedName name="mother_sch_id">SchInfo!$R$34</definedName>
    <definedName name="NCR">list!$Q$2:$Q$17</definedName>
    <definedName name="number_trained_module_adm_nonteaching_f">Box31_part3c!$AH$34</definedName>
    <definedName name="number_trained_module_adm_nonteaching_m">Box31_part3c!$AE$34</definedName>
    <definedName name="number_trained_module_adm_teaching_f">Box31_part3c!$AB$34</definedName>
    <definedName name="number_trained_module_adm_teaching_m">Box31_part3c!$Y$34</definedName>
    <definedName name="number_trained_module_beie_nonteaching_f">Box31_part3c!$AH$39</definedName>
    <definedName name="number_trained_module_beie_nonteaching_m">Box31_part3c!$AE$39</definedName>
    <definedName name="number_trained_module_beie_teaching_f">Box31_part3c!$AB$39</definedName>
    <definedName name="number_trained_module_beie_teaching_m">Box31_part3c!$Y$39</definedName>
    <definedName name="number_trained_module_camp_mgmt_nonteaching_f">Box31_part3c!$AH$37</definedName>
    <definedName name="number_trained_module_camp_mgmt_nonteaching_m">Box31_part3c!$AE$37</definedName>
    <definedName name="number_trained_module_camp_mgmt_teaching_f">Box31_part3c!$AB$37</definedName>
    <definedName name="number_trained_module_camp_mgmt_teaching_m">Box31_part3c!$Y$37</definedName>
    <definedName name="number_trained_module_cchange_global_nonteaching_f">Box31_part3c!$AH$45</definedName>
    <definedName name="number_trained_module_cchange_global_nonteaching_m">Box31_part3c!$AE$45</definedName>
    <definedName name="number_trained_module_cchange_global_teaching_f">Box31_part3c!$AB$45</definedName>
    <definedName name="number_trained_module_cchange_global_teaching_m">Box31_part3c!$Y$45</definedName>
    <definedName name="number_trained_module_cdrrmef_nonteaching_f">Box31_part3c!$AH$31</definedName>
    <definedName name="number_trained_module_cdrrmef_nonteaching_m">Box31_part3c!$AE$31</definedName>
    <definedName name="number_trained_module_cdrrmef_teaching_f">Box31_part3c!$AB$31</definedName>
    <definedName name="number_trained_module_cdrrmef_teaching_m">Box31_part3c!$Y$31</definedName>
    <definedName name="number_trained_module_common_hazards_nonteaching_f">Box31_part3c!$AH$42</definedName>
    <definedName name="number_trained_module_common_hazards_nonteaching_m">Box31_part3c!$AE$42</definedName>
    <definedName name="number_trained_module_common_hazards_teaching_f">Box31_part3c!$AB$42</definedName>
    <definedName name="number_trained_module_common_hazards_teaching_m">Box31_part3c!$Y$42</definedName>
    <definedName name="number_trained_module_contingency_nonteaching_f">Box31_part3c!$AH$41</definedName>
    <definedName name="number_trained_module_contingency_nonteaching_m">Box31_part3c!$AE$41</definedName>
    <definedName name="number_trained_module_contingency_teaching_f">Box31_part3c!$AB$41</definedName>
    <definedName name="number_trained_module_contingency_teaching_m">Box31_part3c!$Y$41</definedName>
    <definedName name="number_trained_module_eie_nonteaching_f">Box31_part3c!$AH$33</definedName>
    <definedName name="number_trained_module_eie_nonteaching_m">Box31_part3c!$AE$33</definedName>
    <definedName name="number_trained_module_eie_teaching_f">Box31_part3c!$AB$33</definedName>
    <definedName name="number_trained_module_eie_teaching_m">Box31_part3c!$Y$33</definedName>
    <definedName name="number_trained_module_im_nonteaching_f">Box31_part3c!$AH$35</definedName>
    <definedName name="number_trained_module_im_nonteaching_m">Box31_part3c!$AE$35</definedName>
    <definedName name="number_trained_module_im_teaching_f">Box31_part3c!$AB$35</definedName>
    <definedName name="number_trained_module_im_teaching_m">Box31_part3c!$Y$35</definedName>
    <definedName name="number_trained_module_inclusive_childcenter_nonteaching_f">Box31_part3c!$AH$32</definedName>
    <definedName name="number_trained_module_inclusive_childcenter_nonteaching_m">Box31_part3c!$AE$32</definedName>
    <definedName name="number_trained_module_inclusive_childcenter_teaching_f">Box31_part3c!$AB$32</definedName>
    <definedName name="number_trained_module_inclusive_childcenter_teaching_m">Box31_part3c!$Y$32</definedName>
    <definedName name="number_trained_module_intl_ntl_foundations_nonteaching_f">Box31_part3c!$AH$30</definedName>
    <definedName name="number_trained_module_intl_ntl_foundations_nonteaching_m">Box31_part3c!$AE$30</definedName>
    <definedName name="number_trained_module_intl_ntl_foundations_teaching_f">Box31_part3c!$AB$30</definedName>
    <definedName name="number_trained_module_intl_ntl_foundations_teaching_m">Box31_part3c!$Y$30</definedName>
    <definedName name="number_trained_module_life_support_nonteaching_f">Box31_part3c!$AH$49</definedName>
    <definedName name="number_trained_module_life_support_nonteaching_m">Box31_part3c!$AE$49</definedName>
    <definedName name="number_trained_module_life_support_teaching_f">Box31_part3c!$AB$49</definedName>
    <definedName name="number_trained_module_life_support_teaching_m">Box31_part3c!$Y$49</definedName>
    <definedName name="number_trained_module_mainstream_planning_nonteaching_f">Box31_part3c!$AH$43</definedName>
    <definedName name="number_trained_module_mainstream_planning_nonteaching_m">Box31_part3c!$AE$43</definedName>
    <definedName name="number_trained_module_mainstream_planning_teaching_f">Box31_part3c!$AB$43</definedName>
    <definedName name="number_trained_module_mainstream_planning_teaching_m">Box31_part3c!$Y$43</definedName>
    <definedName name="number_trained_module_mhpss_nonteaching_f">Box31_part3c!$AH$48</definedName>
    <definedName name="number_trained_module_mhpss_nonteaching_m">Box31_part3c!$AE$48</definedName>
    <definedName name="number_trained_module_mhpss_teaching_f">Box31_part3c!$AB$48</definedName>
    <definedName name="number_trained_module_mhpss_teaching_m">Box31_part3c!$Y$48</definedName>
    <definedName name="number_trained_module_others_nonteaching_f">Box31_part3c!$AH$51</definedName>
    <definedName name="number_trained_module_others_nonteaching_m">Box31_part3c!$AE$51</definedName>
    <definedName name="number_trained_module_others_specify">Box31_part3c!$F$52</definedName>
    <definedName name="number_trained_module_others_teaching_f">Box31_part3c!$AB$51</definedName>
    <definedName name="number_trained_module_others_teaching_m">Box31_part3c!$Y$51</definedName>
    <definedName name="number_trained_module_peace_conflict_nonteaching_f">Box31_part3c!$AH$46</definedName>
    <definedName name="number_trained_module_peace_conflict_nonteaching_m">Box31_part3c!$AE$46</definedName>
    <definedName name="number_trained_module_peace_conflict_teaching_f">Box31_part3c!$AB$46</definedName>
    <definedName name="number_trained_module_peace_conflict_teaching_m">Box31_part3c!$Y$46</definedName>
    <definedName name="number_trained_module_resource_mobil_nonteaching_f">Box31_part3c!$AH$40</definedName>
    <definedName name="number_trained_module_resource_mobil_nonteaching_m">Box31_part3c!$AE$40</definedName>
    <definedName name="number_trained_module_resource_mobil_teaching_f">Box31_part3c!$AB$40</definedName>
    <definedName name="number_trained_module_resource_mobil_teaching_m">Box31_part3c!$Y$40</definedName>
    <definedName name="number_trained_module_schoolbased_nonteaching_f">Box31_part3c!$AH$36</definedName>
    <definedName name="number_trained_module_schoolbased_nonteaching_m">Box31_part3c!$AE$36</definedName>
    <definedName name="number_trained_module_schoolbased_teaching_f">Box31_part3c!$AB$36</definedName>
    <definedName name="number_trained_module_schoolbased_teaching_m">Box31_part3c!$Y$36</definedName>
    <definedName name="number_trained_module_sensitive_educ_nonteaching_f">Box31_part3c!$AH$47</definedName>
    <definedName name="number_trained_module_sensitive_educ_nonteaching_m">Box31_part3c!$AE$47</definedName>
    <definedName name="number_trained_module_sensitive_educ_teaching_f">Box31_part3c!$AB$47</definedName>
    <definedName name="number_trained_module_sensitive_educ_teaching_m">Box31_part3c!$Y$47</definedName>
    <definedName name="number_trained_module_staff_safety_nonteaching_f">Box31_part3c!$AH$50</definedName>
    <definedName name="number_trained_module_staff_safety_nonteaching_m">Box31_part3c!$AE$50</definedName>
    <definedName name="number_trained_module_staff_safety_teaching_f">Box31_part3c!$AB$50</definedName>
    <definedName name="number_trained_module_staff_safety_teaching_m">Box31_part3c!$Y$50</definedName>
    <definedName name="number_trained_module_terminologies_nonteaching_f">Box31_part3c!$AH$29</definedName>
    <definedName name="number_trained_module_terminologies_nonteaching_m">Box31_part3c!$AE$29</definedName>
    <definedName name="number_trained_module_terminologies_teaching_f">Box31_part3c!$AB$29</definedName>
    <definedName name="number_trained_module_terminologies_teaching_m">Box31_part3c!$Y$29</definedName>
    <definedName name="number_trained_module_tls_nonteaching_f">Box31_part3c!$AH$38</definedName>
    <definedName name="number_trained_module_tls_nonteaching_m">Box31_part3c!$AE$38</definedName>
    <definedName name="number_trained_module_tls_teaching_f">Box31_part3c!$AB$38</definedName>
    <definedName name="number_trained_module_tls_teaching_m">Box31_part3c!$Y$38</definedName>
    <definedName name="number_trained_module_understand_cchange_nonteaching_f">Box31_part3c!$AH$44</definedName>
    <definedName name="number_trained_module_understand_cchange_nonteaching_m">Box31_part3c!$AE$44</definedName>
    <definedName name="number_trained_module_understand_cchange_teaching_f">Box31_part3c!$AB$44</definedName>
    <definedName name="number_trained_module_understand_cchange_teaching_m">Box31_part3c!$Y$44</definedName>
    <definedName name="numteach_assign_ap_g10_f">'Tables16-17'!$AL$21</definedName>
    <definedName name="numteach_assign_ap_g10_m">'Tables16-17'!$AI$21</definedName>
    <definedName name="numteach_assign_ap_g7_f">'Tables16-17'!$T$21</definedName>
    <definedName name="numteach_assign_ap_g7_m">'Tables16-17'!$Q$21</definedName>
    <definedName name="numteach_assign_ap_g8_f">'Tables16-17'!$Z$21</definedName>
    <definedName name="numteach_assign_ap_g8_m">'Tables16-17'!$W$21</definedName>
    <definedName name="numteach_assign_ap_g9_f">'Tables16-17'!$AF$21</definedName>
    <definedName name="numteach_assign_ap_g9_m">'Tables16-17'!$AC$21</definedName>
    <definedName name="numteach_assign_eng_g10_f">'Tables16-17'!$AL$17</definedName>
    <definedName name="numteach_assign_eng_g10_m">'Tables16-17'!$AI$17</definedName>
    <definedName name="numteach_assign_eng_g7_f">'Tables16-17'!$T$17</definedName>
    <definedName name="numteach_assign_eng_g7_m">'Tables16-17'!$Q$17</definedName>
    <definedName name="numteach_assign_eng_g8_f">'Tables16-17'!$Z$17</definedName>
    <definedName name="numteach_assign_eng_g8_m">'Tables16-17'!$W$17</definedName>
    <definedName name="numteach_assign_eng_g9_f">'Tables16-17'!$AF$17</definedName>
    <definedName name="numteach_assign_eng_g9_m">'Tables16-17'!$AC$17</definedName>
    <definedName name="numteach_assign_esp_g10_f">'Tables16-17'!$AL$22</definedName>
    <definedName name="numteach_assign_esp_g10_m">'Tables16-17'!$AI$22</definedName>
    <definedName name="numteach_assign_esp_g7_f">'Tables16-17'!$T$22</definedName>
    <definedName name="numteach_assign_esp_g7_m">'Tables16-17'!$Q$22</definedName>
    <definedName name="numteach_assign_esp_g8_f">'Tables16-17'!$Z$22</definedName>
    <definedName name="numteach_assign_esp_g8_m">'Tables16-17'!$W$22</definedName>
    <definedName name="numteach_assign_esp_g9_f">'Tables16-17'!$AF$22</definedName>
    <definedName name="numteach_assign_esp_g9_m">'Tables16-17'!$AC$22</definedName>
    <definedName name="numteach_assign_fil_g10_f">'Tables16-17'!$AL$19</definedName>
    <definedName name="numteach_assign_fil_g10_m">'Tables16-17'!$AI$19</definedName>
    <definedName name="numteach_assign_fil_g7_f">'Tables16-17'!$T$19</definedName>
    <definedName name="numteach_assign_fil_g7_m">'Tables16-17'!$Q$19</definedName>
    <definedName name="numteach_assign_fil_g8_f">'Tables16-17'!$Z$19</definedName>
    <definedName name="numteach_assign_fil_g8_m">'Tables16-17'!$W$19</definedName>
    <definedName name="numteach_assign_fil_g9_f">'Tables16-17'!$AF$19</definedName>
    <definedName name="numteach_assign_fil_g9_m">'Tables16-17'!$AC$19</definedName>
    <definedName name="numteach_assign_mapeh_g10_f">'Tables16-17'!$AL$24</definedName>
    <definedName name="numteach_assign_mapeh_g10_m">'Tables16-17'!$AI$24</definedName>
    <definedName name="numteach_assign_mapeh_g7_f">'Tables16-17'!$T$24</definedName>
    <definedName name="numteach_assign_mapeh_g7_m">'Tables16-17'!$Q$24</definedName>
    <definedName name="numteach_assign_mapeh_g8_f">'Tables16-17'!$Z$24</definedName>
    <definedName name="numteach_assign_mapeh_g8_m">'Tables16-17'!$W$24</definedName>
    <definedName name="numteach_assign_mapeh_g9_f">'Tables16-17'!$AF$24</definedName>
    <definedName name="numteach_assign_mapeh_g9_m">'Tables16-17'!$AC$24</definedName>
    <definedName name="numteach_assign_math_g10_f">'Tables16-17'!$AL$18</definedName>
    <definedName name="numteach_assign_math_g10_m">'Tables16-17'!$AI$18</definedName>
    <definedName name="numteach_assign_math_g7_f">'Tables16-17'!$T$18</definedName>
    <definedName name="numteach_assign_math_g7_m">'Tables16-17'!$Q$18</definedName>
    <definedName name="numteach_assign_math_g8_f">'Tables16-17'!$Z$18</definedName>
    <definedName name="numteach_assign_math_g8_m">'Tables16-17'!$W$18</definedName>
    <definedName name="numteach_assign_math_g9_f">'Tables16-17'!$AF$18</definedName>
    <definedName name="numteach_assign_math_g9_m">'Tables16-17'!$AC$18</definedName>
    <definedName name="numteach_assign_sci_g10_f">'Tables16-17'!$AL$20</definedName>
    <definedName name="numteach_assign_sci_g10_m">'Tables16-17'!$AI$20</definedName>
    <definedName name="numteach_assign_sci_g7_f">'Tables16-17'!$T$20</definedName>
    <definedName name="numteach_assign_sci_g7_m">'Tables16-17'!$Q$20</definedName>
    <definedName name="numteach_assign_sci_g8_f">'Tables16-17'!$Z$20</definedName>
    <definedName name="numteach_assign_sci_g8_m">'Tables16-17'!$W$20</definedName>
    <definedName name="numteach_assign_sci_g9_f">'Tables16-17'!$AF$20</definedName>
    <definedName name="numteach_assign_sci_g9_m">'Tables16-17'!$AC$20</definedName>
    <definedName name="numteach_assign_shs_subj_g11_f">'Tables16-17'!$AR$25</definedName>
    <definedName name="numteach_assign_shs_subj_g11_m">'Tables16-17'!$AO$25</definedName>
    <definedName name="numteach_assign_shs_subj_g12_f">'Tables16-17'!$AX$25</definedName>
    <definedName name="numteach_assign_shs_subj_g12_m">'Tables16-17'!$AU$25</definedName>
    <definedName name="numteach_assign_tle_g10_f">'Tables16-17'!$AL$23</definedName>
    <definedName name="numteach_assign_tle_g10_m">'Tables16-17'!$AI$23</definedName>
    <definedName name="numteach_assign_tle_g7_f">'Tables16-17'!$T$23</definedName>
    <definedName name="numteach_assign_tle_g7_m">'Tables16-17'!$Q$23</definedName>
    <definedName name="numteach_assign_tle_g8_f">'Tables16-17'!$Z$23</definedName>
    <definedName name="numteach_assign_tle_g8_m">'Tables16-17'!$W$23</definedName>
    <definedName name="numteach_assign_tle_g9_f">'Tables16-17'!$AF$23</definedName>
    <definedName name="numteach_assign_tle_g9_m">'Tables16-17'!$AC$23</definedName>
    <definedName name="numteach_highest_educ_attainment_bachelor_f">'Tables18-21'!$Q$6</definedName>
    <definedName name="numteach_highest_educ_attainment_bachelor_m">'Tables18-21'!$M$6</definedName>
    <definedName name="numteach_highest_educ_attainment_doctor_f">'Tables18-21'!$Q$10</definedName>
    <definedName name="numteach_highest_educ_attainment_doctor_m">'Tables18-21'!$M$10</definedName>
    <definedName name="numteach_highest_educ_attainment_doctor_units_f">'Tables18-21'!$Q$9</definedName>
    <definedName name="numteach_highest_educ_attainment_doctor_units_m">'Tables18-21'!$M$9</definedName>
    <definedName name="numteach_highest_educ_attainment_master_f">'Tables18-21'!$Q$8</definedName>
    <definedName name="numteach_highest_educ_attainment_master_m">'Tables18-21'!$M$8</definedName>
    <definedName name="numteach_highest_educ_attainment_master_units_f">'Tables18-21'!$Q$7</definedName>
    <definedName name="numteach_highest_educ_attainment_master_units_m">'Tables18-21'!$M$7</definedName>
    <definedName name="oer_developed_locally_original_1st_g10">'Table24-Box3'!$G$10</definedName>
    <definedName name="oer_developed_locally_original_1st_g7">'Table24-Box3'!$G$7</definedName>
    <definedName name="oer_developed_locally_original_1st_g8">'Table24-Box3'!$G$8</definedName>
    <definedName name="oer_developed_locally_original_1st_g9">'Table24-Box3'!$G$9</definedName>
    <definedName name="oer_developed_locally_original_2nd_g10">'Table24-Box3'!$J$10</definedName>
    <definedName name="oer_developed_locally_original_2nd_g7">'Table24-Box3'!$J$7</definedName>
    <definedName name="oer_developed_locally_original_2nd_g8">'Table24-Box3'!$J$8</definedName>
    <definedName name="oer_developed_locally_original_2nd_g9">'Table24-Box3'!$J$9</definedName>
    <definedName name="oer_developed_locally_original_3rd_g10">'Table24-Box3'!$M$10</definedName>
    <definedName name="oer_developed_locally_original_3rd_g7">'Table24-Box3'!$M$7</definedName>
    <definedName name="oer_developed_locally_original_3rd_g8">'Table24-Box3'!$M$8</definedName>
    <definedName name="oer_developed_locally_original_3rd_g9">'Table24-Box3'!$M$9</definedName>
    <definedName name="oer_developed_locally_original_4th_g10">'Table24-Box3'!$P$10</definedName>
    <definedName name="oer_developed_locally_original_4th_g7">'Table24-Box3'!$P$7</definedName>
    <definedName name="oer_developed_locally_original_4th_g8">'Table24-Box3'!$P$8</definedName>
    <definedName name="oer_developed_locally_original_4th_g9">'Table24-Box3'!$P$9</definedName>
    <definedName name="oer_developed_locally_reuse_1st_g10">'Table24-Box3'!$V$10</definedName>
    <definedName name="oer_developed_locally_reuse_1st_g7">'Table24-Box3'!$V$7</definedName>
    <definedName name="oer_developed_locally_reuse_1st_g8">'Table24-Box3'!$V$8</definedName>
    <definedName name="oer_developed_locally_reuse_1st_g9">'Table24-Box3'!$V$9</definedName>
    <definedName name="oer_developed_locally_reuse_2nd_g10">'Table24-Box3'!$Y$10</definedName>
    <definedName name="oer_developed_locally_reuse_2nd_g7">'Table24-Box3'!$Y$7</definedName>
    <definedName name="oer_developed_locally_reuse_2nd_g8">'Table24-Box3'!$Y$8</definedName>
    <definedName name="oer_developed_locally_reuse_2nd_g9">'Table24-Box3'!$Y$9</definedName>
    <definedName name="oer_developed_locally_reuse_3rd_g10">'Table24-Box3'!$AB$10</definedName>
    <definedName name="oer_developed_locally_reuse_3rd_g7">'Table24-Box3'!$AB$7</definedName>
    <definedName name="oer_developed_locally_reuse_3rd_g8">'Table24-Box3'!$AB$8</definedName>
    <definedName name="oer_developed_locally_reuse_3rd_g9">'Table24-Box3'!$AB$9</definedName>
    <definedName name="oer_developed_locally_reuse_4th_g10">'Table24-Box3'!$AE$10</definedName>
    <definedName name="oer_developed_locally_reuse_4th_g7">'Table24-Box3'!$AE$7</definedName>
    <definedName name="oer_developed_locally_reuse_4th_g8">'Table24-Box3'!$AE$8</definedName>
    <definedName name="oer_developed_locally_reuse_4th_g9">'Table24-Box3'!$AE$9</definedName>
    <definedName name="opmaintsanitfac_sanitfacclean_atleast_twice_wk">'Box 21-23'!$I$23</definedName>
    <definedName name="opmaintsanitfac_sanitfacclean_daily">'Box 21-23'!$I$22</definedName>
    <definedName name="opmaintsanitfac_sanitfacclean_less_once_wk">'Box 21-23'!$U$23</definedName>
    <definedName name="opmaintsanitfac_sanitfacclean_once_wk">'Box 21-23'!$U$22</definedName>
    <definedName name="opmaintsanitfac_sanitfacclean_pay_mthly_bills_canteen">'Box 21-23'!$U$26</definedName>
    <definedName name="opmaintsanitfac_sanitfacclean_pay_mthly_bills_lgu">'Box 21-23'!$I$27</definedName>
    <definedName name="opmaintsanitfac_sanitfacclean_pay_mthly_bills_others">'Box 21-23'!$U$28</definedName>
    <definedName name="opmaintsanitfac_sanitfacclean_pay_mthly_bills_private">'Box 21-23'!$U$27</definedName>
    <definedName name="opmaintsanitfac_sanitfacclean_pay_mthly_bills_pta">'Box 21-23'!$I$28</definedName>
    <definedName name="opmaintsanitfac_sanitfacclean_pay_mthly_bills_schmooe">'Box 21-23'!$I$26</definedName>
    <definedName name="partners_mobilized_peacbuilding">Box30_part3a!$AI$5</definedName>
    <definedName name="personnel_mobilized_female_afterdisaster">Box30_part3a!$R$32</definedName>
    <definedName name="personnel_mobilized_male_afterdisaster">Box30_part3a!$O$32</definedName>
    <definedName name="personnel_nonteach_accountant1_actual_f">Table9!$S$36</definedName>
    <definedName name="personnel_nonteach_accountant1_actual_m">Table9!$P$36</definedName>
    <definedName name="personnel_nonteach_accountant1_borrowed_f">Table9!$AX$36</definedName>
    <definedName name="personnel_nonteach_accountant1_borrowed_m">Table9!$AU$36</definedName>
    <definedName name="personnel_nonteach_accountant1_detailed_es">Table9!$AH$36</definedName>
    <definedName name="personnel_nonteach_accountant1_detailed_hs">Table9!$AE$36</definedName>
    <definedName name="personnel_nonteach_accountant1_detailed_outdiv">Table9!$AK$36</definedName>
    <definedName name="personnel_nonteach_accountant1_onleave">Table9!$Y$36</definedName>
    <definedName name="personnel_nonteach_accountant1_psipop">Table9!$M$36</definedName>
    <definedName name="personnel_nonteach_accountant1_vacant">Table9!$AB$36</definedName>
    <definedName name="personnel_nonteach_adminaide6_actual_f">Table9!$S$43</definedName>
    <definedName name="personnel_nonteach_adminaide6_actual_m">Table9!$P$43</definedName>
    <definedName name="personnel_nonteach_adminaide6_borrowed_f">Table9!$AX$43</definedName>
    <definedName name="personnel_nonteach_adminaide6_borrowed_m">Table9!$AU$43</definedName>
    <definedName name="personnel_nonteach_adminaide6_detailed_es">Table9!$AH$43</definedName>
    <definedName name="personnel_nonteach_adminaide6_detailed_hs">Table9!$AE$43</definedName>
    <definedName name="personnel_nonteach_adminaide6_detailed_outdiv">Table9!$AK$43</definedName>
    <definedName name="personnel_nonteach_adminaide6_onleave">Table9!$Y$43</definedName>
    <definedName name="personnel_nonteach_adminaide6_psipop">Table9!$M$43</definedName>
    <definedName name="personnel_nonteach_adminaide6_vacant">Table9!$AB$43</definedName>
    <definedName name="personnel_nonteach_adminofcr4_actual_f">Table9!$S$32</definedName>
    <definedName name="personnel_nonteach_adminofcr4_actual_m">Table9!$P$32</definedName>
    <definedName name="personnel_nonteach_adminofcr4_borrowed_f">Table9!$AX$32</definedName>
    <definedName name="personnel_nonteach_adminofcr4_borrowed_m">Table9!$AU$32</definedName>
    <definedName name="personnel_nonteach_adminofcr4_detailed_es">Table9!$AH$32</definedName>
    <definedName name="personnel_nonteach_adminofcr4_detailed_hs">Table9!$AE$32</definedName>
    <definedName name="personnel_nonteach_adminofcr4_detailed_outdiv">Table9!$AK$32</definedName>
    <definedName name="personnel_nonteach_adminofcr4_onleave">Table9!$Y$32</definedName>
    <definedName name="personnel_nonteach_adminofcr4_psipop">Table9!$M$32</definedName>
    <definedName name="personnel_nonteach_adminofcr4_vacant">Table9!$AB$32</definedName>
    <definedName name="personnel_nonteach_ap1_actual_f">Table9!$S$19</definedName>
    <definedName name="personnel_nonteach_ap1_actual_m">Table9!$P$19</definedName>
    <definedName name="personnel_nonteach_ap1_borrowed_f">Table9!$AX$19</definedName>
    <definedName name="personnel_nonteach_ap1_borrowed_m">Table9!$AU$19</definedName>
    <definedName name="personnel_nonteach_ap1_detailed_es">Table9!$AH$19</definedName>
    <definedName name="personnel_nonteach_ap1_detailed_hs">Table9!$AE$19</definedName>
    <definedName name="personnel_nonteach_ap1_detailed_outdiv">Table9!$AK$19</definedName>
    <definedName name="personnel_nonteach_ap1_onleave">Table9!$Y$19</definedName>
    <definedName name="personnel_nonteach_ap1_psipop">Table9!$M$19</definedName>
    <definedName name="personnel_nonteach_ap1_vacant">Table9!$AB$19</definedName>
    <definedName name="personnel_nonteach_ap2_actual_f">Table9!$S$18</definedName>
    <definedName name="personnel_nonteach_ap2_actual_m">Table9!$P$18</definedName>
    <definedName name="personnel_nonteach_ap2_borrowed_f">Table9!$AX$18</definedName>
    <definedName name="personnel_nonteach_ap2_borrowed_m">Table9!$AU$18</definedName>
    <definedName name="personnel_nonteach_ap2_detailed_es">Table9!$AH$18</definedName>
    <definedName name="personnel_nonteach_ap2_detailed_hs">Table9!$AE$18</definedName>
    <definedName name="personnel_nonteach_ap2_detailed_outdiv">Table9!$AK$18</definedName>
    <definedName name="personnel_nonteach_ap2_onleave">Table9!$Y$18</definedName>
    <definedName name="personnel_nonteach_ap2_psipop">Table9!$M$18</definedName>
    <definedName name="personnel_nonteach_ap2_vacant">Table9!$AB$18</definedName>
    <definedName name="personnel_nonteach_ap3_actual_f">Table9!$S$17</definedName>
    <definedName name="personnel_nonteach_ap3_actual_m">Table9!$P$17</definedName>
    <definedName name="personnel_nonteach_ap3_borrowed_f">Table9!$AX$17</definedName>
    <definedName name="personnel_nonteach_ap3_borrowed_m">Table9!$AU$17</definedName>
    <definedName name="personnel_nonteach_ap3_detailed_es">Table9!$AH$17</definedName>
    <definedName name="personnel_nonteach_ap3_detailed_hs">Table9!$AE$17</definedName>
    <definedName name="personnel_nonteach_ap3_detailed_outdiv">Table9!$AK$17</definedName>
    <definedName name="personnel_nonteach_ap3_onleave">Table9!$Y$17</definedName>
    <definedName name="personnel_nonteach_ap3_psipop">Table9!$M$17</definedName>
    <definedName name="personnel_nonteach_ap3_vacant">Table9!$AB$17</definedName>
    <definedName name="personnel_nonteach_bkkeeper_actual_f">Table9!$S$40</definedName>
    <definedName name="personnel_nonteach_bkkeeper_actual_m">Table9!$P$40</definedName>
    <definedName name="personnel_nonteach_bkkeeper_borrowed_f">Table9!$AX$40</definedName>
    <definedName name="personnel_nonteach_bkkeeper_borrowed_m">Table9!$AU$40</definedName>
    <definedName name="personnel_nonteach_bkkeeper_detailed_es">Table9!$AH$40</definedName>
    <definedName name="personnel_nonteach_bkkeeper_detailed_hs">Table9!$AE$40</definedName>
    <definedName name="personnel_nonteach_bkkeeper_detailed_outdiv">Table9!$AK$40</definedName>
    <definedName name="personnel_nonteach_bkkeeper_onleave">Table9!$Y$40</definedName>
    <definedName name="personnel_nonteach_bkkeeper_psipop">Table9!$M$40</definedName>
    <definedName name="personnel_nonteach_bkkeeper_vacant">Table9!$AB$40</definedName>
    <definedName name="personnel_nonteach_cashier1_actual_f">Table9!$S$37</definedName>
    <definedName name="personnel_nonteach_cashier1_actual_m">Table9!$P$37</definedName>
    <definedName name="personnel_nonteach_cashier1_borrowed_f">Table9!$AX$37</definedName>
    <definedName name="personnel_nonteach_cashier1_borrowed_m">Table9!$AU$37</definedName>
    <definedName name="personnel_nonteach_cashier1_detailed_es">Table9!$AH$37</definedName>
    <definedName name="personnel_nonteach_cashier1_detailed_hs">Table9!$AE$37</definedName>
    <definedName name="personnel_nonteach_cashier1_detailed_outdiv">Table9!$AK$37</definedName>
    <definedName name="personnel_nonteach_cashier1_onleave">Table9!$Y$37</definedName>
    <definedName name="personnel_nonteach_cashier1_psipop">Table9!$M$37</definedName>
    <definedName name="personnel_nonteach_cashier1_vacant">Table9!$AB$37</definedName>
    <definedName name="personnel_nonteach_disbursingofcr1_actual_f">Table9!$S$42</definedName>
    <definedName name="personnel_nonteach_disbursingofcr1_actual_m">Table9!$P$42</definedName>
    <definedName name="personnel_nonteach_disbursingofcr1_borrowed_f">Table9!$AX$42</definedName>
    <definedName name="personnel_nonteach_disbursingofcr1_borrowed_m">Table9!$AU$42</definedName>
    <definedName name="personnel_nonteach_disbursingofcr1_detailed_es">Table9!$AH$42</definedName>
    <definedName name="personnel_nonteach_disbursingofcr1_detailed_hs">Table9!$AE$42</definedName>
    <definedName name="personnel_nonteach_disbursingofcr1_detailed_outdiv">Table9!$AK$42</definedName>
    <definedName name="personnel_nonteach_disbursingofcr1_onleave">Table9!$Y$42</definedName>
    <definedName name="personnel_nonteach_disbursingofcr1_psipop">Table9!$M$42</definedName>
    <definedName name="personnel_nonteach_disbursingofcr1_vacant">Table9!$AB$42</definedName>
    <definedName name="personnel_nonteach_disbursingofcr2_actual_f">Table9!$S$41</definedName>
    <definedName name="personnel_nonteach_disbursingofcr2_actual_m">Table9!$P$41</definedName>
    <definedName name="personnel_nonteach_disbursingofcr2_borrowed_f">Table9!$AX$41</definedName>
    <definedName name="personnel_nonteach_disbursingofcr2_borrowed_m">Table9!$AU$41</definedName>
    <definedName name="personnel_nonteach_disbursingofcr2_detailed_es">Table9!$AH$41</definedName>
    <definedName name="personnel_nonteach_disbursingofcr2_detailed_hs">Table9!$AE$41</definedName>
    <definedName name="personnel_nonteach_disbursingofcr2_detailed_outdiv">Table9!$AK$41</definedName>
    <definedName name="personnel_nonteach_disbursingofcr2_onleave">Table9!$Y$41</definedName>
    <definedName name="personnel_nonteach_disbursingofcr2_psipop">Table9!$M$41</definedName>
    <definedName name="personnel_nonteach_disbursingofcr2_vacant">Table9!$AB$41</definedName>
    <definedName name="personnel_nonteach_driver_actual_f">Table9!$S$45</definedName>
    <definedName name="personnel_nonteach_driver_actual_m">Table9!$P$45</definedName>
    <definedName name="personnel_nonteach_driver_borrowed_f">Table9!$AX$45</definedName>
    <definedName name="personnel_nonteach_driver_borrowed_m">Table9!$AU$45</definedName>
    <definedName name="personnel_nonteach_driver_detailed_es">Table9!$AH$45</definedName>
    <definedName name="personnel_nonteach_driver_detailed_hs">Table9!$AE$45</definedName>
    <definedName name="personnel_nonteach_driver_detailed_outdiv">Table9!$AK$45</definedName>
    <definedName name="personnel_nonteach_driver_onleave">Table9!$Y$45</definedName>
    <definedName name="personnel_nonteach_driver_psipop">Table9!$M$45</definedName>
    <definedName name="personnel_nonteach_driver_vacant">Table9!$AB$45</definedName>
    <definedName name="personnel_nonteach_guidancecoor1_actual_f">Table9!$S$28</definedName>
    <definedName name="personnel_nonteach_guidancecoor1_actual_m">Table9!$P$28</definedName>
    <definedName name="personnel_nonteach_guidancecoor1_borrowed_f">Table9!$AX$28</definedName>
    <definedName name="personnel_nonteach_guidancecoor1_borrowed_m">Table9!$AU$28</definedName>
    <definedName name="personnel_nonteach_guidancecoor1_detailed_es">Table9!$AH$28</definedName>
    <definedName name="personnel_nonteach_guidancecoor1_detailed_hs">Table9!$AE$28</definedName>
    <definedName name="personnel_nonteach_guidancecoor1_detailed_outdiv">Table9!$AK$28</definedName>
    <definedName name="personnel_nonteach_guidancecoor1_onleave">Table9!$Y$28</definedName>
    <definedName name="personnel_nonteach_guidancecoor1_psipop">Table9!$M$28</definedName>
    <definedName name="personnel_nonteach_guidancecoor1_vacant">Table9!$AB$28</definedName>
    <definedName name="personnel_nonteach_guidancecoor2_actual_f">Table9!$S$27</definedName>
    <definedName name="personnel_nonteach_guidancecoor2_actual_m">Table9!$P$27</definedName>
    <definedName name="personnel_nonteach_guidancecoor2_borrowed_f">Table9!$AX$27</definedName>
    <definedName name="personnel_nonteach_guidancecoor2_borrowed_m">Table9!$AU$27</definedName>
    <definedName name="personnel_nonteach_guidancecoor2_detailed_es">Table9!$AH$27</definedName>
    <definedName name="personnel_nonteach_guidancecoor2_detailed_hs">Table9!$AE$27</definedName>
    <definedName name="personnel_nonteach_guidancecoor2_detailed_outdiv">Table9!$AK$27</definedName>
    <definedName name="personnel_nonteach_guidancecoor2_onleave">Table9!$Y$27</definedName>
    <definedName name="personnel_nonteach_guidancecoor2_psipop">Table9!$M$27</definedName>
    <definedName name="personnel_nonteach_guidancecoor2_vacant">Table9!$AB$27</definedName>
    <definedName name="personnel_nonteach_guidancecoor3_actual_f">Table9!$S$26</definedName>
    <definedName name="personnel_nonteach_guidancecoor3_actual_m">Table9!$P$26</definedName>
    <definedName name="personnel_nonteach_guidancecoor3_borrowed_f">Table9!$AX$26</definedName>
    <definedName name="personnel_nonteach_guidancecoor3_borrowed_m">Table9!$AU$26</definedName>
    <definedName name="personnel_nonteach_guidancecoor3_detailed_es">Table9!$AH$26</definedName>
    <definedName name="personnel_nonteach_guidancecoor3_detailed_hs">Table9!$AE$26</definedName>
    <definedName name="personnel_nonteach_guidancecoor3_detailed_outdiv">Table9!$AK$26</definedName>
    <definedName name="personnel_nonteach_guidancecoor3_onleave">Table9!$Y$26</definedName>
    <definedName name="personnel_nonteach_guidancecoor3_psipop">Table9!$M$26</definedName>
    <definedName name="personnel_nonteach_guidancecoor3_vacant">Table9!$AB$26</definedName>
    <definedName name="personnel_nonteach_guidancecounsel1_actual_f">Table9!$S$31</definedName>
    <definedName name="personnel_nonteach_guidancecounsel1_actual_m">Table9!$P$31</definedName>
    <definedName name="personnel_nonteach_guidancecounsel1_borrowed_f">Table9!$AX$31</definedName>
    <definedName name="personnel_nonteach_guidancecounsel1_borrowed_m">Table9!$AU$31</definedName>
    <definedName name="personnel_nonteach_guidancecounsel1_detailed_es">Table9!$AH$31</definedName>
    <definedName name="personnel_nonteach_guidancecounsel1_detailed_hs">Table9!$AE$31</definedName>
    <definedName name="personnel_nonteach_guidancecounsel1_detailed_outdiv">Table9!$AK$31</definedName>
    <definedName name="personnel_nonteach_guidancecounsel1_onleave">Table9!$Y$31</definedName>
    <definedName name="personnel_nonteach_guidancecounsel1_psipop">Table9!$M$31</definedName>
    <definedName name="personnel_nonteach_guidancecounsel1_vacant">Table9!$AB$31</definedName>
    <definedName name="personnel_nonteach_guidancecounsel2_actual_f">Table9!$S$30</definedName>
    <definedName name="personnel_nonteach_guidancecounsel2_actual_m">Table9!$P$30</definedName>
    <definedName name="personnel_nonteach_guidancecounsel2_borrowed_f">Table9!$AX$30</definedName>
    <definedName name="personnel_nonteach_guidancecounsel2_borrowed_m">Table9!$AU$30</definedName>
    <definedName name="personnel_nonteach_guidancecounsel2_detailed_es">Table9!$AH$30</definedName>
    <definedName name="personnel_nonteach_guidancecounsel2_detailed_hs">Table9!$AE$30</definedName>
    <definedName name="personnel_nonteach_guidancecounsel2_detailed_outdiv">Table9!$AK$30</definedName>
    <definedName name="personnel_nonteach_guidancecounsel2_onleave">Table9!$Y$30</definedName>
    <definedName name="personnel_nonteach_guidancecounsel2_psipop">Table9!$M$30</definedName>
    <definedName name="personnel_nonteach_guidancecounsel2_vacant">Table9!$AB$30</definedName>
    <definedName name="personnel_nonteach_guidancecounsel3_actual_f">Table9!$S$29</definedName>
    <definedName name="personnel_nonteach_guidancecounsel3_actual_m">Table9!$P$29</definedName>
    <definedName name="personnel_nonteach_guidancecounsel3_borrowed_f">Table9!$AX$29</definedName>
    <definedName name="personnel_nonteach_guidancecounsel3_borrowed_m">Table9!$AU$29</definedName>
    <definedName name="personnel_nonteach_guidancecounsel3_detailed_es">Table9!$AH$29</definedName>
    <definedName name="personnel_nonteach_guidancecounsel3_detailed_hs">Table9!$AE$29</definedName>
    <definedName name="personnel_nonteach_guidancecounsel3_detailed_outdiv">Table9!$AK$29</definedName>
    <definedName name="personnel_nonteach_guidancecounsel3_onleave">Table9!$Y$29</definedName>
    <definedName name="personnel_nonteach_guidancecounsel3_psipop">Table9!$M$29</definedName>
    <definedName name="personnel_nonteach_guidancecounsel3_vacant">Table9!$AB$29</definedName>
    <definedName name="personnel_nonteach_heavyequipment_actual_f">Table9!$S$44</definedName>
    <definedName name="personnel_nonteach_heavyequipment_actual_m">Table9!$P$44</definedName>
    <definedName name="personnel_nonteach_heavyequipment_borrowed_f">Table9!$AX$44</definedName>
    <definedName name="personnel_nonteach_heavyequipment_borrowed_m">Table9!$AU$44</definedName>
    <definedName name="personnel_nonteach_heavyequipment_detailed_es">Table9!$AH$44</definedName>
    <definedName name="personnel_nonteach_heavyequipment_detailed_hs">Table9!$AE$44</definedName>
    <definedName name="personnel_nonteach_heavyequipment_detailed_outdiv">Table9!$AK$44</definedName>
    <definedName name="personnel_nonteach_heavyequipment_onleave">Table9!$Y$44</definedName>
    <definedName name="personnel_nonteach_heavyequipment_psipop">Table9!$M$44</definedName>
    <definedName name="personnel_nonteach_heavyequipment_vacant">Table9!$AB$44</definedName>
    <definedName name="personnel_nonteach_ht1_actual_f">Table9!$S$25</definedName>
    <definedName name="personnel_nonteach_ht1_actual_m">Table9!$P$25</definedName>
    <definedName name="personnel_nonteach_ht1_borrowed_f">Table9!$AX$25</definedName>
    <definedName name="personnel_nonteach_ht1_borrowed_m">Table9!$AU$25</definedName>
    <definedName name="personnel_nonteach_ht1_detailed_es">Table9!$AH$25</definedName>
    <definedName name="personnel_nonteach_ht1_detailed_hs">Table9!$AE$25</definedName>
    <definedName name="personnel_nonteach_ht1_detailed_outdiv">Table9!$AK$25</definedName>
    <definedName name="personnel_nonteach_ht1_onleave">Table9!$Y$25</definedName>
    <definedName name="personnel_nonteach_ht1_psipop">Table9!$M$25</definedName>
    <definedName name="personnel_nonteach_ht1_vacant">Table9!$AB$25</definedName>
    <definedName name="personnel_nonteach_ht2_actual_f">Table9!$S$24</definedName>
    <definedName name="personnel_nonteach_ht2_actual_m">Table9!$P$24</definedName>
    <definedName name="personnel_nonteach_ht2_borrowed_f">Table9!$AX$24</definedName>
    <definedName name="personnel_nonteach_ht2_borrowed_m">Table9!$AU$24</definedName>
    <definedName name="personnel_nonteach_ht2_detailed_es">Table9!$AH$24</definedName>
    <definedName name="personnel_nonteach_ht2_detailed_hs">Table9!$AE$24</definedName>
    <definedName name="personnel_nonteach_ht2_detailed_outdiv">Table9!$AK$24</definedName>
    <definedName name="personnel_nonteach_ht2_onleave">Table9!$Y$24</definedName>
    <definedName name="personnel_nonteach_ht2_psipop">Table9!$M$24</definedName>
    <definedName name="personnel_nonteach_ht2_vacant">Table9!$AB$24</definedName>
    <definedName name="personnel_nonteach_ht3_actual_f">Table9!$S$23</definedName>
    <definedName name="personnel_nonteach_ht3_actual_m">Table9!$P$23</definedName>
    <definedName name="personnel_nonteach_ht3_borrowed_f">Table9!$AX$23</definedName>
    <definedName name="personnel_nonteach_ht3_borrowed_m">Table9!$AU$23</definedName>
    <definedName name="personnel_nonteach_ht3_detailed_es">Table9!$AH$23</definedName>
    <definedName name="personnel_nonteach_ht3_detailed_hs">Table9!$AE$23</definedName>
    <definedName name="personnel_nonteach_ht3_detailed_outdiv">Table9!$AK$23</definedName>
    <definedName name="personnel_nonteach_ht3_onleave">Table9!$Y$23</definedName>
    <definedName name="personnel_nonteach_ht3_psipop">Table9!$M$23</definedName>
    <definedName name="personnel_nonteach_ht3_vacant">Table9!$AB$23</definedName>
    <definedName name="personnel_nonteach_ht4_actual_f">Table9!$S$22</definedName>
    <definedName name="personnel_nonteach_ht4_actual_m">Table9!$P$22</definedName>
    <definedName name="personnel_nonteach_ht4_borrowed_f">Table9!$AX$22</definedName>
    <definedName name="personnel_nonteach_ht4_borrowed_m">Table9!$AU$22</definedName>
    <definedName name="personnel_nonteach_ht4_detailed_es">Table9!$AH$22</definedName>
    <definedName name="personnel_nonteach_ht4_detailed_hs">Table9!$AE$22</definedName>
    <definedName name="personnel_nonteach_ht4_detailed_outdiv">Table9!$AK$22</definedName>
    <definedName name="personnel_nonteach_ht4_onleave">Table9!$Y$22</definedName>
    <definedName name="personnel_nonteach_ht4_psipop">Table9!$M$22</definedName>
    <definedName name="personnel_nonteach_ht4_vacant">Table9!$AB$22</definedName>
    <definedName name="personnel_nonteach_ht5_actual_f">Table9!$S$21</definedName>
    <definedName name="personnel_nonteach_ht5_actual_m">Table9!$P$21</definedName>
    <definedName name="personnel_nonteach_ht5_borrowed_f">Table9!$AX$21</definedName>
    <definedName name="personnel_nonteach_ht5_borrowed_m">Table9!$AU$21</definedName>
    <definedName name="personnel_nonteach_ht5_detailed_es">Table9!$AH$21</definedName>
    <definedName name="personnel_nonteach_ht5_detailed_hs">Table9!$AE$21</definedName>
    <definedName name="personnel_nonteach_ht5_detailed_outdiv">Table9!$AK$21</definedName>
    <definedName name="personnel_nonteach_ht5_onleave">Table9!$Y$21</definedName>
    <definedName name="personnel_nonteach_ht5_psipop">Table9!$M$21</definedName>
    <definedName name="personnel_nonteach_ht5_vacant">Table9!$AB$21</definedName>
    <definedName name="personnel_nonteach_ht6_actual_f">Table9!$S$20</definedName>
    <definedName name="personnel_nonteach_ht6_actual_m">Table9!$P$20</definedName>
    <definedName name="personnel_nonteach_ht6_borrowed_f">Table9!$AX$20</definedName>
    <definedName name="personnel_nonteach_ht6_borrowed_m">Table9!$AU$20</definedName>
    <definedName name="personnel_nonteach_ht6_detailed_es">Table9!$AH$20</definedName>
    <definedName name="personnel_nonteach_ht6_detailed_hs">Table9!$AE$20</definedName>
    <definedName name="personnel_nonteach_ht6_detailed_outdiv">Table9!$AK$20</definedName>
    <definedName name="personnel_nonteach_ht6_onleave">Table9!$Y$20</definedName>
    <definedName name="personnel_nonteach_ht6_psipop">Table9!$M$20</definedName>
    <definedName name="personnel_nonteach_ht6_vacant">Table9!$AB$20</definedName>
    <definedName name="personnel_nonteach_lightequip_operator_actual_f">Table9!$S$47</definedName>
    <definedName name="personnel_nonteach_lightequip_operator_actual_m">Table9!$P$47</definedName>
    <definedName name="personnel_nonteach_lightequip_operator_borrowed_f">Table9!$AX$47</definedName>
    <definedName name="personnel_nonteach_lightequip_operator_borrowed_m">Table9!$AU$47</definedName>
    <definedName name="personnel_nonteach_lightequip_operator_detailed_es">Table9!$AH$47</definedName>
    <definedName name="personnel_nonteach_lightequip_operator_detailed_hs">Table9!$AE$47</definedName>
    <definedName name="personnel_nonteach_lightequip_operator_detailed_outdiv">Table9!$AK$47</definedName>
    <definedName name="personnel_nonteach_lightequip_operator_onleave">Table9!$Y$47</definedName>
    <definedName name="personnel_nonteach_lightequip_operator_psipop">Table9!$M$47</definedName>
    <definedName name="personnel_nonteach_lightequip_operator_vacant">Table9!$AB$47</definedName>
    <definedName name="personnel_nonteach_schlibrarian1_actual_f">Table9!$S$35</definedName>
    <definedName name="personnel_nonteach_schlibrarian1_actual_m">Table9!$P$35</definedName>
    <definedName name="personnel_nonteach_schlibrarian1_borrowed_f">Table9!$AX$35</definedName>
    <definedName name="personnel_nonteach_schlibrarian1_borrowed_m">Table9!$AU$35</definedName>
    <definedName name="personnel_nonteach_schlibrarian1_detailed_es">Table9!$AH$35</definedName>
    <definedName name="personnel_nonteach_schlibrarian1_detailed_hs">Table9!$AE$35</definedName>
    <definedName name="personnel_nonteach_schlibrarian1_detailed_outdiv">Table9!$AK$35</definedName>
    <definedName name="personnel_nonteach_schlibrarian1_onleave">Table9!$Y$35</definedName>
    <definedName name="personnel_nonteach_schlibrarian1_psipop">Table9!$M$35</definedName>
    <definedName name="personnel_nonteach_schlibrarian1_vacant">Table9!$AB$35</definedName>
    <definedName name="personnel_nonteach_schlibrarian2_actual_f">Table9!$S$34</definedName>
    <definedName name="personnel_nonteach_schlibrarian2_actual_m">Table9!$P$34</definedName>
    <definedName name="personnel_nonteach_schlibrarian2_borrowed_f">Table9!$AX$34</definedName>
    <definedName name="personnel_nonteach_schlibrarian2_borrowed_m">Table9!$AU$34</definedName>
    <definedName name="personnel_nonteach_schlibrarian2_detailed_es">Table9!$AH$34</definedName>
    <definedName name="personnel_nonteach_schlibrarian2_detailed_hs">Table9!$AE$34</definedName>
    <definedName name="personnel_nonteach_schlibrarian2_detailed_outdiv">Table9!$AK$34</definedName>
    <definedName name="personnel_nonteach_schlibrarian2_onleave">Table9!$Y$34</definedName>
    <definedName name="personnel_nonteach_schlibrarian2_psipop">Table9!$M$34</definedName>
    <definedName name="personnel_nonteach_schlibrarian2_vacant">Table9!$AB$34</definedName>
    <definedName name="personnel_nonteach_schlibrarian3_actual_f">Table9!$S$33</definedName>
    <definedName name="personnel_nonteach_schlibrarian3_actual_m">Table9!$P$33</definedName>
    <definedName name="personnel_nonteach_schlibrarian3_borrowed_f">Table9!$AX$33</definedName>
    <definedName name="personnel_nonteach_schlibrarian3_borrowed_m">Table9!$AU$33</definedName>
    <definedName name="personnel_nonteach_schlibrarian3_detailed_es">Table9!$AH$33</definedName>
    <definedName name="personnel_nonteach_schlibrarian3_detailed_hs">Table9!$AE$33</definedName>
    <definedName name="personnel_nonteach_schlibrarian3_detailed_outdiv">Table9!$AK$33</definedName>
    <definedName name="personnel_nonteach_schlibrarian3_onleave">Table9!$Y$33</definedName>
    <definedName name="personnel_nonteach_schlibrarian3_psipop">Table9!$M$33</definedName>
    <definedName name="personnel_nonteach_schlibrarian3_vacant">Table9!$AB$33</definedName>
    <definedName name="personnel_nonteach_security_guard_actual_f">Table9!$S$46</definedName>
    <definedName name="personnel_nonteach_security_guard_actual_m">Table9!$P$46</definedName>
    <definedName name="personnel_nonteach_security_guard_borrowed_f">Table9!$AX$46</definedName>
    <definedName name="personnel_nonteach_security_guard_borrowed_m">Table9!$AU$46</definedName>
    <definedName name="personnel_nonteach_security_guard_detailed_es">Table9!$AH$46</definedName>
    <definedName name="personnel_nonteach_security_guard_detailed_hs">Table9!$AE$46</definedName>
    <definedName name="personnel_nonteach_security_guard_detailed_outdiv">Table9!$AK$46</definedName>
    <definedName name="personnel_nonteach_security_guard_onleave">Table9!$Y$46</definedName>
    <definedName name="personnel_nonteach_security_guard_psipop">Table9!$M$46</definedName>
    <definedName name="personnel_nonteach_security_guard_vacant">Table9!$AB$46</definedName>
    <definedName name="personnel_nonteach_seniorbk_actual_f">Table9!$S$39</definedName>
    <definedName name="personnel_nonteach_seniorbk_actual_m">Table9!$P$39</definedName>
    <definedName name="personnel_nonteach_seniorbk_borrowed_f">Table9!$AX$39</definedName>
    <definedName name="personnel_nonteach_seniorbk_borrowed_m">Table9!$AU$39</definedName>
    <definedName name="personnel_nonteach_seniorbk_detailed_es">Table9!$AH$39</definedName>
    <definedName name="personnel_nonteach_seniorbk_detailed_hs">Table9!$AE$39</definedName>
    <definedName name="personnel_nonteach_seniorbk_detailed_outdiv">Table9!$AK$39</definedName>
    <definedName name="personnel_nonteach_seniorbk_onleave">Table9!$Y$39</definedName>
    <definedName name="personnel_nonteach_seniorbk_psipop">Table9!$M$39</definedName>
    <definedName name="personnel_nonteach_seniorbk_vacant">Table9!$AB$39</definedName>
    <definedName name="personnel_nonteach_sp1_actual_f">Table9!$S$16</definedName>
    <definedName name="personnel_nonteach_sp1_actual_m">Table9!$P$16</definedName>
    <definedName name="personnel_nonteach_sp1_borrowed_f">Table9!$AX$16</definedName>
    <definedName name="personnel_nonteach_sp1_borrowed_m">Table9!$AU$16</definedName>
    <definedName name="personnel_nonteach_sp1_detailed_es">Table9!$AH$16</definedName>
    <definedName name="personnel_nonteach_sp1_detailed_hs">Table9!$AE$16</definedName>
    <definedName name="personnel_nonteach_sp1_detailed_outdiv">Table9!$AK$16</definedName>
    <definedName name="personnel_nonteach_sp1_onleave">Table9!$Y$16</definedName>
    <definedName name="personnel_nonteach_sp1_psipop">Table9!$M$16</definedName>
    <definedName name="personnel_nonteach_sp1_vacant">Table9!$AB$16</definedName>
    <definedName name="personnel_nonteach_sp2_actual_f">Table9!$S$15</definedName>
    <definedName name="personnel_nonteach_sp2_actual_m">Table9!$P$15</definedName>
    <definedName name="personnel_nonteach_sp2_borrowed_f">Table9!$AX$15</definedName>
    <definedName name="personnel_nonteach_sp2_borrowed_m">Table9!$AU$15</definedName>
    <definedName name="personnel_nonteach_sp2_detailed_es">Table9!$AH$15</definedName>
    <definedName name="personnel_nonteach_sp2_detailed_hs">Table9!$AE$15</definedName>
    <definedName name="personnel_nonteach_sp2_detailed_outdiv">Table9!$AK$15</definedName>
    <definedName name="personnel_nonteach_sp2_onleave">Table9!$Y$15</definedName>
    <definedName name="personnel_nonteach_sp2_psipop">Table9!$M$15</definedName>
    <definedName name="personnel_nonteach_sp2_vacant">Table9!$AB$15</definedName>
    <definedName name="personnel_nonteach_sp3_actual_f">Table9!$S$14</definedName>
    <definedName name="personnel_nonteach_sp3_actual_m">Table9!$P$14</definedName>
    <definedName name="personnel_nonteach_sp3_borrowed_f">Table9!$AX$14</definedName>
    <definedName name="personnel_nonteach_sp3_borrowed_m">Table9!$AU$14</definedName>
    <definedName name="personnel_nonteach_sp3_detailed_es">Table9!$AH$14</definedName>
    <definedName name="personnel_nonteach_sp3_detailed_hs">Table9!$AE$14</definedName>
    <definedName name="personnel_nonteach_sp3_detailed_outdiv">Table9!$AK$14</definedName>
    <definedName name="personnel_nonteach_sp3_onleave">Table9!$Y$14</definedName>
    <definedName name="personnel_nonteach_sp3_psipop">Table9!$M$14</definedName>
    <definedName name="personnel_nonteach_sp3_vacant">Table9!$AB$14</definedName>
    <definedName name="personnel_nonteach_sp4_actual_f">Table9!$S$13</definedName>
    <definedName name="personnel_nonteach_sp4_actual_m">Table9!$P$13</definedName>
    <definedName name="personnel_nonteach_sp4_borrowed_f">Table9!$AX$13</definedName>
    <definedName name="personnel_nonteach_sp4_borrowed_m">Table9!$AU$13</definedName>
    <definedName name="personnel_nonteach_sp4_detailed_es">Table9!$AH$13</definedName>
    <definedName name="personnel_nonteach_sp4_detailed_hs">Table9!$AE$13</definedName>
    <definedName name="personnel_nonteach_sp4_detailed_outdiv">Table9!$AK$13</definedName>
    <definedName name="personnel_nonteach_sp4_onleave">Table9!$Y$13</definedName>
    <definedName name="personnel_nonteach_sp4_psipop">Table9!$M$13</definedName>
    <definedName name="personnel_nonteach_sp4_vacant">Table9!$AB$13</definedName>
    <definedName name="personnel_nonteach_supplyofcr1_actual_f">Table9!$S$38</definedName>
    <definedName name="personnel_nonteach_supplyofcr1_actual_m">Table9!$P$38</definedName>
    <definedName name="personnel_nonteach_supplyofcr1_borrowed_f">Table9!$AX$38</definedName>
    <definedName name="personnel_nonteach_supplyofcr1_borrowed_m">Table9!$AU$38</definedName>
    <definedName name="personnel_nonteach_supplyofcr1_detailed_es">Table9!$AH$38</definedName>
    <definedName name="personnel_nonteach_supplyofcr1_detailed_hs">Table9!$AE$38</definedName>
    <definedName name="personnel_nonteach_supplyofcr1_detailed_outdiv">Table9!$AK$38</definedName>
    <definedName name="personnel_nonteach_supplyofcr1_onleave">Table9!$Y$38</definedName>
    <definedName name="personnel_nonteach_supplyofcr1_psipop">Table9!$M$38</definedName>
    <definedName name="personnel_nonteach_supplyofcr1_vacant">Table9!$AB$38</definedName>
    <definedName name="personnel_nonteach_utility_worker_actual_f">Table9!$S$48</definedName>
    <definedName name="personnel_nonteach_utility_worker_actual_m">Table9!$P$48</definedName>
    <definedName name="personnel_nonteach_utility_worker_borrowed_f">Table9!$AX$48</definedName>
    <definedName name="personnel_nonteach_utility_worker_borrowed_m">Table9!$AU$48</definedName>
    <definedName name="personnel_nonteach_utility_worker_detailed_es">Table9!$AH$48</definedName>
    <definedName name="personnel_nonteach_utility_worker_detailed_hs">Table9!$AE$48</definedName>
    <definedName name="personnel_nonteach_utility_worker_detailed_outdiv">Table9!$AK$48</definedName>
    <definedName name="personnel_nonteach_utility_worker_onleave">Table9!$Y$48</definedName>
    <definedName name="personnel_nonteach_utility_worker_psipop">Table9!$M$48</definedName>
    <definedName name="personnel_nonteach_utility_worker_vacant">Table9!$AB$48</definedName>
    <definedName name="personnel_nonteach_vsa1_actual_f">Table9!$S$12</definedName>
    <definedName name="personnel_nonteach_vsa1_actual_m">Table9!$P$12</definedName>
    <definedName name="personnel_nonteach_vsa1_borrowed_f">Table9!$AX$12</definedName>
    <definedName name="personnel_nonteach_vsa1_borrowed_m">Table9!$AU$12</definedName>
    <definedName name="personnel_nonteach_vsa1_detailed_es">Table9!$AH$12</definedName>
    <definedName name="personnel_nonteach_vsa1_detailed_hs">Table9!$AE$12</definedName>
    <definedName name="personnel_nonteach_vsa1_detailed_outdiv">Table9!$AK$12</definedName>
    <definedName name="personnel_nonteach_vsa1_onleave">Table9!$Y$12</definedName>
    <definedName name="personnel_nonteach_vsa1_psipop">Table9!$M$12</definedName>
    <definedName name="personnel_nonteach_vsa1_vacant">Table9!$AB$12</definedName>
    <definedName name="personnel_nonteach_vsa2_actual_f">Table9!$S$11</definedName>
    <definedName name="personnel_nonteach_vsa2_actual_m">Table9!$P$11</definedName>
    <definedName name="personnel_nonteach_vsa2_borrowed_f">Table9!$AX$11</definedName>
    <definedName name="personnel_nonteach_vsa2_borrowed_m">Table9!$AU$11</definedName>
    <definedName name="personnel_nonteach_vsa2_detailed_es">Table9!$AH$11</definedName>
    <definedName name="personnel_nonteach_vsa2_detailed_hs">Table9!$AE$11</definedName>
    <definedName name="personnel_nonteach_vsa2_detailed_outdiv">Table9!$AK$11</definedName>
    <definedName name="personnel_nonteach_vsa2_onleave">Table9!$Y$11</definedName>
    <definedName name="personnel_nonteach_vsa2_psipop">Table9!$M$11</definedName>
    <definedName name="personnel_nonteach_vsa2_vacant">Table9!$AB$11</definedName>
    <definedName name="personnel_nonteach_vsa3_actual_f">Table9!$S$10</definedName>
    <definedName name="personnel_nonteach_vsa3_actual_m">Table9!$P$10</definedName>
    <definedName name="personnel_nonteach_vsa3_borrowed_f">Table9!$AX$10</definedName>
    <definedName name="personnel_nonteach_vsa3_borrowed_m">Table9!$AU$10</definedName>
    <definedName name="personnel_nonteach_vsa3_detailed_es">Table9!$AH$10</definedName>
    <definedName name="personnel_nonteach_vsa3_detailed_hs">Table9!$AE$10</definedName>
    <definedName name="personnel_nonteach_vsa3_detailed_outdiv">Table9!$AK$10</definedName>
    <definedName name="personnel_nonteach_vsa3_onleave">Table9!$Y$10</definedName>
    <definedName name="personnel_nonteach_vsa3_psipop">Table9!$M$10</definedName>
    <definedName name="personnel_nonteach_vsa3_vacant">Table9!$AB$10</definedName>
    <definedName name="personnel_teach_handling_alivecl_borrowed_f">Table10!$AX$31</definedName>
    <definedName name="personnel_teach_handling_alivecl_borrowed_m">Table10!$AU$31</definedName>
    <definedName name="personnel_teach_handling_alivecl_f">Table10!$S$31</definedName>
    <definedName name="personnel_teach_handling_alivecl_m">Table10!$P$31</definedName>
    <definedName name="personnel_teach_handling_fullt_ancillary_borrowed_f">Table10!$AX$33</definedName>
    <definedName name="personnel_teach_handling_fullt_ancillary_borrowed_m">Table10!$AU$33</definedName>
    <definedName name="personnel_teach_handling_fullt_ancillary_f">Table10!$S$33</definedName>
    <definedName name="personnel_teach_handling_fullt_ancillary_m">Table10!$P$33</definedName>
    <definedName name="personnel_teach_handling_g11to12_borrowed_f">Table10!$AX$30</definedName>
    <definedName name="personnel_teach_handling_g11to12_borrowed_m">Table10!$AU$30</definedName>
    <definedName name="personnel_teach_handling_g11to12_f">Table10!$S$30</definedName>
    <definedName name="personnel_teach_handling_g11to12_m">Table10!$P$30</definedName>
    <definedName name="personnel_teach_handling_g7to10_borrowed_f">Table10!$AX$29</definedName>
    <definedName name="personnel_teach_handling_g7to10_borrowed_m">Table10!$AU$29</definedName>
    <definedName name="personnel_teach_handling_g7to10_f">Table10!$S$29</definedName>
    <definedName name="personnel_teach_handling_g7to10_m">Table10!$P$29</definedName>
    <definedName name="personnel_teach_handling_spedcl_borrowed_f">Table10!$AX$32</definedName>
    <definedName name="personnel_teach_handling_spedcl_borrowed_m">Table10!$AU$32</definedName>
    <definedName name="personnel_teach_handling_spedcl_f">Table10!$S$32</definedName>
    <definedName name="personnel_teach_handling_spedcl_m">Table10!$P$32</definedName>
    <definedName name="personnel_teach_instructor1_actual_f">Table10!$S$13</definedName>
    <definedName name="personnel_teach_instructor1_actual_m">Table10!$P$13</definedName>
    <definedName name="personnel_teach_instructor1_borrowed_f">Table10!$AX$13</definedName>
    <definedName name="personnel_teach_instructor1_borrowed_m">Table10!$AU$13</definedName>
    <definedName name="personnel_teach_instructor1_detailed_es">Table10!$AH$13</definedName>
    <definedName name="personnel_teach_instructor1_detailed_hs">Table10!$AE$13</definedName>
    <definedName name="personnel_teach_instructor1_detailed_outdiv">Table10!$AK$13</definedName>
    <definedName name="personnel_teach_instructor1_onleave">Table10!$Y$13</definedName>
    <definedName name="personnel_teach_instructor1_psipop">Table10!$M$13</definedName>
    <definedName name="personnel_teach_instructor1_vacant">Table10!$AB$13</definedName>
    <definedName name="personnel_teach_instructor2_actual_f">Table10!$S$12</definedName>
    <definedName name="personnel_teach_instructor2_actual_m">Table10!$P$12</definedName>
    <definedName name="personnel_teach_instructor2_borrowed_f">Table10!$AX$12</definedName>
    <definedName name="personnel_teach_instructor2_borrowed_m">Table10!$AU$12</definedName>
    <definedName name="personnel_teach_instructor2_detailed_es">Table10!$AH$12</definedName>
    <definedName name="personnel_teach_instructor2_detailed_hs">Table10!$AE$12</definedName>
    <definedName name="personnel_teach_instructor2_detailed_outdiv">Table10!$AK$12</definedName>
    <definedName name="personnel_teach_instructor2_onleave">Table10!$Y$12</definedName>
    <definedName name="personnel_teach_instructor2_psipop">Table10!$M$12</definedName>
    <definedName name="personnel_teach_instructor2_vacant">Table10!$AB$12</definedName>
    <definedName name="personnel_teach_instructor3_actual_f">Table10!$S$11</definedName>
    <definedName name="personnel_teach_instructor3_actual_m">Table10!$P$11</definedName>
    <definedName name="personnel_teach_instructor3_borrowed_f">Table10!$AX$11</definedName>
    <definedName name="personnel_teach_instructor3_borrowed_m">Table10!$AU$11</definedName>
    <definedName name="personnel_teach_instructor3_detailed_es">Table10!$AH$11</definedName>
    <definedName name="personnel_teach_instructor3_detailed_hs">Table10!$AE$11</definedName>
    <definedName name="personnel_teach_instructor3_detailed_outdiv">Table10!$AK$11</definedName>
    <definedName name="personnel_teach_instructor3_onleave">Table10!$Y$11</definedName>
    <definedName name="personnel_teach_instructor3_psipop">Table10!$M$11</definedName>
    <definedName name="personnel_teach_instructor3_vacant">Table10!$AB$11</definedName>
    <definedName name="personnel_teach_mt1_actual_f">Table10!$S$17</definedName>
    <definedName name="personnel_teach_mt1_actual_m">Table10!$P$17</definedName>
    <definedName name="personnel_teach_mt1_borrowed_f">Table10!$AX$17</definedName>
    <definedName name="personnel_teach_mt1_borrowed_m">Table10!$AU$17</definedName>
    <definedName name="personnel_teach_mt1_detailed_es">Table10!$AH$17</definedName>
    <definedName name="personnel_teach_mt1_detailed_hs">Table10!$AE$17</definedName>
    <definedName name="personnel_teach_mt1_detailed_outdiv">Table10!$AK$17</definedName>
    <definedName name="personnel_teach_mt1_onleave">Table10!$Y$17</definedName>
    <definedName name="personnel_teach_mt1_psipop">Table10!$M$17</definedName>
    <definedName name="personnel_teach_mt1_vacant">Table10!$AB$17</definedName>
    <definedName name="personnel_teach_mt2_actual_f">Table10!$S$16</definedName>
    <definedName name="personnel_teach_mt2_actual_m">Table10!$P$16</definedName>
    <definedName name="personnel_teach_mt2_borrowed_f">Table10!$AX$16</definedName>
    <definedName name="personnel_teach_mt2_borrowed_m">Table10!$AU$16</definedName>
    <definedName name="personnel_teach_mt2_detailed_es">Table10!$AH$16</definedName>
    <definedName name="personnel_teach_mt2_detailed_hs">Table10!$AE$16</definedName>
    <definedName name="personnel_teach_mt2_detailed_outdiv">Table10!$AK$16</definedName>
    <definedName name="personnel_teach_mt2_onleave">Table10!$Y$16</definedName>
    <definedName name="personnel_teach_mt2_psipop">Table10!$M$16</definedName>
    <definedName name="personnel_teach_mt2_vacant">Table10!$AB$16</definedName>
    <definedName name="personnel_teach_mt3_actual_f">Table10!$S$15</definedName>
    <definedName name="personnel_teach_mt3_actual_m">Table10!$P$15</definedName>
    <definedName name="personnel_teach_mt3_borrowed_f">Table10!$AX$15</definedName>
    <definedName name="personnel_teach_mt3_borrowed_m">Table10!$AU$15</definedName>
    <definedName name="personnel_teach_mt3_detailed_es">Table10!$AH$15</definedName>
    <definedName name="personnel_teach_mt3_detailed_hs">Table10!$AE$15</definedName>
    <definedName name="personnel_teach_mt3_detailed_outdiv">Table10!$AK$15</definedName>
    <definedName name="personnel_teach_mt3_onleave">Table10!$Y$15</definedName>
    <definedName name="personnel_teach_mt3_psipop">Table10!$M$15</definedName>
    <definedName name="personnel_teach_mt3_vacant">Table10!$AB$15</definedName>
    <definedName name="personnel_teach_mt4_actual_f">Table10!$S$14</definedName>
    <definedName name="personnel_teach_mt4_actual_m">Table10!$P$14</definedName>
    <definedName name="personnel_teach_mt4_borrowed_f">Table10!$AX$14</definedName>
    <definedName name="personnel_teach_mt4_borrowed_m">Table10!$AU$14</definedName>
    <definedName name="personnel_teach_mt4_detailed_es">Table10!$AH$14</definedName>
    <definedName name="personnel_teach_mt4_detailed_hs">Table10!$AE$14</definedName>
    <definedName name="personnel_teach_mt4_detailed_outdiv">Table10!$AK$14</definedName>
    <definedName name="personnel_teach_mt4_onleave">Table10!$Y$14</definedName>
    <definedName name="personnel_teach_mt4_psipop">Table10!$M$14</definedName>
    <definedName name="personnel_teach_mt4_vacant">Table10!$AB$14</definedName>
    <definedName name="personnel_teach_spedt1_actual_f">Table10!$S$26</definedName>
    <definedName name="personnel_teach_spedt1_actual_m">Table10!$P$26</definedName>
    <definedName name="personnel_teach_spedt1_borrowed_f">Table10!$AX$26</definedName>
    <definedName name="personnel_teach_spedt1_borrowed_m">Table10!$AU$26</definedName>
    <definedName name="personnel_teach_spedt1_detailed_es">Table10!$AH$26</definedName>
    <definedName name="personnel_teach_spedt1_detailed_hs">Table10!$AE$26</definedName>
    <definedName name="personnel_teach_spedt1_detailed_outdiv">Table10!$AK$26</definedName>
    <definedName name="personnel_teach_spedt1_onleave">Table10!$Y$26</definedName>
    <definedName name="personnel_teach_spedt1_psipop">Table10!$M$26</definedName>
    <definedName name="personnel_teach_spedt1_vacant">Table10!$AB$26</definedName>
    <definedName name="personnel_teach_spedt2_actual_f">Table10!$S$25</definedName>
    <definedName name="personnel_teach_spedt2_actual_m">Table10!$P$25</definedName>
    <definedName name="personnel_teach_spedt2_borrowed_f">Table10!$AX$25</definedName>
    <definedName name="personnel_teach_spedt2_borrowed_m">Table10!$AU$25</definedName>
    <definedName name="personnel_teach_spedt2_detailed_es">Table10!$AH$25</definedName>
    <definedName name="personnel_teach_spedt2_detailed_hs">Table10!$AE$25</definedName>
    <definedName name="personnel_teach_spedt2_detailed_outdiv">Table10!$AK$25</definedName>
    <definedName name="personnel_teach_spedt2_onleave">Table10!$Y$25</definedName>
    <definedName name="personnel_teach_spedt2_psipop">Table10!$M$25</definedName>
    <definedName name="personnel_teach_spedt2_vacant">Table10!$AB$25</definedName>
    <definedName name="personnel_teach_spedt3_actual_f">Table10!$S$24</definedName>
    <definedName name="personnel_teach_spedt3_actual_m">Table10!$P$24</definedName>
    <definedName name="personnel_teach_spedt3_borrowed_f">Table10!$AX$24</definedName>
    <definedName name="personnel_teach_spedt3_borrowed_m">Table10!$AU$24</definedName>
    <definedName name="personnel_teach_spedt3_detailed_es">Table10!$AH$24</definedName>
    <definedName name="personnel_teach_spedt3_detailed_hs">Table10!$AE$24</definedName>
    <definedName name="personnel_teach_spedt3_detailed_outdiv">Table10!$AK$24</definedName>
    <definedName name="personnel_teach_spedt3_onleave">Table10!$Y$24</definedName>
    <definedName name="personnel_teach_spedt3_psipop">Table10!$M$24</definedName>
    <definedName name="personnel_teach_spedt3_vacant">Table10!$AB$24</definedName>
    <definedName name="personnel_teach_spedt4_actual_f">Table10!$S$23</definedName>
    <definedName name="personnel_teach_spedt4_actual_m">Table10!$P$23</definedName>
    <definedName name="personnel_teach_spedt4_borrowed_f">Table10!$AX$23</definedName>
    <definedName name="personnel_teach_spedt4_borrowed_m">Table10!$AU$23</definedName>
    <definedName name="personnel_teach_spedt4_detailed_es">Table10!$AH$23</definedName>
    <definedName name="personnel_teach_spedt4_detailed_hs">Table10!$AE$23</definedName>
    <definedName name="personnel_teach_spedt4_detailed_outdiv">Table10!$AK$23</definedName>
    <definedName name="personnel_teach_spedt4_onleave">Table10!$Y$23</definedName>
    <definedName name="personnel_teach_spedt4_psipop">Table10!$M$23</definedName>
    <definedName name="personnel_teach_spedt4_vacant">Table10!$AB$23</definedName>
    <definedName name="personnel_teach_spedt5_actual_f">Table10!$S$22</definedName>
    <definedName name="personnel_teach_spedt5_actual_m">Table10!$P$22</definedName>
    <definedName name="personnel_teach_spedt5_borrowed_f">Table10!$AX$22</definedName>
    <definedName name="personnel_teach_spedt5_borrowed_m">Table10!$AU$22</definedName>
    <definedName name="personnel_teach_spedt5_detailed_es">Table10!$AH$22</definedName>
    <definedName name="personnel_teach_spedt5_detailed_hs">Table10!$AE$22</definedName>
    <definedName name="personnel_teach_spedt5_detailed_outdiv">Table10!$AK$22</definedName>
    <definedName name="personnel_teach_spedt5_onleave">Table10!$Y$22</definedName>
    <definedName name="personnel_teach_spedt5_psipop">Table10!$M$22</definedName>
    <definedName name="personnel_teach_spedt5_vacant">Table10!$AB$22</definedName>
    <definedName name="personnel_teach_sst1_actual_f">Table10!$S$21</definedName>
    <definedName name="personnel_teach_sst1_actual_m">Table10!$P$21</definedName>
    <definedName name="personnel_teach_sst1_borrowed_f">Table10!$AX$21</definedName>
    <definedName name="personnel_teach_sst1_borrowed_m">Table10!$AU$21</definedName>
    <definedName name="personnel_teach_sst1_detailed_es">Table10!$AH$21</definedName>
    <definedName name="personnel_teach_sst1_detailed_hs">Table10!$AE$21</definedName>
    <definedName name="personnel_teach_sst1_detailed_outdiv">Table10!$AK$21</definedName>
    <definedName name="personnel_teach_sst1_ntlfnd_f">Table10!$BG$21</definedName>
    <definedName name="personnel_teach_sst1_onleave">Table10!$Y$21</definedName>
    <definedName name="personnel_teach_sst1_psipop">Table10!$M$21</definedName>
    <definedName name="personnel_teach_sst1_vacant">Table10!$AB$21</definedName>
    <definedName name="personnel_teach_t1_actual_f">Table10!$S$20</definedName>
    <definedName name="personnel_teach_t1_actual_m">Table10!$P$20</definedName>
    <definedName name="personnel_teach_t1_borrowed_f">Table10!$AX$20</definedName>
    <definedName name="personnel_teach_t1_borrowed_m">Table10!$AU$20</definedName>
    <definedName name="personnel_teach_t1_detailed_es">Table10!$AH$20</definedName>
    <definedName name="personnel_teach_t1_detailed_hs">Table10!$AE$20</definedName>
    <definedName name="personnel_teach_t1_detailed_outdiv">Table10!$AK$20</definedName>
    <definedName name="personnel_teach_t1_onleave">Table10!$Y$20</definedName>
    <definedName name="personnel_teach_t1_psipop">Table10!$M$20</definedName>
    <definedName name="personnel_teach_t1_vacant">Table10!$AB$20</definedName>
    <definedName name="personnel_teach_t2_actual_f">Table10!$S$19</definedName>
    <definedName name="personnel_teach_t2_actual_m">Table10!$P$19</definedName>
    <definedName name="personnel_teach_t2_borrowed_f">Table10!$AX$19</definedName>
    <definedName name="personnel_teach_t2_borrowed_m">Table10!$AU$19</definedName>
    <definedName name="personnel_teach_t2_detailed_es">Table10!$AH$19</definedName>
    <definedName name="personnel_teach_t2_detailed_hs">Table10!$AE$19</definedName>
    <definedName name="personnel_teach_t2_detailed_outdiv">Table10!$AK$19</definedName>
    <definedName name="personnel_teach_t2_onleave">Table10!$Y$19</definedName>
    <definedName name="personnel_teach_t2_psipop">Table10!$M$19</definedName>
    <definedName name="personnel_teach_t2_vacant">Table10!$AB$19</definedName>
    <definedName name="personnel_teach_t3_actual_f">Table10!$S$18</definedName>
    <definedName name="personnel_teach_t3_actual_m">Table10!$P$18</definedName>
    <definedName name="personnel_teach_t3_borrowed_f">Table10!$AX$18</definedName>
    <definedName name="personnel_teach_t3_borrowed_m">Table10!$AU$18</definedName>
    <definedName name="personnel_teach_t3_detailed_es">Table10!$AH$18</definedName>
    <definedName name="personnel_teach_t3_detailed_hs">Table10!$AE$18</definedName>
    <definedName name="personnel_teach_t3_detailed_outdiv">Table10!$AK$18</definedName>
    <definedName name="personnel_teach_t3_onleave">Table10!$Y$18</definedName>
    <definedName name="personnel_teach_t3_psipop">Table10!$M$18</definedName>
    <definedName name="personnel_teach_t3_vacant">Table10!$AB$18</definedName>
    <definedName name="personnel_trained_female_emrgncyrspns">Box30_part3a!$R$31</definedName>
    <definedName name="personnel_trained_male_emrgncyrspns">Box30_part3a!$O$31</definedName>
    <definedName name="_xlnm.Print_Area" localSheetId="40">'Box 17-18'!$A$1:$AW$42</definedName>
    <definedName name="_xlnm.Print_Area" localSheetId="66">'Box32'!$A$1:$AU$68</definedName>
    <definedName name="_xlnm.Print_Area" localSheetId="30">'Box9'!$A$1:$BA$56</definedName>
    <definedName name="_xlnm.Print_Area" localSheetId="41">'Boxes19-20'!$A$1:$AW$45</definedName>
    <definedName name="_xlnm.Print_Area" localSheetId="19">'Table23-Box2'!$A$1:$AZ$36</definedName>
    <definedName name="rescue_bicycle">Box30_part2!$AF$11</definedName>
    <definedName name="rescue_bicycle_prtnr">Box30_part2!$AI$11</definedName>
    <definedName name="rescue_firecabinet">Box30_part2!$AF$12</definedName>
    <definedName name="rescue_firecabinet_prtnr">Box30_part2!$AI$12</definedName>
    <definedName name="rescue_fireextinguisher">Box30_part2!$AF$13</definedName>
    <definedName name="rescue_fireextinguisher_prtnr">Box30_part2!$AI$13</definedName>
    <definedName name="rescue_firehose">Box30_part2!$AF$14</definedName>
    <definedName name="rescue_firehose_prtnr">Box30_part2!$AI$14</definedName>
    <definedName name="rescue_lifevest">Box30_part2!$AF$15</definedName>
    <definedName name="rescue_lifevest_prtnr">Box30_part2!$AI$15</definedName>
    <definedName name="rescue_motorbanca">Box30_part2!$AF$17</definedName>
    <definedName name="rescue_motorbanca_prtnr">Box30_part2!$AI$17</definedName>
    <definedName name="rescue_sprayer">Box30_part2!$AF$19</definedName>
    <definedName name="rescue_sprayer_prtnr">Box30_part2!$AI$19</definedName>
    <definedName name="resileduc_trainings_ccam">Box31_part3b!$J$53</definedName>
    <definedName name="resileduc_trainings_drrm">Box31_part3b!$J$52</definedName>
    <definedName name="resileduc_trainings_peacebuilding">Box31_part3b!$J$54</definedName>
    <definedName name="resilienceeduc_stakeholder_learner">Box31_part3a!$F$13</definedName>
    <definedName name="resilienceeduc_stakeholder_LGU">Box31_part3a!$U$13</definedName>
    <definedName name="resilienceeduc_stakeholder_NGO">Box31_part3a!$Z$13</definedName>
    <definedName name="resilienceeduc_stakeholder_parents">Box31_part3a!$P$13</definedName>
    <definedName name="resilienceeduc_stakeholder_personnel">Box31_part3a!$K$13</definedName>
    <definedName name="resilienceeduc_trained_nonteacher_f">Box31_part3a!$O$8</definedName>
    <definedName name="resilienceeduc_trained_nonteacher_m">Box31_part3a!$L$8</definedName>
    <definedName name="resilienceeduc_trained_teacher_f">Box31_part3a!$I$8</definedName>
    <definedName name="resilienceeduc_trained_teacher_m">Box31_part3a!$F$8</definedName>
    <definedName name="result_disaster_apr_cls_evactr">Table41!$AO$12</definedName>
    <definedName name="result_disaster_apr_days_cls_armed_conflict">Table41!$AO$16</definedName>
    <definedName name="result_disaster_apr_days_cls_suspend">Table41!$AO$14</definedName>
    <definedName name="result_disaster_apr_days_cls_suspend_humaninduced">Table41!$AO$15</definedName>
    <definedName name="result_disaster_apr_days_evactr">Table41!$AO$13</definedName>
    <definedName name="result_disaster_aug_cls_evactr">Table41!$Y$12</definedName>
    <definedName name="result_disaster_aug_days_cls_armed_conflict">Table41!$Y$16</definedName>
    <definedName name="result_disaster_aug_days_cls_suspend">Table41!$Y$14</definedName>
    <definedName name="result_disaster_aug_days_cls_suspend_humaninduced">Table41!$Y$15</definedName>
    <definedName name="result_disaster_aug_days_evactr">Table41!$Y$13</definedName>
    <definedName name="result_disaster_dec_cls_evactr">Table41!$AG$12</definedName>
    <definedName name="result_disaster_dec_days_cls_armed_conflict">Table41!$AG$16</definedName>
    <definedName name="result_disaster_dec_days_cls_suspend">Table41!$AG$14</definedName>
    <definedName name="result_disaster_dec_days_cls_suspend_humaninduced">Table41!$AG$15</definedName>
    <definedName name="result_disaster_dec_days_evactr">Table41!$AG$13</definedName>
    <definedName name="result_disaster_feb_cls_evactr">Table41!$AK$12</definedName>
    <definedName name="result_disaster_feb_days_cls_armed_conflict">Table41!$AK$16</definedName>
    <definedName name="result_disaster_feb_days_cls_suspend">Table41!$AK$14</definedName>
    <definedName name="result_disaster_feb_days_cls_suspend_humaninduced">Table41!$AK$15</definedName>
    <definedName name="result_disaster_feb_days_evactr">Table41!$AK$13</definedName>
    <definedName name="result_disaster_jan_cls_evactr">Table41!$AI$12</definedName>
    <definedName name="result_disaster_jan_days_cls_armed_conflict">Table41!$AI$16</definedName>
    <definedName name="result_disaster_jan_days_cls_suspend">Table41!$AI$14</definedName>
    <definedName name="result_disaster_jan_days_cls_suspend_humaninduced">Table41!$AI$15</definedName>
    <definedName name="result_disaster_jan_days_evactr">Table41!$AI$13</definedName>
    <definedName name="result_disaster_jul_cls_evactr">Table41!$W$12</definedName>
    <definedName name="result_disaster_jul_days_cls_armed_conflict">Table41!$W$16</definedName>
    <definedName name="result_disaster_jul_days_cls_suspend">Table41!$W$14</definedName>
    <definedName name="result_disaster_jul_days_evactr">Table41!$W$13</definedName>
    <definedName name="result_disaster_july_days_cls_suspend_humaninduced">Table41!$W$15</definedName>
    <definedName name="result_disaster_jun_cls_evactr">Table41!$U$12</definedName>
    <definedName name="result_disaster_jun_days_cls_armed_conflict">Table41!$U$16</definedName>
    <definedName name="result_disaster_jun_days_cls_suspend">Table41!$U$14</definedName>
    <definedName name="result_disaster_jun_days_cls_suspend_humaninduced">Table41!$U$15</definedName>
    <definedName name="result_disaster_jun_days_evactr">Table41!$U$13</definedName>
    <definedName name="result_disaster_mar_cls_evactr">Table41!$AM$12</definedName>
    <definedName name="result_disaster_mar_days_cls_armed_conflict">Table41!$AM$16</definedName>
    <definedName name="result_disaster_mar_days_cls_suspend">Table41!$AM$14</definedName>
    <definedName name="result_disaster_mar_days_cls_suspend_humaninduced">Table41!$AM$15</definedName>
    <definedName name="result_disaster_mar_days_evactr">Table41!$AM$13</definedName>
    <definedName name="result_disaster_may_cls_evactr">Table41!$AQ$12</definedName>
    <definedName name="result_disaster_may_days_cls_armed_conflict">Table41!$AQ$16</definedName>
    <definedName name="result_disaster_may_days_cls_suspend">Table41!$AQ$14</definedName>
    <definedName name="result_disaster_may_days_cls_suspend_humaninduced">Table41!$AQ$15</definedName>
    <definedName name="result_disaster_may_days_evactr">Table41!$AQ$13</definedName>
    <definedName name="result_disaster_nov_cls_evactr">Table41!$AE$12</definedName>
    <definedName name="result_disaster_nov_days_cls_armed_conflict">Table41!$AE$16</definedName>
    <definedName name="result_disaster_nov_days_cls_suspend">Table41!$AE$14</definedName>
    <definedName name="result_disaster_nov_days_cls_suspend_humaninduced">Table41!$AE$15</definedName>
    <definedName name="result_disaster_nov_days_evactr">Table41!$AE$13</definedName>
    <definedName name="result_disaster_oct_cls_evactr">Table41!$AC$12</definedName>
    <definedName name="result_disaster_oct_days_cls_armed_conflict">Table41!$AC$16</definedName>
    <definedName name="result_disaster_oct_days_cls_suspend">Table41!$AC$14</definedName>
    <definedName name="result_disaster_oct_days_cls_suspend_humaninduced">Table41!$AC$15</definedName>
    <definedName name="result_disaster_oct_days_evactr">Table41!$AC$13</definedName>
    <definedName name="result_disaster_sep_cls_evactr">Table41!$AA$12</definedName>
    <definedName name="result_disaster_sep_days_cls_armed_conflict">Table41!$AA$16</definedName>
    <definedName name="result_disaster_sep_days_cls_suspend">Table41!$AA$14</definedName>
    <definedName name="result_disaster_sep_days_cls_suspend_humaninduced">Table41!$AA$15</definedName>
    <definedName name="result_disaster_sep_days_evactr">Table41!$AA$13</definedName>
    <definedName name="riskreduc_ccam_als">'Box31_part1&amp;2'!$S$24</definedName>
    <definedName name="riskreduc_ccam_competencies">'Box31_part1&amp;2'!$X$24</definedName>
    <definedName name="riskreduc_ccam_contents">'Box31_part1&amp;2'!$AC$24</definedName>
    <definedName name="riskreduc_ccam_contextualized">'Box31_part1&amp;2'!$AH$24</definedName>
    <definedName name="riskreduc_ccam_iped">'Box31_part1&amp;2'!$N$24</definedName>
    <definedName name="riskreduc_ccam_sped">'Box31_part1&amp;2'!$I$24</definedName>
    <definedName name="riskreduc_drrm_als">'Box31_part1&amp;2'!$S$23</definedName>
    <definedName name="riskreduc_drrm_competencies">'Box31_part1&amp;2'!$X$23</definedName>
    <definedName name="riskreduc_drrm_contents">'Box31_part1&amp;2'!$AC$23</definedName>
    <definedName name="riskreduc_drrm_contextualized">'Box31_part1&amp;2'!$AH$23</definedName>
    <definedName name="riskreduc_drrm_iped">'Box31_part1&amp;2'!$N$23</definedName>
    <definedName name="riskreduc_drrm_sped">'Box31_part1&amp;2'!$I$23</definedName>
    <definedName name="riskreduc_nonteach_effectiveness_survey_f">'Box31_part1&amp;2'!$AO$39</definedName>
    <definedName name="riskreduc_nonteach_effectiveness_survey_m">'Box31_part1&amp;2'!$AL$39</definedName>
    <definedName name="riskreduc_peace_als">'Box31_part1&amp;2'!$S$25</definedName>
    <definedName name="riskreduc_peace_competencies">'Box31_part1&amp;2'!$X$25</definedName>
    <definedName name="riskreduc_peace_contents">'Box31_part1&amp;2'!$AC$25</definedName>
    <definedName name="riskreduc_peace_contextualized">'Box31_part1&amp;2'!$AH$25</definedName>
    <definedName name="riskreduc_peace_iped">'Box31_part1&amp;2'!$N$25</definedName>
    <definedName name="riskreduc_peace_sped">'Box31_part1&amp;2'!$I$25</definedName>
    <definedName name="riskreduc_teacher_effectiveness_survey_f">'Box31_part1&amp;2'!$AI$39</definedName>
    <definedName name="riskreduc_teacher_effectiveness_survey_m">'Box31_part1&amp;2'!$AF$39</definedName>
    <definedName name="safelearn_alloted_maintenancebudget">Box29_part1!$D$30</definedName>
    <definedName name="safelearn_facilities_instructional_safe">Box29_part1!$K$10</definedName>
    <definedName name="safelearn_facilities_instructional_unsafe">Box29_part1!$Q$10</definedName>
    <definedName name="safelearn_facilities_noninstructional_safe">Box29_part1!$K$11</definedName>
    <definedName name="safelearn_facilities_noninstructional_unsafe">Box29_part1!$Q$11</definedName>
    <definedName name="safelearn_firewall">Box29_part1!$G$23</definedName>
    <definedName name="safelearn_floodwall">Box29_part1!$G$22</definedName>
    <definedName name="safelearn_inspection_apr">Box29_part1!$V$36</definedName>
    <definedName name="safelearn_inspection_aug">Box29_part1!$P$38</definedName>
    <definedName name="safelearn_inspection_dec">Box29_part1!$AB$38</definedName>
    <definedName name="safelearn_inspection_feb">Box29_part1!$P$36</definedName>
    <definedName name="safelearn_inspection_jan">Box29_part1!$M$36</definedName>
    <definedName name="safelearn_inspection_july">Box29_part1!$M$38</definedName>
    <definedName name="safelearn_inspection_jun">Box29_part1!$AB$36</definedName>
    <definedName name="safelearn_inspection_march">Box29_part1!$S$36</definedName>
    <definedName name="safelearn_inspection_may">Box29_part1!$Y$36</definedName>
    <definedName name="safelearn_inspection_nov">Box29_part1!$Y$38</definedName>
    <definedName name="safelearn_inspection_oct">Box29_part1!$V$38</definedName>
    <definedName name="safelearn_inspection_sep">Box29_part1!$S$38</definedName>
    <definedName name="safelearn_nonstructural">Box29_part1!$G$26</definedName>
    <definedName name="safelearn_others">Box29_part1!$S$23</definedName>
    <definedName name="safelearn_others_nonstructural">Box29_part1!$S$27</definedName>
    <definedName name="safelearn_others_nonstructural_specify">Box29_part1!$X$27</definedName>
    <definedName name="safelearn_others_specify">Box29_part1!$X$23</definedName>
    <definedName name="safelearn_porouslandscape">Box29_part1!$G$28</definedName>
    <definedName name="safelearn_pruning">Box29_part1!$S$26</definedName>
    <definedName name="safelearn_recons_instruct_basicfund">Box29_part2!$K$12</definedName>
    <definedName name="safelearn_recons_instruct_external">Box29_part2!$Z$12</definedName>
    <definedName name="safelearn_recons_instruct_ndrrm">Box29_part2!$U$12</definedName>
    <definedName name="safelearn_recons_instruct_qr">Box29_part2!$P$12</definedName>
    <definedName name="safelearn_recons_noninstruct_basicfund">Box29_part2!$K$13</definedName>
    <definedName name="safelearn_recons_noninstruct_external">Box29_part2!$Z$13</definedName>
    <definedName name="safelearn_recons_noninstruct_ndrrm">Box29_part2!$U$13</definedName>
    <definedName name="safelearn_recons_noninstruct_qr">Box29_part2!$P$13</definedName>
    <definedName name="safelearn_regular_facilities_inspection">Box29_part1!$D$29</definedName>
    <definedName name="safelearn_repaired_instruct_basicfund">Box29_part2!$K$9</definedName>
    <definedName name="safelearn_repaired_instruct_external">Box29_part2!$Z$9</definedName>
    <definedName name="safelearn_repaired_instruct_ndrrm">Box29_part2!$U$9</definedName>
    <definedName name="safelearn_repaired_instruct_qr">Box29_part2!$P$9</definedName>
    <definedName name="safelearn_repaired_noninstruct_basicfund">Box29_part2!$K$10</definedName>
    <definedName name="safelearn_repaired_noninstruct_external">Box29_part2!$Z$10</definedName>
    <definedName name="safelearn_repaired_noninstruct_ndrrm">Box29_part2!$U$10</definedName>
    <definedName name="safelearn_repaired_noninstruct_qr">Box29_part2!$P$10</definedName>
    <definedName name="safelearn_resilient_instructional">Box29_part1!$AB$17</definedName>
    <definedName name="safelearn_resilient_noninstructional">Box29_part1!$AB$19</definedName>
    <definedName name="safelearn_retrofit_instructional">Box29_part1!$AB$13</definedName>
    <definedName name="safelearn_retrofit_noninstructional">Box29_part1!$AB$15</definedName>
    <definedName name="safelearn_safety_precautions">Box29_part2!$D$4</definedName>
    <definedName name="safelearn_seawall">Box29_part1!$G$24</definedName>
    <definedName name="safelearn_slopeprotection">Box29_part1!$S$22</definedName>
    <definedName name="safelearn_undertaken_regular_repair">Box29_part1!$D$31</definedName>
    <definedName name="safelearn_vegetation">Box29_part1!$G$27</definedName>
    <definedName name="sch_add_brgy">SchInfo!$N$25</definedName>
    <definedName name="sch_add_mun_city">SchInfo!$G$27</definedName>
    <definedName name="sch_add_no">SchInfo!$G$25</definedName>
    <definedName name="sch_add_prov">SchInfo!$N$27</definedName>
    <definedName name="sch_add_street">SchInfo!$I$25</definedName>
    <definedName name="sch_add_zip">SchInfo!$T$27</definedName>
    <definedName name="sch_annex_ext_sch">SchInfo!$C$34</definedName>
    <definedName name="sch_ap_ccam_g10">'Box31_part1&amp;2'!$AM$12</definedName>
    <definedName name="sch_ap_ccam_g7">'Box31_part1&amp;2'!$AD$12</definedName>
    <definedName name="sch_ap_ccam_g8">'Box31_part1&amp;2'!$AG$12</definedName>
    <definedName name="sch_ap_ccam_g9">'Box31_part1&amp;2'!$AJ$12</definedName>
    <definedName name="sch_ap_drrm_g10">'Box31_part1&amp;2'!$AA$12</definedName>
    <definedName name="sch_ap_drrm_g7">'Box31_part1&amp;2'!$R$12</definedName>
    <definedName name="sch_ap_drrm_g8">'Box31_part1&amp;2'!$U$12</definedName>
    <definedName name="sch_ap_drrm_g9">'Box31_part1&amp;2'!$X$12</definedName>
    <definedName name="sch_ap_peacebuilding_g10">'Box31_part1&amp;2'!$AY$12</definedName>
    <definedName name="sch_ap_peacebuilding_g7">'Box31_part1&amp;2'!$AP$12</definedName>
    <definedName name="sch_ap_peacebuilding_g8">'Box31_part1&amp;2'!$AS$12</definedName>
    <definedName name="sch_ap_peacebuilding_g9">'Box31_part1&amp;2'!$AV$12</definedName>
    <definedName name="sch_assessed_competencies">'Box31_part1&amp;2'!$D$27</definedName>
    <definedName name="sch_avemonthlyexpense_others1">'Box7-Table27'!$X$27</definedName>
    <definedName name="sch_avemonthlyexpense_others2">'Box7-Table27'!$X$28</definedName>
    <definedName name="sch_avemonthlyexpense_others3">'Box7-Table27'!$X$29</definedName>
    <definedName name="sch_avemonthlyexpense_others4">'Box7-Table27'!$X$30</definedName>
    <definedName name="sch_avemonthlyexpense_others5">'Box7-Table27'!$X$31</definedName>
    <definedName name="sch_bully_afl_cybbully">'Box26'!$U$10</definedName>
    <definedName name="sch_bully_afl_g10">'Box26'!$U$21</definedName>
    <definedName name="sch_bully_afl_g7">'Box26'!$U$18</definedName>
    <definedName name="sch_bully_afl_g8">'Box26'!$U$19</definedName>
    <definedName name="sch_bully_afl_g9">'Box26'!$U$20</definedName>
    <definedName name="sch_bully_afl_genbully">'Box26'!$U$11</definedName>
    <definedName name="sch_bully_afl_phybully">'Box26'!$U$9</definedName>
    <definedName name="sch_bully_afl_socbully">'Box26'!$U$12</definedName>
    <definedName name="sch_bully_age_g10">'Box26'!$AG$30</definedName>
    <definedName name="sch_bully_age_g7">'Box26'!$O$30</definedName>
    <definedName name="sch_bully_age_g8">'Box26'!$U$30</definedName>
    <definedName name="sch_bully_age_g9">'Box26'!$AA$30</definedName>
    <definedName name="sch_bully_aml_cybbully">'Box26'!$O$10</definedName>
    <definedName name="sch_bully_aml_g10">'Box26'!$O$21</definedName>
    <definedName name="sch_bully_aml_g7">'Box26'!$O$18</definedName>
    <definedName name="sch_bully_aml_g8">'Box26'!$O$19</definedName>
    <definedName name="sch_bully_aml_g9">'Box26'!$O$20</definedName>
    <definedName name="sch_bully_aml_genbully">'Box26'!$O$11</definedName>
    <definedName name="sch_bully_aml_phybully">'Box26'!$O$9</definedName>
    <definedName name="sch_bully_aml_socbully">'Box26'!$O$12</definedName>
    <definedName name="sch_bully_dis_g10">'Box26'!$AG$34</definedName>
    <definedName name="sch_bully_dis_g7">'Box26'!$O$34</definedName>
    <definedName name="sch_bully_dis_g8">'Box26'!$U$34</definedName>
    <definedName name="sch_bully_dis_g9">'Box26'!$AA$34</definedName>
    <definedName name="sch_bully_eth_g10">'Box26'!$AG$32</definedName>
    <definedName name="sch_bully_eth_g7">'Box26'!$O$32</definedName>
    <definedName name="sch_bully_eth_g8">'Box26'!$U$32</definedName>
    <definedName name="sch_bully_eth_g9">'Box26'!$AA$32</definedName>
    <definedName name="sch_bully_gen_g10">'Box26'!$AG$31</definedName>
    <definedName name="sch_bully_gen_g7">'Box26'!$O$31</definedName>
    <definedName name="sch_bully_gen_g8">'Box26'!$U$31</definedName>
    <definedName name="sch_bully_gen_g9">'Box26'!$AA$31</definedName>
    <definedName name="sch_bully_oth_g10">'Box26'!$AG$35</definedName>
    <definedName name="sch_bully_oth_g7">'Box26'!$O$35</definedName>
    <definedName name="sch_bully_oth_g8">'Box26'!$U$35</definedName>
    <definedName name="sch_bully_oth_g9">'Box26'!$AA$35</definedName>
    <definedName name="sch_bully_phy_g10">'Box26'!$AG$27</definedName>
    <definedName name="sch_bully_phy_g7">'Box26'!$O$27</definedName>
    <definedName name="sch_bully_phy_g8">'Box26'!$U$27</definedName>
    <definedName name="sch_bully_phy_g9">'Box26'!$AA$27</definedName>
    <definedName name="sch_bully_rel_g10">'Box26'!$AG$33</definedName>
    <definedName name="sch_bully_rel_g7">'Box26'!$O$33</definedName>
    <definedName name="sch_bully_rel_g8">'Box26'!$U$33</definedName>
    <definedName name="sch_bully_rel_g9">'Box26'!$AA$33</definedName>
    <definedName name="sch_bully_skn_g10">'Box26'!$AG$29</definedName>
    <definedName name="sch_bully_skn_g7">'Box26'!$O$29</definedName>
    <definedName name="sch_bully_skn_g8">'Box26'!$U$29</definedName>
    <definedName name="sch_bully_skn_g9">'Box26'!$AA$29</definedName>
    <definedName name="sch_bully_stl_g10">'Box26'!$AG$28</definedName>
    <definedName name="sch_bully_stl_g7">'Box26'!$O$28</definedName>
    <definedName name="sch_bully_stl_g8">'Box26'!$U$28</definedName>
    <definedName name="sch_bully_stl_g9">'Box26'!$AA$28</definedName>
    <definedName name="sch_cgp_gc_yrs_assigned">'Boxes4-6'!$Z$43</definedName>
    <definedName name="sch_cgp_guid_adv_yrs_assigned">'Boxes4-6'!$Z$45</definedName>
    <definedName name="sch_childprotect_annually">'Boxes24-25'!$AB$6</definedName>
    <definedName name="sch_childprotect_casesreported">'Boxes24-25'!$AF$7</definedName>
    <definedName name="sch_childprotect_monthly">'Boxes24-25'!$T$6</definedName>
    <definedName name="sch_childprotect_others">'Boxes24-25'!$AF$6</definedName>
    <definedName name="sch_childprotect_others_specify">'Boxes24-25'!$AK$6</definedName>
    <definedName name="sch_childprotect_quarterly">'Boxes24-25'!$X$6</definedName>
    <definedName name="sch_childprotect_scc">'Boxes24-25'!$AF$9</definedName>
    <definedName name="sch_childprotect_yes">'Boxes24-25'!$AF$5</definedName>
    <definedName name="sch_clinic_bpa">'Table33c-d-Box11'!$AA$37</definedName>
    <definedName name="sch_clinic_first_aids">'Table33c-d-Box11'!$AA$35</definedName>
    <definedName name="sch_clinic_personnel_trained">'Table33c-d-Box11'!$AA$38</definedName>
    <definedName name="sch_clinic_scale_bathroom_unit">'Table33c-d-Box11'!$V$27</definedName>
    <definedName name="sch_clinic_scale_beambalance_unit">'Table33c-d-Box11'!$V$28</definedName>
    <definedName name="sch_clinic_scale_others_specify">'Table33c-d-Box11'!$N$29</definedName>
    <definedName name="sch_clinic_scale_others_unit">'Table33c-d-Box11'!$V$29</definedName>
    <definedName name="sch_clinic_teacher">'Table33c-d-Box11'!$Y$21</definedName>
    <definedName name="sch_clinic_thermometers">'Table33c-d-Box11'!$AA$36</definedName>
    <definedName name="sch_clinic_tools_height_others_specify">'Table33c-d-Box11'!$AI$33</definedName>
    <definedName name="sch_conduct_menttraining_learners_ifyes">'Box13'!$AF$22</definedName>
    <definedName name="sch_conduct_menttraining_teachers_ifyes">'Box13'!$AF$32</definedName>
    <definedName name="sch_conducted_brigadaeskuwela">Box30_part2!$F$4</definedName>
    <definedName name="sch_conducted_brigadaeskuwela_aftermath">Box30_part3a!$E$4</definedName>
    <definedName name="sch_contingency_assesment_wbaseline">Box30_part1!$D$26</definedName>
    <definedName name="sch_covid_management">Box30_part1!$T$41</definedName>
    <definedName name="sch_date_est">SchInfo!$AH$29</definedName>
    <definedName name="sch_depeddeveloped_drrm_ccam_peacebuilding">Box31_part3b!$D$47</definedName>
    <definedName name="sch_depeddeveloped_mhpssmanual">Box31_part3d!$D$12</definedName>
    <definedName name="sch_depeddeveloped_trainingmanual">Box31_part3c!$E$22</definedName>
    <definedName name="sch_developed_DRRM_comm">Box30_part1!$D$52</definedName>
    <definedName name="sch_division">SchInfo!$AH$22</definedName>
    <definedName name="sch_drrm_developed_iec">'Box31_part1&amp;2'!$D$32</definedName>
    <definedName name="sch_drrm_updated_iec">'Box31_part1&amp;2'!$D$36</definedName>
    <definedName name="sch_drrmteam_wroles">Box30_part1!$T$34</definedName>
    <definedName name="sch_drugprevention_bkd">'Box 17-18'!$AG$11</definedName>
    <definedName name="sch_drugprevention_educprog_currintegration">'Box 17-18'!$M$7</definedName>
    <definedName name="sch_drugprevention_educprog_extracurri">'Box 17-18'!$M$8</definedName>
    <definedName name="sch_drugprevention_educprog_other">'Box 17-18'!$W$8</definedName>
    <definedName name="sch_drugprevention_educprog_otherspecify">'Box 17-18'!$AB$8</definedName>
    <definedName name="sch_drugprevention_educprog_partnerbrgy">'Box 17-18'!$W$7</definedName>
    <definedName name="sch_drugprevention_implementation">'Box 17-18'!$AG$5</definedName>
    <definedName name="sch_drugprevention_learners_bkdmembers_g10">'Box 17-18'!$S$17</definedName>
    <definedName name="sch_drugprevention_learners_bkdmembers_g7">'Box 17-18'!$S$14</definedName>
    <definedName name="sch_drugprevention_learners_bkdmembers_g8">'Box 17-18'!$S$15</definedName>
    <definedName name="sch_drugprevention_learners_bkdmembers_g9">'Box 17-18'!$S$16</definedName>
    <definedName name="sch_drugprevention_learners_trained_g10">'Box 17-18'!$S$25</definedName>
    <definedName name="sch_drugprevention_learners_trained_g7">'Box 17-18'!$S$22</definedName>
    <definedName name="sch_drugprevention_learners_trained_g8">'Box 17-18'!$S$23</definedName>
    <definedName name="sch_drugprevention_learners_trained_g9">'Box 17-18'!$S$24</definedName>
    <definedName name="sch_drugprevention_ndep">'Box 17-18'!$AG$9</definedName>
    <definedName name="sch_drugprevention_ndep_corners">'Box 17-18'!$AG$10</definedName>
    <definedName name="sch_earthquakedrill_lrnrs_apr">Box30_part2!$T$48</definedName>
    <definedName name="sch_earthquakedrill_lrnrs_aug">Box30_part2!$AB$48</definedName>
    <definedName name="sch_earthquakedrill_lrnrs_dec">Box30_part2!$AJ$48</definedName>
    <definedName name="sch_earthquakedrill_lrnrs_feb">Box30_part2!$P$48</definedName>
    <definedName name="sch_earthquakedrill_lrnrs_jan">Box30_part2!$N$48</definedName>
    <definedName name="sch_earthquakedrill_lrnrs_jul">Box30_part2!$Z$48</definedName>
    <definedName name="sch_earthquakedrill_lrnrs_jun">Box30_part2!$X$48</definedName>
    <definedName name="sch_earthquakedrill_lrnrs_mar">Box30_part2!$R$48</definedName>
    <definedName name="sch_earthquakedrill_lrnrs_may">Box30_part2!$V$48</definedName>
    <definedName name="sch_earthquakedrill_lrnrs_nov">Box30_part2!$AH$48</definedName>
    <definedName name="sch_earthquakedrill_lrnrs_oct">Box30_part2!$AF$48</definedName>
    <definedName name="sch_earthquakedrill_lrnrs_sept">Box30_part2!$AD$48</definedName>
    <definedName name="sch_email_add">SchInfo!$AH$28</definedName>
    <definedName name="sch_epp_ccam_g10">'Box31_part1&amp;2'!$AM$16</definedName>
    <definedName name="sch_epp_ccam_g7">'Box31_part1&amp;2'!$AD$16</definedName>
    <definedName name="sch_epp_ccam_g8">'Box31_part1&amp;2'!$AG$16</definedName>
    <definedName name="sch_epp_ccam_g9">'Box31_part1&amp;2'!$AJ$16</definedName>
    <definedName name="sch_epp_drrm_g10">'Box31_part1&amp;2'!$AA$16</definedName>
    <definedName name="sch_epp_drrm_g7">'Box31_part1&amp;2'!$R$16</definedName>
    <definedName name="sch_epp_drrm_g8">'Box31_part1&amp;2'!$U$16</definedName>
    <definedName name="sch_epp_drrm_g9">'Box31_part1&amp;2'!$X$16</definedName>
    <definedName name="sch_epp_peacebuilding_g10">'Box31_part1&amp;2'!$AY$16</definedName>
    <definedName name="sch_epp_peacebuilding_g7">'Box31_part1&amp;2'!$AP$16</definedName>
    <definedName name="sch_epp_peacebuilding_g8">'Box31_part1&amp;2'!$AS$16</definedName>
    <definedName name="sch_epp_peacebuilding_g9">'Box31_part1&amp;2'!$AV$16</definedName>
    <definedName name="sch_esp_ccam_g10">'Box31_part1&amp;2'!$AM$13</definedName>
    <definedName name="sch_esp_ccam_g7">'Box31_part1&amp;2'!$AD$13</definedName>
    <definedName name="sch_esp_ccam_g8">'Box31_part1&amp;2'!$AG$13</definedName>
    <definedName name="sch_esp_ccam_g9">'Box31_part1&amp;2'!$AJ$13</definedName>
    <definedName name="sch_esp_drrm_g10">'Box31_part1&amp;2'!$AA$13</definedName>
    <definedName name="sch_esp_drrm_g7">'Box31_part1&amp;2'!$R$13</definedName>
    <definedName name="sch_esp_drrm_g8">'Box31_part1&amp;2'!$U$13</definedName>
    <definedName name="sch_esp_drrm_g9">'Box31_part1&amp;2'!$X$13</definedName>
    <definedName name="sch_esp_peacebuilding_g10">'Box31_part1&amp;2'!$AY$13</definedName>
    <definedName name="sch_esp_peacebuilding_g7">'Box31_part1&amp;2'!$AP$13</definedName>
    <definedName name="sch_esp_peacebuilding_g8">'Box31_part1&amp;2'!$AS$13</definedName>
    <definedName name="sch_esp_peacebuilding_g9">'Box31_part1&amp;2'!$AV$13</definedName>
    <definedName name="sch_established_systemtracking">Box30_part1!$D$31</definedName>
    <definedName name="sch_farm_sch">SchInfo!$C$31</definedName>
    <definedName name="sch_fax_no">SchInfo!$AH$26</definedName>
    <definedName name="sch_feed_prog_agri_fishery_others_specify">'Boxes19-20'!$N$16</definedName>
    <definedName name="sch_feed_prog_agri_fishery_usedfp_yes_fundsource_others_specify">'Boxes19-20'!$AL$20</definedName>
    <definedName name="sch_feed_prog_yes_fundsource_others_specify">'Boxes19-20'!$AL$8</definedName>
    <definedName name="sch_firedrill_lrnrs_apr">Box30_part2!$T$49</definedName>
    <definedName name="sch_firedrill_lrnrs_aug">Box30_part2!$AB$49</definedName>
    <definedName name="sch_firedrill_lrnrs_dec">Box30_part2!$AJ$49</definedName>
    <definedName name="sch_firedrill_lrnrs_feb">Box30_part2!$P$49</definedName>
    <definedName name="sch_firedrill_lrnrs_jan">Box30_part2!$N$49</definedName>
    <definedName name="sch_firedrill_lrnrs_jul">Box30_part2!$Z$49</definedName>
    <definedName name="sch_firedrill_lrnrs_jun">Box30_part2!$X$49</definedName>
    <definedName name="sch_firedrill_lrnrs_mar">Box30_part2!$R$49</definedName>
    <definedName name="sch_firedrill_lrnrs_may">Box30_part2!$V$49</definedName>
    <definedName name="sch_firedrill_lrnrs_nov">Box30_part2!$AH$49</definedName>
    <definedName name="sch_firedrill_lrnrs_oct">Box30_part2!$AF$49</definedName>
    <definedName name="sch_firedrill_lrnrs_sept">Box30_part2!$AD$49</definedName>
    <definedName name="sch_floodevacdrill_lrnrs_apr">Box30_part2!$T$50</definedName>
    <definedName name="sch_floodevacdrill_lrnrs_aug">Box30_part2!$AB$50</definedName>
    <definedName name="sch_floodevacdrill_lrnrs_dec">Box30_part2!$AJ$50</definedName>
    <definedName name="sch_floodevacdrill_lrnrs_feb">Box30_part2!$P$50</definedName>
    <definedName name="sch_floodevacdrill_lrnrs_jan">Box30_part2!$N$50</definedName>
    <definedName name="sch_floodevacdrill_lrnrs_jul">Box30_part2!$Z$50</definedName>
    <definedName name="sch_floodevacdrill_lrnrs_jun">Box30_part2!$X$50</definedName>
    <definedName name="sch_floodevacdrill_lrnrs_mar">Box30_part2!$R$50</definedName>
    <definedName name="sch_floodevacdrill_lrnrs_may">Box30_part2!$V$50</definedName>
    <definedName name="sch_floodevacdrill_lrnrs_nov">Box30_part2!$AH$50</definedName>
    <definedName name="sch_floodevacdrill_lrnrs_oct">Box30_part2!$AF$50</definedName>
    <definedName name="sch_floodevacdrill_lrnrs_sep">Box30_part2!$AD$50</definedName>
    <definedName name="sch_food_hndlg_canteen_mngd_others_sanitary">'Boxes19-20'!$R$35</definedName>
    <definedName name="sch_food_hndlg_canteen_mngd_others_specify">'Boxes19-20'!$J$35</definedName>
    <definedName name="sch_food_hndlg_canteen_mngd_others_validity">'Boxes19-20'!$Z$35</definedName>
    <definedName name="sch_food_hndlg_canteen_mngd_sch_sanitary">'Boxes19-20'!$R$30</definedName>
    <definedName name="sch_food_hndlg_canteen_mngd_sch_validity">'Boxes19-20'!$Z$30</definedName>
    <definedName name="sch_food_hndlg_canteen_mngd_tchcoop_sanitary">'Boxes19-20'!$R$32</definedName>
    <definedName name="sch_food_hndlg_canteen_mngd_tchcoop_validity">'Boxes19-20'!$Z$32</definedName>
    <definedName name="sch_functional_earlywarningsystem">Box30_part2!$F$5</definedName>
    <definedName name="sch_health_ccam_g10">'Box31_part1&amp;2'!$AM$15</definedName>
    <definedName name="sch_health_ccam_g7">'Box31_part1&amp;2'!$AD$15</definedName>
    <definedName name="sch_health_ccam_g8">'Box31_part1&amp;2'!$AG$15</definedName>
    <definedName name="sch_health_ccam_g9">'Box31_part1&amp;2'!$AJ$15</definedName>
    <definedName name="sch_health_drrm_g10">'Box31_part1&amp;2'!$AA$15</definedName>
    <definedName name="sch_health_drrm_g7">'Box31_part1&amp;2'!$R$15</definedName>
    <definedName name="sch_health_drrm_g8">'Box31_part1&amp;2'!$U$15</definedName>
    <definedName name="sch_health_drrm_g9">'Box31_part1&amp;2'!$X$15</definedName>
    <definedName name="sch_health_learners_dewormed_g10_f">'Table33c-d-Box11'!$AI$6</definedName>
    <definedName name="sch_health_learners_dewormed_g10_m">'Table33c-d-Box11'!$AF$6</definedName>
    <definedName name="sch_health_learners_dewormed_g7_f">'Table33c-d-Box11'!$Q$6</definedName>
    <definedName name="sch_health_learners_dewormed_g7_m">'Table33c-d-Box11'!$N$6</definedName>
    <definedName name="sch_health_learners_dewormed_g8_f">'Table33c-d-Box11'!$W$6</definedName>
    <definedName name="sch_health_learners_dewormed_g8_m">'Table33c-d-Box11'!$T$6</definedName>
    <definedName name="sch_health_learners_dewormed_g9_f">'Table33c-d-Box11'!$AC$6</definedName>
    <definedName name="sch_health_learners_dewormed_g9_m">'Table33c-d-Box11'!$Z$6</definedName>
    <definedName name="sch_health_nsh_normal_g10_f">'Table33a-b'!$AJ$23</definedName>
    <definedName name="sch_health_nsh_normal_g10_m">'Table33a-b'!$AG$23</definedName>
    <definedName name="sch_health_nsh_normal_g7_f">'Table33a-b'!$R$23</definedName>
    <definedName name="sch_health_nsh_normal_g7_m">'Table33a-b'!$O$23</definedName>
    <definedName name="sch_health_nsh_normal_g8_f">'Table33a-b'!$X$23</definedName>
    <definedName name="sch_health_nsh_normal_g8_m">'Table33a-b'!$U$23</definedName>
    <definedName name="sch_health_nsh_normal_g9_f">'Table33a-b'!$AD$23</definedName>
    <definedName name="sch_health_nsh_normal_g9_m">'Table33a-b'!$AA$23</definedName>
    <definedName name="sch_health_nsh_severelystunted_g10_f">'Table33a-b'!$AJ$21</definedName>
    <definedName name="sch_health_nsh_severelystunted_g10_m">'Table33a-b'!$AG$21</definedName>
    <definedName name="sch_health_nsh_severelystunted_g7_f">'Table33a-b'!$R$21</definedName>
    <definedName name="sch_health_nsh_severelystunted_g7_m">'Table33a-b'!$O$21</definedName>
    <definedName name="sch_health_nsh_severelystunted_g8_f">'Table33a-b'!$X$21</definedName>
    <definedName name="sch_health_nsh_severelystunted_g8_m">'Table33a-b'!$U$21</definedName>
    <definedName name="sch_health_nsh_severelystunted_g9_f">'Table33a-b'!$AD$21</definedName>
    <definedName name="sch_health_nsh_severelystunted_g9_m">'Table33a-b'!$AA$21</definedName>
    <definedName name="sch_health_nsh_stunted_g10_f">'Table33a-b'!$AJ$22</definedName>
    <definedName name="sch_health_nsh_stunted_g10_m">'Table33a-b'!$AG$22</definedName>
    <definedName name="sch_health_nsh_stunted_g7_f">'Table33a-b'!$R$22</definedName>
    <definedName name="sch_health_nsh_stunted_g7_m">'Table33a-b'!$O$22</definedName>
    <definedName name="sch_health_nsh_stunted_g8_f">'Table33a-b'!$X$22</definedName>
    <definedName name="sch_health_nsh_stunted_g8_m">'Table33a-b'!$U$22</definedName>
    <definedName name="sch_health_nsh_stunted_g9_f">'Table33a-b'!$AD$22</definedName>
    <definedName name="sch_health_nsh_stunted_g9_m">'Table33a-b'!$AA$22</definedName>
    <definedName name="sch_health_nsh_tall_g10_f">'Table33a-b'!$AJ$24</definedName>
    <definedName name="sch_health_nsh_tall_g10_m">'Table33a-b'!$AG$24</definedName>
    <definedName name="sch_health_nsh_tall_g7_f">'Table33a-b'!$R$24</definedName>
    <definedName name="sch_health_nsh_tall_g7_m">'Table33a-b'!$O$24</definedName>
    <definedName name="sch_health_nsh_tall_g8_f">'Table33a-b'!$X$24</definedName>
    <definedName name="sch_health_nsh_tall_g8_m">'Table33a-b'!$U$24</definedName>
    <definedName name="sch_health_nsh_tall_g9_f">'Table33a-b'!$AD$24</definedName>
    <definedName name="sch_health_nsh_tall_g9_m">'Table33a-b'!$AA$24</definedName>
    <definedName name="sch_health_nsw_normal_g10_f">'Table33a-b'!$AJ$14</definedName>
    <definedName name="sch_health_nsw_normal_g10_m">'Table33a-b'!$AG$14</definedName>
    <definedName name="sch_health_nsw_normal_g7_f">'Table33a-b'!$R$14</definedName>
    <definedName name="sch_health_nsw_normal_g7_m">'Table33a-b'!$O$14</definedName>
    <definedName name="sch_health_nsw_normal_g8_f">'Table33a-b'!$X$14</definedName>
    <definedName name="sch_health_nsw_normal_g8_m">'Table33a-b'!$U$14</definedName>
    <definedName name="sch_health_nsw_normal_g9_f">'Table33a-b'!$AD$14</definedName>
    <definedName name="sch_health_nsw_normal_g9_m">'Table33a-b'!$AA$14</definedName>
    <definedName name="sch_health_nsw_obese_g10_f">'Table33a-b'!$AJ$15</definedName>
    <definedName name="sch_health_nsw_obese_g10_m">'Table33a-b'!$AG$15</definedName>
    <definedName name="sch_health_nsw_obese_g7_f">'Table33a-b'!$R$15</definedName>
    <definedName name="sch_health_nsw_obese_g7_m">'Table33a-b'!$O$15</definedName>
    <definedName name="sch_health_nsw_obese_g8_f">'Table33a-b'!$X$15</definedName>
    <definedName name="sch_health_nsw_obese_g8_m">'Table33a-b'!$U$15</definedName>
    <definedName name="sch_health_nsw_obese_g9_f">'Table33a-b'!$AD$15</definedName>
    <definedName name="sch_health_nsw_obese_g9_m">'Table33a-b'!$AA$15</definedName>
    <definedName name="sch_health_nsw_overweight_g10_f">'Table33a-b'!$AJ$16</definedName>
    <definedName name="sch_health_nsw_overweight_g10_m">'Table33a-b'!$AG$16</definedName>
    <definedName name="sch_health_nsw_overweight_g7_f">'Table33a-b'!$R$16</definedName>
    <definedName name="sch_health_nsw_overweight_g7_m">'Table33a-b'!$O$16</definedName>
    <definedName name="sch_health_nsw_overweight_g8_f">'Table33a-b'!$X$16</definedName>
    <definedName name="sch_health_nsw_overweight_g8_m">'Table33a-b'!$U$16</definedName>
    <definedName name="sch_health_nsw_overweight_g9_f">'Table33a-b'!$AD$16</definedName>
    <definedName name="sch_health_nsw_overweight_g9_m">'Table33a-b'!$AA$16</definedName>
    <definedName name="sch_health_nsw_severelywasted_g10_f">'Table33a-b'!$AJ$17</definedName>
    <definedName name="sch_health_nsw_severelywasted_g10_m">'Table33a-b'!$AG$17</definedName>
    <definedName name="sch_health_nsw_severelywasted_g7_f">'Table33a-b'!$R$17</definedName>
    <definedName name="sch_health_nsw_severelywasted_g7_m">'Table33a-b'!$O$17</definedName>
    <definedName name="sch_health_nsw_severelywasted_g8_f">'Table33a-b'!$X$17</definedName>
    <definedName name="sch_health_nsw_severelywasted_g8_m">'Table33a-b'!$U$17</definedName>
    <definedName name="sch_health_nsw_severelywasted_g9_f">'Table33a-b'!$AD$17</definedName>
    <definedName name="sch_health_nsw_severelywasted_g9_m">'Table33a-b'!$AA$17</definedName>
    <definedName name="sch_health_nsw_wasted_g10_f">'Table33a-b'!$AJ$18</definedName>
    <definedName name="sch_health_nsw_wasted_g10_m">'Table33a-b'!$AG$18</definedName>
    <definedName name="sch_health_nsw_wasted_g7_f">'Table33a-b'!$R$18</definedName>
    <definedName name="sch_health_nsw_wasted_g7_m">'Table33a-b'!$O$18</definedName>
    <definedName name="sch_health_nsw_wasted_g8_f">'Table33a-b'!$X$18</definedName>
    <definedName name="sch_health_nsw_wasted_g8_m">'Table33a-b'!$U$18</definedName>
    <definedName name="sch_health_nsw_wasted_g9_f">'Table33a-b'!$AD$18</definedName>
    <definedName name="sch_health_nsw_wasted_g9_m">'Table33a-b'!$AA$18</definedName>
    <definedName name="sch_health_peacebuilding_g10">'Box31_part1&amp;2'!$AY$15</definedName>
    <definedName name="sch_health_peacebuilding_g7">'Box31_part1&amp;2'!$AP$15</definedName>
    <definedName name="sch_health_peacebuilding_g8">'Box31_part1&amp;2'!$AS$15</definedName>
    <definedName name="sch_health_peacebuilding_g9">'Box31_part1&amp;2'!$AV$15</definedName>
    <definedName name="sch_health_vacc_measles_g7_f">'Table33a-b'!$U$6</definedName>
    <definedName name="sch_health_vacc_measles_g7_m">'Table33a-b'!$P$6</definedName>
    <definedName name="sch_health_vacc_tetanus_g7_f">'Table33a-b'!$U$7</definedName>
    <definedName name="sch_health_vacc_tetanus_g7_m">'Table33a-b'!$P$7</definedName>
    <definedName name="sch_health_wifa_learners_consent_g10">'Table33c-d-Box11'!$AH$11</definedName>
    <definedName name="sch_health_wifa_learners_consent_g7">'Table33c-d-Box11'!$S$11</definedName>
    <definedName name="sch_health_wifa_learners_consent_g8">'Table33c-d-Box11'!$X$11</definedName>
    <definedName name="sch_health_wifa_learners_consent_g9">'Table33c-d-Box11'!$AC$11</definedName>
    <definedName name="sch_health_wifa_learners_given_jantomar2020_g10">'Table33c-d-Box11'!$AH$13</definedName>
    <definedName name="sch_health_wifa_learners_given_jantomar2020_g7">'Table33c-d-Box11'!$S$13</definedName>
    <definedName name="sch_health_wifa_learners_given_jantomar2020_g8">'Table33c-d-Box11'!$X$13</definedName>
    <definedName name="sch_health_wifa_learners_given_jantomar2020_g9">'Table33c-d-Box11'!$AC$13</definedName>
    <definedName name="sch_health_wifa_learners_given_jultosep2019_g10">'Table33c-d-Box11'!$AH$12</definedName>
    <definedName name="sch_health_wifa_learners_given_jultosep2019_g7">'Table33c-d-Box11'!$S$12</definedName>
    <definedName name="sch_health_wifa_learners_given_jultosep2019_g8">'Table33c-d-Box11'!$X$12</definedName>
    <definedName name="sch_health_wifa_learners_given_jultosep2019_g9">'Table33c-d-Box11'!$AC$12</definedName>
    <definedName name="sch_healthsafety_protocol">Box30_part1!$D$42</definedName>
    <definedName name="sch_id">SchInfo!$AQ$2</definedName>
    <definedName name="sch_identified_evacctr">Box30_part1!$D$36</definedName>
    <definedName name="sch_identified_quarantinefacility">Box30_part1!$D$39</definedName>
    <definedName name="sch_implemented_classshifting">Box30_part3a!$E$41</definedName>
    <definedName name="sch_implemented_classshifting_days">Box30_part3a!$M$41</definedName>
    <definedName name="sch_implemented_eimpact">Box30_part3a!$Z$41</definedName>
    <definedName name="sch_implemented_eimpact_days">Box30_part3a!$AH$41</definedName>
    <definedName name="sch_implemented_homeschool">Box30_part3a!$Z$42</definedName>
    <definedName name="sch_implemented_homeschool_days">Box30_part3a!$AH$42</definedName>
    <definedName name="sch_implemented_makeupclass">Box30_part3a!$E$42</definedName>
    <definedName name="sch_implemented_makeupclass_days">Box30_part3a!$M$42</definedName>
    <definedName name="sch_implemented_misosa">Box30_part3a!$Z$43</definedName>
    <definedName name="sch_implemented_misosa_days">Box30_part3a!$AH$43</definedName>
    <definedName name="sch_implemented_modular">Box30_part3a!$E$43</definedName>
    <definedName name="sch_implemented_modular_days">Box30_part3a!$M$43</definedName>
    <definedName name="sch_implemented_nightschool">Box30_part3a!$Z$44</definedName>
    <definedName name="sch_implemented_nightschool_days">Box30_part3a!$AH$44</definedName>
    <definedName name="sch_implemented_online">Box30_part3a!$E$44</definedName>
    <definedName name="sch_implemented_onlinelearning_days">Box30_part3a!$M$44</definedName>
    <definedName name="sch_implemented_openhighschool">Box30_part3a!$Z$45</definedName>
    <definedName name="sch_implemented_openhighschool_days">Box30_part3a!$AH$45</definedName>
    <definedName name="sch_implemented_others">Box30_part1!$J$22</definedName>
    <definedName name="sch_implemented_others_specify">Box30_part1!$O$22</definedName>
    <definedName name="sch_implemented_peergroup">Box30_part3a!$E$45</definedName>
    <definedName name="sch_implemented_peergrouplearning_days">Box30_part3a!$M$45</definedName>
    <definedName name="sch_implemented_PPA_wprtnr">Box30_part1!$D$53</definedName>
    <definedName name="sch_implemented_programmed">Box30_part3a!$E$46</definedName>
    <definedName name="sch_implemented_programmedteaching_days">Box30_part3a!$M$46</definedName>
    <definedName name="sch_intercon_isp_subscribe_adminuse_yes">'Box7-Table27'!$H$12</definedName>
    <definedName name="sch_intercon_isp_subscribe_clinstructionuse_yes">'Box7-Table27'!$H$13</definedName>
    <definedName name="sch_intercon_isp_subscribe_yes">'Box7-Table27'!$AA$10</definedName>
    <definedName name="sch_intercon_isp_yes">'Box7-Table27'!$U$5</definedName>
    <definedName name="sch_intercon_isp_yes_bayantel">'Box7-Table27'!$H$7</definedName>
    <definedName name="sch_intercon_isp_yes_digitel">'Box7-Table27'!$H$8</definedName>
    <definedName name="sch_intercon_isp_yes_globe">'Box7-Table27'!$O$7</definedName>
    <definedName name="sch_intercon_isp_yes_other_specify">'Box7-Table27'!$AF$8</definedName>
    <definedName name="sch_intercon_isp_yes_otherspec">'Box7-Table27'!$AA$8</definedName>
    <definedName name="sch_intercon_isp_yes_pldt">'Box7-Table27'!$O$8</definedName>
    <definedName name="sch_intercon_isp_yes_smart">'Box7-Table27'!$U$7</definedName>
    <definedName name="sch_intercon_isp_yes_sun">'Box7-Table27'!$U$8</definedName>
    <definedName name="sch_intercon_isp_yes_witg">'Box7-Table27'!$AA$7</definedName>
    <definedName name="sch_intercon_speedtest_datetested">'Box7-Table27'!$K$16</definedName>
    <definedName name="sch_intercon_speedtest_download_mbps">'Box7-Table27'!$X$17</definedName>
    <definedName name="sch_intercon_speedtest_ping_ms">'Box7-Table27'!$X$16</definedName>
    <definedName name="sch_intercon_speedtest_timetested">'Box7-Table27'!$K$17</definedName>
    <definedName name="sch_intercon_speedtest_upload_mbps">'Box7-Table27'!$AK$16</definedName>
    <definedName name="sch_iu">SchInfo!$C$35</definedName>
    <definedName name="sch_learners_cancercases_cp_bnsc">'Box14'!$P$11</definedName>
    <definedName name="sch_learners_cancercases_cp_leuk">'Box14'!$P$10</definedName>
    <definedName name="sch_learners_cancercases_cp_othertypes">'Box14'!$P$12</definedName>
    <definedName name="sch_learners_cancercases_cs_bnsc">'Box14'!$AD$11</definedName>
    <definedName name="sch_learners_cancercases_cs_leuk">'Box14'!$AD$10</definedName>
    <definedName name="sch_learners_cancercases_cs_othertypes">'Box14'!$AD$12</definedName>
    <definedName name="sch_learners_cancercases_ddc_bnsc">'Box14'!$AK$11</definedName>
    <definedName name="sch_learners_cancercases_ddc_leuk">'Box14'!$AK$10</definedName>
    <definedName name="sch_learners_cancercases_ddc_othertypes">'Box14'!$AK$12</definedName>
    <definedName name="sch_learners_cancercases_lc_bnsc">'Box14'!$W$11</definedName>
    <definedName name="sch_learners_cancercases_lc_leuk">'Box14'!$W$10</definedName>
    <definedName name="sch_learners_cancercases_lc_othertypes">'Box14'!$W$12</definedName>
    <definedName name="sch_learners_impregnator_adm_g10">'Box15'!$T$22</definedName>
    <definedName name="sch_learners_impregnator_adm_g7">'Box15'!$T$19</definedName>
    <definedName name="sch_learners_impregnator_adm_g8">'Box15'!$T$20</definedName>
    <definedName name="sch_learners_impregnator_adm_g9">'Box15'!$T$21</definedName>
    <definedName name="sch_learners_impregnator_dropped_g10">'Box15'!$AL$22</definedName>
    <definedName name="sch_learners_impregnator_dropped_g7">'Box15'!$AL$19</definedName>
    <definedName name="sch_learners_impregnator_dropped_g8">'Box15'!$AL$20</definedName>
    <definedName name="sch_learners_impregnator_dropped_g9">'Box15'!$AL$21</definedName>
    <definedName name="sch_learners_impregnator_inschool_g10">'Box15'!$N$22</definedName>
    <definedName name="sch_learners_impregnator_inschool_g7">'Box15'!$N$19</definedName>
    <definedName name="sch_learners_impregnator_inschool_g8">'Box15'!$N$20</definedName>
    <definedName name="sch_learners_impregnator_inschool_g9">'Box15'!$N$21</definedName>
    <definedName name="sch_learners_impregnator_transferredin_g10">'Box15'!$Z$22</definedName>
    <definedName name="sch_learners_impregnator_transferredin_g7">'Box15'!$Z$19</definedName>
    <definedName name="sch_learners_impregnator_transferredin_g8">'Box15'!$Z$20</definedName>
    <definedName name="sch_learners_impregnator_transferredin_g9">'Box15'!$Z$21</definedName>
    <definedName name="sch_learners_impregnator_transferredout_g10">'Box15'!$AF$22</definedName>
    <definedName name="sch_learners_impregnator_transferredout_g7">'Box15'!$AF$19</definedName>
    <definedName name="sch_learners_impregnator_transferredout_g8">'Box15'!$AF$20</definedName>
    <definedName name="sch_learners_impregnator_transferredout_g9">'Box15'!$AF$21</definedName>
    <definedName name="sch_learners_pregnant_adm_g10">'Box15'!$T$12</definedName>
    <definedName name="sch_learners_pregnant_adm_g7">'Box15'!$T$9</definedName>
    <definedName name="sch_learners_pregnant_adm_g8">'Box15'!$T$10</definedName>
    <definedName name="sch_learners_pregnant_adm_g9">'Box15'!$T$11</definedName>
    <definedName name="sch_learners_pregnant_dropped_g10">'Box15'!$AL$12</definedName>
    <definedName name="sch_learners_pregnant_dropped_g7">'Box15'!$AL$9</definedName>
    <definedName name="sch_learners_pregnant_dropped_g8">'Box15'!$AL$10</definedName>
    <definedName name="sch_learners_pregnant_dropped_g9">'Box15'!$AL$11</definedName>
    <definedName name="sch_learners_pregnant_inschool_g10">'Box15'!$N$12</definedName>
    <definedName name="sch_learners_pregnant_inschool_g7">'Box15'!$N$9</definedName>
    <definedName name="sch_learners_pregnant_inschool_g8">'Box15'!$N$10</definedName>
    <definedName name="sch_learners_pregnant_inschool_g9">'Box15'!$N$11</definedName>
    <definedName name="sch_learners_pregnant_transferredin_g10">'Box15'!$Z$12</definedName>
    <definedName name="sch_learners_pregnant_transferredin_g7">'Box15'!$Z$9</definedName>
    <definedName name="sch_learners_pregnant_transferredin_g8">'Box15'!$Z$10</definedName>
    <definedName name="sch_learners_pregnant_transferredin_g9">'Box15'!$Z$11</definedName>
    <definedName name="sch_learners_pregnant_transferredout_g10">'Box15'!$AF$12</definedName>
    <definedName name="sch_learners_pregnant_transferredout_g7">'Box15'!$AF$9</definedName>
    <definedName name="sch_learners_pregnant_transferredout_g8">'Box15'!$AF$10</definedName>
    <definedName name="sch_learners_pregnant_transferredout_g9">'Box15'!$AF$11</definedName>
    <definedName name="sch_learners_repoductivehealth_training_arhc_g10">'Box15'!$Z$33</definedName>
    <definedName name="sch_learners_repoductivehealth_training_arhc_g7">'Box15'!$Z$30</definedName>
    <definedName name="sch_learners_repoductivehealth_training_arhc_g8">'Box15'!$Z$31</definedName>
    <definedName name="sch_learners_repoductivehealth_training_arhc_g9">'Box15'!$Z$32</definedName>
    <definedName name="sch_learners_repoductivehealth_training_asrh_g10">'Box15'!$T$33</definedName>
    <definedName name="sch_learners_repoductivehealth_training_asrh_g7">'Box15'!$T$30</definedName>
    <definedName name="sch_learners_repoductivehealth_training_asrh_g8">'Box15'!$T$31</definedName>
    <definedName name="sch_learners_repoductivehealth_training_asrh_g9">'Box15'!$T$32</definedName>
    <definedName name="sch_learners_repoductivehealth_training_ctc_g10">'Box15'!$AF$33</definedName>
    <definedName name="sch_learners_repoductivehealth_training_ctc_g7">'Box15'!$AF$30</definedName>
    <definedName name="sch_learners_repoductivehealth_training_ctc_g8">'Box15'!$AF$31</definedName>
    <definedName name="sch_learners_repoductivehealth_training_ctc_g9">'Box15'!$AF$32</definedName>
    <definedName name="sch_learners_repoductivehealth_training_hivaids_g10">'Box15'!$N$33</definedName>
    <definedName name="sch_learners_repoductivehealth_training_hivaids_g7">'Box15'!$N$30</definedName>
    <definedName name="sch_learners_repoductivehealth_training_hivaids_g8">'Box15'!$N$31</definedName>
    <definedName name="sch_learners_repoductivehealth_training_hivaids_g9">'Box15'!$N$32</definedName>
    <definedName name="sch_learners_repoductivehealth_training_rcy_g10">'Box15'!$AL$33</definedName>
    <definedName name="sch_learners_repoductivehealth_training_rcy_g7">'Box15'!$AL$30</definedName>
    <definedName name="sch_learners_repoductivehealth_training_rcy_g8">'Box15'!$AL$31</definedName>
    <definedName name="sch_learners_repoductivehealth_training_rcy_g9">'Box15'!$AL$32</definedName>
    <definedName name="sch_leg_dist">SchInfo!$AH$23</definedName>
    <definedName name="sch_list_safetynemrgncy_supp">Box30_part1!$T$30</definedName>
    <definedName name="sch_listofPPE">Box30_part1!$T$39</definedName>
    <definedName name="sch_listofprtnrs_mobilized">Box30_part1!$T$32</definedName>
    <definedName name="sch_loc_alongdhway">'Box10'!$D$31</definedName>
    <definedName name="sch_loc_bydhillside">'Box10'!$D$32</definedName>
    <definedName name="sch_loc_nearcoastline">'Box10'!$M$32</definedName>
    <definedName name="sch_loc_nearfaultline">'Box10'!$W$31</definedName>
    <definedName name="sch_loc_nearriverwaterway">'Box10'!$M$33</definedName>
    <definedName name="sch_loc_onsmallisland">'Box10'!$M$31</definedName>
    <definedName name="sch_loc_ontopmountain">'Box10'!$D$33</definedName>
    <definedName name="sch_loc_others">'Box10'!$W$32</definedName>
    <definedName name="sch_loc_others_specify">'Box10'!$AB$32</definedName>
    <definedName name="sch_localgroups_mobilized">Box30_part3b!$AW$7</definedName>
    <definedName name="sch_lockdown_protocol">Box30_part1!$T$36</definedName>
    <definedName name="sch_lockdowndrill_apr">Box30_part2!$T$51</definedName>
    <definedName name="sch_lockdowndrill_aug">Box30_part2!$AB$51</definedName>
    <definedName name="sch_lockdowndrill_dec">Box30_part2!$AJ$51</definedName>
    <definedName name="sch_lockdowndrill_feb">Box30_part2!$P$51</definedName>
    <definedName name="sch_lockdowndrill_jan">Box30_part2!$N$51</definedName>
    <definedName name="sch_lockdowndrill_jul">Box30_part2!$Z$51</definedName>
    <definedName name="sch_lockdowndrill_jun">Box30_part2!$X$51</definedName>
    <definedName name="sch_lockdowndrill_mar">Box30_part2!$R$51</definedName>
    <definedName name="sch_lockdowndrill_may">Box30_part2!$V$51</definedName>
    <definedName name="sch_lockdowndrill_nov">Box30_part2!$AH$51</definedName>
    <definedName name="sch_lockdowndrill_oct">Box30_part2!$AF$51</definedName>
    <definedName name="sch_lockdowndrill_sep">Box30_part2!$AD$51</definedName>
    <definedName name="sch_mednurservc_learners_examined_g10">'Tables35-37'!$AF$24</definedName>
    <definedName name="sch_mednurservc_learners_examined_g7">'Tables35-37'!$Q$24</definedName>
    <definedName name="sch_mednurservc_learners_examined_g8">'Tables35-37'!$V$24</definedName>
    <definedName name="sch_mednurservc_learners_examined_g9">'Tables35-37'!$AA$24</definedName>
    <definedName name="sch_mednurservc_learners_given_internventions_g10">'Tables35-37'!$AF$26</definedName>
    <definedName name="sch_mednurservc_learners_given_internventions_g7">'Tables35-37'!$Q$26</definedName>
    <definedName name="sch_mednurservc_learners_given_internventions_g8">'Tables35-37'!$V$26</definedName>
    <definedName name="sch_mednurservc_learners_given_internventions_g9">'Tables35-37'!$AA$26</definedName>
    <definedName name="sch_mednurservc_learners_referred_health_unitsnprofessionals_g10">'Tables35-37'!$AF$27</definedName>
    <definedName name="sch_mednurservc_learners_referred_health_unitsnprofessionals_g7">'Tables35-37'!$Q$27</definedName>
    <definedName name="sch_mednurservc_learners_referred_health_unitsnprofessionals_g8">'Tables35-37'!$V$27</definedName>
    <definedName name="sch_mednurservc_learners_referred_health_unitsnprofessionals_g9">'Tables35-37'!$AA$27</definedName>
    <definedName name="sch_mednurservc_learners_wfindings_g10">'Tables35-37'!$AF$25</definedName>
    <definedName name="sch_mednurservc_learners_wfindings_g7">'Tables35-37'!$Q$25</definedName>
    <definedName name="sch_mednurservc_learners_wfindings_g8">'Tables35-37'!$V$25</definedName>
    <definedName name="sch_mednurservc_learners_wfindings_g9">'Tables35-37'!$AA$25</definedName>
    <definedName name="sch_menshygiene_avail_sanpads_yes_others_specify">'Box 21-23'!$Z$37</definedName>
    <definedName name="sch_mh_atpsuicide_learners_aftersy_aug">'Tables35-37'!$Y$36</definedName>
    <definedName name="sch_mh_atpsuicide_learners_aftersy_jul">'Tables35-37'!$W$36</definedName>
    <definedName name="sch_mh_atpsuicide_learners_aftersy_jun">'Tables35-37'!$U$36</definedName>
    <definedName name="sch_mh_atpsuicide_learners_duringsy_aug">'Tables35-37'!$AA$36</definedName>
    <definedName name="sch_mh_atpsuicide_learners_duringsy_nov">'Tables35-37'!$AG$36</definedName>
    <definedName name="sch_mh_atpsuicide_learners_duringsy_oct">'Tables35-37'!$AE$36</definedName>
    <definedName name="sch_mh_atpsuicide_learners_duringsy_sep">'Tables35-37'!$AC$36</definedName>
    <definedName name="sch_mh_atpsuicide_learners_lastsy_apr">'Tables35-37'!$O$36</definedName>
    <definedName name="sch_mh_atpsuicide_learners_lastsy_dec">'Tables35-37'!$G$36</definedName>
    <definedName name="sch_mh_atpsuicide_learners_lastsy_feb">'Tables35-37'!$K$36</definedName>
    <definedName name="sch_mh_atpsuicide_learners_lastsy_jan">'Tables35-37'!$I$36</definedName>
    <definedName name="sch_mh_atpsuicide_learners_lastsy_jun">'Tables35-37'!$S$36</definedName>
    <definedName name="sch_mh_atpsuicide_learners_lastsy_mar">'Tables35-37'!$M$36</definedName>
    <definedName name="sch_mh_atpsuicide_learners_lastsy_may">'Tables35-37'!$Q$36</definedName>
    <definedName name="sch_mh_atpsuicide_personnel_aftersy_aug">'Tables35-37'!$BA$36</definedName>
    <definedName name="sch_mh_atpsuicide_personnel_aftersy_jul">'Tables35-37'!$AY$36</definedName>
    <definedName name="sch_mh_atpsuicide_personnel_aftersy_jun">'Tables35-37'!$AW$36</definedName>
    <definedName name="sch_mh_atpsuicide_personnel_duringsy_aug">'Tables35-37'!$BC$36</definedName>
    <definedName name="sch_mh_atpsuicide_personnel_duringsy_nov">'Tables35-37'!$BI$36</definedName>
    <definedName name="sch_mh_atpsuicide_personnel_duringsy_oct">'Tables35-37'!$BG$36</definedName>
    <definedName name="sch_mh_atpsuicide_personnel_duringsy_sep">'Tables35-37'!$BE$36</definedName>
    <definedName name="sch_mh_atpsuicide_personnel_lastsy_apr">'Tables35-37'!$AQ$36</definedName>
    <definedName name="sch_mh_atpsuicide_personnel_lastsy_dec">'Tables35-37'!$AI$36</definedName>
    <definedName name="sch_mh_atpsuicide_personnel_lastsy_feb">'Tables35-37'!$AM$36</definedName>
    <definedName name="sch_mh_atpsuicide_personnel_lastsy_jan">'Tables35-37'!$AK$36</definedName>
    <definedName name="sch_mh_atpsuicide_personnel_lastsy_jun">'Tables35-37'!$AU$36</definedName>
    <definedName name="sch_mh_atpsuicide_personnel_lastsy_mar">'Tables35-37'!$AO$36</definedName>
    <definedName name="sch_mh_atpsuicide_personnel_lastsy_may">'Tables35-37'!$AS$36</definedName>
    <definedName name="sch_mh_celebrated_nmhw">'Box13'!$AA$20</definedName>
    <definedName name="sch_mh_haveguidance_office">'Box13'!$AA$5</definedName>
    <definedName name="sch_mh_learners_sought_counseling_g10">'Box13'!$L$15</definedName>
    <definedName name="sch_mh_learners_sought_counseling_g7">'Box13'!$L$12</definedName>
    <definedName name="sch_mh_learners_sought_counseling_g8">'Box13'!$L$13</definedName>
    <definedName name="sch_mh_learners_sought_counseling_g9">'Box13'!$L$14</definedName>
    <definedName name="sch_mh_learners_trainings_apb_g10">'Box13'!$I$29</definedName>
    <definedName name="sch_mh_learners_trainings_apb_g7">'Box13'!$I$26</definedName>
    <definedName name="sch_mh_learners_trainings_apb_g8">'Box13'!$I$27</definedName>
    <definedName name="sch_mh_learners_trainings_apb_g9">'Box13'!$I$28</definedName>
    <definedName name="sch_mh_learners_trainings_others_g10">'Box13'!$AH$29</definedName>
    <definedName name="sch_mh_learners_trainings_others_g7">'Box13'!$AH$26</definedName>
    <definedName name="sch_mh_learners_trainings_others_g8">'Box13'!$AH$27</definedName>
    <definedName name="sch_mh_learners_trainings_others_g9">'Box13'!$AH$28</definedName>
    <definedName name="sch_mh_learners_trainings_pfa_g10">'Box13'!$AC$29</definedName>
    <definedName name="sch_mh_learners_trainings_pfa_g7">'Box13'!$AC$26</definedName>
    <definedName name="sch_mh_learners_trainings_pfa_g8">'Box13'!$AC$27</definedName>
    <definedName name="sch_mh_learners_trainings_pfa_g9">'Box13'!$AC$28</definedName>
    <definedName name="sch_mh_learners_trainings_sc_g10">'Box13'!$X$29</definedName>
    <definedName name="sch_mh_learners_trainings_sc_g7">'Box13'!$X$26</definedName>
    <definedName name="sch_mh_learners_trainings_sc_g8">'Box13'!$X$27</definedName>
    <definedName name="sch_mh_learners_trainings_sc_g9">'Box13'!$X$28</definedName>
    <definedName name="sch_mh_learners_trainings_sild_g10">'Box13'!$N$29</definedName>
    <definedName name="sch_mh_learners_trainings_sild_g7">'Box13'!$N$26</definedName>
    <definedName name="sch_mh_learners_trainings_sild_g8">'Box13'!$N$27</definedName>
    <definedName name="sch_mh_learners_trainings_sild_g9">'Box13'!$N$28</definedName>
    <definedName name="sch_mh_learners_trainings_sp_g10">'Box13'!$S$29</definedName>
    <definedName name="sch_mh_learners_trainings_sp_g7">'Box13'!$S$26</definedName>
    <definedName name="sch_mh_learners_trainings_sp_g8">'Box13'!$S$27</definedName>
    <definedName name="sch_mh_learners_trainings_sp_g9">'Box13'!$S$28</definedName>
    <definedName name="sch_mh_regguidancecouncilor_incharge">'Box13'!$AA$7</definedName>
    <definedName name="sch_mh_screeningtool_counseling">'Box13'!$AA$18</definedName>
    <definedName name="sch_mh_suicide_learners_aftersy_aug">'Tables35-37'!$Y$35</definedName>
    <definedName name="sch_mh_suicide_learners_aftersy_jul">'Tables35-37'!$W$35</definedName>
    <definedName name="sch_mh_suicide_learners_aftersy_jun">'Tables35-37'!$U$35</definedName>
    <definedName name="sch_mh_suicide_learners_duringsy_aug">'Tables35-37'!$AA$35</definedName>
    <definedName name="sch_mh_suicide_learners_duringsy_nov">'Tables35-37'!$AG$35</definedName>
    <definedName name="sch_mh_suicide_learners_duringsy_oct">'Tables35-37'!$AE$35</definedName>
    <definedName name="sch_mh_suicide_learners_duringsy_sep">'Tables35-37'!$AC$35</definedName>
    <definedName name="sch_mh_suicide_learners_lastsy_apr">'Tables35-37'!$O$35</definedName>
    <definedName name="sch_mh_suicide_learners_lastsy_dec">'Tables35-37'!$G$35</definedName>
    <definedName name="sch_mh_suicide_learners_lastsy_feb">'Tables35-37'!$K$35</definedName>
    <definedName name="sch_mh_suicide_learners_lastsy_jan">'Tables35-37'!$I$35</definedName>
    <definedName name="sch_mh_suicide_learners_lastsy_jun">'Tables35-37'!$S$35</definedName>
    <definedName name="sch_mh_suicide_learners_lastsy_mar">'Tables35-37'!$M$35</definedName>
    <definedName name="sch_mh_suicide_learners_lastsy_may">'Tables35-37'!$Q$35</definedName>
    <definedName name="sch_mh_suicide_personnel_aftersy_aug">'Tables35-37'!$BA$35</definedName>
    <definedName name="sch_mh_suicide_personnel_aftersy_jul">'Tables35-37'!$AY$35</definedName>
    <definedName name="sch_mh_suicide_personnel_aftersy_jun">'Tables35-37'!$AW$35</definedName>
    <definedName name="sch_mh_suicide_personnel_duringsy_aug">'Tables35-37'!$BC$35</definedName>
    <definedName name="sch_mh_suicide_personnel_duringsy_nov">'Tables35-37'!$BI$35</definedName>
    <definedName name="sch_mh_suicide_personnel_duringsy_oct">'Tables35-37'!$BG$35</definedName>
    <definedName name="sch_mh_suicide_personnel_duringsy_sep">'Tables35-37'!$BE$35</definedName>
    <definedName name="sch_mh_suicide_personnel_lastsy_apr">'Tables35-37'!$AQ$35</definedName>
    <definedName name="sch_mh_suicide_personnel_lastsy_dec">'Tables35-37'!$AI$35</definedName>
    <definedName name="sch_mh_suicide_personnel_lastsy_feb">'Tables35-37'!$AM$35</definedName>
    <definedName name="sch_mh_suicide_personnel_lastsy_jan">'Tables35-37'!$AK$35</definedName>
    <definedName name="sch_mh_suicide_personnel_lastsy_jun">'Tables35-37'!$AU$35</definedName>
    <definedName name="sch_mh_suicide_personnel_lastsy_mar">'Tables35-37'!$AO$35</definedName>
    <definedName name="sch_mh_suicide_personnel_lastsy_may">'Tables35-37'!$AS$35</definedName>
    <definedName name="sch_mh_teachers_trainings_apb_g10">'Box13'!$I$39</definedName>
    <definedName name="sch_mh_teachers_trainings_apb_g7">'Box13'!$I$36</definedName>
    <definedName name="sch_mh_teachers_trainings_apb_g8">'Box13'!$I$37</definedName>
    <definedName name="sch_mh_teachers_trainings_apb_g9">'Box13'!$I$38</definedName>
    <definedName name="sch_mh_teachers_trainings_others_g10">'Box13'!$AH$39</definedName>
    <definedName name="sch_mh_teachers_trainings_others_g7">'Box13'!$AH$36</definedName>
    <definedName name="sch_mh_teachers_trainings_others_g8">'Box13'!$AH$37</definedName>
    <definedName name="sch_mh_teachers_trainings_others_g9">'Box13'!$AH$38</definedName>
    <definedName name="sch_mh_teachers_trainings_pfa_g10">'Box13'!$AC$39</definedName>
    <definedName name="sch_mh_teachers_trainings_pfa_g7">'Box13'!$AC$36</definedName>
    <definedName name="sch_mh_teachers_trainings_pfa_g8">'Box13'!$AC$37</definedName>
    <definedName name="sch_mh_teachers_trainings_pfa_g9">'Box13'!$AC$38</definedName>
    <definedName name="sch_mh_teachers_trainings_sc_g10">'Box13'!$X$39</definedName>
    <definedName name="sch_mh_teachers_trainings_sc_g7">'Box13'!$X$36</definedName>
    <definedName name="sch_mh_teachers_trainings_sc_g8">'Box13'!$X$37</definedName>
    <definedName name="sch_mh_teachers_trainings_sc_g9">'Box13'!$X$38</definedName>
    <definedName name="sch_mh_teachers_trainings_sild_g10">'Box13'!$N$39</definedName>
    <definedName name="sch_mh_teachers_trainings_sild_g7">'Box13'!$N$36</definedName>
    <definedName name="sch_mh_teachers_trainings_sild_g8">'Box13'!$N$37</definedName>
    <definedName name="sch_mh_teachers_trainings_sild_g9">'Box13'!$N$38</definedName>
    <definedName name="sch_mh_teachers_trainings_sp_g10">'Box13'!$S$39</definedName>
    <definedName name="sch_mh_teachers_trainings_sp_g7">'Box13'!$S$36</definedName>
    <definedName name="sch_mh_teachers_trainings_sp_g8">'Box13'!$S$37</definedName>
    <definedName name="sch_mh_teachers_trainings_sp_g9">'Box13'!$S$38</definedName>
    <definedName name="sch_mhpss_inverventions">Box30_part3b!$AW$4</definedName>
    <definedName name="sch_mob_no">SchInfo!$AH$25</definedName>
    <definedName name="sch_moumoa_wlgudswd">Box30_part1!$D$46</definedName>
    <definedName name="sch_name">SchInfo!$G$21</definedName>
    <definedName name="sch_night_cl">SchInfo!$C$32</definedName>
    <definedName name="sch_num_funct_computers_acad_desktop_depeddcp">Table25!$K$7</definedName>
    <definedName name="sch_num_funct_computers_acad_desktop_depednondcp">Table25!$P$7</definedName>
    <definedName name="sch_num_funct_computers_acad_desktop_lgusef">Table25!$U$7</definedName>
    <definedName name="sch_num_funct_computers_acad_desktop_othergov">Table25!$AJ$7</definedName>
    <definedName name="sch_num_funct_computers_acad_desktop_others">Table25!$AO$7</definedName>
    <definedName name="sch_num_funct_computers_acad_desktop_privatedon">Table25!$AE$7</definedName>
    <definedName name="sch_num_funct_computers_acad_desktop_pta">Table25!$Z$7</definedName>
    <definedName name="sch_num_funct_computers_acad_dvt_depeddcp">Table25!$K$11</definedName>
    <definedName name="sch_num_funct_computers_acad_dvt_depednondcp">Table25!$P$11</definedName>
    <definedName name="sch_num_funct_computers_acad_dvt_lgusef">Table25!$U$11</definedName>
    <definedName name="sch_num_funct_computers_acad_dvt_othergov">Table25!$AJ$11</definedName>
    <definedName name="sch_num_funct_computers_acad_dvt_others">Table25!$AO$11</definedName>
    <definedName name="sch_num_funct_computers_acad_dvt_privatedon">Table25!$AE$11</definedName>
    <definedName name="sch_num_funct_computers_acad_dvt_pta">Table25!$Z$11</definedName>
    <definedName name="sch_num_funct_computers_acad_lapel_depeddcp">Table26!$K$13</definedName>
    <definedName name="sch_num_funct_computers_acad_lapel_depednondcp">Table26!$P$13</definedName>
    <definedName name="sch_num_funct_computers_acad_lapel_lgusef">Table26!$U$13</definedName>
    <definedName name="sch_num_funct_computers_acad_lapel_othergov">Table26!$AJ$13</definedName>
    <definedName name="sch_num_funct_computers_acad_lapel_others">Table26!$AO$13</definedName>
    <definedName name="sch_num_funct_computers_acad_lapel_privatedon">Table26!$AE$13</definedName>
    <definedName name="sch_num_funct_computers_acad_lapel_pta">Table26!$Z$13</definedName>
    <definedName name="sch_num_funct_computers_acad_ledtv_depeddcp">Table26!$K$7</definedName>
    <definedName name="sch_num_funct_computers_acad_ledtv_depednondcp">Table26!$P$7</definedName>
    <definedName name="sch_num_funct_computers_acad_ledtv_lgusef">Table26!$U$7</definedName>
    <definedName name="sch_num_funct_computers_acad_ledtv_othergov">Table26!$AJ$7</definedName>
    <definedName name="sch_num_funct_computers_acad_ledtv_others">Table26!$AO$7</definedName>
    <definedName name="sch_num_funct_computers_acad_ledtv_privatedon">Table26!$AE$7</definedName>
    <definedName name="sch_num_funct_computers_acad_ledtv_pta">Table26!$Z$7</definedName>
    <definedName name="sch_num_funct_computers_acad_netswitch_depeddcp">Table26!$K$8</definedName>
    <definedName name="sch_num_funct_computers_acad_netswitch_depednondcp">Table26!$P$8</definedName>
    <definedName name="sch_num_funct_computers_acad_netswitch_lgusef">Table26!$U$8</definedName>
    <definedName name="sch_num_funct_computers_acad_netswitch_othergov">Table26!$AJ$8</definedName>
    <definedName name="sch_num_funct_computers_acad_netswitch_others">Table26!$AO$8</definedName>
    <definedName name="sch_num_funct_computers_acad_netswitch_privatedon">Table26!$AE$8</definedName>
    <definedName name="sch_num_funct_computers_acad_netswitch_pta">Table26!$Z$8</definedName>
    <definedName name="sch_num_funct_computers_acad_notnetbook_depeddcp">Table25!$K$8</definedName>
    <definedName name="sch_num_funct_computers_acad_notnetbook_depednondcp">Table25!$P$8</definedName>
    <definedName name="sch_num_funct_computers_acad_notnetbook_lgusef">Table25!$U$8</definedName>
    <definedName name="sch_num_funct_computers_acad_notnetbook_othergov">Table25!$AJ$8</definedName>
    <definedName name="sch_num_funct_computers_acad_notnetbook_others">Table25!$AO$8</definedName>
    <definedName name="sch_num_funct_computers_acad_notnetbook_privatedon">Table25!$AE$8</definedName>
    <definedName name="sch_num_funct_computers_acad_notnetbook_pta">Table25!$Z$8</definedName>
    <definedName name="sch_num_funct_computers_acad_printer_depeddcp">Table26!$K$9</definedName>
    <definedName name="sch_num_funct_computers_acad_printer_depednondcp">Table26!$P$9</definedName>
    <definedName name="sch_num_funct_computers_acad_printer_lgusef">Table26!$U$9</definedName>
    <definedName name="sch_num_funct_computers_acad_printer_othergov">Table26!$AJ$9</definedName>
    <definedName name="sch_num_funct_computers_acad_printer_others">Table26!$AO$9</definedName>
    <definedName name="sch_num_funct_computers_acad_printer_privatedon">Table26!$AE$9</definedName>
    <definedName name="sch_num_funct_computers_acad_printer_pta">Table26!$Z$9</definedName>
    <definedName name="sch_num_funct_computers_acad_projector_depeddcp">Table26!$K$10</definedName>
    <definedName name="sch_num_funct_computers_acad_projector_depednondcp">Table26!$P$10</definedName>
    <definedName name="sch_num_funct_computers_acad_projector_lgusef">Table26!$U$10</definedName>
    <definedName name="sch_num_funct_computers_acad_projector_othergov">Table26!$AJ$10</definedName>
    <definedName name="sch_num_funct_computers_acad_projector_others">Table26!$AO$10</definedName>
    <definedName name="sch_num_funct_computers_acad_projector_privatedon">Table26!$AE$10</definedName>
    <definedName name="sch_num_funct_computers_acad_projector_pta">Table26!$Z$10</definedName>
    <definedName name="sch_num_funct_computers_acad_router_depeddcp">Table26!$K$12</definedName>
    <definedName name="sch_num_funct_computers_acad_router_depednondcp">Table26!$P$12</definedName>
    <definedName name="sch_num_funct_computers_acad_router_lgusef">Table26!$U$12</definedName>
    <definedName name="sch_num_funct_computers_acad_router_othergov">Table26!$AJ$12</definedName>
    <definedName name="sch_num_funct_computers_acad_router_others">Table26!$AO$12</definedName>
    <definedName name="sch_num_funct_computers_acad_router_privatedon">Table26!$AE$12</definedName>
    <definedName name="sch_num_funct_computers_acad_router_pta">Table26!$Z$12</definedName>
    <definedName name="sch_num_funct_computers_acad_tablet_depeddcp">Table25!$K$9</definedName>
    <definedName name="sch_num_funct_computers_acad_tablet_depednondcp">Table25!$P$9</definedName>
    <definedName name="sch_num_funct_computers_acad_tablet_lgusef">Table25!$U$9</definedName>
    <definedName name="sch_num_funct_computers_acad_tablet_othergov">Table25!$AJ$9</definedName>
    <definedName name="sch_num_funct_computers_acad_tablet_others">Table25!$AO$9</definedName>
    <definedName name="sch_num_funct_computers_acad_tablet_privatedon">Table25!$AE$9</definedName>
    <definedName name="sch_num_funct_computers_acad_tablet_pta">Table25!$Z$9</definedName>
    <definedName name="sch_num_funct_computers_acad_tabletpc_depeddcp">Table25!$K$10</definedName>
    <definedName name="sch_num_funct_computers_acad_tabletpc_depednondcp">Table25!$P$10</definedName>
    <definedName name="sch_num_funct_computers_acad_tabletpc_lgusef">Table25!$U$10</definedName>
    <definedName name="sch_num_funct_computers_acad_tabletpc_othergov">Table25!$AJ$10</definedName>
    <definedName name="sch_num_funct_computers_acad_tabletpc_others">Table25!$AO$10</definedName>
    <definedName name="sch_num_funct_computers_acad_tabletpc_privatedon">Table25!$AE$10</definedName>
    <definedName name="sch_num_funct_computers_acad_tabletpc_pta">Table25!$Z$10</definedName>
    <definedName name="sch_num_funct_computers_acad_ups_depeddcp">Table26!$K$11</definedName>
    <definedName name="sch_num_funct_computers_acad_ups_depednondcp">Table26!$P$11</definedName>
    <definedName name="sch_num_funct_computers_acad_ups_lgusef">Table26!$U$11</definedName>
    <definedName name="sch_num_funct_computers_acad_ups_othergov">Table26!$AJ$11</definedName>
    <definedName name="sch_num_funct_computers_acad_ups_others">Table26!$AO$11</definedName>
    <definedName name="sch_num_funct_computers_acad_ups_privatedon">Table26!$AE$11</definedName>
    <definedName name="sch_num_funct_computers_acad_ups_pta">Table26!$Z$11</definedName>
    <definedName name="sch_num_funct_computers_admin_desktop_depeddcp">Table25!$K$13</definedName>
    <definedName name="sch_num_funct_computers_admin_desktop_depednondcp">Table25!$P$13</definedName>
    <definedName name="sch_num_funct_computers_admin_desktop_lgusef">Table25!$U$13</definedName>
    <definedName name="sch_num_funct_computers_admin_desktop_othergov">Table25!$AJ$13</definedName>
    <definedName name="sch_num_funct_computers_admin_desktop_others">Table25!$AO$13</definedName>
    <definedName name="sch_num_funct_computers_admin_desktop_privatedon">Table25!$AE$13</definedName>
    <definedName name="sch_num_funct_computers_admin_desktop_pta">Table25!$Z$13</definedName>
    <definedName name="sch_num_funct_computers_admin_dvt_depeddcp">Table25!$K$17</definedName>
    <definedName name="sch_num_funct_computers_admin_dvt_depednondcp">Table25!$P$17</definedName>
    <definedName name="sch_num_funct_computers_admin_dvt_lgusef">Table25!$U$17</definedName>
    <definedName name="sch_num_funct_computers_admin_dvt_othergov">Table25!$AJ$17</definedName>
    <definedName name="sch_num_funct_computers_admin_dvt_others">Table25!$AO$17</definedName>
    <definedName name="sch_num_funct_computers_admin_dvt_privatedon">Table25!$AE$17</definedName>
    <definedName name="sch_num_funct_computers_admin_dvt_pta">Table25!$Z$17</definedName>
    <definedName name="sch_num_funct_computers_admin_ledtv_depeddcp">Table26!$K$15</definedName>
    <definedName name="sch_num_funct_computers_admin_ledtv_depednondcp">Table26!$P$15</definedName>
    <definedName name="sch_num_funct_computers_admin_ledtv_lgusef">Table26!$U$15</definedName>
    <definedName name="sch_num_funct_computers_admin_ledtv_othergov">Table26!$AJ$15</definedName>
    <definedName name="sch_num_funct_computers_admin_ledtv_others">Table26!$AO$15</definedName>
    <definedName name="sch_num_funct_computers_admin_ledtv_privatedon">Table26!$AE$15</definedName>
    <definedName name="sch_num_funct_computers_admin_ledtv_pta">Table26!$Z$15</definedName>
    <definedName name="sch_num_funct_computers_admin_netswitch_depeddcp">Table26!$K$16</definedName>
    <definedName name="sch_num_funct_computers_admin_netswitch_depednondcp">Table26!$P$16</definedName>
    <definedName name="sch_num_funct_computers_admin_netswitch_lgusef">Table26!$U$16</definedName>
    <definedName name="sch_num_funct_computers_admin_netswitch_othergov">Table26!$AJ$16</definedName>
    <definedName name="sch_num_funct_computers_admin_netswitch_others">Table26!$AO$16</definedName>
    <definedName name="sch_num_funct_computers_admin_netswitch_privatedon">Table26!$AE$16</definedName>
    <definedName name="sch_num_funct_computers_admin_netswitch_pta">Table26!$Z$16</definedName>
    <definedName name="sch_num_funct_computers_admin_notnetbook_depeddcp">Table25!$K$14</definedName>
    <definedName name="sch_num_funct_computers_admin_notnetbook_depednondcp">Table25!$P$14</definedName>
    <definedName name="sch_num_funct_computers_admin_notnetbook_lgusef">Table25!$U$14</definedName>
    <definedName name="sch_num_funct_computers_admin_notnetbook_othergov">Table25!$AJ$14</definedName>
    <definedName name="sch_num_funct_computers_admin_notnetbook_others">Table25!$AO$14</definedName>
    <definedName name="sch_num_funct_computers_admin_notnetbook_privatedon">Table25!$AE$14</definedName>
    <definedName name="sch_num_funct_computers_admin_notnetbook_pta">Table25!$Z$14</definedName>
    <definedName name="sch_num_funct_computers_admin_printer_depeddcp">Table26!$K$17</definedName>
    <definedName name="sch_num_funct_computers_admin_printer_depednondcp">Table26!$P$17</definedName>
    <definedName name="sch_num_funct_computers_admin_printer_lgusef">Table26!$U$17</definedName>
    <definedName name="sch_num_funct_computers_admin_printer_othergov">Table26!$AJ$17</definedName>
    <definedName name="sch_num_funct_computers_admin_printer_others">Table26!$AO$17</definedName>
    <definedName name="sch_num_funct_computers_admin_printer_privatedon">Table26!$AE$17</definedName>
    <definedName name="sch_num_funct_computers_admin_printer_pta">Table26!$Z$17</definedName>
    <definedName name="sch_num_funct_computers_admin_projector_depeddcp">Table26!$K$18</definedName>
    <definedName name="sch_num_funct_computers_admin_projector_depednondcp">Table26!$P$18</definedName>
    <definedName name="sch_num_funct_computers_admin_projector_lgusef">Table26!$U$18</definedName>
    <definedName name="sch_num_funct_computers_admin_projector_othergov">Table26!$AJ$18</definedName>
    <definedName name="sch_num_funct_computers_admin_projector_others">Table26!$AO$18</definedName>
    <definedName name="sch_num_funct_computers_admin_projector_privatedon">Table26!$AE$18</definedName>
    <definedName name="sch_num_funct_computers_admin_projector_pta">Table26!$Z$18</definedName>
    <definedName name="sch_num_funct_computers_admin_router_depeddcp">Table26!$K$20</definedName>
    <definedName name="sch_num_funct_computers_admin_router_depednondcp">Table26!$P$20</definedName>
    <definedName name="sch_num_funct_computers_admin_router_lgusef">Table26!$U$20</definedName>
    <definedName name="sch_num_funct_computers_admin_router_othergov">Table26!$AJ$20</definedName>
    <definedName name="sch_num_funct_computers_admin_router_others">Table26!$AO$20</definedName>
    <definedName name="sch_num_funct_computers_admin_router_privatedon">Table26!$AE$20</definedName>
    <definedName name="sch_num_funct_computers_admin_router_pta">Table26!$Z$20</definedName>
    <definedName name="sch_num_funct_computers_admin_tablet_depeddcp">Table25!$K$15</definedName>
    <definedName name="sch_num_funct_computers_admin_tablet_depednondcp">Table25!$P$15</definedName>
    <definedName name="sch_num_funct_computers_admin_tablet_lgusef">Table25!$U$15</definedName>
    <definedName name="sch_num_funct_computers_admin_tablet_othergov">Table25!$AJ$15</definedName>
    <definedName name="sch_num_funct_computers_admin_tablet_others">Table25!$AO$15</definedName>
    <definedName name="sch_num_funct_computers_admin_tablet_privatedon">Table25!$AE$15</definedName>
    <definedName name="sch_num_funct_computers_admin_tablet_pta">Table25!$Z$15</definedName>
    <definedName name="sch_num_funct_computers_admin_tabletpc_depeddcp">Table25!$K$16</definedName>
    <definedName name="sch_num_funct_computers_admin_tabletpc_depednondcp">Table25!$P$16</definedName>
    <definedName name="sch_num_funct_computers_admin_tabletpc_lgusef">Table25!$U$16</definedName>
    <definedName name="sch_num_funct_computers_admin_tabletpc_othergov">Table25!$AJ$16</definedName>
    <definedName name="sch_num_funct_computers_admin_tabletpc_others">Table25!$AO$16</definedName>
    <definedName name="sch_num_funct_computers_admin_tabletpc_privatedon">Table25!$AE$16</definedName>
    <definedName name="sch_num_funct_computers_admin_tabletpc_pta">Table25!$Z$16</definedName>
    <definedName name="sch_num_funct_computers_admin_ups_depeddcp">Table26!$K$19</definedName>
    <definedName name="sch_num_funct_computers_admin_ups_depednondcp">Table26!$P$19</definedName>
    <definedName name="sch_num_funct_computers_admin_ups_lgusef">Table26!$U$19</definedName>
    <definedName name="sch_num_funct_computers_admin_ups_othergov">Table26!$AJ$19</definedName>
    <definedName name="sch_num_funct_computers_admin_ups_others">Table26!$AO$19</definedName>
    <definedName name="sch_num_funct_computers_admin_ups_privatedon">Table26!$AE$19</definedName>
    <definedName name="sch_num_funct_computers_admin_ups_pta">Table26!$Z$19</definedName>
    <definedName name="sch_number_PPA_partner">Box30_part1!$AD$60</definedName>
    <definedName name="sch_number_prtnrs_mobilized_armed">Box30_part1!$AD$58</definedName>
    <definedName name="sch_number_prtnrs_mobilized_disaster">Box30_part1!$AD$56</definedName>
    <definedName name="sch_number_training_personnel">Box30_part1!$AD$62</definedName>
    <definedName name="sch_oksadeped_fbpage_specify">'Box 17-18'!$AG$35</definedName>
    <definedName name="sch_oksadeped_fbpage_yes">'Box 17-18'!$AG$34</definedName>
    <definedName name="sch_oksadeped_prevsy">'Box 17-18'!$AG$33</definedName>
    <definedName name="sch_oksadeped_yes">'Box 17-18'!$AG$32</definedName>
    <definedName name="sch_opmaintsanitfac_sanitfacclean_avg_mthly_bills">'Box 21-23'!$Z$24</definedName>
    <definedName name="sch_opmaintsanitfac_sanitfacclean_pay_mthly_bills_others_specify">'Box 21-23'!$Z$28</definedName>
    <definedName name="sch_oral_health_learners_examined_g10">'Tables35-37'!$AF$6</definedName>
    <definedName name="sch_oral_health_learners_examined_g7">'Tables35-37'!$Q$6</definedName>
    <definedName name="sch_oral_health_learners_examined_g8">'Tables35-37'!$V$6</definedName>
    <definedName name="sch_oral_health_learners_examined_g9">'Tables35-37'!$AA$6</definedName>
    <definedName name="sch_oral_health_learners_wdental_anomalies_g10">'Tables35-37'!$AF$14</definedName>
    <definedName name="sch_oral_health_learners_wdental_anomalies_g7">'Tables35-37'!$Q$14</definedName>
    <definedName name="sch_oral_health_learners_wdental_anomalies_g8">'Tables35-37'!$V$14</definedName>
    <definedName name="sch_oral_health_learners_wdental_anomalies_g9">'Tables35-37'!$AA$14</definedName>
    <definedName name="sch_oral_health_learners_wdmft_permanent_g10">'Tables35-37'!$AF$8</definedName>
    <definedName name="sch_oral_health_learners_wdmft_permanent_g7">'Tables35-37'!$Q$8</definedName>
    <definedName name="sch_oral_health_learners_wdmft_permanent_g8">'Tables35-37'!$V$8</definedName>
    <definedName name="sch_oral_health_learners_wdmft_permanent_g9">'Tables35-37'!$AA$8</definedName>
    <definedName name="sch_oral_health_learners_wdmft_temporary_g10">'Tables35-37'!$AF$11</definedName>
    <definedName name="sch_oral_health_learners_wdmft_temporary_g7">'Tables35-37'!$Q$11</definedName>
    <definedName name="sch_oral_health_learners_wdmft_temporary_g8">'Tables35-37'!$V$11</definedName>
    <definedName name="sch_oral_health_learners_wdmft_temporary_g9">'Tables35-37'!$AA$11</definedName>
    <definedName name="sch_oral_health_learners_wgum_disease_g10">'Tables35-37'!$AF$13</definedName>
    <definedName name="sch_oral_health_learners_wgum_disease_g7">'Tables35-37'!$Q$13</definedName>
    <definedName name="sch_oral_health_learners_wgum_disease_g8">'Tables35-37'!$V$13</definedName>
    <definedName name="sch_oral_health_learners_wgum_disease_g9">'Tables35-37'!$AA$13</definedName>
    <definedName name="sch_oral_health_num_dmft_permanent_g10">'Tables35-37'!$AF$9</definedName>
    <definedName name="sch_oral_health_num_dmft_permanent_g7">'Tables35-37'!$Q$9</definedName>
    <definedName name="sch_oral_health_num_dmft_permanent_g8">'Tables35-37'!$V$9</definedName>
    <definedName name="sch_oral_health_num_dmft_permanent_g9">'Tables35-37'!$AA$9</definedName>
    <definedName name="sch_oral_health_num_dmft_temporary_g10">'Tables35-37'!$AF$12</definedName>
    <definedName name="sch_oral_health_num_dmft_temporary_g7">'Tables35-37'!$Q$12</definedName>
    <definedName name="sch_oral_health_num_dmft_temporary_g8">'Tables35-37'!$V$12</definedName>
    <definedName name="sch_oral_health_num_dmft_temporary_g9">'Tables35-37'!$AA$12</definedName>
    <definedName name="sch_others_ccam_g10">'Box31_part1&amp;2'!$AM$17</definedName>
    <definedName name="sch_others_ccam_g7">'Box31_part1&amp;2'!$AD$17</definedName>
    <definedName name="sch_others_ccam_g8">'Box31_part1&amp;2'!$AG$17</definedName>
    <definedName name="sch_others_ccam_g9">'Box31_part1&amp;2'!$AJ$17</definedName>
    <definedName name="sch_others_drrm_g10">'Box31_part1&amp;2'!$AA$17</definedName>
    <definedName name="sch_others_drrm_g7">'Box31_part1&amp;2'!$R$17</definedName>
    <definedName name="sch_others_drrm_g8">'Box31_part1&amp;2'!$U$17</definedName>
    <definedName name="sch_others_drrm_g9">'Box31_part1&amp;2'!$X$17</definedName>
    <definedName name="sch_others_peacebuilding_g10">'Box31_part1&amp;2'!$AY$17</definedName>
    <definedName name="sch_others_peacebuilding_g7">'Box31_part1&amp;2'!$AP$17</definedName>
    <definedName name="sch_others_peacebuilding_g8">'Box31_part1&amp;2'!$AS$17</definedName>
    <definedName name="sch_others_peacebuilding_g9">'Box31_part1&amp;2'!$AV$17</definedName>
    <definedName name="sch_participated_diffdrrm">Box30_part1!$D$54</definedName>
    <definedName name="sch_pe_ccam_g10">'Box31_part1&amp;2'!$AM$14</definedName>
    <definedName name="sch_pe_ccam_g7">'Box31_part1&amp;2'!$AD$14</definedName>
    <definedName name="sch_pe_ccam_g8">'Box31_part1&amp;2'!$AG$14</definedName>
    <definedName name="sch_pe_ccam_g9">'Box31_part1&amp;2'!$AJ$14</definedName>
    <definedName name="sch_pe_drrm_g10">'Box31_part1&amp;2'!$AA$14</definedName>
    <definedName name="sch_pe_drrm_g7">'Box31_part1&amp;2'!$R$14</definedName>
    <definedName name="sch_pe_drrm_g8">'Box31_part1&amp;2'!$U$14</definedName>
    <definedName name="sch_pe_drrm_g9">'Box31_part1&amp;2'!$X$14</definedName>
    <definedName name="sch_pe_peacebuilding_g10">'Box31_part1&amp;2'!$AY$14</definedName>
    <definedName name="sch_pe_peacebuilding_g7">'Box31_part1&amp;2'!$AP$14</definedName>
    <definedName name="sch_pe_peacebuilding_g8">'Box31_part1&amp;2'!$AS$14</definedName>
    <definedName name="sch_pe_peacebuilding_g9">'Box31_part1&amp;2'!$AV$14</definedName>
    <definedName name="sch_personnel_cancercases_cp_breast">'Box14'!$P$20</definedName>
    <definedName name="sch_personnel_cancercases_cp_lung">'Box14'!$P$21</definedName>
    <definedName name="sch_personnel_cancercases_cp_othertypes">'Box14'!$P$22</definedName>
    <definedName name="sch_personnel_cancercases_cs_breast">'Box14'!$AD$20</definedName>
    <definedName name="sch_personnel_cancercases_cs_lung">'Box14'!$AD$21</definedName>
    <definedName name="sch_personnel_cancercases_cs_othertypes">'Box14'!$AD$22</definedName>
    <definedName name="sch_personnel_cancercases_ddc_breast">'Box14'!$AK$20</definedName>
    <definedName name="sch_personnel_cancercases_ddc_lung">'Box14'!$AK$21</definedName>
    <definedName name="sch_personnel_cancercases_ddc_othertypes">'Box14'!$AK$22</definedName>
    <definedName name="sch_personnel_cancercases_lc_breast">'Box14'!$W$20</definedName>
    <definedName name="sch_personnel_cancercases_lc_lung">'Box14'!$W$21</definedName>
    <definedName name="sch_personnel_cancercases_lc_othertypes">'Box14'!$W$22</definedName>
    <definedName name="sch_planning_officer">SchInfo!$R$38</definedName>
    <definedName name="sch_presented_FEPPtoLGUPTA">Box30_part1!$D$50</definedName>
    <definedName name="sch_prev_name">SchInfo!$G$23</definedName>
    <definedName name="sch_provided_safetysupp">Box30_part2!$F$7</definedName>
    <definedName name="sch_RADAR_DRRMS">Box30_part3a!$E$7</definedName>
    <definedName name="sch_rcvd_feedback_mechanism">Box30_part3b!$AF$16</definedName>
    <definedName name="sch_rcvd_replacement_dcp">Box30_part3b!$AF$12</definedName>
    <definedName name="sch_rcvd_replacement_furniture">Box30_part3b!$AF$10</definedName>
    <definedName name="sch_rcvd_replacement_learnresources">Box30_part3b!$AF$14</definedName>
    <definedName name="sch_recovery_measures">Box30_part1!$D$33</definedName>
    <definedName name="sch_region">SchInfo!$AH$21</definedName>
    <definedName name="sch_resumption_strat_armedconflict">Box30_part3a!$E$36</definedName>
    <definedName name="sch_resumption_strat_nathazard">Box30_part3a!$E$34</definedName>
    <definedName name="sch_resumption_strats">Box30_part1!$T$29</definedName>
    <definedName name="sch_sci_hs">SchInfo!$C$30</definedName>
    <definedName name="sch_science_ccam_g10">'Box31_part1&amp;2'!$AM$11</definedName>
    <definedName name="sch_science_ccam_g7">'Box31_part1&amp;2'!$AD$11</definedName>
    <definedName name="sch_science_ccam_g8">'Box31_part1&amp;2'!$AG$11</definedName>
    <definedName name="sch_science_ccam_g9">'Box31_part1&amp;2'!$AJ$11</definedName>
    <definedName name="sch_science_drrm_g10">'Box31_part1&amp;2'!$AA$11</definedName>
    <definedName name="sch_science_drrm_g7">'Box31_part1&amp;2'!$R$11</definedName>
    <definedName name="sch_science_drrm_g8">'Box31_part1&amp;2'!$U$11</definedName>
    <definedName name="sch_science_drrm_g9">'Box31_part1&amp;2'!$X$11</definedName>
    <definedName name="sch_science_peacebuilding_g10">'Box31_part1&amp;2'!$AY$11</definedName>
    <definedName name="sch_science_peacebuilding_g7">'Box31_part1&amp;2'!$AP$11</definedName>
    <definedName name="sch_science_peacebuilding_g8">'Box31_part1&amp;2'!$AS$11</definedName>
    <definedName name="sch_science_peacebuilding_g9">'Box31_part1&amp;2'!$AV$11</definedName>
    <definedName name="sch_sgp_ssgadviser_yes_yrs_advisers">'Boxes4-6'!$Z$7</definedName>
    <definedName name="sch_sp_se_num_coaches_aerogymn">Table38!$N$18</definedName>
    <definedName name="sch_sp_se_num_coaches_archery">Table38!$N$5</definedName>
    <definedName name="sch_sp_se_num_coaches_arnis">Table38!$N$6</definedName>
    <definedName name="sch_sp_se_num_coaches_athlthrow">Table38!$N$7</definedName>
    <definedName name="sch_sp_se_num_coaches_athltrun">Table38!$N$8</definedName>
    <definedName name="sch_sp_se_num_coaches_badminton">Table38!$N$9</definedName>
    <definedName name="sch_sp_se_num_coaches_baseball">Table38!$N$11</definedName>
    <definedName name="sch_sp_se_num_coaches_basketball">Table38!$N$10</definedName>
    <definedName name="sch_sp_se_num_coaches_billard">Table38!$N$12</definedName>
    <definedName name="sch_sp_se_num_coaches_bocce">Table38!$N$32</definedName>
    <definedName name="sch_sp_se_num_coaches_boxing">Table38!$N$13</definedName>
    <definedName name="sch_sp_se_num_coaches_chess">Table38!$N$14</definedName>
    <definedName name="sch_sp_se_num_coaches_dancesports">Table38!$N$15</definedName>
    <definedName name="sch_sp_se_num_coaches_football">Table38!$N$16</definedName>
    <definedName name="sch_sp_se_num_coaches_futsal">Table38!$N$17</definedName>
    <definedName name="sch_sp_se_num_coaches_goalball">Table38!$N$33</definedName>
    <definedName name="sch_sp_se_num_coaches_mag">Table38!$N$19</definedName>
    <definedName name="sch_sp_se_num_coaches_pencaksilat">Table38!$N$22</definedName>
    <definedName name="sch_sp_se_num_coaches_rg">Table38!$N$21</definedName>
    <definedName name="sch_sp_se_num_coaches_sepaktakraw">Table38!$N$23</definedName>
    <definedName name="sch_sp_se_num_coaches_softball">Table38!$N$24</definedName>
    <definedName name="sch_sp_se_num_coaches_swimming">Table38!$N$25</definedName>
    <definedName name="sch_sp_se_num_coaches_tabletennis">Table38!$N$26</definedName>
    <definedName name="sch_sp_se_num_coaches_taekwondo">Table38!$N$27</definedName>
    <definedName name="sch_sp_se_num_coaches_tennis">Table38!$N$28</definedName>
    <definedName name="sch_sp_se_num_coaches_volleyball">Table38!$N$29</definedName>
    <definedName name="sch_sp_se_num_coaches_wag">Table38!$N$20</definedName>
    <definedName name="sch_sp_se_num_coaches_wrestling">Table38!$N$30</definedName>
    <definedName name="sch_sp_se_num_coaches_wushu">Table38!$N$31</definedName>
    <definedName name="sch_sp_se_num_nonpeteachss_aerogymn">Table38!$AC$18</definedName>
    <definedName name="sch_sp_se_num_nonpeteachss_archery">Table38!$AC$5</definedName>
    <definedName name="sch_sp_se_num_nonpeteachss_arnis">Table38!$AC$6</definedName>
    <definedName name="sch_sp_se_num_nonpeteachss_athlthrow">Table38!$AC$7</definedName>
    <definedName name="sch_sp_se_num_nonpeteachss_athltrun">Table38!$AC$8</definedName>
    <definedName name="sch_sp_se_num_nonpeteachss_badminton">Table38!$AC$9</definedName>
    <definedName name="sch_sp_se_num_nonpeteachss_baseball">Table38!$AC$11</definedName>
    <definedName name="sch_sp_se_num_nonpeteachss_basketball">Table38!$AC$10</definedName>
    <definedName name="sch_sp_se_num_nonpeteachss_billard">Table38!$AC$12</definedName>
    <definedName name="sch_sp_se_num_nonpeteachss_bocce">Table38!$AC$32</definedName>
    <definedName name="sch_sp_se_num_nonpeteachss_boxing">Table38!$AC$13</definedName>
    <definedName name="sch_sp_se_num_nonpeteachss_chess">Table38!$AC$14</definedName>
    <definedName name="sch_sp_se_num_nonpeteachss_dancesports">Table38!$AC$15</definedName>
    <definedName name="sch_sp_se_num_nonpeteachss_football">Table38!$AC$16</definedName>
    <definedName name="sch_sp_se_num_nonpeteachss_futsal">Table38!$AC$17</definedName>
    <definedName name="sch_sp_se_num_nonpeteachss_goalball">Table38!$AC$33</definedName>
    <definedName name="sch_sp_se_num_nonpeteachss_mag">Table38!$AC$19</definedName>
    <definedName name="sch_sp_se_num_nonpeteachss_pencaksilat">Table38!$AC$22</definedName>
    <definedName name="sch_sp_se_num_nonpeteachss_rg">Table38!$AC$21</definedName>
    <definedName name="sch_sp_se_num_nonpeteachss_sepaktakraw">Table38!$AC$23</definedName>
    <definedName name="sch_sp_se_num_nonpeteachss_softball">Table38!$AC$24</definedName>
    <definedName name="sch_sp_se_num_nonpeteachss_swimming">Table38!$AC$25</definedName>
    <definedName name="sch_sp_se_num_nonpeteachss_tabletennis">Table38!$AC$26</definedName>
    <definedName name="sch_sp_se_num_nonpeteachss_taekwondo">Table38!$AC$27</definedName>
    <definedName name="sch_sp_se_num_nonpeteachss_tennis">Table38!$AC$28</definedName>
    <definedName name="sch_sp_se_num_nonpeteachss_volleyball">Table38!$AC$29</definedName>
    <definedName name="sch_sp_se_num_nonpeteachss_wag">Table38!$AC$20</definedName>
    <definedName name="sch_sp_se_num_nonpeteachss_wrestling">Table38!$AC$30</definedName>
    <definedName name="sch_sp_se_num_nonpeteachss_wushu">Table38!$AC$31</definedName>
    <definedName name="sch_sp_se_num_nonteachpss_aerogymn">Table38!$AH$18</definedName>
    <definedName name="sch_sp_se_num_nonteachpss_archery">Table38!$AH$5</definedName>
    <definedName name="sch_sp_se_num_nonteachpss_arnis">Table38!$AH$6</definedName>
    <definedName name="sch_sp_se_num_nonteachpss_athlthrow">Table38!$AH$7</definedName>
    <definedName name="sch_sp_se_num_nonteachpss_athltrun">Table38!$AH$8</definedName>
    <definedName name="sch_sp_se_num_nonteachpss_badminton">Table38!$AH$9</definedName>
    <definedName name="sch_sp_se_num_nonteachpss_baseball">Table38!$AH$11</definedName>
    <definedName name="sch_sp_se_num_nonteachpss_basketball">Table38!$AH$10</definedName>
    <definedName name="sch_sp_se_num_nonteachpss_billard">Table38!$AH$12</definedName>
    <definedName name="sch_sp_se_num_nonteachpss_bocce">Table38!$AH$32</definedName>
    <definedName name="sch_sp_se_num_nonteachpss_boxing">Table38!$AH$13</definedName>
    <definedName name="sch_sp_se_num_nonteachpss_chess">Table38!$AH$14</definedName>
    <definedName name="sch_sp_se_num_nonteachpss_dancesports">Table38!$AH$15</definedName>
    <definedName name="sch_sp_se_num_nonteachpss_football">Table38!$AH$16</definedName>
    <definedName name="sch_sp_se_num_nonteachpss_futsal">Table38!$AH$17</definedName>
    <definedName name="sch_sp_se_num_nonteachpss_goalball">Table38!$AH$33</definedName>
    <definedName name="sch_sp_se_num_nonteachpss_mag">Table38!$AH$19</definedName>
    <definedName name="sch_sp_se_num_nonteachpss_pencaksilat">Table38!$AH$22</definedName>
    <definedName name="sch_sp_se_num_nonteachpss_rg">Table38!$AH$21</definedName>
    <definedName name="sch_sp_se_num_nonteachpss_sepaktakraw">Table38!$AH$23</definedName>
    <definedName name="sch_sp_se_num_nonteachpss_softball">Table38!$AH$24</definedName>
    <definedName name="sch_sp_se_num_nonteachpss_swimming">Table38!$AH$25</definedName>
    <definedName name="sch_sp_se_num_nonteachpss_tabletennis">Table38!$AH$26</definedName>
    <definedName name="sch_sp_se_num_nonteachpss_taekwondo">Table38!$AH$27</definedName>
    <definedName name="sch_sp_se_num_nonteachpss_tennis">Table38!$AH$28</definedName>
    <definedName name="sch_sp_se_num_nonteachpss_volleyball">Table38!$AH$29</definedName>
    <definedName name="sch_sp_se_num_nonteachpss_wag">Table38!$AH$20</definedName>
    <definedName name="sch_sp_se_num_nonteachpss_wrestling">Table38!$AH$30</definedName>
    <definedName name="sch_sp_se_num_nonteachpss_wushu">Table38!$AH$31</definedName>
    <definedName name="sch_sp_se_num_officials_aerogymn">Table38!$S$18</definedName>
    <definedName name="sch_sp_se_num_officials_archery">Table38!$S$5</definedName>
    <definedName name="sch_sp_se_num_officials_arnis">Table38!$S$6</definedName>
    <definedName name="sch_sp_se_num_officials_athlthrow">Table38!$S$7</definedName>
    <definedName name="sch_sp_se_num_officials_athltrun">Table38!$S$8</definedName>
    <definedName name="sch_sp_se_num_officials_badminton">Table38!$S$9</definedName>
    <definedName name="sch_sp_se_num_officials_baseball">Table38!$S$11</definedName>
    <definedName name="sch_sp_se_num_officials_basketball">Table38!$S$10</definedName>
    <definedName name="sch_sp_se_num_officials_billard">Table38!$S$12</definedName>
    <definedName name="sch_sp_se_num_officials_bocce">Table38!$S$32</definedName>
    <definedName name="sch_sp_se_num_officials_boxing">Table38!$S$13</definedName>
    <definedName name="sch_sp_se_num_officials_chess">Table38!$S$14</definedName>
    <definedName name="sch_sp_se_num_officials_dancesports">Table38!$S$15</definedName>
    <definedName name="sch_sp_se_num_officials_football">Table38!$S$16</definedName>
    <definedName name="sch_sp_se_num_officials_futsal">Table38!$S$17</definedName>
    <definedName name="sch_sp_se_num_officials_goalball">Table38!$S$33</definedName>
    <definedName name="sch_sp_se_num_officials_mag">Table38!$S$19</definedName>
    <definedName name="sch_sp_se_num_officials_pencaksilat">Table38!$S$22</definedName>
    <definedName name="sch_sp_se_num_officials_rg">Table38!$S$21</definedName>
    <definedName name="sch_sp_se_num_officials_sepaktakraw">Table38!$S$23</definedName>
    <definedName name="sch_sp_se_num_officials_softball">Table38!$S$24</definedName>
    <definedName name="sch_sp_se_num_officials_swimming">Table38!$S$25</definedName>
    <definedName name="sch_sp_se_num_officials_tabletennis">Table38!$S$26</definedName>
    <definedName name="sch_sp_se_num_officials_taekwondo">Table38!$S$27</definedName>
    <definedName name="sch_sp_se_num_officials_tennis">Table38!$S$28</definedName>
    <definedName name="sch_sp_se_num_officials_volleyball">Table38!$S$29</definedName>
    <definedName name="sch_sp_se_num_officials_wag">Table38!$S$20</definedName>
    <definedName name="sch_sp_se_num_officials_wrestling">Table38!$S$30</definedName>
    <definedName name="sch_sp_se_num_officials_wushu">Table38!$S$31</definedName>
    <definedName name="sch_sp_se_num_peteachss_aerogymn">Table38!$X$18</definedName>
    <definedName name="sch_sp_se_num_peteachss_archery">Table38!$X$5</definedName>
    <definedName name="sch_sp_se_num_peteachss_arnis">Table38!$X$6</definedName>
    <definedName name="sch_sp_se_num_peteachss_athlthrow">Table38!$X$7</definedName>
    <definedName name="sch_sp_se_num_peteachss_athltrun">Table38!$X$8</definedName>
    <definedName name="sch_sp_se_num_peteachss_badminton">Table38!$X$9</definedName>
    <definedName name="sch_sp_se_num_peteachss_baseball">Table38!$X$11</definedName>
    <definedName name="sch_sp_se_num_peteachss_basketball">Table38!$X$10</definedName>
    <definedName name="sch_sp_se_num_peteachss_billard">Table38!$X$12</definedName>
    <definedName name="sch_sp_se_num_peteachss_bocce">Table38!$X$32</definedName>
    <definedName name="sch_sp_se_num_peteachss_boxing">Table38!$X$13</definedName>
    <definedName name="sch_sp_se_num_peteachss_chess">Table38!$X$14</definedName>
    <definedName name="sch_sp_se_num_peteachss_dancesports">Table38!$X$15</definedName>
    <definedName name="sch_sp_se_num_peteachss_football">Table38!$X$16</definedName>
    <definedName name="sch_sp_se_num_peteachss_futsal">Table38!$X$17</definedName>
    <definedName name="sch_sp_se_num_peteachss_goalball">Table38!$X$33</definedName>
    <definedName name="sch_sp_se_num_peteachss_mag">Table38!$X$19</definedName>
    <definedName name="sch_sp_se_num_peteachss_pencaksilat">Table38!$X$22</definedName>
    <definedName name="sch_sp_se_num_peteachss_rg">Table38!$X$21</definedName>
    <definedName name="sch_sp_se_num_peteachss_sepaktakraw">Table38!$X$23</definedName>
    <definedName name="sch_sp_se_num_peteachss_softball">Table38!$X$24</definedName>
    <definedName name="sch_sp_se_num_peteachss_swimming">Table38!$X$25</definedName>
    <definedName name="sch_sp_se_num_peteachss_tabletennis">Table38!$X$26</definedName>
    <definedName name="sch_sp_se_num_peteachss_taekwondo">Table38!$X$27</definedName>
    <definedName name="sch_sp_se_num_peteachss_tennis">Table38!$X$28</definedName>
    <definedName name="sch_sp_se_num_peteachss_volleyball">Table38!$X$29</definedName>
    <definedName name="sch_sp_se_num_peteachss_wag">Table38!$X$20</definedName>
    <definedName name="sch_sp_se_num_peteachss_wrestling">Table38!$X$30</definedName>
    <definedName name="sch_sp_se_num_peteachss_wushu">Table38!$X$31</definedName>
    <definedName name="sch_ssgadviser_subjhandle_others_specify">'Boxes4-6'!$AE$9</definedName>
    <definedName name="sch_standalone_tecvoc">SchInfo!$C$33</definedName>
    <definedName name="sch_stormsurgedrill_apr">Box30_part2!$T$52</definedName>
    <definedName name="sch_stormsurgedrill_aug">Box30_part2!$AB$52</definedName>
    <definedName name="sch_stormsurgedrill_dec">Box30_part2!$AJ$52</definedName>
    <definedName name="sch_stormsurgedrill_feb">Box30_part2!$P$52</definedName>
    <definedName name="sch_stormsurgedrill_jan">Box30_part2!$N$52</definedName>
    <definedName name="sch_stormsurgedrill_jul">Box30_part2!$Z$52</definedName>
    <definedName name="sch_stormsurgedrill_jun">Box30_part2!$X$52</definedName>
    <definedName name="sch_stormsurgedrill_mar">Box30_part2!$R$52</definedName>
    <definedName name="sch_stormsurgedrill_may">Box30_part2!$V$52</definedName>
    <definedName name="sch_stormsurgedrill_nov">Box30_part2!$AH$52</definedName>
    <definedName name="sch_stormsurgedrill_oct">Box30_part2!$AF$52</definedName>
    <definedName name="sch_stormsurgedrill_sep">Box30_part2!$AD$52</definedName>
    <definedName name="sch_takenapproppriateactions_basedFEPP">Box30_part1!$D$51</definedName>
    <definedName name="sch_teachers_repoductivehealth_training_adept_g10">'Box15'!$T$42</definedName>
    <definedName name="sch_teachers_repoductivehealth_training_adept_g7">'Box15'!$T$39</definedName>
    <definedName name="sch_teachers_repoductivehealth_training_adept_g8">'Box15'!$T$40</definedName>
    <definedName name="sch_teachers_repoductivehealth_training_adept_g9">'Box15'!$T$41</definedName>
    <definedName name="sch_teachers_repoductivehealth_training_aja_g10">'Box15'!$N$42</definedName>
    <definedName name="sch_teachers_repoductivehealth_training_aja_g7">'Box15'!$N$39</definedName>
    <definedName name="sch_teachers_repoductivehealth_training_aja_g8">'Box15'!$N$40</definedName>
    <definedName name="sch_teachers_repoductivehealth_training_aja_g9">'Box15'!$N$41</definedName>
    <definedName name="sch_teachers_repoductivehealth_training_hivaids_g10">'Box15'!$Z$42</definedName>
    <definedName name="sch_teachers_repoductivehealth_training_hivaids_g7">'Box15'!$Z$39</definedName>
    <definedName name="sch_teachers_repoductivehealth_training_hivaids_g8">'Box15'!$Z$40</definedName>
    <definedName name="sch_teachers_repoductivehealth_training_hivaids_g9">'Box15'!$Z$41</definedName>
    <definedName name="sch_teencenter_operational">'Box15'!$AA$25</definedName>
    <definedName name="sch_tel_no">SchInfo!$AH$24</definedName>
    <definedName name="sch_termsandconditions_covid">Box30_part1!$D$48</definedName>
    <definedName name="sch_tsunamidrill_lrnrs_apr">Box30_part2!$T$53</definedName>
    <definedName name="sch_tsunamidrill_lrnrs_aug">Box30_part2!$AB$53</definedName>
    <definedName name="sch_tsunamidrill_lrnrs_dec">Box30_part2!$AJ$53</definedName>
    <definedName name="sch_tsunamidrill_lrnrs_feb">Box30_part2!$P$53</definedName>
    <definedName name="sch_tsunamidrill_lrnrs_jan">Box30_part2!$N$53</definedName>
    <definedName name="sch_tsunamidrill_lrnrs_jul">Box30_part2!$Z$53</definedName>
    <definedName name="sch_tsunamidrill_lrnrs_jun">Box30_part2!$X$53</definedName>
    <definedName name="sch_tsunamidrill_lrnrs_mar">Box30_part2!$R$53</definedName>
    <definedName name="sch_tsunamidrill_lrnrs_may">Box30_part2!$V$53</definedName>
    <definedName name="sch_tsunamidrill_lrnrs_nov">Box30_part2!$AH$53</definedName>
    <definedName name="sch_tsunamidrill_lrnrs_oct">Box30_part2!$AF$53</definedName>
    <definedName name="sch_tsunamidrill_lrnrs_sep">Box30_part2!$AD$53</definedName>
    <definedName name="sch_vac_afl_okov">'Boxes24-25'!$U$22</definedName>
    <definedName name="sch_vac_afl_phyv">'Boxes24-25'!$U$19</definedName>
    <definedName name="sch_vac_afl_psyv">'Boxes24-25'!$U$21</definedName>
    <definedName name="sch_vac_afl_sexv">'Boxes24-25'!$U$20</definedName>
    <definedName name="sch_vac_aml_okov">'Boxes24-25'!$O$22</definedName>
    <definedName name="sch_vac_aml_phyv">'Boxes24-25'!$O$19</definedName>
    <definedName name="sch_vac_aml_psyv">'Boxes24-25'!$O$21</definedName>
    <definedName name="sch_vac_aml_sexv">'Boxes24-25'!$O$20</definedName>
    <definedName name="sch_vac_bygradelevel_f_g10">'Boxes24-25'!$U$31</definedName>
    <definedName name="sch_vac_bygradelevel_f_g7">'Boxes24-25'!$U$28</definedName>
    <definedName name="sch_vac_bygradelevel_f_g8">'Boxes24-25'!$U$29</definedName>
    <definedName name="sch_vac_bygradelevel_f_g9">'Boxes24-25'!$U$30</definedName>
    <definedName name="sch_vac_bygradelevel_m_g10">'Boxes24-25'!$O$31</definedName>
    <definedName name="sch_vac_bygradelevel_m_g7">'Boxes24-25'!$O$28</definedName>
    <definedName name="sch_vac_bygradelevel_m_g8">'Boxes24-25'!$O$29</definedName>
    <definedName name="sch_vac_bygradelevel_m_g9">'Boxes24-25'!$O$30</definedName>
    <definedName name="sch_vac_perpoutsider_okov">'Boxes24-25'!$AM$22</definedName>
    <definedName name="sch_vac_perpoutsider_phyv">'Boxes24-25'!$AM$19</definedName>
    <definedName name="sch_vac_perpoutsider_psyv">'Boxes24-25'!$AM$21</definedName>
    <definedName name="sch_vac_perpoutsider_sexv">'Boxes24-25'!$AM$20</definedName>
    <definedName name="sch_vac_perppersonel_okov">'Boxes24-25'!$AG$22</definedName>
    <definedName name="sch_vac_perppersonel_phyv">'Boxes24-25'!$AG$19</definedName>
    <definedName name="sch_vac_perppersonel_psyv">'Boxes24-25'!$AG$21</definedName>
    <definedName name="sch_vac_perppersonel_sexv">'Boxes24-25'!$AG$20</definedName>
    <definedName name="sch_washfacilities">Box30_part1!$D$34</definedName>
    <definedName name="sch_web_add">SchInfo!$AH$27</definedName>
    <definedName name="sch_wf_group_hw_no_water_outlets">'Box12-Table34'!$AG$40</definedName>
    <definedName name="sch_wf_group_hw_nonfunctional">'Box12-Table34'!$W$40</definedName>
    <definedName name="sch_wf_group_hw_wosoap">'Box12-Table34'!$R$40</definedName>
    <definedName name="sch_wf_group_hw_wsoap">'Box12-Table34'!$M$40</definedName>
    <definedName name="sch_wf_individual_hw_no_water_outlets">'Box12-Table34'!$AG$41</definedName>
    <definedName name="sch_wf_individual_hw_nonfunctional">'Box12-Table34'!$W$41</definedName>
    <definedName name="sch_wf_individual_hw_wosoap">'Box12-Table34'!$R$41</definedName>
    <definedName name="sch_wf_individual_hw_wsoap">'Box12-Table34'!$M$41</definedName>
    <definedName name="sch_yfcpdo_num_sch_visit">'Boxes4-6'!$Z$20</definedName>
    <definedName name="schhead_identified_sch_evacctr">Box30_part1!$T$26</definedName>
    <definedName name="schsite_ancesdom_cadt_yes">'Box9'!$AM$9</definedName>
    <definedName name="schsite_ancesdom_usu_yes">'Box9'!$AM$7</definedName>
    <definedName name="schsite_ancesland_calt_yes">'Box9'!$AM$15</definedName>
    <definedName name="schsite_ancesland_usu_yes">'Box9'!$AM$13</definedName>
    <definedName name="schsite_land_area">'Box9'!$AC$5</definedName>
    <definedName name="schsite_leg_own_adverseclaim">'Box9'!$AM$18</definedName>
    <definedName name="schsite_leg_own_encroach">'Box9'!$AM$19</definedName>
    <definedName name="schsite_leg_own_others">'Box9'!$AM$21</definedName>
    <definedName name="schsite_leg_own_others_specify">'Box9'!$AR$21</definedName>
    <definedName name="schsite_leg_own_willegalsetler">'Box9'!$AM$20</definedName>
    <definedName name="schsite_mode_cloa">'Box9'!$T$17</definedName>
    <definedName name="schsite_mode_donation">'Box9'!$T$10</definedName>
    <definedName name="schsite_mode_exchange_swapping">'Box9'!$T$14</definedName>
    <definedName name="schsite_mode_expropriation">'Box9'!$T$13</definedName>
    <definedName name="schsite_mode_others">'Box9'!$T$20</definedName>
    <definedName name="schsite_mode_others_specify">'Box9'!$U$21</definedName>
    <definedName name="schsite_mode_pres_proc">'Box9'!$T$15</definedName>
    <definedName name="schsite_mode_purchase">'Box9'!$T$11</definedName>
    <definedName name="schsite_mode_slup">'Box9'!$T$19</definedName>
    <definedName name="schsite_mode_spl_patent">'Box9'!$T$16</definedName>
    <definedName name="schsite_mode_usufruct_agree">'Box9'!$T$12</definedName>
    <definedName name="schsite_modeyr_cloa">'Box9'!$AE$17</definedName>
    <definedName name="schsite_modeyr_donation">'Box9'!$AE$10</definedName>
    <definedName name="schsite_modeyr_exchange_swapping">'Box9'!$AE$14</definedName>
    <definedName name="schsite_modeyr_expropriation">'Box9'!$AE$13</definedName>
    <definedName name="schsite_modeyr_others">'Box9'!$AE$20</definedName>
    <definedName name="schsite_modeyr_pres_proc">'Box9'!$AE$15</definedName>
    <definedName name="schsite_modeyr_purchase">'Box9'!$AE$11</definedName>
    <definedName name="schsite_modeyr_slup">'Box9'!$AE$19</definedName>
    <definedName name="schsite_modeyr_spl_patent">'Box9'!$AE$16</definedName>
    <definedName name="schsite_modeyr_usufruct_agree">'Box9'!$AE$12</definedName>
    <definedName name="schsite_ownership_deped">'Box9'!$E$7</definedName>
    <definedName name="schsite_ownership_lgu">'Box9'!$E$8</definedName>
    <definedName name="schsite_ownership_othergov">'Box9'!$I$7</definedName>
    <definedName name="schsite_ownership_prvt_ind">'Box9'!$I$8</definedName>
    <definedName name="schsite_ownership_wdocu_others_specify">'Box9'!$J$26</definedName>
    <definedName name="schsite_ownership_wdocu_yes">'Box9'!$I$9</definedName>
    <definedName name="schsite_ownership_wdocu_yes_cert_stew">'Box9'!$E$19</definedName>
    <definedName name="schsite_ownership_wdocu_yes_cloa">'Box9'!$E$13</definedName>
    <definedName name="schsite_ownership_wdocu_yes_deed_abso">'Box9'!$E$17</definedName>
    <definedName name="schsite_ownership_wdocu_yes_deed_donation">'Box9'!$E$18</definedName>
    <definedName name="schsite_ownership_wdocu_yes_FLAg">'Box9'!$E$25</definedName>
    <definedName name="schsite_ownership_wdocu_yes_lease">'Box9'!$E$24</definedName>
    <definedName name="schsite_ownership_wdocu_yes_moa">'Box9'!$E$23</definedName>
    <definedName name="schsite_ownership_wdocu_yes_oct">'Box9'!$E$11</definedName>
    <definedName name="schsite_ownership_wdocu_yes_others">'Box9'!$E$26</definedName>
    <definedName name="schsite_ownership_wdocu_yes_pres_proc">'Box9'!$E$15</definedName>
    <definedName name="schsite_ownership_wdocu_yes_slup">'Box9'!$E$20</definedName>
    <definedName name="schsite_ownership_wdocu_yes_spl_patent">'Box9'!$E$14</definedName>
    <definedName name="schsite_ownership_wdocu_yes_tax_dec">'Box9'!$E$16</definedName>
    <definedName name="schsite_ownership_wdocu_yes_tct">'Box9'!$E$12</definedName>
    <definedName name="schsite_ownership_wdocu_yes_usufruct">'Box9'!$E$21</definedName>
    <definedName name="schsite_protect_area">'Box9'!$AM$25</definedName>
    <definedName name="schsite_timber_forest">'Box9'!$AM$26</definedName>
    <definedName name="sciteach_bio_f">'Tables18-21'!$BA$7</definedName>
    <definedName name="sciteach_bio_m">'Tables18-21'!$AW$7</definedName>
    <definedName name="sciteach_chem_f">'Tables18-21'!$BA$8</definedName>
    <definedName name="sciteach_chem_m">'Tables18-21'!$AW$8</definedName>
    <definedName name="sciteach_gensci_f">'Tables18-21'!$BA$6</definedName>
    <definedName name="sciteach_gensci_m">'Tables18-21'!$AW$6</definedName>
    <definedName name="sciteach_others_f">'Tables18-21'!$BA$10</definedName>
    <definedName name="sciteach_others_m">'Tables18-21'!$AW$10</definedName>
    <definedName name="sciteach_phys_f">'Tables18-21'!$BA$9</definedName>
    <definedName name="sciteach_phys_m">'Tables18-21'!$AW$9</definedName>
    <definedName name="sdo_head_name">SchInfo!$AM$38</definedName>
    <definedName name="sdo_pos_title">SchInfo!$AM$40</definedName>
    <definedName name="sgp_ssgadviser_yes">'Boxes4-6'!$Z$6</definedName>
    <definedName name="sgp_ssgcouncil_yes">'Boxes4-6'!$Z$5</definedName>
    <definedName name="solidwm_compliant_eswma_yes">'Box 21-23'!$AC$5</definedName>
    <definedName name="solidwm_impl_swm_composting">'Box 21-23'!$I$8</definedName>
    <definedName name="solidwm_impl_swm_des_trash_collect_pt">'Box 21-23'!$I$9</definedName>
    <definedName name="solidwm_impl_swm_poster_slogan_contest">'Box 21-23'!$I$10</definedName>
    <definedName name="solidwm_impl_swm_postsign">'Box 21-23'!$V$8</definedName>
    <definedName name="solidwm_impl_swm_recycling_proj">'Box 21-23'!$V$9</definedName>
    <definedName name="solidwm_impl_swm_schrep_brgy_swmc">'Box 21-23'!$V$10</definedName>
    <definedName name="solidwm_impl_swm_use_paper_platesncups">'Box 21-23'!$AH$8</definedName>
    <definedName name="solidwm_impl_swm_use_recycled_mtrl">'Box 21-23'!$AH$9</definedName>
    <definedName name="solidwm_impl_swm_use_reusable_food_container">'Box 21-23'!$AH$10</definedName>
    <definedName name="solidwm_impl_swm_waste_seg">'Box 21-23'!$AH$11</definedName>
    <definedName name="ssg_budget_sipapp_inc_yes">'Boxes4-6'!$Z$16</definedName>
    <definedName name="ssg_dedicated_rm_yes">'Boxes4-6'!$Z$17</definedName>
    <definedName name="ssg_engspeakcamp_readtutorsrvc_yes">'Boxes4-6'!$AD$31</definedName>
    <definedName name="ssg_joinsearch_best_ssgcoun_yes">'Boxes4-6'!$Z$18</definedName>
    <definedName name="ssg_lead_learners_tchrmon_worldtchrday_yes">'Boxes4-6'!$AD$34</definedName>
    <definedName name="ssg_part_learner_brigada_eskwela_yes">'Boxes4-6'!$AD$28</definedName>
    <definedName name="ssg_part_learners_cocurr_actvty_yes">'Boxes4-6'!$AD$35</definedName>
    <definedName name="ssg_prevent_learners_dropout_yes">'Boxes4-6'!$AD$30</definedName>
    <definedName name="ssg_sch_collect_fees_yes">'Boxes4-6'!$Z$15</definedName>
    <definedName name="ssg_sch_smoke_tobacoo_free_yes">'Boxes4-6'!$AD$33</definedName>
    <definedName name="ssg_schlead_natl_green_prog_yes">'Boxes4-6'!$AD$29</definedName>
    <definedName name="ssg_ssgadviser_cto_sat_yes">'Boxes4-6'!$Z$21</definedName>
    <definedName name="ssg_support_antidrug_abuse_educ_camp_yes">'Boxes4-6'!$AD$32</definedName>
    <definedName name="ssg_won_natlaward_yes">'Boxes4-6'!$Z$19</definedName>
    <definedName name="ssgadviser_deload_yes">'Boxes4-6'!$Z$14</definedName>
    <definedName name="ssgadviser_hiacaddegree_bachelor_degree">'Boxes4-6'!$G$12</definedName>
    <definedName name="ssgadviser_hiacaddegree_doctorate_degree">'Boxes4-6'!$Z$12</definedName>
    <definedName name="ssgadviser_hiacaddegree_master_degree">'Boxes4-6'!$P$12</definedName>
    <definedName name="ssgadviser_hiacaddegree_wdoctorate_degree_units">'Boxes4-6'!$P$13</definedName>
    <definedName name="ssgadviser_hiacaddegree_wmaster_degree_units">'Boxes4-6'!$G$13</definedName>
    <definedName name="ssgadviser_subjhandle_ap">'Boxes4-6'!$P$10</definedName>
    <definedName name="ssgadviser_subjhandle_fil">'Boxes4-6'!$G$10</definedName>
    <definedName name="ssgadviser_subjhandle_math">'Boxes4-6'!$P$9</definedName>
    <definedName name="ssgadviser_subjhandle_others">'Boxes4-6'!$Z$9</definedName>
    <definedName name="ssgadviser_subjhandle_sci">'Boxes4-6'!$G$9</definedName>
    <definedName name="stakeholder_art_nonteaching_f">Box31_part3a!$AI$31</definedName>
    <definedName name="stakeholder_art_nonteaching_m">Box31_part3a!$AF$31</definedName>
    <definedName name="stakeholder_art_teaching_f">Box31_part3a!$AC$31</definedName>
    <definedName name="stakeholder_art_teaching_m">Box31_part3a!$Z$31</definedName>
    <definedName name="stakeholder_BFA_nonteaching_f">Box31_part3a!$AI$20</definedName>
    <definedName name="stakeholder_BFA_nonteaching_m">Box31_part3a!$AF$20</definedName>
    <definedName name="stakeholder_BFA_teaching_f">Box31_part3a!$AC$20</definedName>
    <definedName name="stakeholder_BFA_teaching_m">Box31_part3a!$Z$20</definedName>
    <definedName name="stakeholder_caaas_nonteaching_f">Box31_part3a!$AI$38</definedName>
    <definedName name="stakeholder_caaas_nonteaching_m">Box31_part3a!$AF$38</definedName>
    <definedName name="stakeholder_caaas_teaching_f">Box31_part3a!$AC$38</definedName>
    <definedName name="stakeholder_caaas_teaching_m">Box31_part3a!$Z$38</definedName>
    <definedName name="stakeholder_ccamcamps_nonteaching_f">Box31_part3a!$AI$33</definedName>
    <definedName name="stakeholder_ccamcamps_nonteaching_m">Box31_part3a!$AF$33</definedName>
    <definedName name="stakeholder_ccamcamps_teaching_f">Box31_part3a!$AC$33</definedName>
    <definedName name="stakeholder_ccamcamps_teaching_m">Box31_part3a!$Z$33</definedName>
    <definedName name="stakeholder_ccamothersspecify">Box31_part3a!$K$44</definedName>
    <definedName name="stakeholder_ccamothersspecify_nonteaching_f">Box31_part3a!$AI$44</definedName>
    <definedName name="stakeholder_ccamothersspecify_nonteaching_m">Box31_part3a!$AF$44</definedName>
    <definedName name="stakeholder_ccamothersspecify_teaching_f">Box31_part3a!$AC$44</definedName>
    <definedName name="stakeholder_ccamothersspecify_teaching_m">Box31_part3a!$Z$44</definedName>
    <definedName name="stakeholder_celebevents_nonteaching_f">Box31_part3a!$AI$23</definedName>
    <definedName name="stakeholder_celebevents_nonteaching_m">Box31_part3a!$AF$23</definedName>
    <definedName name="stakeholder_celebevents_teaching_f">Box31_part3a!$AC$23</definedName>
    <definedName name="stakeholder_celebevents_teaching_m">Box31_part3a!$Z$23</definedName>
    <definedName name="stakeholder_celebratepeace_nonteaching_f">Box31_part3a!$AI$50</definedName>
    <definedName name="stakeholder_celebratepeace_nonteaching_m">Box31_part3a!$AF$50</definedName>
    <definedName name="stakeholder_celebratepeace_teaching_f">Box31_part3a!$AC$50</definedName>
    <definedName name="stakeholder_celebratepeace_teaching_m">Box31_part3a!$Z$50</definedName>
    <definedName name="stakeholder_change_nonteaching_f">Box31_part3a!$AI$32</definedName>
    <definedName name="stakeholder_change_nonteaching_m">Box31_part3a!$AF$32</definedName>
    <definedName name="stakeholder_change_teaching_f">Box31_part3a!$AC$32</definedName>
    <definedName name="stakeholder_change_teaching_m">Box31_part3a!$Z$32</definedName>
    <definedName name="stakeholder_contests_nonteaching_f">Box31_part3a!$AI$49</definedName>
    <definedName name="stakeholder_contests_nonteaching_m">Box31_part3a!$AF$49</definedName>
    <definedName name="stakeholder_contests_teaching_f">Box31_part3a!$AC$49</definedName>
    <definedName name="stakeholder_contests_teaching_m">Box31_part3a!$Z$49</definedName>
    <definedName name="stakeholder_drrmcamp_nonteaching_f">Box31_part3a!$AI$24</definedName>
    <definedName name="stakeholder_drrmcamp_nonteaching_m">Box31_part3a!$AF$24</definedName>
    <definedName name="stakeholder_drrmcamp_teaching_f">Box31_part3a!$AC$24</definedName>
    <definedName name="stakeholder_drrmcamp_teaching_m">Box31_part3a!$Z$24</definedName>
    <definedName name="stakeholder_drrmothers_nonteaching_f">Box31_part3a!$AI$28</definedName>
    <definedName name="stakeholder_drrmothers_nonteaching_m">Box31_part3a!$AF$28</definedName>
    <definedName name="stakeholder_drrmothers_specify">Box31_part3a!$K$28</definedName>
    <definedName name="stakeholder_drrmothers_teaching_f">Box31_part3a!$AC$28</definedName>
    <definedName name="stakeholder_drrmothers_teaching_m">Box31_part3a!$Z$28</definedName>
    <definedName name="stakeholder_drrmrelated_nonteaching_f">Box31_part3a!$AI$27</definedName>
    <definedName name="stakeholder_drrmrelated_nonteaching_m">Box31_part3a!$AF$27</definedName>
    <definedName name="stakeholder_drrmrelated_teaching_f">Box31_part3a!$AC$27</definedName>
    <definedName name="stakeholder_drrmrelated_teaching_m">Box31_part3a!$Z$27</definedName>
    <definedName name="stakeholder_drrmyac_nonteaching_f">Box31_part3a!$AI$26</definedName>
    <definedName name="stakeholder_drrmyac_nonteaching_m">Box31_part3a!$AF$26</definedName>
    <definedName name="stakeholder_drrmyac_teaching_f">Box31_part3a!$AC$26</definedName>
    <definedName name="stakeholder_drrmyac_teaching_m">Box31_part3a!$Z$26</definedName>
    <definedName name="stakeholder_drrmyouthcouncil_nonteaching_f">Box31_part3a!$AI$25</definedName>
    <definedName name="stakeholder_drrmyouthcouncil_nonteaching_m">Box31_part3a!$AF$25</definedName>
    <definedName name="stakeholder_drrmyouthcouncil_teaching_f">Box31_part3a!$AC$25</definedName>
    <definedName name="stakeholder_drrmyouthcouncil_teaching_m">Box31_part3a!$Z$25</definedName>
    <definedName name="stakeholder_FEP_nonteaching_f">Box31_part3a!$AI$21</definedName>
    <definedName name="stakeholder_FEP_nonteaching_m">Box31_part3a!$AF$21</definedName>
    <definedName name="stakeholder_FEP_teaching_f">Box31_part3a!$AC$21</definedName>
    <definedName name="stakeholder_FEP_teaching_m">Box31_part3a!$Z$21</definedName>
    <definedName name="stakeholder_gulayan_nonteaching_f">Box31_part3a!$AI$36</definedName>
    <definedName name="stakeholder_gulayan_nonteaching_m">Box31_part3a!$AF$36</definedName>
    <definedName name="stakeholder_gulayan_teaching_f">Box31_part3a!$AC$36</definedName>
    <definedName name="stakeholder_gulayan_teaching_m">Box31_part3a!$Z$36</definedName>
    <definedName name="stakeholder_hazmapping_nonteaching_f">Box31_part3a!$AI$22</definedName>
    <definedName name="stakeholder_hazmapping_nonteaching_m">Box31_part3a!$AF$22</definedName>
    <definedName name="stakeholder_hazmapping_teaching_f">Box31_part3a!$AC$22</definedName>
    <definedName name="stakeholder_hazmapping_teaching_m">Box31_part3a!$Z$22</definedName>
    <definedName name="stakeholder_impl_swm_brgy">'Box 21-23'!$I$14</definedName>
    <definedName name="stakeholder_impl_swm_comm_lead">'Box 21-23'!$I$15</definedName>
    <definedName name="stakeholder_impl_swm_loc_business_partners">'Box 21-23'!$V$14</definedName>
    <definedName name="stakeholder_impl_swm_mun_city">'Box 21-23'!$V$15</definedName>
    <definedName name="stakeholder_impl_swm_parents">'Box 21-23'!$AH$14</definedName>
    <definedName name="stakeholder_journalism_nonteaching_f">Box31_part3a!$AI$35</definedName>
    <definedName name="stakeholder_journalism_nonteaching_m">Box31_part3a!$AF$35</definedName>
    <definedName name="stakeholder_journalism_teaching_f">Box31_part3a!$AC$35</definedName>
    <definedName name="stakeholder_journalism_teaching_m">Box31_part3a!$Z$35</definedName>
    <definedName name="stakeholder_mrf_nonteaching_f">Box31_part3a!$AI$37</definedName>
    <definedName name="stakeholder_mrf_nonteaching_m">Box31_part3a!$AF$37</definedName>
    <definedName name="stakeholder_mrf_teaching_f">Box31_part3a!$AC$37</definedName>
    <definedName name="stakeholder_mrf_teaching_m">Box31_part3a!$Z$37</definedName>
    <definedName name="stakeholder_onlineteach_nonteaching_f">Box31_part3a!$AI$34</definedName>
    <definedName name="stakeholder_onlineteach_nonteaching_m">Box31_part3a!$AF$34</definedName>
    <definedName name="stakeholder_onlineteach_teaching_f">Box31_part3a!$AC$34</definedName>
    <definedName name="stakeholder_onlineteach_teaching_m">Box31_part3a!$Z$34</definedName>
    <definedName name="stakeholder_peacebuildingothers">Box31_part3a!$K$51</definedName>
    <definedName name="stakeholder_peacebuildingothers_nonteachers_f">Box31_part3a!$AI$51</definedName>
    <definedName name="stakeholder_peacebuildingothers_nonteachers_m">Box31_part3a!$AF$51</definedName>
    <definedName name="stakeholder_peacebuildingothers_teachers_f">Box31_part3a!$AC$51</definedName>
    <definedName name="stakeholder_peacebuildingothers_teachers_m">Box31_part3a!$Z$51</definedName>
    <definedName name="stakeholder_peaceconference_nonteaching_f">Box31_part3a!$AI$47</definedName>
    <definedName name="stakeholder_peaceconference_nonteaching_m">Box31_part3a!$AF$47</definedName>
    <definedName name="stakeholder_peaceconference_teaching_f">Box31_part3a!$AC$47</definedName>
    <definedName name="stakeholder_peaceconference_teaching_m">Box31_part3a!$Z$47</definedName>
    <definedName name="stakeholder_recycling_nonteaching_f">Box31_part3a!$AI$40</definedName>
    <definedName name="stakeholder_recycling_nonteaching_m">Box31_part3a!$AF$40</definedName>
    <definedName name="stakeholder_recycling_teaching_f">Box31_part3a!$AC$40</definedName>
    <definedName name="stakeholder_recycling_teaching_m">Box31_part3a!$Z$40</definedName>
    <definedName name="stakeholder_specialevent_nonteaching_f">Box31_part3a!$AI$43</definedName>
    <definedName name="stakeholder_specialevent_nonteaching_m">Box31_part3a!$AF$43</definedName>
    <definedName name="stakeholder_specialevent_teaching_f">Box31_part3a!$AC$43</definedName>
    <definedName name="stakeholder_specialevent_teaching_m">Box31_part3a!$Z$43</definedName>
    <definedName name="stakeholder_swm_nonteaching_f">Box31_part3a!$AI$39</definedName>
    <definedName name="stakeholder_swm_nonteaching_m">Box31_part3a!$AF$39</definedName>
    <definedName name="stakeholder_swm_teaching_f">Box31_part3a!$AC$39</definedName>
    <definedName name="stakeholder_swm_teaching_m">Box31_part3a!$Z$39</definedName>
    <definedName name="stakeholder_treeplanting_nonteaching_f">Box31_part3a!$AI$41</definedName>
    <definedName name="stakeholder_treeplanting_nonteaching_m">Box31_part3a!$AF$41</definedName>
    <definedName name="stakeholder_treeplanting_teaching_f">Box31_part3a!$AC$41</definedName>
    <definedName name="stakeholder_treeplanting_teaching_m">Box31_part3a!$Z$41</definedName>
    <definedName name="stakeholder_youthnetworks_nonteaching_f">Box31_part3a!$AI$48</definedName>
    <definedName name="stakeholder_youthnetworks_nonteaching_m">Box31_part3a!$AF$48</definedName>
    <definedName name="stakeholder_youthnetworks_teaching_f">Box31_part3a!$AC$48</definedName>
    <definedName name="stakeholder_youthnetworks_teaching_m">Box31_part3a!$Z$48</definedName>
    <definedName name="stakeholder_youthstrike_nonteaching_f">Box31_part3a!$AI$42</definedName>
    <definedName name="stakeholder_youthstrike_nonteaching_m">Box31_part3a!$AF$42</definedName>
    <definedName name="stakeholder_youthstrike_teaching_f">Box31_part3a!$AC$42</definedName>
    <definedName name="stakeholder_youthstrike_teaching_m">Box31_part3a!$Z$42</definedName>
    <definedName name="Table_13" localSheetId="6">Table2!$B$2</definedName>
    <definedName name="Table_13" localSheetId="18">Table22!$B$2</definedName>
    <definedName name="Table_13" localSheetId="7">Table3!#REF!</definedName>
    <definedName name="Table_13" localSheetId="8">Table4!$B$2</definedName>
    <definedName name="Table_14" localSheetId="6">Table2!#REF!</definedName>
    <definedName name="Table_14" localSheetId="18">Table22!#REF!</definedName>
    <definedName name="Table_14" localSheetId="7">Table3!#REF!</definedName>
    <definedName name="Table_14" localSheetId="8">Table4!#REF!</definedName>
    <definedName name="tchr_afa_agricrops_f_g10">Table22!$AK$18</definedName>
    <definedName name="tchr_afa_agricrops_f_g7">Table22!$S$18</definedName>
    <definedName name="tchr_afa_agricrops_f_g8">Table22!$Y$18</definedName>
    <definedName name="tchr_afa_agricrops_f_g9">Table22!$AE$18</definedName>
    <definedName name="tchr_afa_agricrops_m_g10">Table22!$AH$18</definedName>
    <definedName name="tchr_afa_agricrops_m_g7">Table22!$P$18</definedName>
    <definedName name="tchr_afa_agricrops_m_g8">Table22!$V$18</definedName>
    <definedName name="tchr_afa_agricrops_m_g9">Table22!$AB$18</definedName>
    <definedName name="tchr_afa_animalprod_f_g10">Table22!$AK$19</definedName>
    <definedName name="tchr_afa_animalprod_f_g7">Table22!$S$19</definedName>
    <definedName name="tchr_afa_animalprod_f_g8">Table22!$Y$19</definedName>
    <definedName name="tchr_afa_animalprod_f_g9">Table22!$AE$19</definedName>
    <definedName name="tchr_afa_animalprod_m_g10">Table22!$AH$19</definedName>
    <definedName name="tchr_afa_animalprod_m_g7">Table22!$P$19</definedName>
    <definedName name="tchr_afa_animalprod_m_g8">Table22!$V$19</definedName>
    <definedName name="tchr_afa_animalprod_m_g9">Table22!$AB$19</definedName>
    <definedName name="tchr_afa_aquaculture_f_g10">Table22!$AK$20</definedName>
    <definedName name="tchr_afa_aquaculture_f_g7">Table22!$S$20</definedName>
    <definedName name="tchr_afa_aquaculture_f_g8">Table22!$Y$20</definedName>
    <definedName name="tchr_afa_aquaculture_f_g9">Table22!$AE$20</definedName>
    <definedName name="tchr_afa_aquaculture_m_g10">Table22!$AH$20</definedName>
    <definedName name="tchr_afa_aquaculture_m_g7">Table22!$P$20</definedName>
    <definedName name="tchr_afa_aquaculture_m_g8">Table22!$V$20</definedName>
    <definedName name="tchr_afa_aquaculture_m_g9">Table22!$AB$20</definedName>
    <definedName name="tchr_afa_fishprocessing_f_g10">Table22!$AK$21</definedName>
    <definedName name="tchr_afa_fishprocessing_f_g7">Table22!$S$21</definedName>
    <definedName name="tchr_afa_fishprocessing_f_g8">Table22!$Y$21</definedName>
    <definedName name="tchr_afa_fishprocessing_f_g9">Table22!$AE$21</definedName>
    <definedName name="tchr_afa_fishprocessing_m_g10">Table22!$AH$21</definedName>
    <definedName name="tchr_afa_fishprocessing_m_g7">Table22!$P$21</definedName>
    <definedName name="tchr_afa_fishprocessing_m_g8">Table22!$V$21</definedName>
    <definedName name="tchr_afa_fishprocessing_m_g9">Table22!$AB$21</definedName>
    <definedName name="tchr_he_beautycare_f_g10">Table22!$AK$8</definedName>
    <definedName name="tchr_he_beautycare_f_g7">Table22!$S$8</definedName>
    <definedName name="tchr_he_beautycare_f_g8">Table22!$Y$8</definedName>
    <definedName name="tchr_he_beautycare_f_g9">Table22!$AE$8</definedName>
    <definedName name="tchr_he_beautycare_m_g10">Table22!$AH$8</definedName>
    <definedName name="tchr_he_beautycare_m_g7">Table22!$P$8</definedName>
    <definedName name="tchr_he_beautycare_m_g8">Table22!$V$8</definedName>
    <definedName name="tchr_he_beautycare_m_g9">Table22!$AB$8</definedName>
    <definedName name="tchr_he_caregiving_f_g10">Table22!$AK$9</definedName>
    <definedName name="tchr_he_caregiving_f_g7">Table22!$S$9</definedName>
    <definedName name="tchr_he_caregiving_f_g8">Table22!$Y$9</definedName>
    <definedName name="tchr_he_caregiving_f_g9">Table22!$AE$9</definedName>
    <definedName name="tchr_he_caregiving_m_g10">Table22!$AH$9</definedName>
    <definedName name="tchr_he_caregiving_m_g7">Table22!$P$9</definedName>
    <definedName name="tchr_he_caregiving_m_g8">Table22!$V$9</definedName>
    <definedName name="tchr_he_caregiving_m_g9">Table22!$AB$9</definedName>
    <definedName name="tchr_he_cookery_f_g10">Table22!$AK$10</definedName>
    <definedName name="tchr_he_cookery_f_g7">Table22!$S$10</definedName>
    <definedName name="tchr_he_cookery_f_g8">Table22!$Y$10</definedName>
    <definedName name="tchr_he_cookery_f_g9">Table22!$AE$10</definedName>
    <definedName name="tchr_he_cookery_m_g10">Table22!$AH$10</definedName>
    <definedName name="tchr_he_cookery_m_g7">Table22!$P$10</definedName>
    <definedName name="tchr_he_cookery_m_g8">Table22!$V$10</definedName>
    <definedName name="tchr_he_cookery_m_g9">Table22!$AB$10</definedName>
    <definedName name="tchr_he_dressmaking_f_g10">Table22!$AK$11</definedName>
    <definedName name="tchr_he_dressmaking_f_g7">Table22!$S$11</definedName>
    <definedName name="tchr_he_dressmaking_f_g8">Table22!$Y$11</definedName>
    <definedName name="tchr_he_dressmaking_f_g9">Table22!$AE$11</definedName>
    <definedName name="tchr_he_dressmaking_m_g10">Table22!$AH$11</definedName>
    <definedName name="tchr_he_dressmaking_m_g7">Table22!$P$11</definedName>
    <definedName name="tchr_he_dressmaking_m_g8">Table22!$V$11</definedName>
    <definedName name="tchr_he_dressmaking_m_g9">Table22!$AB$11</definedName>
    <definedName name="tchr_he_frontoffice_f_g10">Table22!$AK$12</definedName>
    <definedName name="tchr_he_frontoffice_f_g7">Table22!$S$12</definedName>
    <definedName name="tchr_he_frontoffice_f_g8">Table22!$Y$12</definedName>
    <definedName name="tchr_he_frontoffice_f_g9">Table22!$AE$12</definedName>
    <definedName name="tchr_he_frontoffice_m_g10">Table22!$AH$12</definedName>
    <definedName name="tchr_he_frontoffice_m_g7">Table22!$P$12</definedName>
    <definedName name="tchr_he_frontoffice_m_g8">Table22!$V$12</definedName>
    <definedName name="tchr_he_frontoffice_m_g9">Table22!$AB$12</definedName>
    <definedName name="tchr_he_handicraft_f_g10">Table22!$AK$13</definedName>
    <definedName name="tchr_he_handicraft_f_g7">Table22!$S$13</definedName>
    <definedName name="tchr_he_handicraft_f_g8">Table22!$Y$13</definedName>
    <definedName name="tchr_he_handicraft_f_g9">Table22!$AE$13</definedName>
    <definedName name="tchr_he_handicraft_m_g10">Table22!$AH$13</definedName>
    <definedName name="tchr_he_handicraft_m_g7">Table22!$P$13</definedName>
    <definedName name="tchr_he_handicraft_m_g8">Table22!$V$13</definedName>
    <definedName name="tchr_he_handicraft_m_g9">Table22!$AB$13</definedName>
    <definedName name="tchr_he_householdsrvc_f_g10">Table22!$AK$14</definedName>
    <definedName name="tchr_he_householdsrvc_f_g7">Table22!$S$14</definedName>
    <definedName name="tchr_he_householdsrvc_f_g8">Table22!$Y$14</definedName>
    <definedName name="tchr_he_householdsrvc_f_g9">Table22!$AE$14</definedName>
    <definedName name="tchr_he_householdsrvc_m_g10">Table22!$AH$14</definedName>
    <definedName name="tchr_he_householdsrvc_m_g7">Table22!$P$14</definedName>
    <definedName name="tchr_he_householdsrvc_m_g8">Table22!$V$14</definedName>
    <definedName name="tchr_he_householdsrvc_m_g9">Table22!$AB$14</definedName>
    <definedName name="tchr_he_travelservices_f_g10">Table22!$AK$15</definedName>
    <definedName name="tchr_he_travelservices_f_g7">Table22!$S$15</definedName>
    <definedName name="tchr_he_travelservices_f_g8">Table22!$Y$15</definedName>
    <definedName name="tchr_he_travelservices_f_g9">Table22!$AE$15</definedName>
    <definedName name="tchr_he_travelservices_m_g10">Table22!$AH$15</definedName>
    <definedName name="tchr_he_travelservices_m_g7">Table22!$P$15</definedName>
    <definedName name="tchr_he_travelservices_m_g8">Table22!$V$15</definedName>
    <definedName name="tchr_he_travelservices_m_g9">Table22!$AB$15</definedName>
    <definedName name="tchr_he_wellness_f_g10">Table22!$AK$16</definedName>
    <definedName name="tchr_he_wellness_f_g7">Table22!$S$16</definedName>
    <definedName name="tchr_he_wellness_f_g8">Table22!$Y$16</definedName>
    <definedName name="tchr_he_wellness_f_g9">Table22!$AE$16</definedName>
    <definedName name="tchr_he_wellness_m_g10">Table22!$AH$16</definedName>
    <definedName name="tchr_he_wellness_m_g7">Table22!$P$16</definedName>
    <definedName name="tchr_he_wellness_m_g8">Table22!$V$16</definedName>
    <definedName name="tchr_he_wellness_m_g9">Table22!$AB$16</definedName>
    <definedName name="tchr_ia_automotiveservicing_f_g10">Table22!$AK$23</definedName>
    <definedName name="tchr_ia_automotiveservicing_f_g7">Table22!$S$23</definedName>
    <definedName name="tchr_ia_automotiveservicing_f_g8">Table22!$Y$23</definedName>
    <definedName name="tchr_ia_automotiveservicing_f_g9">Table22!$AE$23</definedName>
    <definedName name="tchr_ia_automotiveservicing_m_g10">Table22!$AH$23</definedName>
    <definedName name="tchr_ia_automotiveservicing_m_g7">Table22!$P$23</definedName>
    <definedName name="tchr_ia_automotiveservicing_m_g8">Table22!$V$23</definedName>
    <definedName name="tchr_ia_automotiveservicing_m_g9">Table22!$AB$23</definedName>
    <definedName name="tchr_ia_carpentry_f_g10">Table22!$AK$24</definedName>
    <definedName name="tchr_ia_carpentry_f_g7">Table22!$S$24</definedName>
    <definedName name="tchr_ia_carpentry_f_g8">Table22!$Y$24</definedName>
    <definedName name="tchr_ia_carpentry_f_g9">Table22!$AE$24</definedName>
    <definedName name="tchr_ia_carpentry_m_g10">Table22!$AH$24</definedName>
    <definedName name="tchr_ia_carpentry_m_g7">Table22!$P$24</definedName>
    <definedName name="tchr_ia_carpentry_m_g8">Table22!$V$24</definedName>
    <definedName name="tchr_ia_carpentry_m_g9">Table22!$AB$24</definedName>
    <definedName name="tchr_ia_elecinstallation_f_g10">Table22!$AK$25</definedName>
    <definedName name="tchr_ia_elecinstallation_f_g7">Table22!$S$25</definedName>
    <definedName name="tchr_ia_elecinstallation_f_g8">Table22!$Y$25</definedName>
    <definedName name="tchr_ia_elecinstallation_f_g9">Table22!$AE$25</definedName>
    <definedName name="tchr_ia_elecinstallation_m_g10">Table22!$AH$25</definedName>
    <definedName name="tchr_ia_elecinstallation_m_g7">Table22!$P$25</definedName>
    <definedName name="tchr_ia_elecinstallation_m_g8">Table22!$V$25</definedName>
    <definedName name="tchr_ia_elecinstallation_m_g9">Table22!$AB$25</definedName>
    <definedName name="tchr_ia_elecproduction_f_g10">Table22!$AK$26</definedName>
    <definedName name="tchr_ia_elecproduction_f_g7">Table22!$S$26</definedName>
    <definedName name="tchr_ia_elecproduction_f_g8">Table22!$Y$26</definedName>
    <definedName name="tchr_ia_elecproduction_f_g9">Table22!$AE$26</definedName>
    <definedName name="tchr_ia_elecproduction_m_g10">Table22!$AH$26</definedName>
    <definedName name="tchr_ia_elecproduction_m_g7">Table22!$P$26</definedName>
    <definedName name="tchr_ia_elecproduction_m_g8">Table22!$V$26</definedName>
    <definedName name="tchr_ia_elecproduction_m_g9">Table22!$AB$26</definedName>
    <definedName name="tchr_ia_masonry_f_g10">Table22!$AK$27</definedName>
    <definedName name="tchr_ia_masonry_f_g7">Table22!$S$27</definedName>
    <definedName name="tchr_ia_masonry_f_g8">Table22!$Y$27</definedName>
    <definedName name="tchr_ia_masonry_f_g9">Table22!$AE$27</definedName>
    <definedName name="tchr_ia_masonry_m_g10">Table22!$AH$27</definedName>
    <definedName name="tchr_ia_masonry_m_g7">Table22!$P$27</definedName>
    <definedName name="tchr_ia_masonry_m_g8">Table22!$V$27</definedName>
    <definedName name="tchr_ia_masonry_m_g9">Table22!$AB$27</definedName>
    <definedName name="tchr_ia_plumbing_f_g10">Table22!$AK$28</definedName>
    <definedName name="tchr_ia_plumbing_f_g7">Table22!$S$28</definedName>
    <definedName name="tchr_ia_plumbing_f_g8">Table22!$Y$28</definedName>
    <definedName name="tchr_ia_plumbing_f_g9">Table22!$AE$28</definedName>
    <definedName name="tchr_ia_plumbing_m_g10">Table22!$AH$28</definedName>
    <definedName name="tchr_ia_plumbing_m_g7">Table22!$P$28</definedName>
    <definedName name="tchr_ia_plumbing_m_g8">Table22!$V$28</definedName>
    <definedName name="tchr_ia_plumbing_m_g9">Table22!$AB$28</definedName>
    <definedName name="tchr_ia_refnairconditioning_f_g10">Table22!$AK$29</definedName>
    <definedName name="tchr_ia_refnairconditioning_f_g7">Table22!$S$29</definedName>
    <definedName name="tchr_ia_refnairconditioning_f_g8">Table22!$Y$29</definedName>
    <definedName name="tchr_ia_refnairconditioning_f_g9">Table22!$AE$29</definedName>
    <definedName name="tchr_ia_refnairconditioning_m_g10">Table22!$AH$29</definedName>
    <definedName name="tchr_ia_refnairconditioning_m_g7">Table22!$P$29</definedName>
    <definedName name="tchr_ia_refnairconditioning_m_g8">Table22!$V$29</definedName>
    <definedName name="tchr_ia_refnairconditioning_m_g9">Table22!$AB$29</definedName>
    <definedName name="tchr_ia_shieldedmetalwelding_f_g10">Table22!$AK$30</definedName>
    <definedName name="tchr_ia_shieldedmetalwelding_f_g7">Table22!$S$30</definedName>
    <definedName name="tchr_ia_shieldedmetalwelding_f_g8">Table22!$Y$30</definedName>
    <definedName name="tchr_ia_shieldedmetalwelding_f_g9">Table22!$AE$30</definedName>
    <definedName name="tchr_ia_shieldedmetalwelding_m_g10">Table22!$AH$30</definedName>
    <definedName name="tchr_ia_shieldedmetalwelding_m_g7">Table22!$P$30</definedName>
    <definedName name="tchr_ia_shieldedmetalwelding_m_g8">Table22!$V$30</definedName>
    <definedName name="tchr_ia_shieldedmetalwelding_m_g9">Table22!$AB$30</definedName>
    <definedName name="tchr_ict_compsystemservicing_f_g10">Table22!$AK$32</definedName>
    <definedName name="tchr_ict_compsystemservicing_f_g7">Table22!$S$32</definedName>
    <definedName name="tchr_ict_compsystemservicing_f_g8">Table22!$Y$32</definedName>
    <definedName name="tchr_ict_compsystemservicing_f_g9">Table22!$AE$32</definedName>
    <definedName name="tchr_ict_compsystemservicing_m_g10">Table22!$AH$32</definedName>
    <definedName name="tchr_ict_compsystemservicing_m_g7">Table22!$P$32</definedName>
    <definedName name="tchr_ict_compsystemservicing_m_g8">Table22!$V$32</definedName>
    <definedName name="tchr_ict_compsystemservicing_m_g9">Table22!$AB$32</definedName>
    <definedName name="tchr_ict_contactcenterservices_f_g10">Table22!$AK$33</definedName>
    <definedName name="tchr_ict_contactcenterservices_f_g7">Table22!$S$33</definedName>
    <definedName name="tchr_ict_contactcenterservices_f_g8">Table22!$Y$33</definedName>
    <definedName name="tchr_ict_contactcenterservices_f_g9">Table22!$AE$33</definedName>
    <definedName name="tchr_ict_contactcenterservices_m_g10">Table22!$AH$33</definedName>
    <definedName name="tchr_ict_contactcenterservices_m_g7">Table22!$P$33</definedName>
    <definedName name="tchr_ict_contactcenterservices_m_g8">Table22!$V$33</definedName>
    <definedName name="tchr_ict_contactcenterservices_m_g9">Table22!$AB$33</definedName>
    <definedName name="tchr_ict_illustration_f_g10">Table22!$AK$34</definedName>
    <definedName name="tchr_ict_illustration_f_g7">Table22!$S$34</definedName>
    <definedName name="tchr_ict_illustration_f_g8">Table22!$Y$34</definedName>
    <definedName name="tchr_ict_illustration_f_g9">Table22!$AE$34</definedName>
    <definedName name="tchr_ict_illustration_m_g10">Table22!$AH$34</definedName>
    <definedName name="tchr_ict_illustration_m_g7">Table22!$P$34</definedName>
    <definedName name="tchr_ict_illustration_m_g8">Table22!$V$34</definedName>
    <definedName name="tchr_ict_illustration_m_g9">Table22!$AB$34</definedName>
    <definedName name="tchr_ict_techdrafting_f_g10">Table22!$AK$35</definedName>
    <definedName name="tchr_ict_techdrafting_f_g7">Table22!$S$35</definedName>
    <definedName name="tchr_ict_techdrafting_f_g8">Table22!$Y$35</definedName>
    <definedName name="tchr_ict_techdrafting_f_g9">Table22!$AE$35</definedName>
    <definedName name="tchr_ict_techdrafting_m_g10">Table22!$AH$35</definedName>
    <definedName name="tchr_ict_techdrafting_m_g7">Table22!$P$35</definedName>
    <definedName name="tchr_ict_techdrafting_m_g8">Table22!$V$35</definedName>
    <definedName name="tchr_ict_techdrafting_m_g9">Table22!$AB$35</definedName>
    <definedName name="teach_assign_instructor1_fullt_ancilliary">Table11!$AH$9</definedName>
    <definedName name="teach_assign_instructor1_fullt_ancilliary_addload">Table11!$P$9</definedName>
    <definedName name="teach_assign_instructor1_fullt_noancilliary">Table11!$J$9</definedName>
    <definedName name="teach_assign_instructor1_part_ancilliary_200min">Table11!$V$9</definedName>
    <definedName name="teach_assign_instructor1_part_ancilliary_less200min">Table11!$AB$9</definedName>
    <definedName name="teach_assign_instructor2_fullt_ancilliary">Table11!$AH$8</definedName>
    <definedName name="teach_assign_instructor2_fullt_ancilliary_addload">Table11!$P$8</definedName>
    <definedName name="teach_assign_instructor2_fullt_noancilliary">Table11!$J$8</definedName>
    <definedName name="teach_assign_instructor2_part_ancilliary_200min">Table11!$V$8</definedName>
    <definedName name="teach_assign_instructor2_part_ancilliary_less200min">Table11!$AB$8</definedName>
    <definedName name="teach_assign_instructor3_fullt_ancilliary">Table11!$AH$7</definedName>
    <definedName name="teach_assign_instructor3_fullt_ancilliary_addload">Table11!$P$7</definedName>
    <definedName name="teach_assign_instructor3_fullt_noancilliary">Table11!$J$7</definedName>
    <definedName name="teach_assign_instructor3_part_ancilliary_200min">Table11!$V$7</definedName>
    <definedName name="teach_assign_instructor3_part_ancilliary_less200min">Table11!$AB$7</definedName>
    <definedName name="teach_assign_mt1_fullt_ancilliary">Table11!$AH$13</definedName>
    <definedName name="teach_assign_mt1_fullt_ancilliary_addload">Table11!$P$13</definedName>
    <definedName name="teach_assign_mt1_fullt_noancilliary">Table11!$J$13</definedName>
    <definedName name="teach_assign_mt1_part_ancilliary_200min">Table11!$V$13</definedName>
    <definedName name="teach_assign_mt1_part_ancilliary_less200min">Table11!$AB$13</definedName>
    <definedName name="teach_assign_mt2_fullt_ancilliary">Table11!$AH$12</definedName>
    <definedName name="teach_assign_mt2_fullt_ancilliary_addload">Table11!$P$12</definedName>
    <definedName name="teach_assign_mt2_fullt_noancilliary">Table11!$J$12</definedName>
    <definedName name="teach_assign_mt2_part_ancilliary_200min">Table11!$V$12</definedName>
    <definedName name="teach_assign_mt2_part_ancilliary_less200min">Table11!$AB$12</definedName>
    <definedName name="teach_assign_mt3_fullt_ancilliary">Table11!$AH$11</definedName>
    <definedName name="teach_assign_mt3_fullt_ancilliary_addload">Table11!$P$11</definedName>
    <definedName name="teach_assign_mt3_fullt_noancilliary">Table11!$J$11</definedName>
    <definedName name="teach_assign_mt3_part_ancilliary_200min">Table11!$V$11</definedName>
    <definedName name="teach_assign_mt3_part_ancilliary_less200min">Table11!$AB$11</definedName>
    <definedName name="teach_assign_mt4_fullt_ancilliary">Table11!$AH$10</definedName>
    <definedName name="teach_assign_mt4_fullt_ancilliary_addload">Table11!$P$10</definedName>
    <definedName name="teach_assign_mt4_fullt_noancilliary">Table11!$J$10</definedName>
    <definedName name="teach_assign_mt4_part_ancilliary_200min">Table11!$V$10</definedName>
    <definedName name="teach_assign_mt4_part_ancilliary_less200min">Table11!$AB$10</definedName>
    <definedName name="teach_assign_spedt1_fullt_ancilliary">Table11!$AH$22</definedName>
    <definedName name="teach_assign_spedt1_fullt_ancilliary_addload">Table11!$P$22</definedName>
    <definedName name="teach_assign_spedt1_fullt_noancilliary">Table11!$J$22</definedName>
    <definedName name="teach_assign_spedt1_part_ancilliary_200min">Table11!$V$22</definedName>
    <definedName name="teach_assign_spedt1_part_ancilliary_less200min">Table11!$AB$22</definedName>
    <definedName name="teach_assign_spedt2_fullt_ancilliary">Table11!$AH$21</definedName>
    <definedName name="teach_assign_spedt2_fullt_ancilliary_addload">Table11!$P$21</definedName>
    <definedName name="teach_assign_spedt2_fullt_noancilliary">Table11!$J$21</definedName>
    <definedName name="teach_assign_spedt2_part_ancilliary_200min">Table11!$V$21</definedName>
    <definedName name="teach_assign_spedt2_part_ancilliary_less200min">Table11!$AB$21</definedName>
    <definedName name="teach_assign_spedt3_fullt_ancilliary">Table11!$AH$20</definedName>
    <definedName name="teach_assign_spedt3_fullt_ancilliary_addload">Table11!$P$20</definedName>
    <definedName name="teach_assign_spedt3_fullt_noancilliary">Table11!$J$20</definedName>
    <definedName name="teach_assign_spedt3_part_ancilliary_200min">Table11!$V$20</definedName>
    <definedName name="teach_assign_spedt3_part_ancilliary_less200min">Table11!$AB$20</definedName>
    <definedName name="teach_assign_spedt4_fullt_ancilliary">Table11!$AH$19</definedName>
    <definedName name="teach_assign_spedt4_fullt_ancilliary_addload">Table11!$P$19</definedName>
    <definedName name="teach_assign_spedt4_fullt_noancilliary">Table11!$J$19</definedName>
    <definedName name="teach_assign_spedt4_part_ancilliary_200min">Table11!$V$19</definedName>
    <definedName name="teach_assign_spedt4_part_ancilliary_less200min">Table11!$AB$19</definedName>
    <definedName name="teach_assign_spedt5_fullt_ancilliary">Table11!$AH$18</definedName>
    <definedName name="teach_assign_spedt5_fullt_ancilliary_addload">Table11!$P$18</definedName>
    <definedName name="teach_assign_spedt5_fullt_noancilliary">Table11!$J$18</definedName>
    <definedName name="teach_assign_spedt5_part_ancilliary_200min">Table11!$V$18</definedName>
    <definedName name="teach_assign_spedt5_part_ancilliary_less200min">Table11!$AB$18</definedName>
    <definedName name="teach_assign_sst1_fullt_ancilliary">Table11!$AH$17</definedName>
    <definedName name="teach_assign_sst1_fullt_ancilliary_addload">Table11!$P$17</definedName>
    <definedName name="teach_assign_sst1_fullt_noancilliary">Table11!$J$17</definedName>
    <definedName name="teach_assign_sst1_part_ancilliary_200min">Table11!$V$17</definedName>
    <definedName name="teach_assign_sst1_part_ancilliary_less200min">Table11!$AB$17</definedName>
    <definedName name="teach_assign_t1_fullt_ancilliary">Table11!$AH$16</definedName>
    <definedName name="teach_assign_t1_fullt_ancilliary_addload">Table11!$P$16</definedName>
    <definedName name="teach_assign_t1_fullt_noancilliary">Table11!$J$16</definedName>
    <definedName name="teach_assign_t1_part_ancilliary_200min">Table11!$V$16</definedName>
    <definedName name="teach_assign_t1_part_ancilliary_less200min">Table11!$AB$16</definedName>
    <definedName name="teach_assign_t2_fullt_ancilliary">Table11!$AH$15</definedName>
    <definedName name="teach_assign_t2_fullt_ancilliary_addload">Table11!$P$15</definedName>
    <definedName name="teach_assign_t2_fullt_noancilliary">Table11!$J$15</definedName>
    <definedName name="teach_assign_t2_part_ancilliary_200min">Table11!$V$15</definedName>
    <definedName name="teach_assign_t2_part_ancilliary_less200min">Table11!$AB$15</definedName>
    <definedName name="teach_assign_t3_fullt_ancilliary">Table11!$AH$14</definedName>
    <definedName name="teach_assign_t3_fullt_ancilliary_addload">Table11!$P$14</definedName>
    <definedName name="teach_assign_t3_fullt_noancilliary">Table11!$J$14</definedName>
    <definedName name="teach_assign_t3_part_ancilliary_200min">Table11!$V$14</definedName>
    <definedName name="teach_assign_t3_part_ancilliary_less200min">Table11!$AB$14</definedName>
    <definedName name="teacher_foreignlang_chn_f">'Table23-Box2'!$U$6</definedName>
    <definedName name="teacher_foreignlang_chn_m">'Table23-Box2'!$P$6</definedName>
    <definedName name="teacher_foreignlang_fre_f">'Table23-Box2'!$U$7</definedName>
    <definedName name="teacher_foreignlang_fre_m">'Table23-Box2'!$P$7</definedName>
    <definedName name="teacher_foreignlang_ger_f">'Table23-Box2'!$U$8</definedName>
    <definedName name="teacher_foreignlang_ger_m">'Table23-Box2'!$P$8</definedName>
    <definedName name="teacher_foreignlang_jap_f">'Table23-Box2'!$U$9</definedName>
    <definedName name="teacher_foreignlang_jap_m">'Table23-Box2'!$P$9</definedName>
    <definedName name="teacher_foreignlang_kor_f">'Table23-Box2'!$U$10</definedName>
    <definedName name="teacher_foreignlang_kor_m">'Table23-Box2'!$P$10</definedName>
    <definedName name="teacher_foreignlang_spa_f">'Table23-Box2'!$U$11</definedName>
    <definedName name="teacher_foreignlang_spa_m">'Table23-Box2'!$P$11</definedName>
    <definedName name="teachers_ip_f_g10">'Box32'!$Y$37</definedName>
    <definedName name="teachers_ip_f_g7">'Box32'!$G$37</definedName>
    <definedName name="teachers_ip_f_g8">'Box32'!$M$37</definedName>
    <definedName name="teachers_ip_f_g9">'Box32'!$S$37</definedName>
    <definedName name="teachers_ip_m_g10">'Box32'!$V$37</definedName>
    <definedName name="teachers_ip_m_g7">'Box32'!$D$37</definedName>
    <definedName name="teachers_ip_m_g8">'Box32'!$J$37</definedName>
    <definedName name="teachers_ip_m_g9">'Box32'!$P$37</definedName>
    <definedName name="teachers_iped_orientation_f">'Box32'!$I$42</definedName>
    <definedName name="teachers_iped_orientation_m">'Box32'!$D$42</definedName>
    <definedName name="teachers_iped_orientation_outdeped_f">'Box32'!$AE$42</definedName>
    <definedName name="teachers_iped_orientation_outdeped_m">'Box32'!$Z$42</definedName>
    <definedName name="teachers_trained_collaborative_female">'Tables12-15'!$BC$10</definedName>
    <definedName name="teachers_trained_collaborative_male">'Tables12-15'!$AZ$10</definedName>
    <definedName name="teachers_trained_constructivist_female">'Tables12-15'!$BC$7</definedName>
    <definedName name="teachers_trained_constructivist_male">'Tables12-15'!$AZ$7</definedName>
    <definedName name="teachers_trained_hardware_female">'Tables12-15'!$AH$11</definedName>
    <definedName name="teachers_trained_hardware_male">'Tables12-15'!$AE$11</definedName>
    <definedName name="teachers_trained_ictintegration_female">'Tables12-15'!$AH$8</definedName>
    <definedName name="teachers_trained_ictintegration_male">'Tables12-15'!$AE$8</definedName>
    <definedName name="teachers_trained_ictliteracy_female">'Tables12-15'!$AH$9</definedName>
    <definedName name="teachers_trained_ictliteracy_male">'Tables12-15'!$AE$9</definedName>
    <definedName name="teachers_trained_inclusiveeduc_female">'Tables12-15'!$BC$12</definedName>
    <definedName name="teachers_trained_inclusiveeduc_male">'Tables12-15'!$AZ$12</definedName>
    <definedName name="teachers_trained_inquirybased_female">'Tables12-15'!$BC$8</definedName>
    <definedName name="teachers_trained_inquirybased_male">'Tables12-15'!$AZ$8</definedName>
    <definedName name="teachers_trained_integratingdrrmccampeace_female">Box31_part3d!$AB$10</definedName>
    <definedName name="teachers_trained_integratingdrrmccampeace_male">Box31_part3d!$X$10</definedName>
    <definedName name="teachers_trained_integrative_female">'Tables12-15'!$BC$11</definedName>
    <definedName name="teachers_trained_integrative_male">'Tables12-15'!$AZ$11</definedName>
    <definedName name="teachers_trained_others_female">'Tables12-15'!$AH$12</definedName>
    <definedName name="teachers_trained_others_male">'Tables12-15'!$AE$12</definedName>
    <definedName name="teachers_trained_pedagogy_others_female">'Tables12-15'!$BC$13</definedName>
    <definedName name="teachers_trained_pedagogy_others_male">'Tables12-15'!$AZ$13</definedName>
    <definedName name="teachers_trained_reflective_female">'Tables12-15'!$BC$9</definedName>
    <definedName name="teachers_trained_reflective_male">'Tables12-15'!$AZ$9</definedName>
    <definedName name="teachers_trained_software_female">'Tables12-15'!$AH$10</definedName>
    <definedName name="teachers_trained_software_male">'Tables12-15'!$AE$10</definedName>
    <definedName name="teachers_trained_specialcpdeped_spa_f">'Tables12-15'!$U$33</definedName>
    <definedName name="teachers_trained_specialcpdeped_spa_m">'Tables12-15'!$Q$33</definedName>
    <definedName name="teachers_trained_specialcpdeped_spfl_f">'Tables12-15'!$U$34</definedName>
    <definedName name="teachers_trained_specialcpdeped_spfl_m">'Tables12-15'!$Q$34</definedName>
    <definedName name="teachers_trained_specialcpdeped_spj_f">'Tables12-15'!$U$35</definedName>
    <definedName name="teachers_trained_specialcpdeped_spj_m">'Tables12-15'!$Q$35</definedName>
    <definedName name="teachers_trained_specialcpdeped_sps_f">'Tables12-15'!$U$37</definedName>
    <definedName name="teachers_trained_specialcpdeped_sps_m">'Tables12-15'!$Q$37</definedName>
    <definedName name="teachers_trained_specialcpdeped_spste_f">'Tables12-15'!$U$36</definedName>
    <definedName name="teachers_trained_specialcpdeped_spste_m">'Tables12-15'!$Q$36</definedName>
    <definedName name="teachers_trained_specialcpdeped_sptve_f">'Tables12-15'!$U$38</definedName>
    <definedName name="teachers_trained_specialcpdeped_sptve_m">'Tables12-15'!$Q$38</definedName>
    <definedName name="teachers_trained_specialcpnondeped_spa_f">'Tables12-15'!$AG$33</definedName>
    <definedName name="teachers_trained_specialcpnondeped_spa_m">'Tables12-15'!$AC$33</definedName>
    <definedName name="teachers_trained_specialcpnondeped_spfl_f">'Tables12-15'!$AG$34</definedName>
    <definedName name="teachers_trained_specialcpnondeped_spfl_m">'Tables12-15'!$AC$34</definedName>
    <definedName name="teachers_trained_specialcpnondeped_spj_f">'Tables12-15'!$AG$35</definedName>
    <definedName name="teachers_trained_specialcpnondeped_spj_m">'Tables12-15'!$AC$35</definedName>
    <definedName name="teachers_trained_specialcpnondeped_sps_f">'Tables12-15'!$AG$37</definedName>
    <definedName name="teachers_trained_specialcpnondeped_sps_m">'Tables12-15'!$AC$37</definedName>
    <definedName name="teachers_trained_specialcpnondeped_spste_f">'Tables12-15'!$AG$36</definedName>
    <definedName name="teachers_trained_specialcpnondeped_spste_m">'Tables12-15'!$AC$36</definedName>
    <definedName name="teachers_trained_specialcpnondeped_sptve_f">'Tables12-15'!$AG$38</definedName>
    <definedName name="teachers_trained_specialcpnondeped_sptve_m">'Tables12-15'!$AC$38</definedName>
    <definedName name="tobaccoctrl_learners_notobacco_ends_g10">'Box16'!$X$44</definedName>
    <definedName name="tobaccoctrl_learners_notobacco_ends_g7">'Box16'!$X$41</definedName>
    <definedName name="tobaccoctrl_learners_notobacco_ends_g8">'Box16'!$X$42</definedName>
    <definedName name="tobaccoctrl_learners_notobacco_ends_g9">'Box16'!$X$43</definedName>
    <definedName name="tobaccoctrl_learners_tobacco_ends_g10">'Box16'!$AG$44</definedName>
    <definedName name="tobaccoctrl_learners_tobacco_ends_g7">'Box16'!$AG$41</definedName>
    <definedName name="tobaccoctrl_learners_tobacco_ends_g8">'Box16'!$AG$42</definedName>
    <definedName name="tobaccoctrl_learners_tobacco_ends_g9">'Box16'!$AG$43</definedName>
    <definedName name="tobaccoctrl_learners_tobacco_noends_g10">'Box16'!$O$44</definedName>
    <definedName name="tobaccoctrl_learners_tobacco_noends_g7">'Box16'!$O$41</definedName>
    <definedName name="tobaccoctrl_learners_tobacco_noends_g8">'Box16'!$O$42</definedName>
    <definedName name="tobaccoctrl_learners_tobacco_noends_g9">'Box16'!$O$43</definedName>
    <definedName name="tobaccoctrl_matii_partnership">'Box16'!$AH$14</definedName>
    <definedName name="tobaccoctrl_matii_partnership_moa">'Box16'!$AH$16</definedName>
    <definedName name="tobaccoctrl_matii_partnership_ppi">'Box16'!$AH$15</definedName>
    <definedName name="tobaccoctrl_posters">'Box16'!$AH$7</definedName>
    <definedName name="tobaccoctrl_sellcigshop">'Box16'!$AH$10</definedName>
    <definedName name="tobaccoctrl_sellvapeshop">'Box16'!$AH$11</definedName>
    <definedName name="tobaccoctrl_sh_notobacco_ends">'Box16'!$F$21</definedName>
    <definedName name="tobaccoctrl_sh_notobacco_noends">'Box16'!$Z$21</definedName>
    <definedName name="tobaccoctrl_sh_tobacco_ends">'Box16'!$Z$20</definedName>
    <definedName name="tobaccoctrl_sh_tobacco_noends">'Box16'!$F$20</definedName>
    <definedName name="tobaccoctrl_signages">'Box16'!$AH$6</definedName>
    <definedName name="tobaccoctrl_teachers_notobacco_ends_g10">'Box16'!$X$32</definedName>
    <definedName name="tobaccoctrl_teachers_notobacco_ends_g7">'Box16'!$X$29</definedName>
    <definedName name="tobaccoctrl_teachers_notobacco_ends_g8">'Box16'!$X$30</definedName>
    <definedName name="tobaccoctrl_teachers_notobacco_ends_g9">'Box16'!$X$31</definedName>
    <definedName name="tobaccoctrl_teachers_tobacco_ends_g10">'Box16'!$AG$32</definedName>
    <definedName name="tobaccoctrl_teachers_tobacco_ends_g7">'Box16'!$AG$29</definedName>
    <definedName name="tobaccoctrl_teachers_tobacco_ends_g8">'Box16'!$AG$30</definedName>
    <definedName name="tobaccoctrl_teachers_tobacco_ends_g9">'Box16'!$AG$31</definedName>
    <definedName name="tobaccoctrl_teachers_tobacco_noends_g10">'Box16'!$O$32</definedName>
    <definedName name="tobaccoctrl_teachers_tobacco_noends_g7">'Box16'!$O$29</definedName>
    <definedName name="tobaccoctrl_teachers_tobacco_noends_g8">'Box16'!$O$30</definedName>
    <definedName name="tobaccoctrl_teachers_tobacco_noends_g9">'Box16'!$O$31</definedName>
    <definedName name="trained_mhpss_pfa_nonteaching_f">Box31_part3d!$AH$20</definedName>
    <definedName name="trained_mhpss_pfa_nonteaching_m">Box31_part3d!$AE$20</definedName>
    <definedName name="trained_mhpss_pfa_teaching_f">Box31_part3d!$AB$20</definedName>
    <definedName name="trained_mhpss_pfa_teaching_m">Box31_part3d!$Y$20</definedName>
    <definedName name="traininginservice_instructor1_female">'Tables12-15'!$M$9</definedName>
    <definedName name="traininginservice_instructor1_male">'Tables12-15'!$J$9</definedName>
    <definedName name="traininginservice_instructor2_female">'Tables12-15'!$M$8</definedName>
    <definedName name="traininginservice_instructor2_male">'Tables12-15'!$J$8</definedName>
    <definedName name="traininginservice_instructor3_female">'Tables12-15'!$M$7</definedName>
    <definedName name="traininginservice_instructor3_male">'Tables12-15'!$J$7</definedName>
    <definedName name="traininginservice_mteacher1_female">'Tables12-15'!$M$13</definedName>
    <definedName name="traininginservice_mteacher1_male">'Tables12-15'!$J$13</definedName>
    <definedName name="traininginservice_mteacher2_female">'Tables12-15'!$M$12</definedName>
    <definedName name="traininginservice_mteacher2_male">'Tables12-15'!$J$12</definedName>
    <definedName name="traininginservice_mteacher3_female">'Tables12-15'!$M$11</definedName>
    <definedName name="traininginservice_mteacher3_male">'Tables12-15'!$J$11</definedName>
    <definedName name="traininginservice_mteacher4_female">'Tables12-15'!$M$10</definedName>
    <definedName name="traininginservice_mteacher4_male">'Tables12-15'!$J$10</definedName>
    <definedName name="traininginservice_spedt1_female">'Tables12-15'!$M$22</definedName>
    <definedName name="traininginservice_spedt1_male">'Tables12-15'!$J$22</definedName>
    <definedName name="traininginservice_spedt2_female">'Tables12-15'!$M$21</definedName>
    <definedName name="traininginservice_spedt2_male">'Tables12-15'!$J$21</definedName>
    <definedName name="traininginservice_spedt3_female">'Tables12-15'!$M$20</definedName>
    <definedName name="traininginservice_spedt3_male">'Tables12-15'!$J$20</definedName>
    <definedName name="traininginservice_spedt4_female">'Tables12-15'!$M$19</definedName>
    <definedName name="traininginservice_spedt4_male">'Tables12-15'!$J$19</definedName>
    <definedName name="traininginservice_spedt5_female">'Tables12-15'!$M$18</definedName>
    <definedName name="traininginservice_spedt5_male">'Tables12-15'!$J$18</definedName>
    <definedName name="traininginservice_sst1_female">'Tables12-15'!$M$17</definedName>
    <definedName name="traininginservice_sst1_male">'Tables12-15'!$J$17</definedName>
    <definedName name="traininginservice_teacher1_female">'Tables12-15'!$M$16</definedName>
    <definedName name="traininginservice_teacher1_male">'Tables12-15'!$J$16</definedName>
    <definedName name="traininginservice_teacher2_female">'Tables12-15'!$M$15</definedName>
    <definedName name="traininginservice_teacher2_male">'Tables12-15'!$J$15</definedName>
    <definedName name="traininginservice_teacher3_female">'Tables12-15'!$M$14</definedName>
    <definedName name="traininginservice_teacher3_male">'Tables12-15'!$J$14</definedName>
    <definedName name="V">list!$F$2:$F$14</definedName>
    <definedName name="VI">list!$G$2:$G$22</definedName>
    <definedName name="VII">list!$H$2:$H$20</definedName>
    <definedName name="VIII">list!$I$2:$I$14</definedName>
    <definedName name="ws_drinking_yes">'Box12-Table34'!$AD$16</definedName>
    <definedName name="ws_ifyes_fundsource_lgu">'Box12-Table34'!$J$14</definedName>
    <definedName name="ws_ifyes_fundsource_others">'Box12-Table34'!$X$15</definedName>
    <definedName name="ws_ifyes_fundsource_others_specify">'Box12-Table34'!$AC$15</definedName>
    <definedName name="ws_ifyes_fundsource_private">'Box12-Table34'!$X$14</definedName>
    <definedName name="ws_ifyes_fundsource_pta">'Box12-Table34'!$J$15</definedName>
    <definedName name="ws_ifyes_fundsource_schcanteen">'Box12-Table34'!$X$13</definedName>
    <definedName name="ws_ifyes_fundsource_schmooe">'Box12-Table34'!$J$13</definedName>
    <definedName name="ws_ifyes_natural">'Box12-Table34'!$J$10</definedName>
    <definedName name="ws_ifyes_others">'Box12-Table34'!$X$9</definedName>
    <definedName name="ws_ifyes_others_specify">'Box12-Table34'!$AC$9</definedName>
    <definedName name="ws_ifyes_pipe">'Box12-Table34'!$J$8</definedName>
    <definedName name="ws_ifyes_rainwater">'Box12-Table34'!$X$8</definedName>
    <definedName name="ws_ifyes_well">'Box12-Table34'!$J$9</definedName>
    <definedName name="ws_mechanism_safetodrink_yes">'Box12-Table34'!$AD$25</definedName>
    <definedName name="ws_mechanism_safetodrink_yes_accessible_water">'Box12-Table34'!$J$29</definedName>
    <definedName name="ws_mechanism_safetodrink_yes_bring_water">'Box12-Table34'!$J$27</definedName>
    <definedName name="ws_mechanism_safetodrink_yes_others">'Box12-Table34'!$J$30</definedName>
    <definedName name="ws_mechanism_safetodrink_yes_others_specify">'Box12-Table34'!$O$30</definedName>
    <definedName name="ws_mechanism_safetodrink_yes_refillable_containers">'Box12-Table34'!$J$28</definedName>
    <definedName name="ws_water_iftested_safetodrink_yes">'Box12-Table34'!$AD$18</definedName>
    <definedName name="ws_water_test_frequency_annually">'Box12-Table34'!$X$20</definedName>
    <definedName name="ws_water_test_frequency_monthly">'Box12-Table34'!$J$20</definedName>
    <definedName name="ws_water_test_frequency_others">'Box12-Table34'!$X$21</definedName>
    <definedName name="ws_water_test_frequency_others_specify">'Box12-Table34'!$AC$21</definedName>
    <definedName name="ws_water_test_frequency_quarterly">'Box12-Table34'!$J$21</definedName>
    <definedName name="ws_water_tested_lastime">'Box12-Table34'!$U$22</definedName>
    <definedName name="ws_water_tested_yes">'Box12-Table34'!$AD$17</definedName>
    <definedName name="ws_water_unavailable_yes">'Box12-Table34'!$AD$23</definedName>
    <definedName name="ws_wsource_avg_cost">'Box12-Table34'!$Y$11</definedName>
    <definedName name="ws_wsource_yes">'Box12-Table34'!$AD$5</definedName>
    <definedName name="X">list!$K$2:$K$15</definedName>
    <definedName name="XI">list!$L$2:$L$12</definedName>
    <definedName name="XII">list!$M$2:$M$9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871" i="238" l="1" a="1"/>
  <c r="E2871" i="238" s="1"/>
  <c r="E2868" i="238" a="1"/>
  <c r="E2868" i="238" s="1"/>
  <c r="E2843" i="238" a="1"/>
  <c r="E2843" i="238" s="1"/>
  <c r="E2840" i="238" a="1"/>
  <c r="E2840" i="238" s="1"/>
  <c r="E2857" i="238" a="1"/>
  <c r="E2857" i="238" s="1"/>
  <c r="E2829" i="238" a="1"/>
  <c r="E2829" i="238" s="1"/>
  <c r="E2854" i="238" a="1"/>
  <c r="E2854" i="238" s="1"/>
  <c r="E2826" i="238" a="1"/>
  <c r="E2826" i="238" s="1"/>
  <c r="G42" i="113" l="1"/>
  <c r="V60" i="227"/>
  <c r="B21" i="188"/>
  <c r="O32" i="182" l="1"/>
  <c r="O57" i="222"/>
  <c r="B32" i="188" l="1"/>
  <c r="AG7" i="133"/>
  <c r="Z22" i="233"/>
  <c r="Z21" i="233"/>
  <c r="Z20" i="233"/>
  <c r="Z19" i="233"/>
  <c r="AF33" i="193" a="1"/>
  <c r="AF33" i="193" s="1"/>
  <c r="AF23" i="193" a="1"/>
  <c r="AF23" i="193" s="1"/>
  <c r="N30" i="117"/>
  <c r="E620" i="238"/>
  <c r="E612" i="238"/>
  <c r="E604" i="238"/>
  <c r="E596" i="238"/>
  <c r="E444" i="238"/>
  <c r="E436" i="238"/>
  <c r="E428" i="238"/>
  <c r="BD29" i="32"/>
  <c r="R12" i="171"/>
  <c r="V30" i="117"/>
  <c r="AX49" i="143"/>
  <c r="AU49" i="143"/>
  <c r="E2547" i="238" l="1"/>
  <c r="E2532" i="238"/>
  <c r="E2531" i="238"/>
  <c r="E2527" i="238"/>
  <c r="E2526" i="238"/>
  <c r="E2522" i="238"/>
  <c r="E2521" i="238"/>
  <c r="E2517" i="238"/>
  <c r="E2516" i="238"/>
  <c r="E2512" i="238"/>
  <c r="E2511" i="238"/>
  <c r="E2507" i="238"/>
  <c r="E2506" i="238"/>
  <c r="E2502" i="238"/>
  <c r="E2501" i="238"/>
  <c r="E2497" i="238"/>
  <c r="E2496" i="238"/>
  <c r="E2492" i="238"/>
  <c r="E2491" i="238"/>
  <c r="E2487" i="238"/>
  <c r="E2486" i="238"/>
  <c r="E2481" i="238"/>
  <c r="E2476" i="238"/>
  <c r="E2471" i="238"/>
  <c r="E2466" i="238"/>
  <c r="E2461" i="238"/>
  <c r="E2456" i="238"/>
  <c r="E2451" i="238"/>
  <c r="E2446" i="238"/>
  <c r="E2441" i="238"/>
  <c r="E2436" i="238"/>
  <c r="E2431" i="238"/>
  <c r="E2426" i="238"/>
  <c r="E2421" i="238"/>
  <c r="E2416" i="238"/>
  <c r="E2411" i="238"/>
  <c r="E2406" i="238"/>
  <c r="E2401" i="238"/>
  <c r="E2396" i="238"/>
  <c r="E2395" i="238"/>
  <c r="E2394" i="238"/>
  <c r="E2391" i="238"/>
  <c r="E2390" i="238"/>
  <c r="E2389" i="238"/>
  <c r="E2386" i="238"/>
  <c r="E2385" i="238"/>
  <c r="E2384" i="238"/>
  <c r="E2381" i="238"/>
  <c r="E2380" i="238"/>
  <c r="E2379" i="238"/>
  <c r="E2376" i="238"/>
  <c r="E2375" i="238"/>
  <c r="E2374" i="238"/>
  <c r="E2371" i="238"/>
  <c r="E2370" i="238"/>
  <c r="E2369" i="238"/>
  <c r="E2366" i="238"/>
  <c r="E2365" i="238"/>
  <c r="E2364" i="238"/>
  <c r="E2361" i="238"/>
  <c r="E2360" i="238"/>
  <c r="E2359" i="238"/>
  <c r="E2356" i="238"/>
  <c r="E2355" i="238"/>
  <c r="E2354" i="238"/>
  <c r="E2351" i="238"/>
  <c r="E2350" i="238"/>
  <c r="E2349" i="238"/>
  <c r="E2346" i="238"/>
  <c r="E2301" i="238"/>
  <c r="E2345" i="238"/>
  <c r="E2343" i="238"/>
  <c r="E2337" i="238"/>
  <c r="E2336" i="238"/>
  <c r="E2334" i="238"/>
  <c r="E2328" i="238"/>
  <c r="E2327" i="238"/>
  <c r="E2325" i="238"/>
  <c r="E2319" i="238"/>
  <c r="E2318" i="238"/>
  <c r="E2316" i="238"/>
  <c r="E2310" i="238"/>
  <c r="E2309" i="238"/>
  <c r="E2307" i="238"/>
  <c r="AR18" i="183" a="1"/>
  <c r="AR18" i="183" s="1"/>
  <c r="T18" i="183" a="1"/>
  <c r="T18" i="183" s="1"/>
  <c r="E2300" i="238"/>
  <c r="E2299" i="238"/>
  <c r="E2298" i="238"/>
  <c r="E2297" i="238"/>
  <c r="E2296" i="238"/>
  <c r="E2290" i="238"/>
  <c r="E2289" i="238"/>
  <c r="E2288" i="238"/>
  <c r="E2287" i="238"/>
  <c r="E2286" i="238"/>
  <c r="E2285" i="238"/>
  <c r="E2284" i="238"/>
  <c r="E2283" i="238"/>
  <c r="E2282" i="238"/>
  <c r="E2281" i="238"/>
  <c r="AG45" i="133"/>
  <c r="Z42" i="133"/>
  <c r="O31" i="78"/>
  <c r="AH19" i="100"/>
  <c r="AH17" i="100"/>
  <c r="AH16" i="100"/>
  <c r="AH15" i="100"/>
  <c r="AH14" i="100"/>
  <c r="AH13" i="100"/>
  <c r="AH12" i="100"/>
  <c r="AH10" i="100"/>
  <c r="AH11" i="100"/>
  <c r="U23" i="100"/>
  <c r="BC14" i="176" l="1"/>
  <c r="M23" i="176"/>
  <c r="AH23" i="169"/>
  <c r="AB23" i="169"/>
  <c r="V23" i="169"/>
  <c r="P23" i="169"/>
  <c r="J23" i="169"/>
  <c r="BG48" i="143" l="1"/>
  <c r="BG47" i="143"/>
  <c r="BG46" i="143"/>
  <c r="BG45" i="143"/>
  <c r="BG44" i="143"/>
  <c r="BG43" i="143"/>
  <c r="BG42" i="143"/>
  <c r="BG41" i="143"/>
  <c r="BG40" i="143"/>
  <c r="BG39" i="143"/>
  <c r="BG38" i="143"/>
  <c r="BG37" i="143"/>
  <c r="BG36" i="143"/>
  <c r="BG35" i="143"/>
  <c r="BG34" i="143"/>
  <c r="BG33" i="143"/>
  <c r="BG32" i="143"/>
  <c r="BG31" i="143"/>
  <c r="BG30" i="143"/>
  <c r="BG29" i="143"/>
  <c r="BG28" i="143"/>
  <c r="BG27" i="143"/>
  <c r="BG26" i="143"/>
  <c r="BG25" i="143"/>
  <c r="BG24" i="143"/>
  <c r="BG23" i="143"/>
  <c r="BG22" i="143"/>
  <c r="BG21" i="143"/>
  <c r="BG20" i="143"/>
  <c r="BG19" i="143"/>
  <c r="BG18" i="143"/>
  <c r="BG17" i="143"/>
  <c r="BG16" i="143"/>
  <c r="BG15" i="143"/>
  <c r="BG14" i="143"/>
  <c r="BG13" i="143"/>
  <c r="BG12" i="143"/>
  <c r="BG11" i="143"/>
  <c r="BG10" i="143"/>
  <c r="BD48" i="143"/>
  <c r="BD47" i="143"/>
  <c r="BD46" i="143"/>
  <c r="BD45" i="143"/>
  <c r="BD44" i="143"/>
  <c r="BD43" i="143"/>
  <c r="BD42" i="143"/>
  <c r="BD41" i="143"/>
  <c r="BD40" i="143"/>
  <c r="BD39" i="143"/>
  <c r="BD38" i="143"/>
  <c r="BD37" i="143"/>
  <c r="BD36" i="143"/>
  <c r="BD35" i="143"/>
  <c r="BD34" i="143"/>
  <c r="BD33" i="143"/>
  <c r="BD32" i="143"/>
  <c r="BD31" i="143"/>
  <c r="BD30" i="143"/>
  <c r="BD29" i="143"/>
  <c r="BD28" i="143"/>
  <c r="BD27" i="143"/>
  <c r="BD26" i="143"/>
  <c r="BD25" i="143"/>
  <c r="BD24" i="143"/>
  <c r="BD23" i="143"/>
  <c r="BD22" i="143"/>
  <c r="BD21" i="143"/>
  <c r="BD20" i="143"/>
  <c r="BD19" i="143"/>
  <c r="BD18" i="143"/>
  <c r="BD17" i="143"/>
  <c r="BD16" i="143"/>
  <c r="BD15" i="143"/>
  <c r="BD14" i="143"/>
  <c r="BD13" i="143"/>
  <c r="BD12" i="143"/>
  <c r="BD11" i="143"/>
  <c r="BD10" i="143"/>
  <c r="AY28" i="190"/>
  <c r="AV28" i="190"/>
  <c r="AP28" i="190"/>
  <c r="AM28" i="190"/>
  <c r="AJ28" i="190"/>
  <c r="AD28" i="190"/>
  <c r="AA28" i="190"/>
  <c r="U28" i="190"/>
  <c r="R28" i="190"/>
  <c r="O28" i="190"/>
  <c r="BH7" i="231"/>
  <c r="BH8" i="231"/>
  <c r="BH9" i="231"/>
  <c r="BH10" i="231"/>
  <c r="BH11" i="231"/>
  <c r="AI6" i="231"/>
  <c r="BH6" i="231"/>
  <c r="N13" i="195"/>
  <c r="AL8" i="188"/>
  <c r="AE10" i="133"/>
  <c r="Z34" i="1"/>
  <c r="E4090" i="238" a="1"/>
  <c r="E4090" i="238" s="1"/>
  <c r="E4089" i="238" a="1"/>
  <c r="E4089" i="238" s="1"/>
  <c r="E4088" i="238" a="1"/>
  <c r="E4088" i="238" s="1"/>
  <c r="E4087" i="238" a="1"/>
  <c r="E4087" i="238" s="1"/>
  <c r="E1785" i="238" l="1"/>
  <c r="E1784" i="238"/>
  <c r="E1783" i="238"/>
  <c r="E1782" i="238"/>
  <c r="E1781" i="238"/>
  <c r="E1780" i="238"/>
  <c r="E1779" i="238"/>
  <c r="E1778" i="238"/>
  <c r="E1777" i="238"/>
  <c r="E1776" i="238"/>
  <c r="E1775" i="238"/>
  <c r="E1774" i="238"/>
  <c r="E1773" i="238"/>
  <c r="E1772" i="238"/>
  <c r="E1771" i="238"/>
  <c r="E1770" i="238"/>
  <c r="E1769" i="238"/>
  <c r="E1768" i="238"/>
  <c r="E1767" i="238"/>
  <c r="E1766" i="238"/>
  <c r="E1765" i="238"/>
  <c r="E1764" i="238"/>
  <c r="E1763" i="238"/>
  <c r="E1762" i="238"/>
  <c r="E1761" i="238"/>
  <c r="E1760" i="238"/>
  <c r="E1759" i="238"/>
  <c r="E1758" i="238"/>
  <c r="E1757" i="238"/>
  <c r="E1756" i="238"/>
  <c r="E1755" i="238"/>
  <c r="E1754" i="238"/>
  <c r="E1753" i="238"/>
  <c r="E1752" i="238"/>
  <c r="E1751" i="238"/>
  <c r="E1750" i="238"/>
  <c r="E1749" i="238"/>
  <c r="E1748" i="238"/>
  <c r="E1747" i="238"/>
  <c r="E1746" i="238"/>
  <c r="E1745" i="238"/>
  <c r="E1744" i="238"/>
  <c r="E1743" i="238"/>
  <c r="E1742" i="238"/>
  <c r="E1741" i="238"/>
  <c r="E1740" i="238"/>
  <c r="E1739" i="238"/>
  <c r="E1738" i="238"/>
  <c r="E1737" i="238"/>
  <c r="E1736" i="238"/>
  <c r="E1735" i="238"/>
  <c r="E1734" i="238"/>
  <c r="E1733" i="238"/>
  <c r="E1732" i="238"/>
  <c r="E1731" i="238"/>
  <c r="E1730" i="238"/>
  <c r="E1729" i="238"/>
  <c r="E1728" i="238"/>
  <c r="E1727" i="238"/>
  <c r="E1726" i="238"/>
  <c r="E1725" i="238"/>
  <c r="E1724" i="238"/>
  <c r="E1723" i="238"/>
  <c r="E1722" i="238"/>
  <c r="E1721" i="238"/>
  <c r="E1720" i="238"/>
  <c r="E1719" i="238"/>
  <c r="E1718" i="238"/>
  <c r="E1717" i="238"/>
  <c r="E1716" i="238"/>
  <c r="E1715" i="238"/>
  <c r="E1714" i="238"/>
  <c r="E5120" i="238" l="1"/>
  <c r="E5119" i="238"/>
  <c r="E5118" i="238"/>
  <c r="E5117" i="238"/>
  <c r="E5116" i="238"/>
  <c r="E5115" i="238"/>
  <c r="E5114" i="238"/>
  <c r="E5113" i="238"/>
  <c r="E5112" i="238"/>
  <c r="E5111" i="238"/>
  <c r="E5110" i="238"/>
  <c r="E5109" i="238"/>
  <c r="E5108" i="238"/>
  <c r="E5107" i="238"/>
  <c r="E5106" i="238"/>
  <c r="E5105" i="238"/>
  <c r="E5104" i="238"/>
  <c r="E2600" i="238"/>
  <c r="E2599" i="238"/>
  <c r="E2597" i="238"/>
  <c r="E2595" i="238"/>
  <c r="E2593" i="238"/>
  <c r="E2591" i="238"/>
  <c r="E2589" i="238"/>
  <c r="E2587" i="238"/>
  <c r="E2585" i="238"/>
  <c r="E2583" i="238"/>
  <c r="E2581" i="238"/>
  <c r="E3735" i="238"/>
  <c r="E3734" i="238"/>
  <c r="E3733" i="238"/>
  <c r="E3732" i="238"/>
  <c r="E3731" i="238"/>
  <c r="E3730" i="238"/>
  <c r="E3729" i="238"/>
  <c r="E3728" i="238"/>
  <c r="E3727" i="238"/>
  <c r="E3726" i="238"/>
  <c r="E3725" i="238"/>
  <c r="E3724" i="238"/>
  <c r="E2273" i="238"/>
  <c r="F2273" i="238" s="1"/>
  <c r="E2004" i="238"/>
  <c r="E2000" i="238"/>
  <c r="E1999" i="238"/>
  <c r="E1369" i="238"/>
  <c r="E1368" i="238"/>
  <c r="E1367" i="238"/>
  <c r="E1366" i="238"/>
  <c r="E1365" i="238"/>
  <c r="E1364" i="238"/>
  <c r="E1363" i="238"/>
  <c r="E1362" i="238"/>
  <c r="E1361" i="238"/>
  <c r="E1360" i="238"/>
  <c r="E1359" i="238"/>
  <c r="E1358" i="238"/>
  <c r="E1357" i="238"/>
  <c r="E1356" i="238"/>
  <c r="E1355" i="238"/>
  <c r="E1354" i="238"/>
  <c r="E1353" i="238"/>
  <c r="E1352" i="238"/>
  <c r="E1351" i="238"/>
  <c r="E1350" i="238"/>
  <c r="E1349" i="238"/>
  <c r="E1348" i="238"/>
  <c r="E1347" i="238"/>
  <c r="E1346" i="238"/>
  <c r="E1345" i="238"/>
  <c r="E1344" i="238"/>
  <c r="E1343" i="238"/>
  <c r="E1342" i="238"/>
  <c r="E1341" i="238"/>
  <c r="E1340" i="238"/>
  <c r="E1339" i="238"/>
  <c r="E1338" i="238"/>
  <c r="E1337" i="238"/>
  <c r="E1336" i="238"/>
  <c r="E1335" i="238"/>
  <c r="E1334" i="238"/>
  <c r="E1333" i="238"/>
  <c r="E1332" i="238"/>
  <c r="E1331" i="238"/>
  <c r="E1330" i="238"/>
  <c r="E1329" i="238"/>
  <c r="E1328" i="238"/>
  <c r="E1327" i="238"/>
  <c r="E1326" i="238"/>
  <c r="E1325" i="238"/>
  <c r="E1324" i="238"/>
  <c r="E1323" i="238"/>
  <c r="E1322" i="238"/>
  <c r="E1321" i="238"/>
  <c r="E1320" i="238"/>
  <c r="E1319" i="238"/>
  <c r="E1318" i="238"/>
  <c r="E1317" i="238"/>
  <c r="E1316" i="238"/>
  <c r="E1315" i="238"/>
  <c r="E1314" i="238"/>
  <c r="E1313" i="238"/>
  <c r="E1312" i="238"/>
  <c r="E1311" i="238"/>
  <c r="E1310" i="238"/>
  <c r="E1309" i="238"/>
  <c r="E1308" i="238"/>
  <c r="E1307" i="238"/>
  <c r="E1306" i="238"/>
  <c r="E1305" i="238"/>
  <c r="E1304" i="238"/>
  <c r="E1303" i="238"/>
  <c r="E1302" i="238"/>
  <c r="E1301" i="238"/>
  <c r="E1300" i="238"/>
  <c r="E1299" i="238"/>
  <c r="E1298" i="238"/>
  <c r="E1297" i="238"/>
  <c r="E1296" i="238"/>
  <c r="E1295" i="238"/>
  <c r="E1294" i="238"/>
  <c r="E1293" i="238"/>
  <c r="E1292" i="238"/>
  <c r="E1291" i="238"/>
  <c r="E1290" i="238"/>
  <c r="E1289" i="238"/>
  <c r="E1288" i="238"/>
  <c r="E1287" i="238"/>
  <c r="E1286" i="238"/>
  <c r="E1285" i="238"/>
  <c r="E1284" i="238"/>
  <c r="E1283" i="238"/>
  <c r="E1282" i="238"/>
  <c r="E1281" i="238"/>
  <c r="E1280" i="238"/>
  <c r="E1279" i="238"/>
  <c r="E1278" i="238"/>
  <c r="E1277" i="238"/>
  <c r="E1276" i="238"/>
  <c r="E1275" i="238"/>
  <c r="E1274" i="238"/>
  <c r="E1273" i="238"/>
  <c r="E1272" i="238"/>
  <c r="E1271" i="238"/>
  <c r="E1270" i="238"/>
  <c r="E1269" i="238"/>
  <c r="E1268" i="238"/>
  <c r="E1267" i="238"/>
  <c r="E1266" i="238"/>
  <c r="E1265" i="238"/>
  <c r="E1264" i="238"/>
  <c r="E1263" i="238"/>
  <c r="E1262" i="238"/>
  <c r="E1261" i="238"/>
  <c r="E1260" i="238"/>
  <c r="E1259" i="238"/>
  <c r="E1258" i="238"/>
  <c r="E1257" i="238"/>
  <c r="E1256" i="238"/>
  <c r="E1255" i="238"/>
  <c r="E1254" i="238"/>
  <c r="E1253" i="238"/>
  <c r="E1252" i="238"/>
  <c r="E1251" i="238"/>
  <c r="E1250" i="238"/>
  <c r="E1249" i="238"/>
  <c r="E1248" i="238"/>
  <c r="E1247" i="238"/>
  <c r="E1246" i="238"/>
  <c r="E1245" i="238"/>
  <c r="E1244" i="238"/>
  <c r="E1243" i="238"/>
  <c r="E1242" i="238"/>
  <c r="E1241" i="238"/>
  <c r="E1240" i="238"/>
  <c r="E1239" i="238"/>
  <c r="E1238" i="238"/>
  <c r="E1237" i="238"/>
  <c r="E1236" i="238"/>
  <c r="E1235" i="238"/>
  <c r="E1234" i="238"/>
  <c r="E1233" i="238"/>
  <c r="E1232" i="238"/>
  <c r="E1231" i="238"/>
  <c r="E1230" i="238"/>
  <c r="E1229" i="238"/>
  <c r="E1228" i="238"/>
  <c r="E1227" i="238"/>
  <c r="E1226" i="238"/>
  <c r="E1225" i="238"/>
  <c r="E1224" i="238"/>
  <c r="E1223" i="238"/>
  <c r="E1222" i="238"/>
  <c r="E1221" i="238"/>
  <c r="E1220" i="238"/>
  <c r="E1219" i="238"/>
  <c r="E1218" i="238"/>
  <c r="E1217" i="238"/>
  <c r="E1216" i="238"/>
  <c r="E1215" i="238"/>
  <c r="E1214" i="238"/>
  <c r="E1213" i="238"/>
  <c r="E1212" i="238"/>
  <c r="E1211" i="238"/>
  <c r="E1210" i="238"/>
  <c r="E1209" i="238"/>
  <c r="E1208" i="238"/>
  <c r="E1207" i="238"/>
  <c r="E1206" i="238"/>
  <c r="E1205" i="238"/>
  <c r="E1204" i="238"/>
  <c r="E1203" i="238"/>
  <c r="E1202" i="238"/>
  <c r="E1201" i="238"/>
  <c r="E1200" i="238"/>
  <c r="E1199" i="238"/>
  <c r="E1198" i="238"/>
  <c r="E1197" i="238"/>
  <c r="E1196" i="238"/>
  <c r="E1195" i="238"/>
  <c r="E1194" i="238"/>
  <c r="E1193" i="238"/>
  <c r="E1192" i="238"/>
  <c r="E1191" i="238"/>
  <c r="E1190" i="238"/>
  <c r="E13" i="238" a="1"/>
  <c r="E13" i="238" s="1"/>
  <c r="E12" i="238"/>
  <c r="F2083" i="238"/>
  <c r="AL66" i="182"/>
  <c r="AH64" i="182"/>
  <c r="F66" i="182"/>
  <c r="B64" i="182"/>
  <c r="AH59" i="182"/>
  <c r="F61" i="182"/>
  <c r="F59" i="182"/>
  <c r="N42" i="182"/>
  <c r="AB42" i="230"/>
  <c r="X40" i="230"/>
  <c r="M45" i="230"/>
  <c r="F42" i="230"/>
  <c r="F40" i="230"/>
  <c r="E5075" i="238"/>
  <c r="E5074" i="238"/>
  <c r="E5073" i="238"/>
  <c r="E5072" i="238"/>
  <c r="E5071" i="238"/>
  <c r="E5070" i="238"/>
  <c r="E5069" i="238"/>
  <c r="E5068" i="238"/>
  <c r="E5067" i="238"/>
  <c r="E5066" i="238"/>
  <c r="E5065" i="238"/>
  <c r="E5064" i="238"/>
  <c r="E5063" i="238"/>
  <c r="E5062" i="238"/>
  <c r="E5061" i="238"/>
  <c r="E5060" i="238"/>
  <c r="E5059" i="238"/>
  <c r="E5058" i="238"/>
  <c r="E5057" i="238"/>
  <c r="E5056" i="238"/>
  <c r="E5055" i="238"/>
  <c r="E5054" i="238"/>
  <c r="E5053" i="238"/>
  <c r="E5052" i="238"/>
  <c r="E5051" i="238"/>
  <c r="E5050" i="238"/>
  <c r="E5049" i="238"/>
  <c r="E5048" i="238"/>
  <c r="E5047" i="238"/>
  <c r="E5046" i="238"/>
  <c r="E5045" i="238"/>
  <c r="E5044" i="238"/>
  <c r="E5043" i="238"/>
  <c r="E5042" i="238"/>
  <c r="E5041" i="238"/>
  <c r="E5040" i="238"/>
  <c r="E5039" i="238"/>
  <c r="E5038" i="238"/>
  <c r="E5037" i="238"/>
  <c r="E5036" i="238"/>
  <c r="E5035" i="238"/>
  <c r="E5034" i="238"/>
  <c r="E5033" i="238"/>
  <c r="E5032" i="238"/>
  <c r="E5031" i="238"/>
  <c r="E5030" i="238"/>
  <c r="E5029" i="238"/>
  <c r="E5028" i="238"/>
  <c r="E5027" i="238"/>
  <c r="E5026" i="238"/>
  <c r="E5025" i="238"/>
  <c r="E5024" i="238"/>
  <c r="E5023" i="238"/>
  <c r="E5022" i="238"/>
  <c r="E5021" i="238"/>
  <c r="E5020" i="238"/>
  <c r="E5019" i="238"/>
  <c r="E5018" i="238"/>
  <c r="E5017" i="238"/>
  <c r="E5016" i="238"/>
  <c r="E5015" i="238"/>
  <c r="E5014" i="238"/>
  <c r="E5013" i="238"/>
  <c r="E5012" i="238"/>
  <c r="E5011" i="238"/>
  <c r="E5010" i="238"/>
  <c r="E5009" i="238"/>
  <c r="E5008" i="238"/>
  <c r="E5007" i="238"/>
  <c r="E5006" i="238"/>
  <c r="E5005" i="238"/>
  <c r="E5004" i="238"/>
  <c r="E5003" i="238"/>
  <c r="E5002" i="238"/>
  <c r="E5001" i="238"/>
  <c r="E5000" i="238"/>
  <c r="E4999" i="238"/>
  <c r="E4998" i="238"/>
  <c r="E4997" i="238"/>
  <c r="E4996" i="238"/>
  <c r="E4995" i="238"/>
  <c r="E4994" i="238"/>
  <c r="E4993" i="238"/>
  <c r="E4992" i="238"/>
  <c r="E4991" i="238"/>
  <c r="E4990" i="238"/>
  <c r="E4989" i="238"/>
  <c r="E4988" i="238"/>
  <c r="E4987" i="238"/>
  <c r="E4986" i="238"/>
  <c r="E4985" i="238"/>
  <c r="E4984" i="238"/>
  <c r="E4983" i="238"/>
  <c r="F53" i="229"/>
  <c r="V61" i="229"/>
  <c r="P59" i="229"/>
  <c r="F61" i="229"/>
  <c r="AD59" i="229"/>
  <c r="F59" i="229"/>
  <c r="E43" i="228"/>
  <c r="E35" i="228"/>
  <c r="E20" i="228"/>
  <c r="V62" i="228"/>
  <c r="P60" i="228"/>
  <c r="AD60" i="228"/>
  <c r="F62" i="228"/>
  <c r="F60" i="228"/>
  <c r="K52" i="227"/>
  <c r="K45" i="227"/>
  <c r="K29" i="227"/>
  <c r="P58" i="227"/>
  <c r="F60" i="227"/>
  <c r="AD58" i="227"/>
  <c r="F58" i="227"/>
  <c r="Z58" i="159"/>
  <c r="V56" i="159"/>
  <c r="F58" i="159"/>
  <c r="AP55" i="159"/>
  <c r="F56" i="159"/>
  <c r="X39" i="233"/>
  <c r="T37" i="233"/>
  <c r="AL37" i="233"/>
  <c r="F39" i="233"/>
  <c r="F37" i="233"/>
  <c r="E4408" i="238"/>
  <c r="E4407" i="238"/>
  <c r="E4406" i="238"/>
  <c r="E4405" i="238"/>
  <c r="E4404" i="238"/>
  <c r="E4403" i="238"/>
  <c r="E4402" i="238"/>
  <c r="E4401" i="238"/>
  <c r="E4400" i="238"/>
  <c r="E4399" i="238"/>
  <c r="E4390" i="238"/>
  <c r="V67" i="222"/>
  <c r="P65" i="222"/>
  <c r="AD65" i="222"/>
  <c r="F67" i="222"/>
  <c r="F65" i="222"/>
  <c r="E4337" i="238"/>
  <c r="E4325" i="238"/>
  <c r="E4313" i="238"/>
  <c r="E4328" i="238"/>
  <c r="E4327" i="238"/>
  <c r="E4326" i="238"/>
  <c r="E4324" i="238"/>
  <c r="E4323" i="238"/>
  <c r="E4322" i="238"/>
  <c r="E4321" i="238"/>
  <c r="E4320" i="238"/>
  <c r="E4319" i="238"/>
  <c r="E4318" i="238"/>
  <c r="E4317" i="238"/>
  <c r="E4316" i="238"/>
  <c r="E4315" i="238"/>
  <c r="E4314" i="238"/>
  <c r="E4312" i="238"/>
  <c r="E4311" i="238"/>
  <c r="E4310" i="238"/>
  <c r="E4309" i="238"/>
  <c r="E4308" i="238"/>
  <c r="E4307" i="238"/>
  <c r="E4306" i="238"/>
  <c r="E4305" i="238"/>
  <c r="E4301" i="238"/>
  <c r="E4340" i="238"/>
  <c r="E4339" i="238"/>
  <c r="E4338" i="238"/>
  <c r="E4336" i="238"/>
  <c r="E4335" i="238"/>
  <c r="E4334" i="238"/>
  <c r="E4333" i="238"/>
  <c r="E4332" i="238"/>
  <c r="E4331" i="238"/>
  <c r="E4330" i="238"/>
  <c r="E4329" i="238"/>
  <c r="E4304" i="238"/>
  <c r="E4303" i="238"/>
  <c r="E4302" i="238"/>
  <c r="E4300" i="238"/>
  <c r="E4299" i="238"/>
  <c r="E4298" i="238"/>
  <c r="E4297" i="238"/>
  <c r="E4296" i="238"/>
  <c r="E4295" i="238"/>
  <c r="E4294" i="238"/>
  <c r="E4293" i="238"/>
  <c r="E4292" i="238"/>
  <c r="E4291" i="238"/>
  <c r="E4290" i="238"/>
  <c r="E4289" i="238"/>
  <c r="E4288" i="238"/>
  <c r="E4287" i="238"/>
  <c r="E4286" i="238"/>
  <c r="E4285" i="238"/>
  <c r="E4284" i="238"/>
  <c r="E4283" i="238"/>
  <c r="E4282" i="238"/>
  <c r="E4281" i="238"/>
  <c r="E4280" i="238"/>
  <c r="T75" i="216" l="1"/>
  <c r="P73" i="216"/>
  <c r="AD73" i="216"/>
  <c r="F75" i="216"/>
  <c r="F73" i="216"/>
  <c r="E4143" i="238" l="1"/>
  <c r="F4143" i="238" s="1"/>
  <c r="E4142" i="238"/>
  <c r="F4142" i="238" s="1"/>
  <c r="E4141" i="238"/>
  <c r="F4141" i="238" s="1"/>
  <c r="E4140" i="238"/>
  <c r="F4140" i="238" s="1"/>
  <c r="E4139" i="238"/>
  <c r="F4139" i="238" s="1"/>
  <c r="AA23" i="215" l="1"/>
  <c r="O23" i="215"/>
  <c r="Z70" i="215"/>
  <c r="V68" i="215"/>
  <c r="L73" i="215"/>
  <c r="F70" i="215"/>
  <c r="F68" i="215"/>
  <c r="X30" i="214" l="1"/>
  <c r="T28" i="214"/>
  <c r="K33" i="214"/>
  <c r="F30" i="214"/>
  <c r="F28" i="214"/>
  <c r="X28" i="213"/>
  <c r="X24" i="213"/>
  <c r="T44" i="213"/>
  <c r="X46" i="213"/>
  <c r="K49" i="213"/>
  <c r="F46" i="213"/>
  <c r="F44" i="213"/>
  <c r="X34" i="210"/>
  <c r="T32" i="210"/>
  <c r="K37" i="210"/>
  <c r="F34" i="210"/>
  <c r="F32" i="210"/>
  <c r="E4081" i="238"/>
  <c r="E4080" i="238"/>
  <c r="E4079" i="238"/>
  <c r="E4078" i="238"/>
  <c r="E4077" i="238"/>
  <c r="E4076" i="238"/>
  <c r="E4075" i="238"/>
  <c r="E4074" i="238"/>
  <c r="E4073" i="238"/>
  <c r="E4072" i="238"/>
  <c r="E4071" i="238"/>
  <c r="E4070" i="238"/>
  <c r="E4069" i="238"/>
  <c r="E4068" i="238"/>
  <c r="E4067" i="238"/>
  <c r="E4066" i="238"/>
  <c r="E4065" i="238"/>
  <c r="E4064" i="238"/>
  <c r="F4064" i="238" s="1"/>
  <c r="E4063" i="238"/>
  <c r="E4062" i="238"/>
  <c r="E4061" i="238"/>
  <c r="E4060" i="238"/>
  <c r="E4059" i="238"/>
  <c r="E4058" i="238"/>
  <c r="E4057" i="238"/>
  <c r="E4056" i="238"/>
  <c r="E4055" i="238"/>
  <c r="E4054" i="238"/>
  <c r="F4054" i="238" s="1"/>
  <c r="E4053" i="238"/>
  <c r="E4052" i="238"/>
  <c r="E4051" i="238"/>
  <c r="E4050" i="238"/>
  <c r="E4049" i="238"/>
  <c r="E4048" i="238"/>
  <c r="E4047" i="238"/>
  <c r="E4046" i="238"/>
  <c r="X53" i="209" l="1"/>
  <c r="T51" i="209"/>
  <c r="K56" i="209"/>
  <c r="F53" i="209"/>
  <c r="F51" i="209"/>
  <c r="V45" i="207"/>
  <c r="R43" i="207"/>
  <c r="J48" i="207"/>
  <c r="F45" i="207"/>
  <c r="F43" i="207"/>
  <c r="U22" i="156" l="1"/>
  <c r="Q20" i="156"/>
  <c r="F22" i="156"/>
  <c r="AF20" i="156"/>
  <c r="F20" i="156"/>
  <c r="E3872" i="238"/>
  <c r="E3799" i="238"/>
  <c r="E3946" i="238"/>
  <c r="E3934" i="238"/>
  <c r="E3922" i="238"/>
  <c r="E3910" i="238"/>
  <c r="E3898" i="238"/>
  <c r="E3886" i="238"/>
  <c r="E3874" i="238"/>
  <c r="E3861" i="238"/>
  <c r="E3849" i="238"/>
  <c r="E3837" i="238"/>
  <c r="E3825" i="238"/>
  <c r="E3813" i="238"/>
  <c r="E3801" i="238"/>
  <c r="E3788" i="238"/>
  <c r="E3776" i="238"/>
  <c r="E3956" i="238"/>
  <c r="E3955" i="238"/>
  <c r="E3954" i="238"/>
  <c r="E3953" i="238"/>
  <c r="E3952" i="238"/>
  <c r="E3951" i="238"/>
  <c r="E3950" i="238"/>
  <c r="E3949" i="238"/>
  <c r="E3948" i="238"/>
  <c r="E3947" i="238"/>
  <c r="E3945" i="238"/>
  <c r="E3944" i="238"/>
  <c r="E3943" i="238"/>
  <c r="E3942" i="238"/>
  <c r="E3941" i="238"/>
  <c r="E3940" i="238"/>
  <c r="E3939" i="238"/>
  <c r="E3938" i="238"/>
  <c r="E3937" i="238"/>
  <c r="E3936" i="238"/>
  <c r="E3935" i="238"/>
  <c r="E3933" i="238"/>
  <c r="E3932" i="238"/>
  <c r="E3931" i="238"/>
  <c r="E3930" i="238"/>
  <c r="E3929" i="238"/>
  <c r="E3928" i="238"/>
  <c r="E3927" i="238"/>
  <c r="E3926" i="238"/>
  <c r="E3925" i="238"/>
  <c r="E3924" i="238"/>
  <c r="E3923" i="238"/>
  <c r="E3921" i="238"/>
  <c r="E3920" i="238"/>
  <c r="E3919" i="238"/>
  <c r="E3918" i="238"/>
  <c r="E3917" i="238"/>
  <c r="E3916" i="238"/>
  <c r="E3915" i="238"/>
  <c r="E3914" i="238"/>
  <c r="E3913" i="238"/>
  <c r="E3912" i="238"/>
  <c r="E3911" i="238"/>
  <c r="E3909" i="238"/>
  <c r="E3908" i="238"/>
  <c r="E3907" i="238"/>
  <c r="E3906" i="238"/>
  <c r="E3905" i="238"/>
  <c r="E3904" i="238"/>
  <c r="E3903" i="238"/>
  <c r="E3902" i="238"/>
  <c r="E3901" i="238"/>
  <c r="E3900" i="238"/>
  <c r="E3899" i="238"/>
  <c r="E3897" i="238"/>
  <c r="E3896" i="238"/>
  <c r="E3895" i="238"/>
  <c r="E3894" i="238"/>
  <c r="E3893" i="238"/>
  <c r="E3892" i="238"/>
  <c r="E3891" i="238"/>
  <c r="E3890" i="238"/>
  <c r="E3889" i="238"/>
  <c r="E3888" i="238"/>
  <c r="E3887" i="238"/>
  <c r="E3885" i="238"/>
  <c r="E3884" i="238"/>
  <c r="E3883" i="238"/>
  <c r="E3882" i="238"/>
  <c r="E3881" i="238"/>
  <c r="E3880" i="238"/>
  <c r="E3879" i="238"/>
  <c r="E3878" i="238"/>
  <c r="E3877" i="238"/>
  <c r="E3876" i="238"/>
  <c r="E3875" i="238"/>
  <c r="E3873" i="238"/>
  <c r="E3871" i="238"/>
  <c r="E3870" i="238"/>
  <c r="E3869" i="238"/>
  <c r="E3868" i="238"/>
  <c r="E3867" i="238"/>
  <c r="E3866" i="238"/>
  <c r="E3865" i="238"/>
  <c r="E3864" i="238"/>
  <c r="E3863" i="238"/>
  <c r="E3862" i="238"/>
  <c r="E3860" i="238"/>
  <c r="E3859" i="238"/>
  <c r="E3858" i="238"/>
  <c r="E3857" i="238"/>
  <c r="E3856" i="238"/>
  <c r="E3855" i="238"/>
  <c r="E3854" i="238"/>
  <c r="E3853" i="238"/>
  <c r="E3852" i="238"/>
  <c r="E3851" i="238"/>
  <c r="E3850" i="238"/>
  <c r="E3848" i="238"/>
  <c r="E3847" i="238"/>
  <c r="E3846" i="238"/>
  <c r="E3845" i="238"/>
  <c r="E3844" i="238"/>
  <c r="E3843" i="238"/>
  <c r="E3842" i="238"/>
  <c r="E3841" i="238"/>
  <c r="E3840" i="238"/>
  <c r="E3839" i="238"/>
  <c r="E3838" i="238"/>
  <c r="E3836" i="238"/>
  <c r="E3835" i="238"/>
  <c r="E3834" i="238"/>
  <c r="E3833" i="238"/>
  <c r="E3832" i="238"/>
  <c r="E3831" i="238"/>
  <c r="E3830" i="238"/>
  <c r="E3829" i="238"/>
  <c r="E3828" i="238"/>
  <c r="E3827" i="238"/>
  <c r="E3826" i="238"/>
  <c r="E3824" i="238"/>
  <c r="E3823" i="238"/>
  <c r="E3822" i="238"/>
  <c r="E3821" i="238"/>
  <c r="E3820" i="238"/>
  <c r="E3819" i="238"/>
  <c r="E3818" i="238"/>
  <c r="E3817" i="238"/>
  <c r="E3816" i="238"/>
  <c r="E3815" i="238"/>
  <c r="E3814" i="238"/>
  <c r="E3812" i="238"/>
  <c r="E3811" i="238"/>
  <c r="E3810" i="238"/>
  <c r="E3809" i="238"/>
  <c r="E3808" i="238"/>
  <c r="E3807" i="238"/>
  <c r="E3806" i="238"/>
  <c r="E3805" i="238"/>
  <c r="E3804" i="238"/>
  <c r="E3803" i="238"/>
  <c r="E3802" i="238"/>
  <c r="E3800" i="238"/>
  <c r="E3798" i="238"/>
  <c r="E3797" i="238"/>
  <c r="E3796" i="238"/>
  <c r="E3795" i="238"/>
  <c r="E3794" i="238"/>
  <c r="E3793" i="238"/>
  <c r="E3792" i="238"/>
  <c r="E3791" i="238"/>
  <c r="E3790" i="238"/>
  <c r="E3789" i="238"/>
  <c r="E3787" i="238"/>
  <c r="E3786" i="238"/>
  <c r="E3785" i="238"/>
  <c r="E3784" i="238"/>
  <c r="E3783" i="238"/>
  <c r="E3782" i="238"/>
  <c r="E3781" i="238"/>
  <c r="E3780" i="238"/>
  <c r="E3779" i="238"/>
  <c r="E3778" i="238"/>
  <c r="E3777" i="238"/>
  <c r="E3775" i="238"/>
  <c r="U39" i="155"/>
  <c r="Q37" i="155"/>
  <c r="AF37" i="155"/>
  <c r="F39" i="155"/>
  <c r="F37" i="155"/>
  <c r="F24" i="155"/>
  <c r="F15" i="155"/>
  <c r="E3699" i="238" l="1"/>
  <c r="E3698" i="238"/>
  <c r="E3697" i="238"/>
  <c r="E3696" i="238"/>
  <c r="E3695" i="238"/>
  <c r="E3694" i="238"/>
  <c r="E3693" i="238"/>
  <c r="E3692" i="238"/>
  <c r="E3691" i="238"/>
  <c r="E3690" i="238"/>
  <c r="E3689" i="238"/>
  <c r="E3760" i="238"/>
  <c r="E3759" i="238"/>
  <c r="E3758" i="238"/>
  <c r="E3757" i="238"/>
  <c r="E3756" i="238"/>
  <c r="E3755" i="238"/>
  <c r="E3754" i="238"/>
  <c r="E3753" i="238"/>
  <c r="E3752" i="238"/>
  <c r="E3751" i="238"/>
  <c r="E3750" i="238"/>
  <c r="E3749" i="238"/>
  <c r="E3748" i="238"/>
  <c r="E3747" i="238"/>
  <c r="E3746" i="238"/>
  <c r="E3745" i="238"/>
  <c r="E3744" i="238"/>
  <c r="E3743" i="238"/>
  <c r="E3742" i="238"/>
  <c r="E3741" i="238"/>
  <c r="E3740" i="238"/>
  <c r="E3739" i="238"/>
  <c r="E3738" i="238"/>
  <c r="E3737" i="238"/>
  <c r="E3736" i="238"/>
  <c r="E3723" i="238"/>
  <c r="E3722" i="238"/>
  <c r="E3721" i="238"/>
  <c r="E3720" i="238"/>
  <c r="E3719" i="238"/>
  <c r="E3718" i="238"/>
  <c r="E3717" i="238"/>
  <c r="E3716" i="238"/>
  <c r="E3715" i="238"/>
  <c r="E3714" i="238"/>
  <c r="E3713" i="238"/>
  <c r="E3712" i="238"/>
  <c r="E3711" i="238"/>
  <c r="E3710" i="238"/>
  <c r="E3709" i="238"/>
  <c r="E3708" i="238"/>
  <c r="E3707" i="238"/>
  <c r="E3706" i="238"/>
  <c r="E3705" i="238"/>
  <c r="E3704" i="238"/>
  <c r="E3703" i="238"/>
  <c r="E3702" i="238"/>
  <c r="E3701" i="238"/>
  <c r="E3700" i="238"/>
  <c r="E3688" i="238"/>
  <c r="E3687" i="238"/>
  <c r="E3686" i="238"/>
  <c r="E3685" i="238"/>
  <c r="E3684" i="238"/>
  <c r="E3683" i="238"/>
  <c r="E3682" i="238"/>
  <c r="E3681" i="238"/>
  <c r="E3680" i="238"/>
  <c r="E3679" i="238"/>
  <c r="E3678" i="238"/>
  <c r="E3677" i="238"/>
  <c r="E3676" i="238"/>
  <c r="E3675" i="238"/>
  <c r="E3674" i="238"/>
  <c r="E3673" i="238"/>
  <c r="E3672" i="238"/>
  <c r="E3671" i="238"/>
  <c r="E3670" i="238"/>
  <c r="E3669" i="238"/>
  <c r="E3668" i="238"/>
  <c r="E3667" i="238"/>
  <c r="E3666" i="238"/>
  <c r="E3665" i="238"/>
  <c r="E3664" i="238"/>
  <c r="E3663" i="238"/>
  <c r="E3662" i="238"/>
  <c r="E3661" i="238"/>
  <c r="E3660" i="238"/>
  <c r="E3659" i="238"/>
  <c r="E3658" i="238"/>
  <c r="E3657" i="238"/>
  <c r="E3656" i="238"/>
  <c r="E3655" i="238"/>
  <c r="E3654" i="238"/>
  <c r="E3653" i="238"/>
  <c r="E3652" i="238"/>
  <c r="E3651" i="238"/>
  <c r="E3650" i="238"/>
  <c r="E3649" i="238"/>
  <c r="E3648" i="238"/>
  <c r="E3647" i="238"/>
  <c r="E3646" i="238"/>
  <c r="E3645" i="238"/>
  <c r="E3644" i="238"/>
  <c r="E3643" i="238"/>
  <c r="E3642" i="238"/>
  <c r="E3641" i="238"/>
  <c r="E3640" i="238"/>
  <c r="E3639" i="238"/>
  <c r="E3638" i="238"/>
  <c r="E3637" i="238"/>
  <c r="E3636" i="238"/>
  <c r="E3635" i="238"/>
  <c r="E3634" i="238"/>
  <c r="E3633" i="238"/>
  <c r="E3632" i="238"/>
  <c r="E3631" i="238"/>
  <c r="E3630" i="238"/>
  <c r="E3629" i="238"/>
  <c r="E3628" i="238"/>
  <c r="E3627" i="238"/>
  <c r="E3626" i="238"/>
  <c r="E3625" i="238"/>
  <c r="E3624" i="238"/>
  <c r="E3623" i="238"/>
  <c r="E3622" i="238"/>
  <c r="E3621" i="238"/>
  <c r="E3620" i="238"/>
  <c r="E3619" i="238"/>
  <c r="E3618" i="238"/>
  <c r="E3617" i="238"/>
  <c r="E3616" i="238"/>
  <c r="E3615" i="238"/>
  <c r="E3614" i="238"/>
  <c r="E3613" i="238"/>
  <c r="E3612" i="238"/>
  <c r="E3611" i="238"/>
  <c r="E3610" i="238"/>
  <c r="E3609" i="238"/>
  <c r="E3608" i="238"/>
  <c r="E3607" i="238"/>
  <c r="E3606" i="238"/>
  <c r="E3605" i="238"/>
  <c r="E3604" i="238"/>
  <c r="E3603" i="238"/>
  <c r="E3602" i="238"/>
  <c r="E3601" i="238"/>
  <c r="E3600" i="238"/>
  <c r="E3599" i="238"/>
  <c r="E3598" i="238"/>
  <c r="E3597" i="238"/>
  <c r="E3596" i="238"/>
  <c r="E3595" i="238"/>
  <c r="E3594" i="238"/>
  <c r="E3593" i="238"/>
  <c r="E3592" i="238"/>
  <c r="E3591" i="238"/>
  <c r="E3590" i="238"/>
  <c r="E3589" i="238"/>
  <c r="E3588" i="238"/>
  <c r="E3587" i="238"/>
  <c r="E3586" i="238"/>
  <c r="E3585" i="238"/>
  <c r="E3584" i="238"/>
  <c r="E3583" i="238"/>
  <c r="E3582" i="238"/>
  <c r="E3581" i="238"/>
  <c r="E3580" i="238"/>
  <c r="E3579" i="238"/>
  <c r="E3578" i="238"/>
  <c r="E3577" i="238"/>
  <c r="E3576" i="238"/>
  <c r="E3575" i="238"/>
  <c r="E3574" i="238"/>
  <c r="E3573" i="238"/>
  <c r="E3572" i="238"/>
  <c r="E3571" i="238"/>
  <c r="E3570" i="238"/>
  <c r="E3569" i="238"/>
  <c r="E3568" i="238"/>
  <c r="E3567" i="238"/>
  <c r="E3566" i="238"/>
  <c r="E3565" i="238"/>
  <c r="E3564" i="238"/>
  <c r="E3563" i="238"/>
  <c r="E3562" i="238"/>
  <c r="E3561" i="238"/>
  <c r="E3560" i="238"/>
  <c r="E3559" i="238"/>
  <c r="E3558" i="238"/>
  <c r="E3557" i="238"/>
  <c r="E3556" i="238"/>
  <c r="E3555" i="238"/>
  <c r="E3554" i="238"/>
  <c r="E3553" i="238"/>
  <c r="E3552" i="238"/>
  <c r="E3551" i="238"/>
  <c r="E3550" i="238"/>
  <c r="E3549" i="238"/>
  <c r="E3548" i="238"/>
  <c r="E3547" i="238"/>
  <c r="E3546" i="238"/>
  <c r="E3545" i="238"/>
  <c r="E3544" i="238"/>
  <c r="E3543" i="238"/>
  <c r="E3542" i="238"/>
  <c r="E3541" i="238"/>
  <c r="E3540" i="238"/>
  <c r="E3539" i="238"/>
  <c r="E3538" i="238"/>
  <c r="E3537" i="238"/>
  <c r="E3536" i="238"/>
  <c r="E3535" i="238"/>
  <c r="E3534" i="238"/>
  <c r="E3533" i="238"/>
  <c r="E3532" i="238"/>
  <c r="E3531" i="238"/>
  <c r="E3530" i="238"/>
  <c r="E3529" i="238"/>
  <c r="E3528" i="238"/>
  <c r="E3527" i="238"/>
  <c r="E3526" i="238"/>
  <c r="E3525" i="238"/>
  <c r="E3524" i="238"/>
  <c r="E3523" i="238"/>
  <c r="E3522" i="238"/>
  <c r="E3521" i="238"/>
  <c r="E3520" i="238"/>
  <c r="E3519" i="238"/>
  <c r="E3518" i="238"/>
  <c r="E3517" i="238"/>
  <c r="E3516" i="238"/>
  <c r="E3515" i="238"/>
  <c r="E3514" i="238"/>
  <c r="E3513" i="238"/>
  <c r="E3512" i="238"/>
  <c r="E3511" i="238"/>
  <c r="E3510" i="238"/>
  <c r="E3509" i="238"/>
  <c r="E3508" i="238"/>
  <c r="E3507" i="238"/>
  <c r="E3506" i="238"/>
  <c r="E3505" i="238"/>
  <c r="E3504" i="238"/>
  <c r="E3503" i="238"/>
  <c r="E3502" i="238"/>
  <c r="E3501" i="238"/>
  <c r="E3500" i="238"/>
  <c r="E3499" i="238"/>
  <c r="E3498" i="238"/>
  <c r="E3497" i="238"/>
  <c r="E3496" i="238"/>
  <c r="E3495" i="238"/>
  <c r="E3494" i="238"/>
  <c r="E3493" i="238"/>
  <c r="E3492" i="238"/>
  <c r="E3491" i="238"/>
  <c r="E3490" i="238"/>
  <c r="E3489" i="238"/>
  <c r="E3488" i="238"/>
  <c r="E3487" i="238"/>
  <c r="E3486" i="238"/>
  <c r="E3485" i="238"/>
  <c r="E3484" i="238"/>
  <c r="C33" i="77"/>
  <c r="AF37" i="77"/>
  <c r="F39" i="77"/>
  <c r="F37" i="77"/>
  <c r="S45" i="135"/>
  <c r="O43" i="135"/>
  <c r="AB43" i="135"/>
  <c r="F45" i="135"/>
  <c r="F43" i="135"/>
  <c r="AF25" i="134"/>
  <c r="F27" i="134"/>
  <c r="F25" i="134"/>
  <c r="E3338" i="238"/>
  <c r="E3337" i="238"/>
  <c r="E3336" i="238"/>
  <c r="E3335" i="238"/>
  <c r="E3334" i="238"/>
  <c r="E3333" i="238"/>
  <c r="E3332" i="238"/>
  <c r="E3331" i="238"/>
  <c r="E3330" i="238"/>
  <c r="E3329" i="238"/>
  <c r="E3328" i="238"/>
  <c r="E3327" i="238"/>
  <c r="E3326" i="238"/>
  <c r="E3325" i="238"/>
  <c r="E3324" i="238"/>
  <c r="E3323" i="238"/>
  <c r="E3322" i="238"/>
  <c r="E3321" i="238"/>
  <c r="E3320" i="238"/>
  <c r="E3319" i="238"/>
  <c r="E3318" i="238"/>
  <c r="E3317" i="238"/>
  <c r="E3316" i="238"/>
  <c r="E3315" i="238"/>
  <c r="E3314" i="238"/>
  <c r="E3313" i="238"/>
  <c r="E3312" i="238"/>
  <c r="E3311" i="238"/>
  <c r="E3310" i="238"/>
  <c r="E3309" i="238"/>
  <c r="E3308" i="238"/>
  <c r="E3307" i="238"/>
  <c r="E3306" i="238"/>
  <c r="E3305" i="238"/>
  <c r="E3304" i="238"/>
  <c r="E3303" i="238"/>
  <c r="E3302" i="238"/>
  <c r="E3301" i="238"/>
  <c r="E3300" i="238"/>
  <c r="E3299" i="238"/>
  <c r="E3298" i="238"/>
  <c r="E3297" i="238"/>
  <c r="E3296" i="238"/>
  <c r="E3295" i="238"/>
  <c r="E3294" i="238" a="1"/>
  <c r="E3294" i="238" s="1"/>
  <c r="E3293" i="238" a="1"/>
  <c r="E3293" i="238" s="1"/>
  <c r="E3292" i="238" a="1"/>
  <c r="E3292" i="238" s="1"/>
  <c r="E3291" i="238" a="1"/>
  <c r="E3291" i="238" s="1"/>
  <c r="E3290" i="238" a="1"/>
  <c r="E3290" i="238" s="1"/>
  <c r="E3289" i="238" a="1"/>
  <c r="E3289" i="238" s="1"/>
  <c r="E3288" i="238" a="1"/>
  <c r="E3288" i="238" s="1"/>
  <c r="E3287" i="238" a="1"/>
  <c r="E3287" i="238" s="1"/>
  <c r="E3286" i="238" a="1"/>
  <c r="E3286" i="238" s="1"/>
  <c r="E3285" i="238" a="1"/>
  <c r="E3285" i="238" s="1"/>
  <c r="E3284" i="238" a="1"/>
  <c r="E3284" i="238" s="1"/>
  <c r="E3283" i="238" a="1"/>
  <c r="E3283" i="238" s="1"/>
  <c r="E3282" i="238" a="1"/>
  <c r="E3282" i="238" s="1"/>
  <c r="E3281" i="238" a="1"/>
  <c r="E3281" i="238" s="1"/>
  <c r="E3280" i="238" a="1"/>
  <c r="E3280" i="238" s="1"/>
  <c r="E3279" i="238" a="1"/>
  <c r="E3279" i="238" s="1"/>
  <c r="E3278" i="238" a="1"/>
  <c r="E3278" i="238" s="1"/>
  <c r="E3277" i="238" a="1"/>
  <c r="E3277" i="238" s="1"/>
  <c r="E3276" i="238" a="1"/>
  <c r="E3276" i="238" s="1"/>
  <c r="E3275" i="238" a="1"/>
  <c r="E3275" i="238" s="1"/>
  <c r="E3274" i="238" a="1"/>
  <c r="E3274" i="238" s="1"/>
  <c r="E3273" i="238" a="1"/>
  <c r="E3273" i="238" s="1"/>
  <c r="E3272" i="238" a="1"/>
  <c r="E3272" i="238" s="1"/>
  <c r="E3271" i="238" a="1"/>
  <c r="E3271" i="238" s="1"/>
  <c r="E3270" i="238" a="1"/>
  <c r="E3270" i="238" s="1"/>
  <c r="E3269" i="238" a="1"/>
  <c r="E3269" i="238" s="1"/>
  <c r="E3268" i="238" a="1"/>
  <c r="E3268" i="238" s="1"/>
  <c r="E3267" i="238" a="1"/>
  <c r="E3267" i="238" s="1"/>
  <c r="E3266" i="238" a="1"/>
  <c r="E3266" i="238" s="1"/>
  <c r="E3265" i="238" a="1"/>
  <c r="E3265" i="238" s="1"/>
  <c r="E3264" i="238"/>
  <c r="E3263" i="238"/>
  <c r="E3262" i="238"/>
  <c r="E3261" i="238"/>
  <c r="E3260" i="238"/>
  <c r="E3259" i="238"/>
  <c r="E3258" i="238"/>
  <c r="E3257" i="238"/>
  <c r="E3256" i="238"/>
  <c r="E3255" i="238"/>
  <c r="E3254" i="238"/>
  <c r="E3253" i="238"/>
  <c r="E3252" i="238"/>
  <c r="E3251" i="238"/>
  <c r="E3250" i="238"/>
  <c r="X49" i="180"/>
  <c r="T47" i="180"/>
  <c r="AL47" i="180"/>
  <c r="F49" i="180"/>
  <c r="F47" i="180"/>
  <c r="AR6" i="184"/>
  <c r="AL41" i="184"/>
  <c r="F43" i="184"/>
  <c r="F41" i="184"/>
  <c r="U43" i="85"/>
  <c r="Q41" i="85"/>
  <c r="AI41" i="85"/>
  <c r="F43" i="85"/>
  <c r="F41" i="85"/>
  <c r="Z38" i="85"/>
  <c r="Z29" i="85"/>
  <c r="E3105" i="238"/>
  <c r="J37" i="185"/>
  <c r="U44" i="185"/>
  <c r="Q42" i="185"/>
  <c r="AI42" i="185"/>
  <c r="F44" i="185"/>
  <c r="F42" i="185"/>
  <c r="AL21" i="185"/>
  <c r="U16" i="185"/>
  <c r="AL10" i="185"/>
  <c r="AG36" i="196"/>
  <c r="AI8" i="196"/>
  <c r="U41" i="196"/>
  <c r="Q39" i="196"/>
  <c r="AI39" i="196"/>
  <c r="F41" i="196"/>
  <c r="F39" i="196"/>
  <c r="U54" i="121"/>
  <c r="Q52" i="121"/>
  <c r="AI52" i="121"/>
  <c r="F54" i="121"/>
  <c r="F52" i="121"/>
  <c r="W49" i="195"/>
  <c r="S47" i="195"/>
  <c r="AK47" i="195"/>
  <c r="F49" i="195"/>
  <c r="F47" i="195"/>
  <c r="AL23" i="195"/>
  <c r="AF23" i="195"/>
  <c r="Z23" i="195"/>
  <c r="T23" i="195"/>
  <c r="N23" i="195"/>
  <c r="W33" i="186"/>
  <c r="S31" i="186"/>
  <c r="AK31" i="186"/>
  <c r="F33" i="186"/>
  <c r="F31" i="186"/>
  <c r="AC46" i="193" l="1"/>
  <c r="Y44" i="193"/>
  <c r="N49" i="193"/>
  <c r="F46" i="193"/>
  <c r="F44" i="193"/>
  <c r="E2855" i="238" l="1"/>
  <c r="E2874" i="238" a="1"/>
  <c r="E2874" i="238" s="1"/>
  <c r="E2873" i="238" a="1"/>
  <c r="E2873" i="238" s="1"/>
  <c r="E2872" i="238" a="1"/>
  <c r="E2872" i="238" s="1"/>
  <c r="E2870" i="238" a="1"/>
  <c r="E2870" i="238" s="1"/>
  <c r="E2869" i="238" a="1"/>
  <c r="E2869" i="238" s="1"/>
  <c r="E2867" i="238" a="1"/>
  <c r="E2867" i="238" s="1"/>
  <c r="E2866" i="238" a="1"/>
  <c r="E2866" i="238" s="1"/>
  <c r="E2865" i="238" a="1"/>
  <c r="E2865" i="238" s="1"/>
  <c r="E2864" i="238" a="1"/>
  <c r="E2864" i="238" s="1"/>
  <c r="E2863" i="238" a="1"/>
  <c r="E2863" i="238" s="1"/>
  <c r="E2862" i="238" a="1"/>
  <c r="E2862" i="238" s="1"/>
  <c r="E2861" i="238" a="1"/>
  <c r="E2861" i="238" s="1"/>
  <c r="E2860" i="238" a="1"/>
  <c r="E2860" i="238" s="1"/>
  <c r="E2859" i="238" a="1"/>
  <c r="E2859" i="238" s="1"/>
  <c r="E2858" i="238" a="1"/>
  <c r="E2858" i="238" s="1"/>
  <c r="E2856" i="238" a="1"/>
  <c r="E2856" i="238" s="1"/>
  <c r="E2853" i="238" a="1"/>
  <c r="E2853" i="238" s="1"/>
  <c r="E2852" i="238" a="1"/>
  <c r="E2852" i="238" s="1"/>
  <c r="E2851" i="238" a="1"/>
  <c r="E2851" i="238" s="1"/>
  <c r="E2850" i="238" a="1"/>
  <c r="E2850" i="238" s="1"/>
  <c r="E2849" i="238" a="1"/>
  <c r="E2849" i="238" s="1"/>
  <c r="E2848" i="238" a="1"/>
  <c r="E2848" i="238" s="1"/>
  <c r="E2847" i="238" a="1"/>
  <c r="E2847" i="238" s="1"/>
  <c r="E2846" i="238" a="1"/>
  <c r="E2846" i="238" s="1"/>
  <c r="E2845" i="238" a="1"/>
  <c r="E2845" i="238" s="1"/>
  <c r="E2844" i="238" a="1"/>
  <c r="E2844" i="238" s="1"/>
  <c r="E2842" i="238" a="1"/>
  <c r="E2842" i="238" s="1"/>
  <c r="E2841" i="238" a="1"/>
  <c r="E2841" i="238" s="1"/>
  <c r="E2839" i="238" a="1"/>
  <c r="E2839" i="238" s="1"/>
  <c r="E2838" i="238" a="1"/>
  <c r="E2838" i="238" s="1"/>
  <c r="E2837" i="238" a="1"/>
  <c r="E2837" i="238" s="1"/>
  <c r="E2836" i="238" a="1"/>
  <c r="E2836" i="238" s="1"/>
  <c r="E2835" i="238" a="1"/>
  <c r="E2835" i="238" s="1"/>
  <c r="E2834" i="238" a="1"/>
  <c r="E2834" i="238" s="1"/>
  <c r="E2833" i="238" a="1"/>
  <c r="E2833" i="238" s="1"/>
  <c r="E2832" i="238" a="1"/>
  <c r="E2832" i="238" s="1"/>
  <c r="E2831" i="238" a="1"/>
  <c r="E2831" i="238" s="1"/>
  <c r="E2830" i="238" a="1"/>
  <c r="E2830" i="238" s="1"/>
  <c r="E2828" i="238" a="1"/>
  <c r="E2828" i="238" s="1"/>
  <c r="E2827" i="238" a="1"/>
  <c r="E2827" i="238" s="1"/>
  <c r="E2825" i="238" a="1"/>
  <c r="E2825" i="238" s="1"/>
  <c r="E2824" i="238" a="1"/>
  <c r="E2824" i="238" s="1"/>
  <c r="E2823" i="238" a="1"/>
  <c r="E2823" i="238" s="1"/>
  <c r="E2822" i="238" a="1"/>
  <c r="E2822" i="238" s="1"/>
  <c r="E2821" i="238" a="1"/>
  <c r="E2821" i="238" s="1"/>
  <c r="E2820" i="238" a="1"/>
  <c r="E2820" i="238" s="1"/>
  <c r="E2819" i="238" a="1"/>
  <c r="E2819" i="238" s="1"/>
  <c r="AA42" i="194"/>
  <c r="W40" i="194"/>
  <c r="AR40" i="194"/>
  <c r="F42" i="194"/>
  <c r="F40" i="194"/>
  <c r="AJ21" i="78"/>
  <c r="AJ15" i="78"/>
  <c r="AC10" i="78"/>
  <c r="Z51" i="78"/>
  <c r="V49" i="78"/>
  <c r="L54" i="78"/>
  <c r="F51" i="78"/>
  <c r="F49" i="78"/>
  <c r="E2734" i="238"/>
  <c r="AI34" i="117"/>
  <c r="U45" i="117"/>
  <c r="Q43" i="117"/>
  <c r="F45" i="117"/>
  <c r="AI43" i="117"/>
  <c r="F43" i="117"/>
  <c r="AJ42" i="113"/>
  <c r="G44" i="113" l="1"/>
  <c r="AB33" i="106"/>
  <c r="X40" i="106"/>
  <c r="T38" i="106"/>
  <c r="AL38" i="106"/>
  <c r="F40" i="106"/>
  <c r="F38" i="106"/>
  <c r="E2586" i="238"/>
  <c r="E2588" i="238"/>
  <c r="E2590" i="238"/>
  <c r="E2592" i="238"/>
  <c r="E2594" i="238"/>
  <c r="E2596" i="238"/>
  <c r="E2598" i="238"/>
  <c r="O26" i="100"/>
  <c r="X54" i="100"/>
  <c r="T52" i="100"/>
  <c r="AL52" i="100"/>
  <c r="F54" i="100"/>
  <c r="F52" i="100"/>
  <c r="AR23" i="100"/>
  <c r="AS16" i="104" l="1"/>
  <c r="AP10" i="104"/>
  <c r="AJ30" i="104"/>
  <c r="F32" i="104"/>
  <c r="F30" i="104"/>
  <c r="E2535" i="238"/>
  <c r="E2534" i="238"/>
  <c r="E2533" i="238"/>
  <c r="E2530" i="238"/>
  <c r="E2529" i="238"/>
  <c r="E2528" i="238"/>
  <c r="E2525" i="238"/>
  <c r="E2524" i="238"/>
  <c r="E2523" i="238"/>
  <c r="E2520" i="238"/>
  <c r="E2519" i="238"/>
  <c r="E2518" i="238"/>
  <c r="E2515" i="238"/>
  <c r="E2514" i="238"/>
  <c r="E2513" i="238"/>
  <c r="E2510" i="238"/>
  <c r="E2509" i="238"/>
  <c r="E2508" i="238"/>
  <c r="E2505" i="238"/>
  <c r="E2504" i="238"/>
  <c r="E2503" i="238"/>
  <c r="E2500" i="238"/>
  <c r="E2499" i="238"/>
  <c r="E2498" i="238"/>
  <c r="E2495" i="238"/>
  <c r="E2494" i="238"/>
  <c r="E2493" i="238"/>
  <c r="P28" i="205"/>
  <c r="AD28" i="205"/>
  <c r="F30" i="205"/>
  <c r="F28" i="205"/>
  <c r="E2485" i="238" l="1"/>
  <c r="E2484" i="238"/>
  <c r="E2483" i="238"/>
  <c r="E2482" i="238"/>
  <c r="E2480" i="238"/>
  <c r="E2479" i="238"/>
  <c r="E2478" i="238"/>
  <c r="E2477" i="238"/>
  <c r="E2475" i="238"/>
  <c r="E2474" i="238"/>
  <c r="E2473" i="238"/>
  <c r="E2472" i="238"/>
  <c r="E2470" i="238"/>
  <c r="E2469" i="238"/>
  <c r="E2468" i="238"/>
  <c r="E2467" i="238"/>
  <c r="E2465" i="238"/>
  <c r="E2464" i="238"/>
  <c r="E2463" i="238"/>
  <c r="E2462" i="238"/>
  <c r="E2460" i="238"/>
  <c r="E2459" i="238"/>
  <c r="E2458" i="238"/>
  <c r="E2457" i="238"/>
  <c r="E2455" i="238"/>
  <c r="E2454" i="238"/>
  <c r="E2453" i="238"/>
  <c r="E2452" i="238"/>
  <c r="E2450" i="238"/>
  <c r="E2449" i="238"/>
  <c r="E2448" i="238"/>
  <c r="E2447" i="238"/>
  <c r="E2445" i="238"/>
  <c r="E2444" i="238"/>
  <c r="E2443" i="238"/>
  <c r="E2442" i="238"/>
  <c r="E2440" i="238"/>
  <c r="E2439" i="238"/>
  <c r="E2438" i="238"/>
  <c r="E2437" i="238"/>
  <c r="E2435" i="238"/>
  <c r="E2434" i="238"/>
  <c r="E2433" i="238"/>
  <c r="E2432" i="238"/>
  <c r="E2430" i="238"/>
  <c r="E2429" i="238"/>
  <c r="E2428" i="238"/>
  <c r="E2427" i="238"/>
  <c r="E2425" i="238"/>
  <c r="E2424" i="238"/>
  <c r="E2423" i="238"/>
  <c r="E2422" i="238"/>
  <c r="E2420" i="238"/>
  <c r="E2419" i="238"/>
  <c r="E2418" i="238"/>
  <c r="E2417" i="238"/>
  <c r="E2415" i="238"/>
  <c r="E2414" i="238"/>
  <c r="E2413" i="238"/>
  <c r="E2412" i="238"/>
  <c r="E2410" i="238"/>
  <c r="E2409" i="238"/>
  <c r="E2408" i="238"/>
  <c r="E2407" i="238"/>
  <c r="E2405" i="238"/>
  <c r="E2404" i="238"/>
  <c r="E2403" i="238"/>
  <c r="E2402" i="238"/>
  <c r="E2400" i="238"/>
  <c r="E2399" i="238"/>
  <c r="E2398" i="238"/>
  <c r="E2397" i="238"/>
  <c r="S33" i="204"/>
  <c r="AJ33" i="204"/>
  <c r="F35" i="204"/>
  <c r="F33" i="204"/>
  <c r="E2393" i="238"/>
  <c r="E2392" i="238"/>
  <c r="E2388" i="238"/>
  <c r="E2387" i="238"/>
  <c r="E2383" i="238"/>
  <c r="E2382" i="238"/>
  <c r="E2378" i="238"/>
  <c r="E2377" i="238"/>
  <c r="E2373" i="238"/>
  <c r="E2372" i="238"/>
  <c r="E2368" i="238"/>
  <c r="E2367" i="238"/>
  <c r="E2363" i="238"/>
  <c r="E2362" i="238"/>
  <c r="E2358" i="238"/>
  <c r="E2357" i="238"/>
  <c r="E2353" i="238"/>
  <c r="E2352" i="238"/>
  <c r="E2348" i="238"/>
  <c r="E2347" i="238"/>
  <c r="P31" i="203"/>
  <c r="AD31" i="203"/>
  <c r="F33" i="203"/>
  <c r="F31" i="203"/>
  <c r="E2344" i="238"/>
  <c r="E2342" i="238"/>
  <c r="F2342" i="238" s="1"/>
  <c r="E2341" i="238"/>
  <c r="F2341" i="238" s="1"/>
  <c r="E2340" i="238"/>
  <c r="F2340" i="238" s="1"/>
  <c r="E2339" i="238"/>
  <c r="F2339" i="238" s="1"/>
  <c r="E2338" i="238"/>
  <c r="F2338" i="238" s="1"/>
  <c r="E2335" i="238"/>
  <c r="E2332" i="238"/>
  <c r="F2332" i="238" s="1"/>
  <c r="E2333" i="238"/>
  <c r="F2333" i="238" s="1"/>
  <c r="E2331" i="238"/>
  <c r="F2331" i="238" s="1"/>
  <c r="E2330" i="238"/>
  <c r="F2330" i="238" s="1"/>
  <c r="E2329" i="238"/>
  <c r="F2329" i="238" s="1"/>
  <c r="E2326" i="238"/>
  <c r="E2324" i="238"/>
  <c r="F2324" i="238" s="1"/>
  <c r="E2323" i="238"/>
  <c r="F2323" i="238" s="1"/>
  <c r="E2322" i="238"/>
  <c r="F2322" i="238" s="1"/>
  <c r="E2321" i="238"/>
  <c r="F2321" i="238" s="1"/>
  <c r="E2320" i="238"/>
  <c r="F2320" i="238" s="1"/>
  <c r="E2317" i="238"/>
  <c r="E2315" i="238"/>
  <c r="F2315" i="238" s="1"/>
  <c r="E2314" i="238"/>
  <c r="F2314" i="238" s="1"/>
  <c r="E2313" i="238"/>
  <c r="F2313" i="238" s="1"/>
  <c r="E2312" i="238"/>
  <c r="F2312" i="238" s="1"/>
  <c r="E2311" i="238"/>
  <c r="F2311" i="238" s="1"/>
  <c r="R43" i="201"/>
  <c r="AG43" i="201"/>
  <c r="F45" i="201"/>
  <c r="F43" i="201"/>
  <c r="E2306" i="238"/>
  <c r="E2305" i="238"/>
  <c r="E2304" i="238"/>
  <c r="E2303" i="238"/>
  <c r="E2302" i="238"/>
  <c r="E2308" i="238"/>
  <c r="E2295" i="238" l="1"/>
  <c r="E2294" i="238"/>
  <c r="E2293" i="238"/>
  <c r="E2292" i="238"/>
  <c r="E2291" i="238"/>
  <c r="E2280" i="238"/>
  <c r="E2279" i="238"/>
  <c r="E2278" i="238"/>
  <c r="E2277" i="238"/>
  <c r="E2276" i="238"/>
  <c r="E2275" i="238"/>
  <c r="F2275" i="238" s="1"/>
  <c r="E2274" i="238"/>
  <c r="F2274" i="238" s="1"/>
  <c r="E2272" i="238"/>
  <c r="E2270" i="238"/>
  <c r="F2270" i="238" s="1"/>
  <c r="E2271" i="238"/>
  <c r="F2271" i="238" s="1"/>
  <c r="E2265" i="238"/>
  <c r="F2265" i="238" s="1"/>
  <c r="E2264" i="238"/>
  <c r="F2264" i="238" s="1"/>
  <c r="Q44" i="188" l="1"/>
  <c r="F46" i="188"/>
  <c r="AF44" i="188"/>
  <c r="F44" i="188"/>
  <c r="S33" i="105"/>
  <c r="AJ33" i="105"/>
  <c r="F35" i="105"/>
  <c r="F33" i="105"/>
  <c r="AJ39" i="97"/>
  <c r="F41" i="97"/>
  <c r="F39" i="97"/>
  <c r="E2083" i="238"/>
  <c r="E2069" i="238" a="1"/>
  <c r="E2069" i="238" s="1"/>
  <c r="E2064" i="238"/>
  <c r="E2063" i="238"/>
  <c r="N57" i="133"/>
  <c r="F54" i="133"/>
  <c r="F52" i="133"/>
  <c r="E2057" i="238"/>
  <c r="E2056" i="238"/>
  <c r="E2061" i="238"/>
  <c r="E2060" i="238"/>
  <c r="AP43" i="206" l="1"/>
  <c r="F45" i="206"/>
  <c r="F43" i="206"/>
  <c r="AV37" i="206"/>
  <c r="AJ32" i="183" l="1"/>
  <c r="F34" i="183"/>
  <c r="F32" i="183"/>
  <c r="AN9" i="183"/>
  <c r="AJ7" i="183"/>
  <c r="V41" i="88"/>
  <c r="R39" i="88"/>
  <c r="AG39" i="88"/>
  <c r="F41" i="88"/>
  <c r="F39" i="88"/>
  <c r="E1713" i="238"/>
  <c r="E1712" i="238" a="1"/>
  <c r="E1712" i="238" s="1"/>
  <c r="E1711" i="238"/>
  <c r="E1710" i="238" a="1"/>
  <c r="E1710" i="238" s="1"/>
  <c r="E1709" i="238"/>
  <c r="E1708" i="238"/>
  <c r="E1707" i="238"/>
  <c r="E1706" i="238"/>
  <c r="E1705" i="238"/>
  <c r="E1704" i="238"/>
  <c r="E1703" i="238"/>
  <c r="E1702" i="238" a="1"/>
  <c r="E1702" i="238" s="1"/>
  <c r="E1701" i="238"/>
  <c r="E1700" i="238" a="1"/>
  <c r="E1700" i="238" s="1"/>
  <c r="E1699" i="238"/>
  <c r="E1698" i="238"/>
  <c r="E1697" i="238"/>
  <c r="E1696" i="238"/>
  <c r="E1695" i="238"/>
  <c r="E1694" i="238"/>
  <c r="E1693" i="238"/>
  <c r="E1692" i="238" a="1"/>
  <c r="E1692" i="238" s="1"/>
  <c r="E1691" i="238"/>
  <c r="E1690" i="238" a="1"/>
  <c r="E1690" i="238" s="1"/>
  <c r="E1689" i="238"/>
  <c r="E1688" i="238"/>
  <c r="E1687" i="238"/>
  <c r="E1686" i="238"/>
  <c r="E1685" i="238"/>
  <c r="E1684" i="238"/>
  <c r="E1683" i="238"/>
  <c r="E1682" i="238" a="1"/>
  <c r="E1682" i="238" s="1"/>
  <c r="E1681" i="238"/>
  <c r="E1680" i="238" a="1"/>
  <c r="E1680" i="238" s="1"/>
  <c r="E1679" i="238"/>
  <c r="E1678" i="238"/>
  <c r="E1677" i="238"/>
  <c r="E1676" i="238"/>
  <c r="E1675" i="238"/>
  <c r="E1674" i="238"/>
  <c r="E1673" i="238"/>
  <c r="E1672" i="238" a="1"/>
  <c r="E1672" i="238" s="1"/>
  <c r="E1671" i="238"/>
  <c r="E1670" i="238" a="1"/>
  <c r="E1670" i="238" s="1"/>
  <c r="E1669" i="238"/>
  <c r="E1668" i="238"/>
  <c r="E1667" i="238"/>
  <c r="E1666" i="238"/>
  <c r="E1665" i="238"/>
  <c r="E1664" i="238"/>
  <c r="E1663" i="238"/>
  <c r="E1662" i="238" a="1"/>
  <c r="E1662" i="238" s="1"/>
  <c r="E1661" i="238"/>
  <c r="E1660" i="238" a="1"/>
  <c r="E1660" i="238" s="1"/>
  <c r="E1659" i="238"/>
  <c r="E1658" i="238"/>
  <c r="E1657" i="238"/>
  <c r="E1656" i="238"/>
  <c r="E1655" i="238"/>
  <c r="E1654" i="238"/>
  <c r="E1653" i="238"/>
  <c r="E1652" i="238" a="1"/>
  <c r="E1652" i="238" s="1"/>
  <c r="E1651" i="238"/>
  <c r="E1650" i="238" a="1"/>
  <c r="E1650" i="238" s="1"/>
  <c r="E1649" i="238"/>
  <c r="E1648" i="238"/>
  <c r="E1647" i="238"/>
  <c r="E1646" i="238"/>
  <c r="E1645" i="238"/>
  <c r="E1644" i="238"/>
  <c r="E1643" i="238"/>
  <c r="E1642" i="238" a="1"/>
  <c r="E1642" i="238" s="1"/>
  <c r="E1641" i="238"/>
  <c r="E1640" i="238" a="1"/>
  <c r="E1640" i="238" s="1"/>
  <c r="E1639" i="238"/>
  <c r="E1638" i="238"/>
  <c r="E1637" i="238"/>
  <c r="E1636" i="238"/>
  <c r="E1635" i="238"/>
  <c r="E1634" i="238"/>
  <c r="AA50" i="200"/>
  <c r="W48" i="200"/>
  <c r="AR48" i="200"/>
  <c r="F50" i="200"/>
  <c r="F48" i="200"/>
  <c r="X34" i="171"/>
  <c r="T32" i="171"/>
  <c r="AL32" i="171"/>
  <c r="F34" i="171"/>
  <c r="F32" i="171"/>
  <c r="E1450" i="238"/>
  <c r="E1451" i="238"/>
  <c r="E1452" i="238"/>
  <c r="E1453" i="238"/>
  <c r="E1454" i="238"/>
  <c r="E1455" i="238"/>
  <c r="E1456" i="238"/>
  <c r="E1457" i="238"/>
  <c r="E1458" i="238"/>
  <c r="E1459" i="238"/>
  <c r="E1460" i="238"/>
  <c r="E1461" i="238"/>
  <c r="E1462" i="238"/>
  <c r="E1463" i="238"/>
  <c r="E1464" i="238"/>
  <c r="E1465" i="238"/>
  <c r="E1466" i="238"/>
  <c r="E1467" i="238"/>
  <c r="E1468" i="238"/>
  <c r="E1469" i="238"/>
  <c r="E1470" i="238"/>
  <c r="E1471" i="238"/>
  <c r="E1472" i="238"/>
  <c r="E1473" i="238"/>
  <c r="E1474" i="238"/>
  <c r="E1475" i="238"/>
  <c r="E1476" i="238"/>
  <c r="E1477" i="238"/>
  <c r="E1478" i="238"/>
  <c r="E1479" i="238"/>
  <c r="E1480" i="238"/>
  <c r="E1481" i="238"/>
  <c r="W41" i="176"/>
  <c r="AR41" i="176"/>
  <c r="F43" i="176"/>
  <c r="F41" i="176"/>
  <c r="E1449" i="238"/>
  <c r="E1448" i="238"/>
  <c r="E1447" i="238"/>
  <c r="E1446" i="238"/>
  <c r="E1445" i="238"/>
  <c r="E1444" i="238"/>
  <c r="E1443" i="238"/>
  <c r="E1442" i="238"/>
  <c r="E1441" i="238"/>
  <c r="E1440" i="238"/>
  <c r="E1439" i="238"/>
  <c r="E1438" i="238"/>
  <c r="E1437" i="238"/>
  <c r="E1436" i="238"/>
  <c r="E1435" i="238"/>
  <c r="E1434" i="238"/>
  <c r="E1433" i="238"/>
  <c r="E1432" i="238"/>
  <c r="E1431" i="238"/>
  <c r="E1430" i="238"/>
  <c r="E1429" i="238"/>
  <c r="E1428" i="238"/>
  <c r="E1427" i="238"/>
  <c r="E1426" i="238"/>
  <c r="E1425" i="238"/>
  <c r="E1424" i="238"/>
  <c r="E1423" i="238"/>
  <c r="E1422" i="238"/>
  <c r="E1421" i="238"/>
  <c r="E1420" i="238"/>
  <c r="E1419" i="238"/>
  <c r="E1418" i="238"/>
  <c r="E1417" i="238"/>
  <c r="E1416" i="238"/>
  <c r="E1415" i="238"/>
  <c r="E1414" i="238"/>
  <c r="E1413" i="238"/>
  <c r="E1412" i="238"/>
  <c r="E1411" i="238"/>
  <c r="E1410" i="238"/>
  <c r="E1409" i="238"/>
  <c r="E1408" i="238"/>
  <c r="E1407" i="238"/>
  <c r="E1406" i="238"/>
  <c r="E1405" i="238"/>
  <c r="E1404" i="238"/>
  <c r="E1403" i="238"/>
  <c r="E1402" i="238"/>
  <c r="E1401" i="238"/>
  <c r="E1400" i="238"/>
  <c r="E1399" i="238"/>
  <c r="E1398" i="238"/>
  <c r="E1397" i="238"/>
  <c r="E1396" i="238"/>
  <c r="E1395" i="238"/>
  <c r="E1394" i="238"/>
  <c r="E1393" i="238"/>
  <c r="E1392" i="238"/>
  <c r="E1391" i="238"/>
  <c r="E1390" i="238"/>
  <c r="E1389" i="238"/>
  <c r="E1388" i="238"/>
  <c r="E1387" i="238"/>
  <c r="E1386" i="238"/>
  <c r="E1385" i="238"/>
  <c r="E1384" i="238"/>
  <c r="E1383" i="238"/>
  <c r="E1382" i="238"/>
  <c r="E1381" i="238"/>
  <c r="E1380" i="238"/>
  <c r="E1379" i="238"/>
  <c r="E1378" i="238"/>
  <c r="E1377" i="238"/>
  <c r="E1376" i="238"/>
  <c r="E1375" i="238"/>
  <c r="E1374" i="238"/>
  <c r="E1373" i="238"/>
  <c r="E1372" i="238"/>
  <c r="E1371" i="238"/>
  <c r="E1370" i="238"/>
  <c r="U34" i="169"/>
  <c r="Q32" i="169"/>
  <c r="AF32" i="169"/>
  <c r="F34" i="169"/>
  <c r="F32" i="169"/>
  <c r="AN22" i="169"/>
  <c r="AN21" i="169"/>
  <c r="AN20" i="169"/>
  <c r="AN19" i="169"/>
  <c r="AN18" i="169"/>
  <c r="AN17" i="169"/>
  <c r="AN16" i="169"/>
  <c r="AN15" i="169"/>
  <c r="AN14" i="169"/>
  <c r="AN13" i="169"/>
  <c r="AN12" i="169"/>
  <c r="AN11" i="169"/>
  <c r="AN10" i="169"/>
  <c r="AN9" i="169"/>
  <c r="AN8" i="169"/>
  <c r="AB55" i="32" l="1"/>
  <c r="X53" i="32"/>
  <c r="AT53" i="32"/>
  <c r="F55" i="32"/>
  <c r="F53" i="32"/>
  <c r="BG33" i="32"/>
  <c r="BD33" i="32"/>
  <c r="BG32" i="32"/>
  <c r="BD32" i="32"/>
  <c r="BG31" i="32"/>
  <c r="BD31" i="32"/>
  <c r="BG30" i="32"/>
  <c r="BD30" i="32"/>
  <c r="BG29" i="32"/>
  <c r="E1189" i="238" l="1"/>
  <c r="E1188" i="238"/>
  <c r="E1187" i="238"/>
  <c r="E1186" i="238"/>
  <c r="E1185" i="238"/>
  <c r="E1184" i="238"/>
  <c r="E1183" i="238"/>
  <c r="E1182" i="238"/>
  <c r="E1181" i="238"/>
  <c r="E1180" i="238"/>
  <c r="E1179" i="238"/>
  <c r="E1178" i="238"/>
  <c r="E1177" i="238"/>
  <c r="E1176" i="238"/>
  <c r="E1175" i="238"/>
  <c r="E1174" i="238"/>
  <c r="E1173" i="238"/>
  <c r="E1172" i="238"/>
  <c r="E1171" i="238"/>
  <c r="E1170" i="238"/>
  <c r="E1169" i="238"/>
  <c r="E1168" i="238"/>
  <c r="E1167" i="238"/>
  <c r="E1166" i="238"/>
  <c r="E1165" i="238"/>
  <c r="E1164" i="238"/>
  <c r="E1163" i="238"/>
  <c r="E1162" i="238"/>
  <c r="E1161" i="238"/>
  <c r="E1160" i="238"/>
  <c r="E1159" i="238"/>
  <c r="E1158" i="238"/>
  <c r="E1157" i="238"/>
  <c r="E1156" i="238"/>
  <c r="E1155" i="238"/>
  <c r="E1154" i="238"/>
  <c r="E1153" i="238"/>
  <c r="E1152" i="238"/>
  <c r="E1151" i="238"/>
  <c r="E1150" i="238"/>
  <c r="E1149" i="238"/>
  <c r="E1148" i="238"/>
  <c r="E1147" i="238"/>
  <c r="E1146" i="238"/>
  <c r="E1145" i="238"/>
  <c r="E1144" i="238"/>
  <c r="E1143" i="238"/>
  <c r="E1142" i="238"/>
  <c r="E1141" i="238"/>
  <c r="E1140" i="238"/>
  <c r="E1139" i="238"/>
  <c r="E1138" i="238"/>
  <c r="E1137" i="238"/>
  <c r="E1136" i="238"/>
  <c r="E1135" i="238"/>
  <c r="E1134" i="238"/>
  <c r="E1133" i="238"/>
  <c r="E1132" i="238"/>
  <c r="E1131" i="238"/>
  <c r="E1130" i="238"/>
  <c r="E1129" i="238"/>
  <c r="E1128" i="238"/>
  <c r="E1127" i="238"/>
  <c r="E1126" i="238"/>
  <c r="E1125" i="238"/>
  <c r="E1124" i="238"/>
  <c r="E1123" i="238"/>
  <c r="E1122" i="238"/>
  <c r="E1121" i="238"/>
  <c r="E1120" i="238"/>
  <c r="E1119" i="238"/>
  <c r="E1118" i="238"/>
  <c r="E1117" i="238"/>
  <c r="E1116" i="238"/>
  <c r="E1115" i="238"/>
  <c r="E1114" i="238"/>
  <c r="E1113" i="238"/>
  <c r="E1112" i="238"/>
  <c r="E1111" i="238"/>
  <c r="E1110" i="238"/>
  <c r="E1109" i="238"/>
  <c r="E1108" i="238"/>
  <c r="E1107" i="238"/>
  <c r="E1106" i="238"/>
  <c r="E1105" i="238"/>
  <c r="E1104" i="238"/>
  <c r="E1103" i="238"/>
  <c r="E1102" i="238"/>
  <c r="E1101" i="238"/>
  <c r="E1100" i="238"/>
  <c r="E1099" i="238"/>
  <c r="E1098" i="238"/>
  <c r="E1097" i="238"/>
  <c r="E1096" i="238"/>
  <c r="E1095" i="238"/>
  <c r="E1094" i="238"/>
  <c r="E1093" i="238"/>
  <c r="E1092" i="238"/>
  <c r="E1091" i="238"/>
  <c r="E1090" i="238"/>
  <c r="E1089" i="238"/>
  <c r="E1088" i="238"/>
  <c r="E1087" i="238"/>
  <c r="E1086" i="238"/>
  <c r="E1085" i="238"/>
  <c r="E1084" i="238"/>
  <c r="E1083" i="238"/>
  <c r="E1082" i="238"/>
  <c r="E1081" i="238"/>
  <c r="E1080" i="238"/>
  <c r="E1079" i="238"/>
  <c r="E1078" i="238"/>
  <c r="E1077" i="238"/>
  <c r="E1076" i="238"/>
  <c r="E1075" i="238"/>
  <c r="E1074" i="238"/>
  <c r="E1073" i="238"/>
  <c r="E1072" i="238"/>
  <c r="E1071" i="238"/>
  <c r="E1070" i="238"/>
  <c r="E1069" i="238"/>
  <c r="E1068" i="238"/>
  <c r="E1067" i="238"/>
  <c r="E1066" i="238"/>
  <c r="E1065" i="238"/>
  <c r="E1064" i="238"/>
  <c r="E1063" i="238"/>
  <c r="E1062" i="238"/>
  <c r="E1061" i="238"/>
  <c r="E1060" i="238"/>
  <c r="E1059" i="238"/>
  <c r="E1058" i="238"/>
  <c r="E1057" i="238"/>
  <c r="E1056" i="238"/>
  <c r="E1055" i="238"/>
  <c r="E1054" i="238"/>
  <c r="E1053" i="238"/>
  <c r="E1052" i="238"/>
  <c r="E1051" i="238"/>
  <c r="E1050" i="238"/>
  <c r="E1049" i="238"/>
  <c r="E1048" i="238"/>
  <c r="E1047" i="238"/>
  <c r="E1046" i="238"/>
  <c r="E1045" i="238"/>
  <c r="E1044" i="238"/>
  <c r="E1043" i="238"/>
  <c r="E1042" i="238"/>
  <c r="E1041" i="238"/>
  <c r="E1040" i="238"/>
  <c r="E1039" i="238"/>
  <c r="E1038" i="238"/>
  <c r="E1037" i="238"/>
  <c r="E1036" i="238"/>
  <c r="E1035" i="238"/>
  <c r="E1034" i="238"/>
  <c r="E1033" i="238"/>
  <c r="E1032" i="238"/>
  <c r="E1031" i="238"/>
  <c r="E1030" i="238"/>
  <c r="E1029" i="238"/>
  <c r="E1028" i="238"/>
  <c r="E1027" i="238"/>
  <c r="E1026" i="238"/>
  <c r="E1025" i="238"/>
  <c r="E1024" i="238"/>
  <c r="E1023" i="238"/>
  <c r="E1022" i="238"/>
  <c r="E1021" i="238"/>
  <c r="E1020" i="238"/>
  <c r="E1019" i="238"/>
  <c r="E1018" i="238"/>
  <c r="E1017" i="238"/>
  <c r="E1016" i="238"/>
  <c r="E1015" i="238"/>
  <c r="E1014" i="238"/>
  <c r="E1013" i="238"/>
  <c r="E1012" i="238"/>
  <c r="E1011" i="238"/>
  <c r="E1010" i="238"/>
  <c r="E1009" i="238"/>
  <c r="E1008" i="238"/>
  <c r="E1007" i="238"/>
  <c r="E1006" i="238"/>
  <c r="E1005" i="238"/>
  <c r="E1004" i="238"/>
  <c r="E1003" i="238"/>
  <c r="E1002" i="238"/>
  <c r="E1001" i="238"/>
  <c r="E1000" i="238"/>
  <c r="E999" i="238"/>
  <c r="E998" i="238"/>
  <c r="E997" i="238"/>
  <c r="E996" i="238"/>
  <c r="E995" i="238"/>
  <c r="E994" i="238"/>
  <c r="E993" i="238"/>
  <c r="E992" i="238"/>
  <c r="E991" i="238"/>
  <c r="E990" i="238"/>
  <c r="E989" i="238"/>
  <c r="E988" i="238"/>
  <c r="E987" i="238"/>
  <c r="E986" i="238"/>
  <c r="E985" i="238"/>
  <c r="E984" i="238"/>
  <c r="E983" i="238"/>
  <c r="E982" i="238"/>
  <c r="E981" i="238"/>
  <c r="E980" i="238"/>
  <c r="E979" i="238"/>
  <c r="E978" i="238"/>
  <c r="E977" i="238"/>
  <c r="E976" i="238"/>
  <c r="E975" i="238"/>
  <c r="E974" i="238"/>
  <c r="E973" i="238"/>
  <c r="E972" i="238"/>
  <c r="E971" i="238"/>
  <c r="E970" i="238"/>
  <c r="E969" i="238"/>
  <c r="E968" i="238"/>
  <c r="E967" i="238"/>
  <c r="E966" i="238"/>
  <c r="E965" i="238"/>
  <c r="E964" i="238"/>
  <c r="E963" i="238"/>
  <c r="E962" i="238"/>
  <c r="E961" i="238"/>
  <c r="E960" i="238"/>
  <c r="E959" i="238"/>
  <c r="E958" i="238"/>
  <c r="E957" i="238"/>
  <c r="E956" i="238"/>
  <c r="E955" i="238"/>
  <c r="E954" i="238"/>
  <c r="E953" i="238"/>
  <c r="E952" i="238"/>
  <c r="E951" i="238"/>
  <c r="E950" i="238"/>
  <c r="E949" i="238"/>
  <c r="E948" i="238"/>
  <c r="E947" i="238"/>
  <c r="E946" i="238"/>
  <c r="E945" i="238"/>
  <c r="E944" i="238"/>
  <c r="E943" i="238"/>
  <c r="E942" i="238"/>
  <c r="E941" i="238"/>
  <c r="E940" i="238"/>
  <c r="E939" i="238"/>
  <c r="E938" i="238"/>
  <c r="E937" i="238"/>
  <c r="E936" i="238"/>
  <c r="E935" i="238"/>
  <c r="E934" i="238"/>
  <c r="E933" i="238"/>
  <c r="E932" i="238"/>
  <c r="E931" i="238"/>
  <c r="E930" i="238"/>
  <c r="E929" i="238"/>
  <c r="E928" i="238"/>
  <c r="E927" i="238"/>
  <c r="E926" i="238"/>
  <c r="E925" i="238"/>
  <c r="E924" i="238"/>
  <c r="E923" i="238"/>
  <c r="E922" i="238"/>
  <c r="E921" i="238"/>
  <c r="E920" i="238"/>
  <c r="E919" i="238"/>
  <c r="E918" i="238"/>
  <c r="E917" i="238"/>
  <c r="E916" i="238"/>
  <c r="E915" i="238"/>
  <c r="E914" i="238"/>
  <c r="E913" i="238"/>
  <c r="E912" i="238"/>
  <c r="E911" i="238"/>
  <c r="E910" i="238"/>
  <c r="E909" i="238"/>
  <c r="E908" i="238"/>
  <c r="E907" i="238"/>
  <c r="E906" i="238"/>
  <c r="E905" i="238"/>
  <c r="E904" i="238"/>
  <c r="E903" i="238"/>
  <c r="E902" i="238"/>
  <c r="E901" i="238"/>
  <c r="E900" i="238"/>
  <c r="E899" i="238"/>
  <c r="E898" i="238"/>
  <c r="E897" i="238"/>
  <c r="E896" i="238"/>
  <c r="E895" i="238"/>
  <c r="E894" i="238"/>
  <c r="E893" i="238"/>
  <c r="E892" i="238"/>
  <c r="E891" i="238"/>
  <c r="E890" i="238"/>
  <c r="E889" i="238"/>
  <c r="E888" i="238"/>
  <c r="E887" i="238"/>
  <c r="E886" i="238"/>
  <c r="E885" i="238"/>
  <c r="E884" i="238"/>
  <c r="E883" i="238"/>
  <c r="E882" i="238"/>
  <c r="E881" i="238"/>
  <c r="E880" i="238"/>
  <c r="E879" i="238"/>
  <c r="E878" i="238"/>
  <c r="E877" i="238"/>
  <c r="E876" i="238"/>
  <c r="E875" i="238"/>
  <c r="E874" i="238"/>
  <c r="E873" i="238"/>
  <c r="E872" i="238"/>
  <c r="E871" i="238"/>
  <c r="E870" i="238"/>
  <c r="E869" i="238"/>
  <c r="E868" i="238"/>
  <c r="E867" i="238"/>
  <c r="E866" i="238"/>
  <c r="E865" i="238"/>
  <c r="E864" i="238"/>
  <c r="E863" i="238"/>
  <c r="E862" i="238"/>
  <c r="E861" i="238"/>
  <c r="E860" i="238"/>
  <c r="E859" i="238"/>
  <c r="E858" i="238"/>
  <c r="E857" i="238"/>
  <c r="E856" i="238"/>
  <c r="E855" i="238"/>
  <c r="E854" i="238"/>
  <c r="E853" i="238"/>
  <c r="E852" i="238"/>
  <c r="E851" i="238"/>
  <c r="E850" i="238"/>
  <c r="E849" i="238"/>
  <c r="E848" i="238"/>
  <c r="E847" i="238"/>
  <c r="E846" i="238"/>
  <c r="E845" i="238"/>
  <c r="E844" i="238"/>
  <c r="E843" i="238"/>
  <c r="E842" i="238"/>
  <c r="E841" i="238"/>
  <c r="E840" i="238"/>
  <c r="E839" i="238"/>
  <c r="E838" i="238"/>
  <c r="E837" i="238"/>
  <c r="E836" i="238"/>
  <c r="E835" i="238"/>
  <c r="E834" i="238"/>
  <c r="E833" i="238"/>
  <c r="E832" i="238"/>
  <c r="E831" i="238"/>
  <c r="E830" i="238"/>
  <c r="E829" i="238"/>
  <c r="E828" i="238"/>
  <c r="E827" i="238"/>
  <c r="E826" i="238"/>
  <c r="E825" i="238"/>
  <c r="E824" i="238"/>
  <c r="E823" i="238"/>
  <c r="E822" i="238"/>
  <c r="E821" i="238"/>
  <c r="E820" i="238"/>
  <c r="E819" i="238"/>
  <c r="E818" i="238"/>
  <c r="E817" i="238"/>
  <c r="E816" i="238"/>
  <c r="E815" i="238"/>
  <c r="E814" i="238"/>
  <c r="E813" i="238"/>
  <c r="E812" i="238"/>
  <c r="E811" i="238"/>
  <c r="E810" i="238"/>
  <c r="E809" i="238"/>
  <c r="E808" i="238"/>
  <c r="E807" i="238"/>
  <c r="E806" i="238"/>
  <c r="E805" i="238"/>
  <c r="E804" i="238"/>
  <c r="E803" i="238"/>
  <c r="E802" i="238"/>
  <c r="E801" i="238"/>
  <c r="E800" i="238"/>
  <c r="AO48" i="143"/>
  <c r="AO47" i="143"/>
  <c r="AO46" i="143"/>
  <c r="AO45" i="143"/>
  <c r="AO44" i="143"/>
  <c r="AO43" i="143"/>
  <c r="AO42" i="143"/>
  <c r="AO41" i="143"/>
  <c r="AO40" i="143"/>
  <c r="AO39" i="143"/>
  <c r="AO38" i="143"/>
  <c r="AO37" i="143"/>
  <c r="AO36" i="143"/>
  <c r="AO35" i="143"/>
  <c r="AO34" i="143"/>
  <c r="AO33" i="143"/>
  <c r="AO32" i="143"/>
  <c r="AO31" i="143"/>
  <c r="AO30" i="143"/>
  <c r="AO29" i="143"/>
  <c r="AO28" i="143"/>
  <c r="AO27" i="143"/>
  <c r="AO26" i="143"/>
  <c r="AO25" i="143"/>
  <c r="AO24" i="143"/>
  <c r="AO23" i="143"/>
  <c r="AO22" i="143"/>
  <c r="AO21" i="143"/>
  <c r="AO20" i="143"/>
  <c r="AO19" i="143"/>
  <c r="AO18" i="143"/>
  <c r="AO17" i="143"/>
  <c r="AO16" i="143"/>
  <c r="AO15" i="143"/>
  <c r="AO14" i="143"/>
  <c r="AO13" i="143"/>
  <c r="AO12" i="143"/>
  <c r="AO11" i="143"/>
  <c r="AO10" i="143"/>
  <c r="AT54" i="143"/>
  <c r="AB56" i="143"/>
  <c r="X54" i="143"/>
  <c r="F56" i="143"/>
  <c r="F54" i="143"/>
  <c r="AI38" i="177"/>
  <c r="F40" i="177"/>
  <c r="F38" i="177"/>
  <c r="AP47" i="191" l="1"/>
  <c r="AB49" i="191"/>
  <c r="X47" i="191"/>
  <c r="F49" i="191"/>
  <c r="F47" i="191"/>
  <c r="O29" i="190"/>
  <c r="E625" i="238"/>
  <c r="E626" i="238"/>
  <c r="E627" i="238"/>
  <c r="E628" i="238"/>
  <c r="E629" i="238"/>
  <c r="E630" i="238"/>
  <c r="E631" i="238"/>
  <c r="E632" i="238"/>
  <c r="E633" i="238"/>
  <c r="E634" i="238"/>
  <c r="E635" i="238"/>
  <c r="E636" i="238"/>
  <c r="E637" i="238"/>
  <c r="E638" i="238"/>
  <c r="E639" i="238"/>
  <c r="E640" i="238"/>
  <c r="E641" i="238"/>
  <c r="E642" i="238"/>
  <c r="E643" i="238"/>
  <c r="E644" i="238"/>
  <c r="E645" i="238"/>
  <c r="E646" i="238"/>
  <c r="E647" i="238"/>
  <c r="E648" i="238"/>
  <c r="E649" i="238"/>
  <c r="E650" i="238"/>
  <c r="E651" i="238"/>
  <c r="E652" i="238"/>
  <c r="E653" i="238"/>
  <c r="E654" i="238"/>
  <c r="E655" i="238"/>
  <c r="E656" i="238"/>
  <c r="E657" i="238"/>
  <c r="E658" i="238"/>
  <c r="E659" i="238"/>
  <c r="E660" i="238"/>
  <c r="E661" i="238"/>
  <c r="E662" i="238"/>
  <c r="E663" i="238"/>
  <c r="E664" i="238"/>
  <c r="E665" i="238"/>
  <c r="E666" i="238"/>
  <c r="E667" i="238"/>
  <c r="E668" i="238"/>
  <c r="E669" i="238"/>
  <c r="E670" i="238"/>
  <c r="E671" i="238"/>
  <c r="E672" i="238"/>
  <c r="E673" i="238"/>
  <c r="E674" i="238"/>
  <c r="E675" i="238"/>
  <c r="E676" i="238"/>
  <c r="E677" i="238"/>
  <c r="E678" i="238"/>
  <c r="E679" i="238"/>
  <c r="E680" i="238"/>
  <c r="E681" i="238"/>
  <c r="E682" i="238"/>
  <c r="E683" i="238"/>
  <c r="E684" i="238"/>
  <c r="E685" i="238"/>
  <c r="E686" i="238"/>
  <c r="E687" i="238"/>
  <c r="E688" i="238"/>
  <c r="E689" i="238"/>
  <c r="E690" i="238"/>
  <c r="E691" i="238"/>
  <c r="E692" i="238"/>
  <c r="E693" i="238"/>
  <c r="E694" i="238"/>
  <c r="E695" i="238"/>
  <c r="E696" i="238"/>
  <c r="E697" i="238"/>
  <c r="E698" i="238"/>
  <c r="E699" i="238"/>
  <c r="E700" i="238"/>
  <c r="E701" i="238"/>
  <c r="E702" i="238"/>
  <c r="E703" i="238"/>
  <c r="E704" i="238"/>
  <c r="E705" i="238"/>
  <c r="E706" i="238"/>
  <c r="E707" i="238"/>
  <c r="E708" i="238"/>
  <c r="E709" i="238"/>
  <c r="E710" i="238"/>
  <c r="E711" i="238"/>
  <c r="E712" i="238"/>
  <c r="E713" i="238"/>
  <c r="E714" i="238"/>
  <c r="E715" i="238"/>
  <c r="E716" i="238"/>
  <c r="E717" i="238"/>
  <c r="E718" i="238"/>
  <c r="E719" i="238"/>
  <c r="E720" i="238"/>
  <c r="E721" i="238"/>
  <c r="E722" i="238"/>
  <c r="E723" i="238"/>
  <c r="E724" i="238"/>
  <c r="E725" i="238"/>
  <c r="E726" i="238"/>
  <c r="E727" i="238"/>
  <c r="E728" i="238"/>
  <c r="E729" i="238"/>
  <c r="E730" i="238"/>
  <c r="E731" i="238"/>
  <c r="E732" i="238"/>
  <c r="E733" i="238"/>
  <c r="E734" i="238"/>
  <c r="E735" i="238"/>
  <c r="E736" i="238"/>
  <c r="E737" i="238"/>
  <c r="E738" i="238"/>
  <c r="E739" i="238"/>
  <c r="E740" i="238"/>
  <c r="E741" i="238"/>
  <c r="E742" i="238"/>
  <c r="E743" i="238"/>
  <c r="E744" i="238"/>
  <c r="E745" i="238"/>
  <c r="E746" i="238"/>
  <c r="E747" i="238"/>
  <c r="E748" i="238"/>
  <c r="E749" i="238"/>
  <c r="E750" i="238"/>
  <c r="E751" i="238"/>
  <c r="E752" i="238"/>
  <c r="E753" i="238"/>
  <c r="E754" i="238"/>
  <c r="E755" i="238"/>
  <c r="E756" i="238"/>
  <c r="E757" i="238"/>
  <c r="E758" i="238"/>
  <c r="E759" i="238"/>
  <c r="E760" i="238"/>
  <c r="E761" i="238"/>
  <c r="E762" i="238"/>
  <c r="E763" i="238"/>
  <c r="E764" i="238"/>
  <c r="E765" i="238"/>
  <c r="E766" i="238"/>
  <c r="E767" i="238"/>
  <c r="E768" i="238"/>
  <c r="E769" i="238"/>
  <c r="E770" i="238"/>
  <c r="E771" i="238"/>
  <c r="E772" i="238"/>
  <c r="E773" i="238"/>
  <c r="E774" i="238"/>
  <c r="E775" i="238"/>
  <c r="E776" i="238"/>
  <c r="E777" i="238"/>
  <c r="E778" i="238"/>
  <c r="E779" i="238"/>
  <c r="E780" i="238"/>
  <c r="E781" i="238"/>
  <c r="E782" i="238"/>
  <c r="E783" i="238"/>
  <c r="E784" i="238"/>
  <c r="E785" i="238"/>
  <c r="E786" i="238"/>
  <c r="AP37" i="190"/>
  <c r="F39" i="190"/>
  <c r="F37" i="190"/>
  <c r="E425" i="238"/>
  <c r="E426" i="238"/>
  <c r="E427" i="238"/>
  <c r="E429" i="238"/>
  <c r="E430" i="238"/>
  <c r="E431" i="238"/>
  <c r="E432" i="238"/>
  <c r="E433" i="238"/>
  <c r="E434" i="238"/>
  <c r="E435" i="238"/>
  <c r="E437" i="238"/>
  <c r="E438" i="238"/>
  <c r="E439" i="238"/>
  <c r="E440" i="238"/>
  <c r="E441" i="238"/>
  <c r="E442" i="238"/>
  <c r="E443" i="238"/>
  <c r="E445" i="238"/>
  <c r="E446" i="238"/>
  <c r="E447" i="238"/>
  <c r="E448" i="238"/>
  <c r="E449" i="238"/>
  <c r="E450" i="238"/>
  <c r="E451" i="238"/>
  <c r="E452" i="238"/>
  <c r="E453" i="238"/>
  <c r="E454" i="238"/>
  <c r="E455" i="238"/>
  <c r="E456" i="238"/>
  <c r="E457" i="238"/>
  <c r="E458" i="238"/>
  <c r="E459" i="238"/>
  <c r="E460" i="238"/>
  <c r="E461" i="238"/>
  <c r="E462" i="238"/>
  <c r="E463" i="238"/>
  <c r="E464" i="238"/>
  <c r="E465" i="238"/>
  <c r="E466" i="238"/>
  <c r="E467" i="238"/>
  <c r="E468" i="238"/>
  <c r="E469" i="238"/>
  <c r="E470" i="238"/>
  <c r="E471" i="238"/>
  <c r="E472" i="238"/>
  <c r="E473" i="238"/>
  <c r="E474" i="238"/>
  <c r="E475" i="238"/>
  <c r="E476" i="238"/>
  <c r="E477" i="238"/>
  <c r="E478" i="238"/>
  <c r="E479" i="238"/>
  <c r="E480" i="238"/>
  <c r="E481" i="238"/>
  <c r="E482" i="238"/>
  <c r="E483" i="238"/>
  <c r="E484" i="238"/>
  <c r="E485" i="238"/>
  <c r="E486" i="238"/>
  <c r="E487" i="238"/>
  <c r="E488" i="238"/>
  <c r="E489" i="238"/>
  <c r="E490" i="238"/>
  <c r="E491" i="238"/>
  <c r="E492" i="238"/>
  <c r="E493" i="238"/>
  <c r="E494" i="238"/>
  <c r="E495" i="238"/>
  <c r="E496" i="238"/>
  <c r="E497" i="238"/>
  <c r="E498" i="238"/>
  <c r="E499" i="238"/>
  <c r="E500" i="238"/>
  <c r="E501" i="238"/>
  <c r="E502" i="238"/>
  <c r="E503" i="238"/>
  <c r="E504" i="238"/>
  <c r="E505" i="238"/>
  <c r="E506" i="238"/>
  <c r="E507" i="238"/>
  <c r="E508" i="238"/>
  <c r="E509" i="238"/>
  <c r="E510" i="238"/>
  <c r="E511" i="238"/>
  <c r="E512" i="238"/>
  <c r="E513" i="238"/>
  <c r="E514" i="238"/>
  <c r="E515" i="238"/>
  <c r="E516" i="238"/>
  <c r="E517" i="238"/>
  <c r="E518" i="238"/>
  <c r="E519" i="238"/>
  <c r="E520" i="238"/>
  <c r="E521" i="238"/>
  <c r="E522" i="238"/>
  <c r="E523" i="238"/>
  <c r="E524" i="238"/>
  <c r="E525" i="238"/>
  <c r="E526" i="238"/>
  <c r="E527" i="238"/>
  <c r="E528" i="238"/>
  <c r="E529" i="238"/>
  <c r="E530" i="238"/>
  <c r="E531" i="238"/>
  <c r="E532" i="238"/>
  <c r="E533" i="238"/>
  <c r="E534" i="238"/>
  <c r="E535" i="238"/>
  <c r="E536" i="238"/>
  <c r="E537" i="238"/>
  <c r="E538" i="238"/>
  <c r="E539" i="238"/>
  <c r="E540" i="238"/>
  <c r="E541" i="238"/>
  <c r="E542" i="238"/>
  <c r="E543" i="238"/>
  <c r="E544" i="238"/>
  <c r="E545" i="238"/>
  <c r="E546" i="238"/>
  <c r="E547" i="238"/>
  <c r="E548" i="238"/>
  <c r="E549" i="238"/>
  <c r="E550" i="238"/>
  <c r="E551" i="238"/>
  <c r="E552" i="238"/>
  <c r="E553" i="238"/>
  <c r="E554" i="238"/>
  <c r="E555" i="238"/>
  <c r="E556" i="238"/>
  <c r="E557" i="238"/>
  <c r="E558" i="238"/>
  <c r="E559" i="238"/>
  <c r="E560" i="238"/>
  <c r="E561" i="238"/>
  <c r="E562" i="238"/>
  <c r="E563" i="238"/>
  <c r="E564" i="238"/>
  <c r="E565" i="238"/>
  <c r="E566" i="238"/>
  <c r="E567" i="238"/>
  <c r="E568" i="238"/>
  <c r="E569" i="238"/>
  <c r="E570" i="238"/>
  <c r="E571" i="238"/>
  <c r="E572" i="238"/>
  <c r="E573" i="238"/>
  <c r="E574" i="238"/>
  <c r="E575" i="238"/>
  <c r="E576" i="238"/>
  <c r="E577" i="238"/>
  <c r="E578" i="238"/>
  <c r="E579" i="238"/>
  <c r="E580" i="238"/>
  <c r="E581" i="238"/>
  <c r="E582" i="238"/>
  <c r="E583" i="238"/>
  <c r="E584" i="238"/>
  <c r="E585" i="238"/>
  <c r="E586" i="238"/>
  <c r="E587" i="238"/>
  <c r="E588" i="238"/>
  <c r="E589" i="238"/>
  <c r="E590" i="238"/>
  <c r="E591" i="238"/>
  <c r="E592" i="238"/>
  <c r="E593" i="238"/>
  <c r="E594" i="238"/>
  <c r="E595" i="238"/>
  <c r="E597" i="238"/>
  <c r="E598" i="238"/>
  <c r="E599" i="238"/>
  <c r="E600" i="238"/>
  <c r="E601" i="238"/>
  <c r="E602" i="238"/>
  <c r="E603" i="238"/>
  <c r="E605" i="238"/>
  <c r="E606" i="238"/>
  <c r="E607" i="238"/>
  <c r="E608" i="238"/>
  <c r="E609" i="238"/>
  <c r="E610" i="238"/>
  <c r="E611" i="238"/>
  <c r="E613" i="238"/>
  <c r="E614" i="238"/>
  <c r="E615" i="238"/>
  <c r="E616" i="238"/>
  <c r="E617" i="238"/>
  <c r="E618" i="238"/>
  <c r="E619" i="238"/>
  <c r="E621" i="238"/>
  <c r="E622" i="238"/>
  <c r="E623" i="238"/>
  <c r="E624" i="238"/>
  <c r="AD41" i="174"/>
  <c r="F43" i="174"/>
  <c r="F41" i="174"/>
  <c r="E424" i="238" a="1"/>
  <c r="E424" i="238" s="1"/>
  <c r="E423" i="238" a="1"/>
  <c r="E423" i="238" s="1"/>
  <c r="E422" i="238" a="1"/>
  <c r="E422" i="238" s="1"/>
  <c r="E421" i="238" a="1"/>
  <c r="E421" i="238" s="1"/>
  <c r="E420" i="238" a="1"/>
  <c r="E420" i="238" s="1"/>
  <c r="E419" i="238" a="1"/>
  <c r="E419" i="238" s="1"/>
  <c r="E418" i="238" a="1"/>
  <c r="E418" i="238" s="1"/>
  <c r="E417" i="238" a="1"/>
  <c r="E417" i="238" s="1"/>
  <c r="E416" i="238" a="1"/>
  <c r="E416" i="238" s="1"/>
  <c r="E415" i="238" a="1"/>
  <c r="E415" i="238" s="1"/>
  <c r="E414" i="238" a="1"/>
  <c r="E414" i="238" s="1"/>
  <c r="E413" i="238" a="1"/>
  <c r="E413" i="238" s="1"/>
  <c r="E412" i="238" a="1"/>
  <c r="E412" i="238" s="1"/>
  <c r="E411" i="238" a="1"/>
  <c r="E411" i="238" s="1"/>
  <c r="E410" i="238" a="1"/>
  <c r="E410" i="238" s="1"/>
  <c r="E409" i="238" a="1"/>
  <c r="E409" i="238" s="1"/>
  <c r="E408" i="238" a="1"/>
  <c r="E408" i="238" s="1"/>
  <c r="E407" i="238" a="1"/>
  <c r="E407" i="238" s="1"/>
  <c r="E406" i="238" a="1"/>
  <c r="E406" i="238" s="1"/>
  <c r="E405" i="238" a="1"/>
  <c r="E405" i="238" s="1"/>
  <c r="E404" i="238" a="1"/>
  <c r="E404" i="238" s="1"/>
  <c r="E403" i="238" a="1"/>
  <c r="E403" i="238" s="1"/>
  <c r="E402" i="238" a="1"/>
  <c r="E402" i="238" s="1"/>
  <c r="E401" i="238" a="1"/>
  <c r="E401" i="238" s="1"/>
  <c r="E400" i="238" a="1"/>
  <c r="E400" i="238" s="1"/>
  <c r="E399" i="238" a="1"/>
  <c r="E399" i="238" s="1"/>
  <c r="E398" i="238" a="1"/>
  <c r="E398" i="238" s="1"/>
  <c r="E397" i="238" a="1"/>
  <c r="E397" i="238" s="1"/>
  <c r="E396" i="238" a="1"/>
  <c r="E396" i="238" s="1"/>
  <c r="E395" i="238" a="1"/>
  <c r="E395" i="238" s="1"/>
  <c r="E394" i="238" a="1"/>
  <c r="E394" i="238" s="1"/>
  <c r="E393" i="238" a="1"/>
  <c r="E393" i="238" s="1"/>
  <c r="E392" i="238" a="1"/>
  <c r="E392" i="238" s="1"/>
  <c r="E391" i="238" a="1"/>
  <c r="E391" i="238" s="1"/>
  <c r="E390" i="238" a="1"/>
  <c r="E390" i="238" s="1"/>
  <c r="E389" i="238" a="1"/>
  <c r="E389" i="238" s="1"/>
  <c r="E388" i="238" a="1"/>
  <c r="E388" i="238" s="1"/>
  <c r="E387" i="238" a="1"/>
  <c r="E387" i="238" s="1"/>
  <c r="E386" i="238" a="1"/>
  <c r="E386" i="238" s="1"/>
  <c r="E385" i="238" a="1"/>
  <c r="E385" i="238" s="1"/>
  <c r="E384" i="238" a="1"/>
  <c r="E384" i="238" s="1"/>
  <c r="E383" i="238" a="1"/>
  <c r="E383" i="238" s="1"/>
  <c r="E382" i="238" a="1"/>
  <c r="E382" i="238" s="1"/>
  <c r="E381" i="238" a="1"/>
  <c r="E381" i="238" s="1"/>
  <c r="E380" i="238" a="1"/>
  <c r="E380" i="238" s="1"/>
  <c r="E379" i="238" a="1"/>
  <c r="E379" i="238" s="1"/>
  <c r="E378" i="238" a="1"/>
  <c r="E378" i="238" s="1"/>
  <c r="E377" i="238" a="1"/>
  <c r="E377" i="238" s="1"/>
  <c r="E376" i="238" a="1"/>
  <c r="E376" i="238" s="1"/>
  <c r="E375" i="238" a="1"/>
  <c r="E375" i="238" s="1"/>
  <c r="E374" i="238" a="1"/>
  <c r="E374" i="238" s="1"/>
  <c r="E373" i="238" a="1"/>
  <c r="E373" i="238" s="1"/>
  <c r="E372" i="238" a="1"/>
  <c r="E372" i="238" s="1"/>
  <c r="E371" i="238" a="1"/>
  <c r="E371" i="238" s="1"/>
  <c r="E370" i="238" a="1"/>
  <c r="E370" i="238" s="1"/>
  <c r="E369" i="238" a="1"/>
  <c r="E369" i="238" s="1"/>
  <c r="E368" i="238" a="1"/>
  <c r="E368" i="238" s="1"/>
  <c r="E367" i="238" a="1"/>
  <c r="E367" i="238" s="1"/>
  <c r="E366" i="238" a="1"/>
  <c r="E366" i="238" s="1"/>
  <c r="E365" i="238" a="1"/>
  <c r="E365" i="238" s="1"/>
  <c r="E364" i="238" a="1"/>
  <c r="E364" i="238" s="1"/>
  <c r="E363" i="238" a="1"/>
  <c r="E363" i="238" s="1"/>
  <c r="E362" i="238" a="1"/>
  <c r="E362" i="238" s="1"/>
  <c r="E361" i="238" a="1"/>
  <c r="E361" i="238" s="1"/>
  <c r="E360" i="238" a="1"/>
  <c r="E360" i="238" s="1"/>
  <c r="E359" i="238" a="1"/>
  <c r="E359" i="238" s="1"/>
  <c r="E358" i="238" a="1"/>
  <c r="E358" i="238" s="1"/>
  <c r="E357" i="238" a="1"/>
  <c r="E357" i="238" s="1"/>
  <c r="E356" i="238" a="1"/>
  <c r="E356" i="238" s="1"/>
  <c r="E355" i="238" a="1"/>
  <c r="E355" i="238" s="1"/>
  <c r="E354" i="238" a="1"/>
  <c r="E354" i="238" s="1"/>
  <c r="E353" i="238" a="1"/>
  <c r="E353" i="238" s="1"/>
  <c r="E352" i="238" a="1"/>
  <c r="E352" i="238" s="1"/>
  <c r="E351" i="238" a="1"/>
  <c r="E351" i="238" s="1"/>
  <c r="E350" i="238" a="1"/>
  <c r="E350" i="238" s="1"/>
  <c r="E349" i="238" a="1"/>
  <c r="E349" i="238" s="1"/>
  <c r="E348" i="238" a="1"/>
  <c r="E348" i="238" s="1"/>
  <c r="E347" i="238" a="1"/>
  <c r="E347" i="238" s="1"/>
  <c r="E346" i="238" a="1"/>
  <c r="E346" i="238" s="1"/>
  <c r="E345" i="238" a="1"/>
  <c r="E345" i="238" s="1"/>
  <c r="E344" i="238" a="1"/>
  <c r="E344" i="238" s="1"/>
  <c r="E343" i="238" a="1"/>
  <c r="E343" i="238" s="1"/>
  <c r="E342" i="238" a="1"/>
  <c r="E342" i="238" s="1"/>
  <c r="E341" i="238" a="1"/>
  <c r="E341" i="238" s="1"/>
  <c r="E340" i="238" a="1"/>
  <c r="E340" i="238" s="1"/>
  <c r="E339" i="238" a="1"/>
  <c r="E339" i="238" s="1"/>
  <c r="E338" i="238" a="1"/>
  <c r="E338" i="238" s="1"/>
  <c r="E337" i="238" a="1"/>
  <c r="E337" i="238" s="1"/>
  <c r="E336" i="238" a="1"/>
  <c r="E336" i="238" s="1"/>
  <c r="E335" i="238" a="1"/>
  <c r="E335" i="238" s="1"/>
  <c r="E334" i="238" a="1"/>
  <c r="E334" i="238" s="1"/>
  <c r="E333" i="238" a="1"/>
  <c r="E333" i="238" s="1"/>
  <c r="E332" i="238" a="1"/>
  <c r="E332" i="238" s="1"/>
  <c r="E331" i="238" a="1"/>
  <c r="E331" i="238" s="1"/>
  <c r="E330" i="238" a="1"/>
  <c r="E330" i="238" s="1"/>
  <c r="E329" i="238"/>
  <c r="AL24" i="231" l="1"/>
  <c r="F26" i="231"/>
  <c r="F24" i="231"/>
  <c r="AC45" i="198"/>
  <c r="F47" i="198"/>
  <c r="F45" i="198"/>
  <c r="E169" i="238"/>
  <c r="E170" i="238"/>
  <c r="E171" i="238"/>
  <c r="E172" i="238"/>
  <c r="E173" i="238"/>
  <c r="E174" i="238"/>
  <c r="E175" i="238"/>
  <c r="E176" i="238"/>
  <c r="E177" i="238"/>
  <c r="E178" i="238"/>
  <c r="E179" i="238"/>
  <c r="E180" i="238"/>
  <c r="E181" i="238"/>
  <c r="E182" i="238"/>
  <c r="E183" i="238"/>
  <c r="E184" i="238"/>
  <c r="E185" i="238"/>
  <c r="E186" i="238"/>
  <c r="E187" i="238"/>
  <c r="E188" i="238"/>
  <c r="E189" i="238"/>
  <c r="E190" i="238"/>
  <c r="E191" i="238"/>
  <c r="E192" i="238"/>
  <c r="E193" i="238"/>
  <c r="E194" i="238"/>
  <c r="E195" i="238"/>
  <c r="E196" i="238"/>
  <c r="E197" i="238"/>
  <c r="E198" i="238"/>
  <c r="E199" i="238"/>
  <c r="E200" i="238"/>
  <c r="E201" i="238"/>
  <c r="E202" i="238"/>
  <c r="E203" i="238"/>
  <c r="E204" i="238"/>
  <c r="E205" i="238"/>
  <c r="E206" i="238"/>
  <c r="E207" i="238"/>
  <c r="E208" i="238"/>
  <c r="E209" i="238"/>
  <c r="E210" i="238"/>
  <c r="E211" i="238"/>
  <c r="E212" i="238"/>
  <c r="E213" i="238"/>
  <c r="E214" i="238"/>
  <c r="E215" i="238"/>
  <c r="E216" i="238"/>
  <c r="E217" i="238"/>
  <c r="E218" i="238"/>
  <c r="E219" i="238"/>
  <c r="E220" i="238"/>
  <c r="E221" i="238"/>
  <c r="E222" i="238"/>
  <c r="E223" i="238"/>
  <c r="E224" i="238"/>
  <c r="E225" i="238"/>
  <c r="E226" i="238"/>
  <c r="E227" i="238"/>
  <c r="E228" i="238"/>
  <c r="E229" i="238"/>
  <c r="E230" i="238"/>
  <c r="E231" i="238"/>
  <c r="E232" i="238"/>
  <c r="E233" i="238"/>
  <c r="E234" i="238"/>
  <c r="E235" i="238"/>
  <c r="E236" i="238"/>
  <c r="E237" i="238"/>
  <c r="E238" i="238"/>
  <c r="E239" i="238"/>
  <c r="E240" i="238"/>
  <c r="E241" i="238"/>
  <c r="E242" i="238"/>
  <c r="E243" i="238"/>
  <c r="E244" i="238"/>
  <c r="E245" i="238"/>
  <c r="E246" i="238"/>
  <c r="E247" i="238"/>
  <c r="E248" i="238"/>
  <c r="E249" i="238"/>
  <c r="E250" i="238"/>
  <c r="E251" i="238"/>
  <c r="E252" i="238"/>
  <c r="E253" i="238"/>
  <c r="E254" i="238"/>
  <c r="E255" i="238"/>
  <c r="E256" i="238"/>
  <c r="E257" i="238"/>
  <c r="E258" i="238"/>
  <c r="E259" i="238"/>
  <c r="E260" i="238"/>
  <c r="E261" i="238"/>
  <c r="E262" i="238"/>
  <c r="E263" i="238"/>
  <c r="E264" i="238"/>
  <c r="E265" i="238"/>
  <c r="E266" i="238"/>
  <c r="E267" i="238"/>
  <c r="E268" i="238"/>
  <c r="E269" i="238"/>
  <c r="E270" i="238"/>
  <c r="E271" i="238"/>
  <c r="E272" i="238"/>
  <c r="E273" i="238"/>
  <c r="E274" i="238"/>
  <c r="E275" i="238"/>
  <c r="E276" i="238"/>
  <c r="E277" i="238"/>
  <c r="E278" i="238"/>
  <c r="E279" i="238"/>
  <c r="E280" i="238"/>
  <c r="E281" i="238"/>
  <c r="E282" i="238"/>
  <c r="E283" i="238"/>
  <c r="E284" i="238"/>
  <c r="E285" i="238"/>
  <c r="E286" i="238"/>
  <c r="E287" i="238"/>
  <c r="E288" i="238"/>
  <c r="E289" i="238"/>
  <c r="E290" i="238"/>
  <c r="E291" i="238"/>
  <c r="E292" i="238"/>
  <c r="E293" i="238"/>
  <c r="E294" i="238"/>
  <c r="E295" i="238"/>
  <c r="E296" i="238"/>
  <c r="E297" i="238"/>
  <c r="E298" i="238"/>
  <c r="E299" i="238"/>
  <c r="E300" i="238"/>
  <c r="E301" i="238"/>
  <c r="E302" i="238"/>
  <c r="E303" i="238"/>
  <c r="E304" i="238"/>
  <c r="E305" i="238"/>
  <c r="E306" i="238"/>
  <c r="E307" i="238"/>
  <c r="E308" i="238"/>
  <c r="E309" i="238"/>
  <c r="E310" i="238"/>
  <c r="E311" i="238"/>
  <c r="E312" i="238"/>
  <c r="E313" i="238"/>
  <c r="E314" i="238"/>
  <c r="E315" i="238"/>
  <c r="E316" i="238"/>
  <c r="E317" i="238"/>
  <c r="E318" i="238"/>
  <c r="E319" i="238"/>
  <c r="E320" i="238"/>
  <c r="E321" i="238"/>
  <c r="E322" i="238"/>
  <c r="E323" i="238"/>
  <c r="E324" i="238"/>
  <c r="E325" i="238"/>
  <c r="E326" i="238"/>
  <c r="E327" i="238"/>
  <c r="E328" i="238"/>
  <c r="E168" i="238"/>
  <c r="E167" i="238"/>
  <c r="E166" i="238"/>
  <c r="E165" i="238"/>
  <c r="E164" i="238"/>
  <c r="E163" i="238"/>
  <c r="E162" i="238"/>
  <c r="E161" i="238"/>
  <c r="E160" i="238"/>
  <c r="E159" i="238"/>
  <c r="E158" i="238"/>
  <c r="E157" i="238"/>
  <c r="E156" i="238"/>
  <c r="E155" i="238"/>
  <c r="E154" i="238"/>
  <c r="E153" i="238"/>
  <c r="E152" i="238"/>
  <c r="E151" i="238"/>
  <c r="E150" i="238"/>
  <c r="E149" i="238"/>
  <c r="E148" i="238"/>
  <c r="E147" i="238"/>
  <c r="E146" i="238"/>
  <c r="E145" i="238"/>
  <c r="E144" i="238"/>
  <c r="E143" i="238"/>
  <c r="E142" i="238"/>
  <c r="E141" i="238"/>
  <c r="E140" i="238"/>
  <c r="E139" i="238"/>
  <c r="E138" i="238"/>
  <c r="E137" i="238" a="1"/>
  <c r="E137" i="238" s="1"/>
  <c r="E136" i="238"/>
  <c r="E135" i="238"/>
  <c r="E134" i="238"/>
  <c r="E133" i="238"/>
  <c r="E132" i="238"/>
  <c r="E131" i="238"/>
  <c r="E130" i="238"/>
  <c r="E129" i="238"/>
  <c r="E128" i="238"/>
  <c r="E127" i="238"/>
  <c r="E126" i="238"/>
  <c r="E125" i="238"/>
  <c r="E124" i="238"/>
  <c r="E123" i="238"/>
  <c r="E122" i="238"/>
  <c r="E121" i="238"/>
  <c r="E120" i="238"/>
  <c r="E119" i="238"/>
  <c r="E118" i="238"/>
  <c r="E117" i="238"/>
  <c r="E116" i="238"/>
  <c r="E115" i="238"/>
  <c r="E114" i="238"/>
  <c r="E113" i="238"/>
  <c r="E112" i="238"/>
  <c r="E111" i="238"/>
  <c r="E110" i="238"/>
  <c r="E109" i="238"/>
  <c r="E108" i="238"/>
  <c r="E107" i="238"/>
  <c r="E106" i="238"/>
  <c r="E105" i="238"/>
  <c r="E104" i="238"/>
  <c r="E103" i="238"/>
  <c r="E102" i="238"/>
  <c r="E101" i="238"/>
  <c r="E100" i="238"/>
  <c r="E99" i="238"/>
  <c r="E98" i="238"/>
  <c r="E97" i="238"/>
  <c r="E96" i="238"/>
  <c r="E95" i="238"/>
  <c r="E94" i="238"/>
  <c r="E93" i="238"/>
  <c r="E92" i="238"/>
  <c r="E91" i="238"/>
  <c r="E90" i="238"/>
  <c r="E89" i="238"/>
  <c r="E88" i="238"/>
  <c r="E87" i="238"/>
  <c r="E86" i="238"/>
  <c r="E85" i="238"/>
  <c r="E84" i="238"/>
  <c r="E83" i="238"/>
  <c r="E82" i="238"/>
  <c r="E81" i="238"/>
  <c r="E80" i="238"/>
  <c r="E79" i="238"/>
  <c r="E78" i="238"/>
  <c r="E77" i="238"/>
  <c r="E76" i="238"/>
  <c r="E75" i="238"/>
  <c r="E74" i="238"/>
  <c r="E73" i="238"/>
  <c r="E72" i="238"/>
  <c r="E71" i="238"/>
  <c r="E70" i="238"/>
  <c r="E69" i="238"/>
  <c r="E68" i="238"/>
  <c r="E67" i="238"/>
  <c r="E66" i="238"/>
  <c r="E65" i="238"/>
  <c r="E64" i="238"/>
  <c r="E63" i="238"/>
  <c r="E62" i="238"/>
  <c r="E61" i="238"/>
  <c r="E60" i="238"/>
  <c r="E59" i="238"/>
  <c r="E58" i="238"/>
  <c r="E57" i="238"/>
  <c r="E56" i="238"/>
  <c r="E55" i="238"/>
  <c r="E54" i="238"/>
  <c r="E53" i="238"/>
  <c r="E52" i="238"/>
  <c r="E51" i="238"/>
  <c r="E50" i="238"/>
  <c r="E49" i="238"/>
  <c r="E48" i="238"/>
  <c r="E47" i="238"/>
  <c r="E46" i="238"/>
  <c r="E45" i="238"/>
  <c r="E44" i="238"/>
  <c r="E43" i="238"/>
  <c r="E42" i="238"/>
  <c r="E41" i="238"/>
  <c r="E40" i="238"/>
  <c r="E39" i="238"/>
  <c r="E38" i="238"/>
  <c r="E37" i="238"/>
  <c r="E36" i="238"/>
  <c r="E35" i="238"/>
  <c r="E34" i="238"/>
  <c r="E33" i="238"/>
  <c r="Z55" i="175"/>
  <c r="F57" i="175"/>
  <c r="F55" i="175"/>
  <c r="E2" i="238" l="1"/>
  <c r="R46" i="222" l="1"/>
  <c r="R45" i="222"/>
  <c r="R44" i="222"/>
  <c r="R43" i="222"/>
  <c r="R42" i="222"/>
  <c r="R41" i="222"/>
  <c r="AM45" i="222"/>
  <c r="AM44" i="222"/>
  <c r="AM43" i="222"/>
  <c r="AM42" i="222"/>
  <c r="AM41" i="222"/>
  <c r="AL25" i="175"/>
  <c r="AO23" i="175"/>
  <c r="AO24" i="175"/>
  <c r="AO25" i="175"/>
  <c r="AL23" i="175"/>
  <c r="AL24" i="175"/>
  <c r="AL22" i="175"/>
  <c r="AL21" i="175"/>
  <c r="AO22" i="175"/>
  <c r="AO15" i="175"/>
  <c r="AO16" i="175"/>
  <c r="AO17" i="175"/>
  <c r="AO18" i="175"/>
  <c r="AO19" i="175"/>
  <c r="AO20" i="175"/>
  <c r="AO21" i="175"/>
  <c r="AL15" i="175"/>
  <c r="AL16" i="175"/>
  <c r="AL17" i="175"/>
  <c r="AL18" i="175"/>
  <c r="AL19" i="175"/>
  <c r="AL20" i="175"/>
  <c r="AO14" i="175"/>
  <c r="AL14" i="175"/>
  <c r="AO7" i="175"/>
  <c r="AO8" i="175"/>
  <c r="AO9" i="175"/>
  <c r="AO10" i="175"/>
  <c r="AO11" i="175"/>
  <c r="AO12" i="175"/>
  <c r="AL7" i="175"/>
  <c r="AL8" i="175"/>
  <c r="AL9" i="175"/>
  <c r="AL10" i="175"/>
  <c r="AL11" i="175"/>
  <c r="AL12" i="175"/>
  <c r="AO6" i="175"/>
  <c r="AL6" i="175"/>
  <c r="E4563" i="238" l="1" a="1"/>
  <c r="E4563" i="238" s="1"/>
  <c r="F4563" i="238" s="1"/>
  <c r="E4562" i="238" a="1"/>
  <c r="E4562" i="238" s="1"/>
  <c r="F4562" i="238" s="1"/>
  <c r="E4561" i="238" a="1"/>
  <c r="E4561" i="238" s="1"/>
  <c r="F4561" i="238" s="1"/>
  <c r="N40" i="193"/>
  <c r="S40" i="193"/>
  <c r="X40" i="193"/>
  <c r="AC40" i="193"/>
  <c r="AH40" i="193"/>
  <c r="I40" i="193"/>
  <c r="I37" i="194"/>
  <c r="K37" i="194"/>
  <c r="M37" i="194"/>
  <c r="O37" i="194"/>
  <c r="Q37" i="194"/>
  <c r="S37" i="194"/>
  <c r="U37" i="194"/>
  <c r="W37" i="194"/>
  <c r="Y37" i="194"/>
  <c r="AA37" i="194"/>
  <c r="AC37" i="194"/>
  <c r="AE37" i="194"/>
  <c r="AG37" i="194"/>
  <c r="AI37" i="194"/>
  <c r="AK37" i="194"/>
  <c r="AM37" i="194"/>
  <c r="AO37" i="194"/>
  <c r="AQ37" i="194"/>
  <c r="AS37" i="194"/>
  <c r="AU37" i="194"/>
  <c r="AW37" i="194"/>
  <c r="AY37" i="194"/>
  <c r="BA37" i="194"/>
  <c r="BC37" i="194"/>
  <c r="BE37" i="194"/>
  <c r="BG37" i="194"/>
  <c r="BI37" i="194"/>
  <c r="G37" i="194"/>
  <c r="AK25" i="194"/>
  <c r="AK26" i="194"/>
  <c r="AK27" i="194"/>
  <c r="AK24" i="194"/>
  <c r="AK12" i="194"/>
  <c r="AK13" i="194"/>
  <c r="AK14" i="194"/>
  <c r="AK11" i="194"/>
  <c r="AK9" i="194"/>
  <c r="AK8" i="194"/>
  <c r="AK6" i="194"/>
  <c r="AB41" i="78"/>
  <c r="AB40" i="78"/>
  <c r="R25" i="113"/>
  <c r="U25" i="113"/>
  <c r="X25" i="113"/>
  <c r="AA25" i="113"/>
  <c r="AD25" i="113"/>
  <c r="AG25" i="113"/>
  <c r="AJ25" i="113"/>
  <c r="AM22" i="113"/>
  <c r="AP22" i="113"/>
  <c r="AM23" i="113"/>
  <c r="AP23" i="113"/>
  <c r="AM24" i="113"/>
  <c r="AP24" i="113"/>
  <c r="AP21" i="113"/>
  <c r="AM21" i="113"/>
  <c r="O25" i="113"/>
  <c r="AM15" i="113"/>
  <c r="AP15" i="113"/>
  <c r="AM16" i="113"/>
  <c r="AP16" i="113"/>
  <c r="AM17" i="113"/>
  <c r="AP17" i="113"/>
  <c r="AM18" i="113"/>
  <c r="AP18" i="113"/>
  <c r="AP14" i="113"/>
  <c r="AM14" i="113"/>
  <c r="R19" i="113"/>
  <c r="U19" i="113"/>
  <c r="X19" i="113"/>
  <c r="AA19" i="113"/>
  <c r="AD19" i="113"/>
  <c r="AG19" i="113"/>
  <c r="AJ19" i="113"/>
  <c r="O19" i="113"/>
  <c r="AT16" i="105"/>
  <c r="AT17" i="105"/>
  <c r="AT18" i="105"/>
  <c r="AT19" i="105"/>
  <c r="AT20" i="105"/>
  <c r="AT15" i="105"/>
  <c r="P21" i="105"/>
  <c r="U21" i="105"/>
  <c r="Z21" i="105"/>
  <c r="AE21" i="105"/>
  <c r="AJ21" i="105"/>
  <c r="AO21" i="105"/>
  <c r="K21" i="105"/>
  <c r="AT8" i="105"/>
  <c r="AT9" i="105"/>
  <c r="AT10" i="105"/>
  <c r="AT11" i="105"/>
  <c r="AT12" i="105"/>
  <c r="AT13" i="105"/>
  <c r="AT7" i="105"/>
  <c r="P18" i="97"/>
  <c r="U18" i="97"/>
  <c r="Z18" i="97"/>
  <c r="AE18" i="97"/>
  <c r="AJ18" i="97"/>
  <c r="AO18" i="97"/>
  <c r="AT14" i="97"/>
  <c r="AT15" i="97"/>
  <c r="AT16" i="97"/>
  <c r="AT17" i="97"/>
  <c r="AT13" i="97"/>
  <c r="AT8" i="97"/>
  <c r="AT9" i="97"/>
  <c r="AT10" i="97"/>
  <c r="AT11" i="97"/>
  <c r="AT7" i="97"/>
  <c r="K18" i="97"/>
  <c r="E2059" i="238"/>
  <c r="E2058" i="238"/>
  <c r="F2058" i="238" s="1"/>
  <c r="F2057" i="238"/>
  <c r="F2056" i="238"/>
  <c r="E2055" i="238"/>
  <c r="F2055" i="238" s="1"/>
  <c r="E2054" i="238"/>
  <c r="F2054" i="238" s="1"/>
  <c r="E2053" i="238"/>
  <c r="F2053" i="238" s="1"/>
  <c r="E2052" i="238"/>
  <c r="F2052" i="238" s="1"/>
  <c r="E2051" i="238"/>
  <c r="F2051" i="238" s="1"/>
  <c r="E2050" i="238"/>
  <c r="F2050" i="238" s="1"/>
  <c r="E2049" i="238"/>
  <c r="F2049" i="238" s="1"/>
  <c r="E2048" i="238"/>
  <c r="F2048" i="238" s="1"/>
  <c r="E2047" i="238"/>
  <c r="F2047" i="238" s="1"/>
  <c r="E2046" i="238"/>
  <c r="F2046" i="238" s="1"/>
  <c r="E2045" i="238"/>
  <c r="E2044" i="238"/>
  <c r="E2043" i="238"/>
  <c r="E2042" i="238"/>
  <c r="E2041" i="238"/>
  <c r="E2040" i="238"/>
  <c r="T27" i="206"/>
  <c r="T28" i="206"/>
  <c r="T26" i="206"/>
  <c r="E2039" i="238"/>
  <c r="E2038" i="238"/>
  <c r="E2037" i="238"/>
  <c r="E2036" i="238"/>
  <c r="E2031" i="238"/>
  <c r="E2030" i="238"/>
  <c r="E2029" i="238"/>
  <c r="E2028" i="238"/>
  <c r="E2023" i="238"/>
  <c r="E2022" i="238"/>
  <c r="E2021" i="238"/>
  <c r="E2020" i="238"/>
  <c r="E2015" i="238"/>
  <c r="E2014" i="238"/>
  <c r="E2013" i="238"/>
  <c r="E2012" i="238"/>
  <c r="E2035" i="238"/>
  <c r="E2034" i="238"/>
  <c r="E2033" i="238"/>
  <c r="E2032" i="238"/>
  <c r="E2027" i="238"/>
  <c r="E2026" i="238"/>
  <c r="E2025" i="238"/>
  <c r="E2024" i="238"/>
  <c r="E2019" i="238"/>
  <c r="E2018" i="238"/>
  <c r="E2017" i="238"/>
  <c r="E2016" i="238"/>
  <c r="E2011" i="238"/>
  <c r="E2010" i="238"/>
  <c r="E2009" i="238"/>
  <c r="E2008" i="238"/>
  <c r="J11" i="206"/>
  <c r="M11" i="206"/>
  <c r="P11" i="206"/>
  <c r="V11" i="206"/>
  <c r="Y11" i="206"/>
  <c r="AB11" i="206"/>
  <c r="AE11" i="206"/>
  <c r="AH8" i="206"/>
  <c r="AH9" i="206"/>
  <c r="AH10" i="206"/>
  <c r="AH7" i="206"/>
  <c r="S8" i="206"/>
  <c r="S9" i="206"/>
  <c r="S10" i="206"/>
  <c r="G11" i="206"/>
  <c r="S7" i="206"/>
  <c r="AN33" i="88"/>
  <c r="AQ33" i="88"/>
  <c r="AN34" i="88"/>
  <c r="AQ34" i="88"/>
  <c r="AN35" i="88"/>
  <c r="AQ35" i="88"/>
  <c r="AQ32" i="88"/>
  <c r="AN32" i="88"/>
  <c r="AN24" i="88"/>
  <c r="AQ24" i="88"/>
  <c r="AN25" i="88"/>
  <c r="AQ25" i="88"/>
  <c r="AN26" i="88"/>
  <c r="AQ26" i="88"/>
  <c r="AN27" i="88"/>
  <c r="AQ27" i="88"/>
  <c r="AN28" i="88"/>
  <c r="AQ28" i="88"/>
  <c r="AN29" i="88"/>
  <c r="AQ29" i="88"/>
  <c r="AN30" i="88"/>
  <c r="AQ30" i="88"/>
  <c r="AQ23" i="88"/>
  <c r="AN23" i="88"/>
  <c r="AN19" i="88"/>
  <c r="AQ19" i="88"/>
  <c r="AN20" i="88"/>
  <c r="AQ20" i="88"/>
  <c r="AN21" i="88"/>
  <c r="AQ21" i="88"/>
  <c r="AQ18" i="88"/>
  <c r="AN18" i="88"/>
  <c r="AN9" i="88"/>
  <c r="AQ9" i="88"/>
  <c r="AN10" i="88"/>
  <c r="AQ10" i="88"/>
  <c r="AN11" i="88"/>
  <c r="AQ11" i="88"/>
  <c r="AN12" i="88"/>
  <c r="AQ12" i="88"/>
  <c r="AN13" i="88"/>
  <c r="AQ13" i="88"/>
  <c r="AN14" i="88"/>
  <c r="AQ14" i="88"/>
  <c r="AN15" i="88"/>
  <c r="AQ15" i="88"/>
  <c r="AN16" i="88"/>
  <c r="AQ16" i="88"/>
  <c r="AQ8" i="88"/>
  <c r="AN8" i="88"/>
  <c r="J44" i="200"/>
  <c r="M44" i="200"/>
  <c r="P44" i="200"/>
  <c r="S44" i="200"/>
  <c r="V44" i="200"/>
  <c r="Y44" i="200"/>
  <c r="AB44" i="200"/>
  <c r="AE44" i="200"/>
  <c r="AH44" i="200"/>
  <c r="AK44" i="200"/>
  <c r="AN44" i="200"/>
  <c r="AQ44" i="200"/>
  <c r="AT44" i="200"/>
  <c r="AW44" i="200"/>
  <c r="AZ44" i="200"/>
  <c r="BC44" i="200"/>
  <c r="G44" i="200"/>
  <c r="BA11" i="200"/>
  <c r="BE7" i="200"/>
  <c r="BE8" i="200"/>
  <c r="BE9" i="200"/>
  <c r="BE10" i="200"/>
  <c r="AW11" i="200"/>
  <c r="BE6" i="200"/>
  <c r="Q11" i="200"/>
  <c r="M11" i="200"/>
  <c r="U7" i="200"/>
  <c r="U8" i="200"/>
  <c r="U9" i="200"/>
  <c r="U10" i="200"/>
  <c r="U6" i="200"/>
  <c r="BJ30" i="32"/>
  <c r="BJ31" i="32"/>
  <c r="BJ32" i="32"/>
  <c r="BJ33" i="32"/>
  <c r="BJ29" i="32"/>
  <c r="BA30" i="32"/>
  <c r="BA31" i="32"/>
  <c r="BA32" i="32"/>
  <c r="BA33" i="32"/>
  <c r="BA29" i="32"/>
  <c r="AX34" i="32"/>
  <c r="BD34" i="32"/>
  <c r="BG34" i="32"/>
  <c r="AU34" i="32"/>
  <c r="AK49" i="143"/>
  <c r="P49" i="143"/>
  <c r="S49" i="143"/>
  <c r="Y49" i="143"/>
  <c r="AB49" i="143"/>
  <c r="AE49" i="143"/>
  <c r="AH49" i="143"/>
  <c r="M49" i="143"/>
  <c r="E3" i="238"/>
  <c r="F3" i="238" s="1"/>
  <c r="E4" i="238"/>
  <c r="F4" i="238" s="1"/>
  <c r="E5" i="238"/>
  <c r="E6" i="238"/>
  <c r="E7" i="238"/>
  <c r="E8" i="238"/>
  <c r="E9" i="238"/>
  <c r="E10" i="238"/>
  <c r="E11" i="238"/>
  <c r="E14" i="238"/>
  <c r="E15" i="238"/>
  <c r="E16" i="238"/>
  <c r="E17" i="238"/>
  <c r="E18" i="238"/>
  <c r="E19" i="238"/>
  <c r="E20" i="238"/>
  <c r="E21" i="238"/>
  <c r="F21" i="238" s="1"/>
  <c r="E22" i="238" a="1"/>
  <c r="E22" i="238" s="1"/>
  <c r="F22" i="238" s="1"/>
  <c r="E23" i="238"/>
  <c r="F23" i="238" s="1"/>
  <c r="E24" i="238"/>
  <c r="F24" i="238" s="1"/>
  <c r="E25" i="238"/>
  <c r="F25" i="238" s="1"/>
  <c r="E26" i="238"/>
  <c r="E27" i="238" a="1"/>
  <c r="E27" i="238" s="1"/>
  <c r="F27" i="238" s="1"/>
  <c r="E28" i="238"/>
  <c r="E29" i="238"/>
  <c r="E30" i="238"/>
  <c r="E31" i="238"/>
  <c r="E32" i="238"/>
  <c r="E787" i="238"/>
  <c r="E788" i="238"/>
  <c r="E789" i="238"/>
  <c r="E790" i="238"/>
  <c r="E791" i="238"/>
  <c r="E792" i="238"/>
  <c r="E793" i="238"/>
  <c r="E794" i="238"/>
  <c r="E795" i="238"/>
  <c r="E796" i="238"/>
  <c r="E797" i="238"/>
  <c r="E798" i="238"/>
  <c r="E799" i="238"/>
  <c r="E1486" i="238"/>
  <c r="E1488" i="238"/>
  <c r="E1490" i="238"/>
  <c r="E1482" i="238"/>
  <c r="E1484" i="238"/>
  <c r="E1487" i="238"/>
  <c r="E1489" i="238"/>
  <c r="E1491" i="238"/>
  <c r="E1483" i="238"/>
  <c r="E1485" i="238"/>
  <c r="E1498" i="238"/>
  <c r="E1500" i="238"/>
  <c r="E1502" i="238"/>
  <c r="E1504" i="238"/>
  <c r="E1492" i="238"/>
  <c r="E1494" i="238"/>
  <c r="E1496" i="238"/>
  <c r="E1499" i="238"/>
  <c r="E1501" i="238"/>
  <c r="E1503" i="238"/>
  <c r="E1505" i="238"/>
  <c r="E1493" i="238"/>
  <c r="E1495" i="238"/>
  <c r="E1497" i="238"/>
  <c r="AO49" i="143" l="1"/>
  <c r="V49" i="143"/>
  <c r="AP25" i="113"/>
  <c r="AM25" i="113"/>
  <c r="AM19" i="113"/>
  <c r="AT21" i="105"/>
  <c r="AT18" i="97"/>
  <c r="AH11" i="206"/>
  <c r="S11" i="206"/>
  <c r="BE11" i="200"/>
  <c r="U11" i="200"/>
  <c r="BA34" i="32"/>
  <c r="BJ34" i="32"/>
  <c r="AP19" i="113"/>
  <c r="E2266" i="238"/>
  <c r="F2266" i="238" s="1"/>
  <c r="E2267" i="238"/>
  <c r="F2267" i="238" s="1"/>
  <c r="E2263" i="238"/>
  <c r="F2263" i="238" s="1"/>
  <c r="E2268" i="238"/>
  <c r="F2268" i="238" s="1"/>
  <c r="E2269" i="238"/>
  <c r="F2269" i="238" s="1"/>
  <c r="E2084" i="238"/>
  <c r="F2084" i="238" s="1"/>
  <c r="E2085" i="238"/>
  <c r="F2085" i="238" s="1"/>
  <c r="E2086" i="238"/>
  <c r="F2086" i="238" s="1"/>
  <c r="E2087" i="238"/>
  <c r="F2087" i="238" s="1"/>
  <c r="E2088" i="238"/>
  <c r="F2088" i="238" s="1"/>
  <c r="E2089" i="238"/>
  <c r="F2089" i="238" s="1"/>
  <c r="E2090" i="238"/>
  <c r="F2090" i="238" s="1"/>
  <c r="E2091" i="238"/>
  <c r="F2091" i="238" s="1"/>
  <c r="E2070" i="238"/>
  <c r="E2071" i="238"/>
  <c r="F2071" i="238" s="1"/>
  <c r="E2072" i="238"/>
  <c r="F2072" i="238" s="1"/>
  <c r="E2065" i="238"/>
  <c r="F2065" i="238" s="1"/>
  <c r="E2066" i="238"/>
  <c r="F2066" i="238" s="1"/>
  <c r="E2073" i="238"/>
  <c r="F2073" i="238" s="1"/>
  <c r="E2074" i="238"/>
  <c r="F2074" i="238" s="1"/>
  <c r="E2067" i="238"/>
  <c r="F2067" i="238" s="1"/>
  <c r="E2068" i="238"/>
  <c r="F2068" i="238" s="1"/>
  <c r="E2075" i="238"/>
  <c r="F2075" i="238" s="1"/>
  <c r="E2076" i="238"/>
  <c r="F2076" i="238" s="1"/>
  <c r="E2077" i="238"/>
  <c r="F2077" i="238" s="1"/>
  <c r="E2078" i="238"/>
  <c r="F2078" i="238" s="1"/>
  <c r="E2079" i="238"/>
  <c r="F2079" i="238" s="1"/>
  <c r="E2080" i="238"/>
  <c r="F2080" i="238" s="1"/>
  <c r="E2081" i="238"/>
  <c r="F2081" i="238" s="1"/>
  <c r="E2082" i="238"/>
  <c r="E2062" i="238"/>
  <c r="F2062" i="238" s="1"/>
  <c r="E2092" i="238"/>
  <c r="E2093" i="238"/>
  <c r="E2094" i="238"/>
  <c r="F2094" i="238" s="1"/>
  <c r="E2095" i="238"/>
  <c r="E2096" i="238"/>
  <c r="F2096" i="238" s="1"/>
  <c r="E2097" i="238"/>
  <c r="E2098" i="238"/>
  <c r="F2098" i="238" s="1"/>
  <c r="E2099" i="238"/>
  <c r="F2099" i="238" s="1"/>
  <c r="E2100" i="238"/>
  <c r="F2100" i="238" s="1"/>
  <c r="F2063" i="238"/>
  <c r="F2069" i="238"/>
  <c r="E1814" i="238"/>
  <c r="E1822" i="238"/>
  <c r="E1830" i="238"/>
  <c r="E1838" i="238"/>
  <c r="E1854" i="238"/>
  <c r="E1862" i="238"/>
  <c r="E1870" i="238"/>
  <c r="E1878" i="238"/>
  <c r="E1886" i="238"/>
  <c r="E1894" i="238"/>
  <c r="E1902" i="238"/>
  <c r="E1910" i="238"/>
  <c r="E1918" i="238"/>
  <c r="E1926" i="238"/>
  <c r="E1934" i="238"/>
  <c r="E1942" i="238"/>
  <c r="E1950" i="238"/>
  <c r="E1958" i="238"/>
  <c r="E1966" i="238"/>
  <c r="E1974" i="238"/>
  <c r="E1982" i="238"/>
  <c r="E1790" i="238"/>
  <c r="E1798" i="238"/>
  <c r="E1806" i="238"/>
  <c r="E1846" i="238"/>
  <c r="E1815" i="238"/>
  <c r="E1823" i="238"/>
  <c r="E1831" i="238"/>
  <c r="E1839" i="238"/>
  <c r="E1847" i="238"/>
  <c r="E1855" i="238"/>
  <c r="E1863" i="238"/>
  <c r="E1871" i="238"/>
  <c r="E1879" i="238"/>
  <c r="E1887" i="238"/>
  <c r="E1895" i="238"/>
  <c r="E1903" i="238"/>
  <c r="E1911" i="238"/>
  <c r="E1919" i="238"/>
  <c r="E1927" i="238"/>
  <c r="E1935" i="238"/>
  <c r="E1943" i="238"/>
  <c r="E1951" i="238"/>
  <c r="E1959" i="238"/>
  <c r="E1967" i="238"/>
  <c r="E1975" i="238"/>
  <c r="E1983" i="238"/>
  <c r="E1791" i="238"/>
  <c r="E1799" i="238"/>
  <c r="E1807" i="238"/>
  <c r="E1816" i="238"/>
  <c r="E1824" i="238"/>
  <c r="E1832" i="238"/>
  <c r="E1840" i="238"/>
  <c r="E1848" i="238"/>
  <c r="E1856" i="238"/>
  <c r="E1864" i="238"/>
  <c r="E1872" i="238"/>
  <c r="E1880" i="238"/>
  <c r="E1888" i="238"/>
  <c r="E1896" i="238"/>
  <c r="E1904" i="238"/>
  <c r="E1912" i="238"/>
  <c r="E1920" i="238"/>
  <c r="E1928" i="238"/>
  <c r="E1936" i="238"/>
  <c r="E1944" i="238"/>
  <c r="E1952" i="238"/>
  <c r="E1960" i="238"/>
  <c r="E1968" i="238"/>
  <c r="E1976" i="238"/>
  <c r="E1984" i="238"/>
  <c r="E1792" i="238"/>
  <c r="E1800" i="238"/>
  <c r="E1808" i="238"/>
  <c r="E1817" i="238"/>
  <c r="E1825" i="238"/>
  <c r="E1833" i="238"/>
  <c r="E1841" i="238"/>
  <c r="E1849" i="238"/>
  <c r="E1857" i="238"/>
  <c r="E1865" i="238"/>
  <c r="E1873" i="238"/>
  <c r="E1881" i="238"/>
  <c r="E1889" i="238"/>
  <c r="E1897" i="238"/>
  <c r="E1905" i="238"/>
  <c r="E1913" i="238"/>
  <c r="E1921" i="238"/>
  <c r="E1929" i="238"/>
  <c r="E1937" i="238"/>
  <c r="E1945" i="238"/>
  <c r="E1953" i="238"/>
  <c r="E1961" i="238"/>
  <c r="E1969" i="238"/>
  <c r="E1977" i="238"/>
  <c r="E1985" i="238"/>
  <c r="E1793" i="238"/>
  <c r="E1801" i="238"/>
  <c r="E1809" i="238"/>
  <c r="E1810" i="238"/>
  <c r="E1818" i="238"/>
  <c r="E1826" i="238"/>
  <c r="E1834" i="238"/>
  <c r="E1842" i="238"/>
  <c r="E1850" i="238"/>
  <c r="E1858" i="238"/>
  <c r="E1866" i="238"/>
  <c r="E1874" i="238"/>
  <c r="E1882" i="238"/>
  <c r="E1890" i="238"/>
  <c r="E1898" i="238"/>
  <c r="E1906" i="238"/>
  <c r="E1914" i="238"/>
  <c r="E1922" i="238"/>
  <c r="E1930" i="238"/>
  <c r="E1938" i="238"/>
  <c r="E1946" i="238"/>
  <c r="E1954" i="238"/>
  <c r="E1962" i="238"/>
  <c r="E1970" i="238"/>
  <c r="E1978" i="238"/>
  <c r="E1786" i="238"/>
  <c r="E1794" i="238"/>
  <c r="E1802" i="238"/>
  <c r="E1811" i="238"/>
  <c r="E1819" i="238"/>
  <c r="E1827" i="238"/>
  <c r="E1835" i="238"/>
  <c r="E1843" i="238"/>
  <c r="E1851" i="238"/>
  <c r="E1859" i="238"/>
  <c r="E1867" i="238"/>
  <c r="E1875" i="238"/>
  <c r="E1883" i="238"/>
  <c r="E1891" i="238"/>
  <c r="E1899" i="238"/>
  <c r="E1907" i="238"/>
  <c r="E1915" i="238"/>
  <c r="E1923" i="238"/>
  <c r="E1931" i="238"/>
  <c r="E1939" i="238"/>
  <c r="E1947" i="238"/>
  <c r="E1955" i="238"/>
  <c r="E1963" i="238"/>
  <c r="E1971" i="238"/>
  <c r="E1979" i="238"/>
  <c r="E1787" i="238"/>
  <c r="E1795" i="238"/>
  <c r="E1803" i="238"/>
  <c r="E1812" i="238"/>
  <c r="E1820" i="238"/>
  <c r="E1828" i="238"/>
  <c r="E1836" i="238"/>
  <c r="E1844" i="238"/>
  <c r="E1852" i="238"/>
  <c r="E1860" i="238"/>
  <c r="E1868" i="238"/>
  <c r="E1876" i="238"/>
  <c r="E1884" i="238"/>
  <c r="E1892" i="238"/>
  <c r="E1900" i="238"/>
  <c r="E1908" i="238"/>
  <c r="E1916" i="238"/>
  <c r="E1924" i="238"/>
  <c r="E1932" i="238"/>
  <c r="E1940" i="238"/>
  <c r="E1948" i="238"/>
  <c r="E1956" i="238"/>
  <c r="E1964" i="238"/>
  <c r="E1972" i="238"/>
  <c r="E1980" i="238"/>
  <c r="E1788" i="238"/>
  <c r="E1796" i="238"/>
  <c r="E1804" i="238"/>
  <c r="E1813" i="238"/>
  <c r="E1821" i="238"/>
  <c r="E1829" i="238"/>
  <c r="E1837" i="238"/>
  <c r="E1845" i="238"/>
  <c r="E1853" i="238"/>
  <c r="E1861" i="238"/>
  <c r="E1869" i="238"/>
  <c r="E1877" i="238"/>
  <c r="E1885" i="238"/>
  <c r="E1893" i="238"/>
  <c r="E1901" i="238"/>
  <c r="E1909" i="238"/>
  <c r="E1917" i="238"/>
  <c r="E1925" i="238"/>
  <c r="E1933" i="238"/>
  <c r="E1941" i="238"/>
  <c r="E1949" i="238"/>
  <c r="E1957" i="238"/>
  <c r="E1965" i="238"/>
  <c r="E1973" i="238"/>
  <c r="E1981" i="238"/>
  <c r="E1789" i="238"/>
  <c r="E1797" i="238"/>
  <c r="E1805" i="238"/>
  <c r="E2005" i="238"/>
  <c r="E2006" i="238"/>
  <c r="E2003" i="238"/>
  <c r="F2003" i="238" s="1"/>
  <c r="E2007" i="238"/>
  <c r="E1998" i="238"/>
  <c r="F1998" i="238" s="1"/>
  <c r="E2001" i="238"/>
  <c r="E2002" i="238"/>
  <c r="E1990" i="238"/>
  <c r="E1994" i="238"/>
  <c r="E1986" i="238"/>
  <c r="E1992" i="238"/>
  <c r="E1996" i="238"/>
  <c r="E1988" i="238"/>
  <c r="E1991" i="238"/>
  <c r="E1995" i="238"/>
  <c r="E1987" i="238"/>
  <c r="E1993" i="238"/>
  <c r="E1997" i="238"/>
  <c r="E1989" i="238"/>
  <c r="E2140" i="238"/>
  <c r="E2147" i="238"/>
  <c r="E2154" i="238"/>
  <c r="E2161" i="238" a="1"/>
  <c r="E2161" i="238" s="1"/>
  <c r="E2168" i="238"/>
  <c r="E2105" i="238"/>
  <c r="E2112" i="238"/>
  <c r="E2119" i="238"/>
  <c r="E2126" i="238" a="1"/>
  <c r="E2126" i="238" s="1"/>
  <c r="E2133" i="238"/>
  <c r="E2141" i="238"/>
  <c r="E2148" i="238"/>
  <c r="E2155" i="238"/>
  <c r="E2162" i="238"/>
  <c r="E2169" i="238"/>
  <c r="E2106" i="238"/>
  <c r="E2113" i="238"/>
  <c r="E2120" i="238"/>
  <c r="E2127" i="238"/>
  <c r="E2134" i="238"/>
  <c r="E2142" i="238"/>
  <c r="E2149" i="238"/>
  <c r="E2156" i="238"/>
  <c r="E2163" i="238" a="1"/>
  <c r="E2163" i="238" s="1"/>
  <c r="E2170" i="238"/>
  <c r="E2107" i="238"/>
  <c r="E2114" i="238"/>
  <c r="E2121" i="238"/>
  <c r="E2128" i="238"/>
  <c r="E2135" i="238"/>
  <c r="E2136" i="238"/>
  <c r="E2143" i="238"/>
  <c r="E2150" i="238"/>
  <c r="E2157" i="238"/>
  <c r="E2164" i="238"/>
  <c r="E2101" i="238"/>
  <c r="E2108" i="238"/>
  <c r="E2115" i="238"/>
  <c r="E2122" i="238"/>
  <c r="E2129" i="238"/>
  <c r="E2137" i="238"/>
  <c r="E2144" i="238"/>
  <c r="E2151" i="238"/>
  <c r="E2158" i="238"/>
  <c r="E2165" i="238"/>
  <c r="E2102" i="238"/>
  <c r="E2109" i="238"/>
  <c r="E2116" i="238"/>
  <c r="E2123" i="238"/>
  <c r="E2130" i="238"/>
  <c r="E2138" i="238"/>
  <c r="E2145" i="238"/>
  <c r="E2152" i="238"/>
  <c r="E2159" i="238"/>
  <c r="E2166" i="238"/>
  <c r="E2103" i="238"/>
  <c r="E2110" i="238"/>
  <c r="E2117" i="238"/>
  <c r="E2124" i="238"/>
  <c r="E2131" i="238"/>
  <c r="E2139" i="238"/>
  <c r="E2146" i="238"/>
  <c r="E2153" i="238"/>
  <c r="E2160" i="238"/>
  <c r="E2167" i="238"/>
  <c r="E2104" i="238"/>
  <c r="E2111" i="238"/>
  <c r="E2118" i="238"/>
  <c r="E2125" i="238"/>
  <c r="E2132" i="238"/>
  <c r="E2171" i="238"/>
  <c r="E2204" i="238"/>
  <c r="E2211" i="238"/>
  <c r="E2218" i="238" a="1"/>
  <c r="E2218" i="238" s="1"/>
  <c r="E2225" i="238"/>
  <c r="E2232" i="238"/>
  <c r="E2239" i="238"/>
  <c r="E2246" i="238"/>
  <c r="E2253" i="238"/>
  <c r="E2260" i="238"/>
  <c r="E2176" i="238"/>
  <c r="E2183" i="238"/>
  <c r="E2190" i="238"/>
  <c r="E2197" i="238"/>
  <c r="E2205" i="238"/>
  <c r="E2212" i="238"/>
  <c r="E2219" i="238" a="1"/>
  <c r="E2219" i="238" s="1"/>
  <c r="E2226" i="238"/>
  <c r="E2233" i="238"/>
  <c r="E2240" i="238"/>
  <c r="E2247" i="238"/>
  <c r="E2254" i="238"/>
  <c r="E2261" i="238"/>
  <c r="E2177" i="238"/>
  <c r="E2184" i="238"/>
  <c r="E2191" i="238"/>
  <c r="E2198" i="238"/>
  <c r="E2206" i="238"/>
  <c r="E2213" i="238"/>
  <c r="E2220" i="238" a="1"/>
  <c r="E2220" i="238" s="1"/>
  <c r="E2227" i="238"/>
  <c r="E2234" i="238"/>
  <c r="E2241" i="238"/>
  <c r="E2248" i="238"/>
  <c r="E2255" i="238"/>
  <c r="E2262" i="238"/>
  <c r="E2178" i="238"/>
  <c r="E2185" i="238"/>
  <c r="E2192" i="238"/>
  <c r="E2199" i="238"/>
  <c r="E2193" i="238"/>
  <c r="E2200" i="238"/>
  <c r="E2207" i="238"/>
  <c r="E2214" i="238" a="1"/>
  <c r="E2214" i="238" s="1"/>
  <c r="E2221" i="238"/>
  <c r="E2228" i="238"/>
  <c r="E2235" i="238"/>
  <c r="E2242" i="238"/>
  <c r="E2249" i="238"/>
  <c r="E2256" i="238"/>
  <c r="E2172" i="238"/>
  <c r="E2179" i="238"/>
  <c r="E2186" i="238"/>
  <c r="E2194" i="238"/>
  <c r="E2201" i="238"/>
  <c r="E2208" i="238"/>
  <c r="E2215" i="238" a="1"/>
  <c r="E2215" i="238" s="1"/>
  <c r="E2222" i="238"/>
  <c r="E2229" i="238"/>
  <c r="E2236" i="238"/>
  <c r="E2243" i="238"/>
  <c r="E2250" i="238"/>
  <c r="E2257" i="238"/>
  <c r="E2173" i="238"/>
  <c r="E2180" i="238"/>
  <c r="E2187" i="238"/>
  <c r="E2195" i="238"/>
  <c r="E2202" i="238"/>
  <c r="E2209" i="238"/>
  <c r="E2216" i="238" a="1"/>
  <c r="E2216" i="238" s="1"/>
  <c r="E2223" i="238"/>
  <c r="E2230" i="238"/>
  <c r="E2237" i="238"/>
  <c r="E2244" i="238"/>
  <c r="E2251" i="238"/>
  <c r="E2258" i="238"/>
  <c r="E2174" i="238"/>
  <c r="E2181" i="238"/>
  <c r="E2188" i="238"/>
  <c r="E2196" i="238"/>
  <c r="E2203" i="238"/>
  <c r="E2210" i="238"/>
  <c r="E2217" i="238" a="1"/>
  <c r="E2217" i="238" s="1"/>
  <c r="E2224" i="238"/>
  <c r="E2231" i="238"/>
  <c r="E2238" i="238"/>
  <c r="E2245" i="238"/>
  <c r="E2252" i="238"/>
  <c r="E2259" i="238"/>
  <c r="E2175" i="238"/>
  <c r="E2182" i="238"/>
  <c r="E2189" i="238"/>
  <c r="E1508" i="238"/>
  <c r="E1512" i="238"/>
  <c r="E1516" i="238"/>
  <c r="E1520" i="238"/>
  <c r="E1524" i="238"/>
  <c r="E1528" i="238"/>
  <c r="E1509" i="238"/>
  <c r="E1513" i="238"/>
  <c r="E1517" i="238"/>
  <c r="E1521" i="238"/>
  <c r="E1525" i="238"/>
  <c r="E1529" i="238"/>
  <c r="E1506" i="238"/>
  <c r="E1510" i="238"/>
  <c r="E1514" i="238"/>
  <c r="E1518" i="238"/>
  <c r="E1522" i="238"/>
  <c r="E1526" i="238"/>
  <c r="E1507" i="238"/>
  <c r="E1511" i="238"/>
  <c r="E1515" i="238"/>
  <c r="E1519" i="238"/>
  <c r="E1523" i="238"/>
  <c r="E1527" i="238"/>
  <c r="E1550" i="238"/>
  <c r="E1558" i="238"/>
  <c r="E1566" i="238"/>
  <c r="E1574" i="238"/>
  <c r="E1582" i="238"/>
  <c r="E1590" i="238"/>
  <c r="E1598" i="238"/>
  <c r="E1606" i="238"/>
  <c r="E1551" i="238"/>
  <c r="E1559" i="238"/>
  <c r="E1567" i="238"/>
  <c r="E1575" i="238"/>
  <c r="E1583" i="238"/>
  <c r="E1591" i="238"/>
  <c r="E1599" i="238"/>
  <c r="E1607" i="238"/>
  <c r="E1552" i="238"/>
  <c r="E1560" i="238"/>
  <c r="E1568" i="238"/>
  <c r="E1576" i="238"/>
  <c r="E1584" i="238"/>
  <c r="E1592" i="238"/>
  <c r="E1600" i="238"/>
  <c r="E1608" i="238"/>
  <c r="E1553" i="238"/>
  <c r="E1561" i="238"/>
  <c r="E1569" i="238"/>
  <c r="E1577" i="238"/>
  <c r="E1585" i="238"/>
  <c r="E1593" i="238"/>
  <c r="E1601" i="238"/>
  <c r="E1609" i="238"/>
  <c r="E1610" i="238"/>
  <c r="E1611" i="238"/>
  <c r="E1612" i="238"/>
  <c r="E1613" i="238"/>
  <c r="E1542" i="238"/>
  <c r="E1530" i="238"/>
  <c r="E1534" i="238"/>
  <c r="E1538" i="238"/>
  <c r="E1543" i="238"/>
  <c r="E1531" i="238"/>
  <c r="E1535" i="238"/>
  <c r="E1539" i="238"/>
  <c r="E1546" i="238"/>
  <c r="E1554" i="238"/>
  <c r="E1562" i="238"/>
  <c r="E1570" i="238"/>
  <c r="E1578" i="238"/>
  <c r="E1586" i="238"/>
  <c r="E1594" i="238"/>
  <c r="E1602" i="238"/>
  <c r="E1544" i="238"/>
  <c r="E1532" i="238"/>
  <c r="E1536" i="238"/>
  <c r="E1540" i="238"/>
  <c r="E1547" i="238"/>
  <c r="E1555" i="238"/>
  <c r="E1563" i="238"/>
  <c r="E1571" i="238"/>
  <c r="E1579" i="238"/>
  <c r="E1587" i="238"/>
  <c r="E1595" i="238"/>
  <c r="E1603" i="238"/>
  <c r="E1545" i="238"/>
  <c r="E1548" i="238"/>
  <c r="E1556" i="238"/>
  <c r="E1564" i="238"/>
  <c r="E1572" i="238"/>
  <c r="E1580" i="238"/>
  <c r="E1588" i="238"/>
  <c r="E1596" i="238"/>
  <c r="E1604" i="238"/>
  <c r="E1533" i="238"/>
  <c r="E1537" i="238"/>
  <c r="E1541" i="238"/>
  <c r="E1549" i="238"/>
  <c r="E1557" i="238"/>
  <c r="E1565" i="238"/>
  <c r="E1573" i="238"/>
  <c r="E1581" i="238"/>
  <c r="E1589" i="238"/>
  <c r="E1597" i="238"/>
  <c r="E1605" i="238"/>
  <c r="E1632" i="238"/>
  <c r="E1624" i="238"/>
  <c r="E1626" i="238"/>
  <c r="E1628" i="238"/>
  <c r="E1630" i="238"/>
  <c r="E1633" i="238"/>
  <c r="E1625" i="238"/>
  <c r="E1627" i="238"/>
  <c r="E1629" i="238"/>
  <c r="E1631" i="238"/>
  <c r="E1622" i="238"/>
  <c r="E1614" i="238"/>
  <c r="E1616" i="238"/>
  <c r="E1618" i="238"/>
  <c r="E1620" i="238"/>
  <c r="E1623" i="238"/>
  <c r="E1615" i="238"/>
  <c r="E1617" i="238"/>
  <c r="E1619" i="238"/>
  <c r="E1621" i="238"/>
  <c r="E2536" i="238"/>
  <c r="E2537" i="238"/>
  <c r="E2538" i="238"/>
  <c r="E2539" i="238"/>
  <c r="E2540" i="238"/>
  <c r="E2541" i="238"/>
  <c r="F2541" i="238" s="1"/>
  <c r="E2542" i="238"/>
  <c r="F2542" i="238" s="1"/>
  <c r="E2546" i="238"/>
  <c r="F2546" i="238" s="1"/>
  <c r="E2548" i="238"/>
  <c r="F2548" i="238" s="1"/>
  <c r="E2549" i="238"/>
  <c r="F2549" i="238" s="1"/>
  <c r="E2550" i="238"/>
  <c r="F2550" i="238" s="1"/>
  <c r="E2543" i="238"/>
  <c r="F2543" i="238" s="1"/>
  <c r="E2544" i="238"/>
  <c r="F2544" i="238" s="1"/>
  <c r="E2545" i="238"/>
  <c r="F2545" i="238" s="1"/>
  <c r="E2551" i="238"/>
  <c r="F2551" i="238" s="1"/>
  <c r="E2552" i="238"/>
  <c r="F2552" i="238" s="1"/>
  <c r="E2553" i="238"/>
  <c r="F2553" i="238" s="1"/>
  <c r="E2554" i="238"/>
  <c r="E2556" i="238"/>
  <c r="E2555" i="238"/>
  <c r="E2557" i="238"/>
  <c r="E2558" i="238"/>
  <c r="E2580" i="238"/>
  <c r="E2601" i="238"/>
  <c r="E2582" i="238"/>
  <c r="E2584" i="238"/>
  <c r="E2604" i="238"/>
  <c r="F2604" i="238" s="1"/>
  <c r="E2605" i="238"/>
  <c r="F2605" i="238" s="1"/>
  <c r="E2606" i="238"/>
  <c r="F2606" i="238" s="1"/>
  <c r="E2607" i="238"/>
  <c r="F2607" i="238" s="1"/>
  <c r="E2608" i="238"/>
  <c r="F2608" i="238" s="1"/>
  <c r="E2609" i="238"/>
  <c r="F2609" i="238" s="1"/>
  <c r="E2611" i="238"/>
  <c r="F2611" i="238" s="1"/>
  <c r="E2612" i="238"/>
  <c r="F2612" i="238" s="1"/>
  <c r="E2602" i="238"/>
  <c r="F2602" i="238" s="1"/>
  <c r="E2603" i="238"/>
  <c r="F2603" i="238" s="1"/>
  <c r="E2610" i="238"/>
  <c r="E2564" i="238"/>
  <c r="F2564" i="238" s="1"/>
  <c r="E2565" i="238"/>
  <c r="F2565" i="238" s="1"/>
  <c r="E2566" i="238"/>
  <c r="F2566" i="238" s="1"/>
  <c r="E2567" i="238"/>
  <c r="F2567" i="238" s="1"/>
  <c r="E2568" i="238"/>
  <c r="F2568" i="238" s="1"/>
  <c r="E2569" i="238"/>
  <c r="F2569" i="238" s="1"/>
  <c r="E2570" i="238"/>
  <c r="F2570" i="238" s="1"/>
  <c r="E2571" i="238"/>
  <c r="F2571" i="238" s="1"/>
  <c r="E2572" i="238"/>
  <c r="F2572" i="238" s="1"/>
  <c r="E2573" i="238"/>
  <c r="F2573" i="238" s="1"/>
  <c r="E2574" i="238"/>
  <c r="F2574" i="238" s="1"/>
  <c r="E2575" i="238"/>
  <c r="F2575" i="238" s="1"/>
  <c r="E2576" i="238"/>
  <c r="F2576" i="238" s="1"/>
  <c r="E2578" i="238"/>
  <c r="F2578" i="238" s="1"/>
  <c r="E2577" i="238" a="1"/>
  <c r="E2577" i="238" s="1"/>
  <c r="F2577" i="238" s="1"/>
  <c r="E2559" i="238"/>
  <c r="F2559" i="238" s="1"/>
  <c r="E2560" i="238"/>
  <c r="F2560" i="238" s="1"/>
  <c r="E2561" i="238"/>
  <c r="F2561" i="238" s="1"/>
  <c r="E2562" i="238"/>
  <c r="F2562" i="238" s="1"/>
  <c r="E2563" i="238"/>
  <c r="F2563" i="238" s="1"/>
  <c r="E2579" i="238"/>
  <c r="F2585" i="238"/>
  <c r="F2587" i="238"/>
  <c r="F2589" i="238"/>
  <c r="F2591" i="238"/>
  <c r="F2593" i="238"/>
  <c r="F2595" i="238"/>
  <c r="F2597" i="238"/>
  <c r="F2599" i="238"/>
  <c r="F2581" i="238"/>
  <c r="F2583" i="238"/>
  <c r="E2613" i="238"/>
  <c r="F2613" i="238" s="1"/>
  <c r="E2614" i="238"/>
  <c r="F2614" i="238" s="1"/>
  <c r="E2617" i="238"/>
  <c r="F2617" i="238" s="1"/>
  <c r="E2619" i="238"/>
  <c r="F2619" i="238" s="1"/>
  <c r="E2618" i="238"/>
  <c r="F2618" i="238" s="1"/>
  <c r="E2616" i="238"/>
  <c r="F2616" i="238" s="1"/>
  <c r="E2615" i="238"/>
  <c r="F2615" i="238" s="1"/>
  <c r="E2620" i="238"/>
  <c r="F2620" i="238" s="1"/>
  <c r="E2621" i="238"/>
  <c r="E2623" i="238"/>
  <c r="E2622" i="238"/>
  <c r="E2625" i="238"/>
  <c r="E2624" i="238"/>
  <c r="E2626" i="238"/>
  <c r="E2627" i="238"/>
  <c r="E2710" i="238"/>
  <c r="E2714" i="238"/>
  <c r="E2718" i="238"/>
  <c r="E2711" i="238"/>
  <c r="E2715" i="238"/>
  <c r="E2719" i="238"/>
  <c r="E2708" i="238"/>
  <c r="E2712" i="238"/>
  <c r="E2716" i="238"/>
  <c r="E2709" i="238"/>
  <c r="E2713" i="238"/>
  <c r="E2717" i="238"/>
  <c r="E2704" i="238"/>
  <c r="E2705" i="238"/>
  <c r="E2706" i="238"/>
  <c r="E2707" i="238"/>
  <c r="E2700" i="238"/>
  <c r="E2701" i="238"/>
  <c r="E2702" i="238"/>
  <c r="E2703" i="238"/>
  <c r="E2720" i="238"/>
  <c r="F2720" i="238" s="1"/>
  <c r="E2726" i="238"/>
  <c r="F2726" i="238" s="1"/>
  <c r="E2727" i="238"/>
  <c r="F2727" i="238" s="1"/>
  <c r="E2728" i="238"/>
  <c r="F2728" i="238" s="1"/>
  <c r="E2729" i="238"/>
  <c r="F2729" i="238" s="1"/>
  <c r="E2730" i="238"/>
  <c r="F2730" i="238" s="1"/>
  <c r="E2731" i="238"/>
  <c r="E2722" i="238"/>
  <c r="E2723" i="238"/>
  <c r="E2725" i="238"/>
  <c r="E2724" i="238"/>
  <c r="E2732" i="238"/>
  <c r="E2735" i="238"/>
  <c r="E2733" i="238"/>
  <c r="E2721" i="238"/>
  <c r="F2721" i="238" s="1"/>
  <c r="E2736" i="238"/>
  <c r="F2736" i="238" s="1"/>
  <c r="E2737" i="238"/>
  <c r="F2737" i="238" s="1"/>
  <c r="E2738" i="238"/>
  <c r="F2738" i="238" s="1"/>
  <c r="E2739" i="238"/>
  <c r="F2739" i="238" s="1"/>
  <c r="E2740" i="238"/>
  <c r="F2740" i="238" s="1"/>
  <c r="E2741" i="238"/>
  <c r="F2741" i="238" s="1"/>
  <c r="E2745" i="238"/>
  <c r="F2745" i="238" s="1"/>
  <c r="E2746" i="238"/>
  <c r="F2746" i="238" s="1"/>
  <c r="E2748" i="238"/>
  <c r="F2748" i="238" s="1"/>
  <c r="E2749" i="238"/>
  <c r="F2749" i="238" s="1"/>
  <c r="E2751" i="238"/>
  <c r="F2751" i="238" s="1"/>
  <c r="E2752" i="238"/>
  <c r="F2752" i="238" s="1"/>
  <c r="E2753" i="238"/>
  <c r="F2753" i="238" s="1"/>
  <c r="E2754" i="238"/>
  <c r="F2754" i="238" s="1"/>
  <c r="E2755" i="238"/>
  <c r="F2755" i="238" s="1"/>
  <c r="E2756" i="238"/>
  <c r="F2756" i="238" s="1"/>
  <c r="E2757" i="238"/>
  <c r="F2757" i="238" s="1"/>
  <c r="E2760" i="238"/>
  <c r="F2760" i="238" s="1"/>
  <c r="E2761" i="238"/>
  <c r="F2761" i="238" s="1"/>
  <c r="E2762" i="238"/>
  <c r="F2762" i="238" s="1"/>
  <c r="E2763" i="238"/>
  <c r="F2763" i="238" s="1"/>
  <c r="E2764" i="238"/>
  <c r="F2764" i="238" s="1"/>
  <c r="E2765" i="238"/>
  <c r="F2765" i="238" s="1"/>
  <c r="E2766" i="238"/>
  <c r="E2758" i="238"/>
  <c r="E2750" i="238"/>
  <c r="E2743" i="238"/>
  <c r="E2742" i="238"/>
  <c r="E2759" i="238"/>
  <c r="E2770" i="238"/>
  <c r="E2769" i="238"/>
  <c r="E2768" i="238"/>
  <c r="E2767" i="238"/>
  <c r="E2774" i="238"/>
  <c r="E2773" i="238"/>
  <c r="E2772" i="238"/>
  <c r="E2771" i="238"/>
  <c r="E2793" i="238"/>
  <c r="E2797" i="238"/>
  <c r="E2801" i="238"/>
  <c r="E2777" i="238"/>
  <c r="E2781" i="238"/>
  <c r="E2785" i="238"/>
  <c r="E2789" i="238"/>
  <c r="E2794" i="238"/>
  <c r="E2798" i="238"/>
  <c r="E2802" i="238"/>
  <c r="E2778" i="238"/>
  <c r="E2782" i="238"/>
  <c r="E2786" i="238"/>
  <c r="E2790" i="238"/>
  <c r="E2791" i="238"/>
  <c r="E2795" i="238"/>
  <c r="E2799" i="238"/>
  <c r="E2775" i="238"/>
  <c r="E2779" i="238"/>
  <c r="E2783" i="238"/>
  <c r="E2787" i="238"/>
  <c r="E2792" i="238"/>
  <c r="E2796" i="238"/>
  <c r="E2800" i="238"/>
  <c r="E2776" i="238"/>
  <c r="E2780" i="238"/>
  <c r="E2784" i="238"/>
  <c r="E2788" i="238"/>
  <c r="E2805" i="238"/>
  <c r="E2809" i="238"/>
  <c r="E2813" i="238"/>
  <c r="E2817" i="238"/>
  <c r="E2806" i="238"/>
  <c r="E2810" i="238"/>
  <c r="E2814" i="238"/>
  <c r="E2818" i="238"/>
  <c r="E2803" i="238"/>
  <c r="E2807" i="238"/>
  <c r="E2811" i="238"/>
  <c r="E2815" i="238"/>
  <c r="E2804" i="238"/>
  <c r="E2808" i="238"/>
  <c r="E2812" i="238"/>
  <c r="E2816" i="238"/>
  <c r="E2875" i="238"/>
  <c r="F2875" i="238" s="1"/>
  <c r="E2876" i="238"/>
  <c r="F2876" i="238" s="1"/>
  <c r="E2877" i="238"/>
  <c r="E2878" i="238"/>
  <c r="E2879" i="238"/>
  <c r="E2880" i="238"/>
  <c r="E2881" i="238"/>
  <c r="F2881" i="238" s="1"/>
  <c r="E2882" i="238"/>
  <c r="F2882" i="238" s="1"/>
  <c r="E2883" i="238"/>
  <c r="F2883" i="238" s="1"/>
  <c r="E2884" i="238"/>
  <c r="E2890" i="238"/>
  <c r="E2896" i="238"/>
  <c r="E2902" i="238"/>
  <c r="E2885" i="238"/>
  <c r="E2891" i="238"/>
  <c r="E2897" i="238"/>
  <c r="E2903" i="238"/>
  <c r="E2886" i="238"/>
  <c r="E2892" i="238"/>
  <c r="E2898" i="238"/>
  <c r="E2904" i="238"/>
  <c r="E2887" i="238"/>
  <c r="E2893" i="238"/>
  <c r="E2899" i="238"/>
  <c r="E2905" i="238"/>
  <c r="E2888" i="238"/>
  <c r="E2894" i="238"/>
  <c r="E2900" i="238"/>
  <c r="E2906" i="238"/>
  <c r="E2889" i="238"/>
  <c r="E2895" i="238"/>
  <c r="E2901" i="238"/>
  <c r="E2907" i="238"/>
  <c r="E2908" i="238"/>
  <c r="F2908" i="238" s="1"/>
  <c r="E2909" i="238"/>
  <c r="E2915" i="238"/>
  <c r="E2921" i="238"/>
  <c r="E2927" i="238"/>
  <c r="E2910" i="238"/>
  <c r="E2916" i="238"/>
  <c r="E2922" i="238"/>
  <c r="E2928" i="238"/>
  <c r="E2911" i="238"/>
  <c r="E2917" i="238"/>
  <c r="E2923" i="238"/>
  <c r="E2929" i="238"/>
  <c r="E2912" i="238"/>
  <c r="E2918" i="238"/>
  <c r="E2924" i="238"/>
  <c r="E2930" i="238"/>
  <c r="E2913" i="238"/>
  <c r="E2919" i="238"/>
  <c r="E2925" i="238"/>
  <c r="E2931" i="238"/>
  <c r="E2914" i="238"/>
  <c r="E2920" i="238"/>
  <c r="E2926" i="238"/>
  <c r="E2932" i="238"/>
  <c r="E2933" i="238"/>
  <c r="E2937" i="238"/>
  <c r="E2941" i="238"/>
  <c r="E2934" i="238"/>
  <c r="E2938" i="238"/>
  <c r="E2942" i="238"/>
  <c r="E2935" i="238"/>
  <c r="E2939" i="238"/>
  <c r="E2943" i="238"/>
  <c r="E2936" i="238"/>
  <c r="E2940" i="238"/>
  <c r="E2944" i="238"/>
  <c r="E2945" i="238"/>
  <c r="E2949" i="238"/>
  <c r="E2953" i="238"/>
  <c r="E2946" i="238"/>
  <c r="E2950" i="238"/>
  <c r="E2954" i="238"/>
  <c r="E2947" i="238"/>
  <c r="E2951" i="238"/>
  <c r="E2955" i="238"/>
  <c r="E2948" i="238"/>
  <c r="E2952" i="238"/>
  <c r="E2956" i="238"/>
  <c r="E2957" i="238"/>
  <c r="E2962" i="238"/>
  <c r="E2968" i="238"/>
  <c r="E2963" i="238"/>
  <c r="E2958" i="238"/>
  <c r="E2964" i="238"/>
  <c r="E2969" i="238"/>
  <c r="E2973" i="238"/>
  <c r="E2959" i="238"/>
  <c r="E2965" i="238"/>
  <c r="E2970" i="238"/>
  <c r="E2974" i="238"/>
  <c r="E2960" i="238"/>
  <c r="E2966" i="238"/>
  <c r="E2971" i="238"/>
  <c r="E2975" i="238"/>
  <c r="E2961" i="238"/>
  <c r="E2967" i="238"/>
  <c r="E2972" i="238"/>
  <c r="E2976" i="238"/>
  <c r="E2977" i="238"/>
  <c r="E2982" i="238"/>
  <c r="E2987" i="238"/>
  <c r="E2992" i="238"/>
  <c r="E2978" i="238"/>
  <c r="E2983" i="238"/>
  <c r="E2988" i="238"/>
  <c r="E2993" i="238"/>
  <c r="E2979" i="238"/>
  <c r="E2984" i="238"/>
  <c r="E2989" i="238"/>
  <c r="E2994" i="238"/>
  <c r="E2980" i="238"/>
  <c r="E2985" i="238"/>
  <c r="E2990" i="238"/>
  <c r="E2995" i="238"/>
  <c r="E2981" i="238"/>
  <c r="E2986" i="238"/>
  <c r="E2991" i="238"/>
  <c r="E2996" i="238"/>
  <c r="E2997" i="238"/>
  <c r="F2997" i="238" s="1"/>
  <c r="E2998" i="238"/>
  <c r="E3003" i="238"/>
  <c r="E3008" i="238"/>
  <c r="E3013" i="238"/>
  <c r="E2999" i="238"/>
  <c r="E3004" i="238"/>
  <c r="E3009" i="238"/>
  <c r="E3014" i="238"/>
  <c r="E3000" i="238"/>
  <c r="E3005" i="238"/>
  <c r="E3010" i="238"/>
  <c r="E3015" i="238"/>
  <c r="E3001" i="238"/>
  <c r="E3006" i="238"/>
  <c r="E3011" i="238"/>
  <c r="E3016" i="238"/>
  <c r="E3002" i="238"/>
  <c r="E3007" i="238"/>
  <c r="E3012" i="238"/>
  <c r="E3017" i="238"/>
  <c r="E3018" i="238"/>
  <c r="E3021" i="238"/>
  <c r="E3024" i="238"/>
  <c r="E3027" i="238"/>
  <c r="E3019" i="238"/>
  <c r="E3022" i="238"/>
  <c r="E3025" i="238"/>
  <c r="E3028" i="238"/>
  <c r="E3020" i="238"/>
  <c r="E3023" i="238"/>
  <c r="E3026" i="238"/>
  <c r="E3029" i="238"/>
  <c r="E3030" i="238"/>
  <c r="F3030" i="238" s="1"/>
  <c r="E3031" i="238"/>
  <c r="F3031" i="238" s="1"/>
  <c r="E3032" i="238"/>
  <c r="F3032" i="238" s="1"/>
  <c r="E3033" i="238"/>
  <c r="F3033" i="238" s="1"/>
  <c r="E3034" i="238"/>
  <c r="E3035" i="238"/>
  <c r="E3036" i="238"/>
  <c r="E3037" i="238"/>
  <c r="F3037" i="238" s="1"/>
  <c r="E3038" i="238"/>
  <c r="F3038" i="238" s="1"/>
  <c r="E3039" i="238"/>
  <c r="F3039" i="238" s="1"/>
  <c r="E3040" i="238"/>
  <c r="F3040" i="238" s="1"/>
  <c r="E3041" i="238"/>
  <c r="E3044" i="238"/>
  <c r="E3047" i="238"/>
  <c r="E3050" i="238"/>
  <c r="E3042" i="238"/>
  <c r="E3045" i="238"/>
  <c r="E3048" i="238"/>
  <c r="E3051" i="238"/>
  <c r="E3043" i="238"/>
  <c r="E3046" i="238"/>
  <c r="E3049" i="238"/>
  <c r="E3052" i="238"/>
  <c r="E3053" i="238"/>
  <c r="E3056" i="238"/>
  <c r="E3059" i="238"/>
  <c r="E3062" i="238"/>
  <c r="E3054" i="238"/>
  <c r="E3057" i="238"/>
  <c r="E3060" i="238"/>
  <c r="E3063" i="238"/>
  <c r="E3055" i="238"/>
  <c r="E3058" i="238"/>
  <c r="E3061" i="238"/>
  <c r="E3064" i="238"/>
  <c r="E3065" i="238"/>
  <c r="F3065" i="238" s="1"/>
  <c r="E3066" i="238"/>
  <c r="F3066" i="238" s="1"/>
  <c r="E3067" i="238"/>
  <c r="F3067" i="238" s="1"/>
  <c r="E3068" i="238"/>
  <c r="F3068" i="238" s="1"/>
  <c r="E3069" i="238"/>
  <c r="F3069" i="238" s="1"/>
  <c r="E3070" i="238"/>
  <c r="E3071" i="238"/>
  <c r="F3071" i="238" s="1"/>
  <c r="E3072" i="238"/>
  <c r="E3073" i="238"/>
  <c r="F3073" i="238" s="1"/>
  <c r="E3074" i="238"/>
  <c r="E3075" i="238"/>
  <c r="E3076" i="238"/>
  <c r="E3077" i="238"/>
  <c r="E3078" i="238"/>
  <c r="E3079" i="238"/>
  <c r="E3080" i="238"/>
  <c r="E3081" i="238"/>
  <c r="E3082" i="238"/>
  <c r="F3082" i="238" s="1"/>
  <c r="E3083" i="238"/>
  <c r="F3083" i="238" s="1"/>
  <c r="E3084" i="238"/>
  <c r="F3084" i="238" s="1"/>
  <c r="E3085" i="238"/>
  <c r="E3086" i="238"/>
  <c r="F3086" i="238" s="1"/>
  <c r="E3087" i="238"/>
  <c r="F3087" i="238" s="1"/>
  <c r="E3088" i="238"/>
  <c r="F3088" i="238" s="1"/>
  <c r="E3089" i="238"/>
  <c r="F3089" i="238" s="1"/>
  <c r="E3090" i="238"/>
  <c r="F3090" i="238" s="1"/>
  <c r="E3091" i="238"/>
  <c r="F3091" i="238" s="1"/>
  <c r="E3092" i="238"/>
  <c r="F3092" i="238" s="1"/>
  <c r="E3093" i="238"/>
  <c r="F3093" i="238" s="1"/>
  <c r="E3094" i="238"/>
  <c r="F3094" i="238" s="1"/>
  <c r="E3095" i="238"/>
  <c r="E3096" i="238"/>
  <c r="F3096" i="238" s="1"/>
  <c r="E3097" i="238"/>
  <c r="F3097" i="238" s="1"/>
  <c r="E3098" i="238"/>
  <c r="F3098" i="238" s="1"/>
  <c r="E3099" i="238"/>
  <c r="F3099" i="238" s="1"/>
  <c r="E3100" i="238"/>
  <c r="F3100" i="238" s="1"/>
  <c r="E3101" i="238"/>
  <c r="F3101" i="238" s="1"/>
  <c r="E3102" i="238"/>
  <c r="F3102" i="238" s="1"/>
  <c r="E3103" i="238"/>
  <c r="F3103" i="238" s="1"/>
  <c r="E3104" i="238"/>
  <c r="F3104" i="238" s="1"/>
  <c r="E3106" i="238" a="1"/>
  <c r="E3106" i="238" s="1"/>
  <c r="F3106" i="238" s="1"/>
  <c r="E3107" i="238"/>
  <c r="F3107" i="238" s="1"/>
  <c r="E3108" i="238"/>
  <c r="F3108" i="238" s="1"/>
  <c r="E3109" i="238"/>
  <c r="F3109" i="238" s="1"/>
  <c r="E3110" i="238"/>
  <c r="F3110" i="238" s="1"/>
  <c r="E3111" i="238"/>
  <c r="F3111" i="238" s="1"/>
  <c r="E3112" i="238"/>
  <c r="F3112" i="238" s="1"/>
  <c r="E3113" i="238"/>
  <c r="F3113" i="238" s="1"/>
  <c r="E3114" i="238"/>
  <c r="F3114" i="238" s="1"/>
  <c r="E3115" i="238"/>
  <c r="E3116" i="238"/>
  <c r="F3116" i="238" s="1"/>
  <c r="E3117" i="238"/>
  <c r="F3117" i="238" s="1"/>
  <c r="E3118" i="238"/>
  <c r="F3118" i="238" s="1"/>
  <c r="E3119" i="238"/>
  <c r="F3119" i="238" s="1"/>
  <c r="E3120" i="238"/>
  <c r="E3121" i="238"/>
  <c r="E3122" i="238"/>
  <c r="E3123" i="238"/>
  <c r="E3124" i="238"/>
  <c r="E3125" i="238"/>
  <c r="E3126" i="238"/>
  <c r="E3127" i="238"/>
  <c r="F3127" i="238" s="1"/>
  <c r="E3128" i="238"/>
  <c r="F3128" i="238" s="1"/>
  <c r="E3129" i="238"/>
  <c r="F3129" i="238" s="1"/>
  <c r="E3130" i="238"/>
  <c r="F3130" i="238" s="1"/>
  <c r="E3131" i="238"/>
  <c r="F3131" i="238" s="1"/>
  <c r="E3132" i="238"/>
  <c r="F3132" i="238" s="1"/>
  <c r="E3133" i="238"/>
  <c r="F3133" i="238" s="1"/>
  <c r="E3134" i="238"/>
  <c r="F3134" i="238" s="1"/>
  <c r="E3135" i="238"/>
  <c r="F3135" i="238" s="1"/>
  <c r="E3136" i="238"/>
  <c r="F3136" i="238" s="1"/>
  <c r="E3137" i="238"/>
  <c r="F3137" i="238" s="1"/>
  <c r="E3138" i="238"/>
  <c r="F3138" i="238" s="1"/>
  <c r="E3139" i="238"/>
  <c r="F3139" i="238" s="1"/>
  <c r="E3140" i="238"/>
  <c r="F3140" i="238" s="1"/>
  <c r="E3141" i="238"/>
  <c r="F3141" i="238" s="1"/>
  <c r="E3142" i="238"/>
  <c r="F3142" i="238" s="1"/>
  <c r="E3143" i="238"/>
  <c r="F3143" i="238" s="1"/>
  <c r="E3144" i="238"/>
  <c r="F3144" i="238" s="1"/>
  <c r="E3145" i="238"/>
  <c r="F3145" i="238" s="1"/>
  <c r="E3146" i="238"/>
  <c r="F3146" i="238" s="1"/>
  <c r="E3147" i="238"/>
  <c r="F3147" i="238" s="1"/>
  <c r="E3148" i="238"/>
  <c r="F3148" i="238" s="1"/>
  <c r="E3149" i="238"/>
  <c r="F3149" i="238" s="1"/>
  <c r="E3150" i="238"/>
  <c r="E3151" i="238"/>
  <c r="F3151" i="238" s="1"/>
  <c r="E3152" i="238"/>
  <c r="F3152" i="238" s="1"/>
  <c r="E3153" i="238"/>
  <c r="F3153" i="238" s="1"/>
  <c r="E3154" i="238"/>
  <c r="F3154" i="238" s="1"/>
  <c r="E3155" i="238"/>
  <c r="F3155" i="238" s="1"/>
  <c r="E3156" i="238"/>
  <c r="F3156" i="238" s="1"/>
  <c r="E3157" i="238"/>
  <c r="E3158" i="238"/>
  <c r="F3158" i="238" s="1"/>
  <c r="E3159" i="238"/>
  <c r="F3159" i="238" s="1"/>
  <c r="E3160" i="238"/>
  <c r="F3160" i="238" s="1"/>
  <c r="E3161" i="238"/>
  <c r="F3161" i="238" s="1"/>
  <c r="E3162" i="238"/>
  <c r="F3162" i="238" s="1"/>
  <c r="E3163" i="238"/>
  <c r="E3164" i="238"/>
  <c r="F3164" i="238" s="1"/>
  <c r="E3165" i="238"/>
  <c r="F3165" i="238" s="1"/>
  <c r="E3166" i="238"/>
  <c r="F3166" i="238" s="1"/>
  <c r="E3167" i="238"/>
  <c r="F3167" i="238" s="1"/>
  <c r="E3168" i="238"/>
  <c r="F3168" i="238" s="1"/>
  <c r="E3169" i="238"/>
  <c r="E3170" i="238"/>
  <c r="E3171" i="238"/>
  <c r="F3171" i="238" s="1"/>
  <c r="E3172" i="238"/>
  <c r="E3173" i="238"/>
  <c r="E3174" i="238"/>
  <c r="E3178" i="238"/>
  <c r="E3182" i="238"/>
  <c r="E3186" i="238"/>
  <c r="E3175" i="238"/>
  <c r="E3179" i="238"/>
  <c r="E3183" i="238"/>
  <c r="E3187" i="238"/>
  <c r="E3176" i="238"/>
  <c r="E3180" i="238"/>
  <c r="E3184" i="238"/>
  <c r="E3188" i="238"/>
  <c r="E3177" i="238"/>
  <c r="E3181" i="238"/>
  <c r="E3185" i="238"/>
  <c r="E3189" i="238"/>
  <c r="E3190" i="238"/>
  <c r="E3192" i="238"/>
  <c r="E3194" i="238"/>
  <c r="E3196" i="238"/>
  <c r="E3191" i="238"/>
  <c r="E3193" i="238"/>
  <c r="E3195" i="238"/>
  <c r="E3197" i="238"/>
  <c r="E3198" i="238"/>
  <c r="E3200" i="238"/>
  <c r="E3202" i="238"/>
  <c r="E3204" i="238"/>
  <c r="E3199" i="238"/>
  <c r="E3201" i="238"/>
  <c r="E3203" i="238"/>
  <c r="E3205" i="238"/>
  <c r="E3206" i="238"/>
  <c r="E3208" i="238"/>
  <c r="E3210" i="238"/>
  <c r="E3212" i="238"/>
  <c r="E3207" i="238"/>
  <c r="E3209" i="238"/>
  <c r="E3211" i="238"/>
  <c r="E3213" i="238"/>
  <c r="E3214" i="238"/>
  <c r="E3218" i="238"/>
  <c r="E3222" i="238"/>
  <c r="E3226" i="238"/>
  <c r="E3230" i="238"/>
  <c r="E3234" i="238"/>
  <c r="E3238" i="238"/>
  <c r="E3242" i="238"/>
  <c r="E3246" i="238"/>
  <c r="E3215" i="238"/>
  <c r="E3219" i="238"/>
  <c r="E3223" i="238"/>
  <c r="E3227" i="238"/>
  <c r="E3231" i="238"/>
  <c r="E3235" i="238"/>
  <c r="E3239" i="238"/>
  <c r="E3243" i="238"/>
  <c r="E3247" i="238"/>
  <c r="E3216" i="238"/>
  <c r="E3220" i="238"/>
  <c r="E3224" i="238"/>
  <c r="E3228" i="238"/>
  <c r="E3232" i="238"/>
  <c r="E3236" i="238"/>
  <c r="E3240" i="238"/>
  <c r="E3244" i="238"/>
  <c r="E3248" i="238"/>
  <c r="E3217" i="238"/>
  <c r="E3221" i="238"/>
  <c r="E3225" i="238"/>
  <c r="E3229" i="238"/>
  <c r="E3233" i="238"/>
  <c r="E3237" i="238"/>
  <c r="E3241" i="238"/>
  <c r="E3245" i="238"/>
  <c r="E3249" i="238"/>
  <c r="F3250" i="238"/>
  <c r="E3339" i="238"/>
  <c r="E3344" i="238"/>
  <c r="E3349" i="238"/>
  <c r="E3354" i="238"/>
  <c r="E3359" i="238"/>
  <c r="E3369" i="238"/>
  <c r="E3364" i="238"/>
  <c r="E3374" i="238"/>
  <c r="E3379" i="238"/>
  <c r="E3384" i="238"/>
  <c r="E3389" i="238"/>
  <c r="E3394" i="238"/>
  <c r="E3399" i="238"/>
  <c r="E3404" i="238"/>
  <c r="E3409" i="238"/>
  <c r="E3414" i="238"/>
  <c r="E3419" i="238"/>
  <c r="E3424" i="238"/>
  <c r="E3429" i="238"/>
  <c r="E3434" i="238"/>
  <c r="E3439" i="238"/>
  <c r="E3444" i="238"/>
  <c r="E3449" i="238"/>
  <c r="E3454" i="238"/>
  <c r="E3459" i="238"/>
  <c r="E3464" i="238"/>
  <c r="E3469" i="238"/>
  <c r="E3474" i="238"/>
  <c r="E3479" i="238"/>
  <c r="E3342" i="238"/>
  <c r="E3347" i="238"/>
  <c r="E3352" i="238"/>
  <c r="E3357" i="238"/>
  <c r="E3362" i="238"/>
  <c r="E3372" i="238"/>
  <c r="E3367" i="238"/>
  <c r="E3377" i="238"/>
  <c r="E3382" i="238"/>
  <c r="E3387" i="238"/>
  <c r="E3392" i="238"/>
  <c r="E3397" i="238"/>
  <c r="E3402" i="238"/>
  <c r="E3407" i="238"/>
  <c r="E3412" i="238"/>
  <c r="E3417" i="238"/>
  <c r="E3422" i="238"/>
  <c r="E3427" i="238"/>
  <c r="E3432" i="238"/>
  <c r="E3437" i="238"/>
  <c r="E3442" i="238"/>
  <c r="E3447" i="238"/>
  <c r="E3452" i="238"/>
  <c r="E3457" i="238"/>
  <c r="E3462" i="238"/>
  <c r="E3467" i="238"/>
  <c r="E3472" i="238"/>
  <c r="E3477" i="238"/>
  <c r="E3482" i="238"/>
  <c r="E3343" i="238"/>
  <c r="E3348" i="238"/>
  <c r="E3353" i="238"/>
  <c r="E3358" i="238"/>
  <c r="E3363" i="238"/>
  <c r="E3373" i="238"/>
  <c r="E3368" i="238"/>
  <c r="E3378" i="238"/>
  <c r="E3383" i="238"/>
  <c r="E3388" i="238"/>
  <c r="E3393" i="238"/>
  <c r="E3398" i="238"/>
  <c r="E3403" i="238"/>
  <c r="E3408" i="238"/>
  <c r="E3413" i="238"/>
  <c r="E3418" i="238"/>
  <c r="E3423" i="238"/>
  <c r="E3428" i="238"/>
  <c r="E3433" i="238"/>
  <c r="E3438" i="238"/>
  <c r="E3443" i="238"/>
  <c r="E3448" i="238"/>
  <c r="E3453" i="238"/>
  <c r="E3458" i="238"/>
  <c r="E3463" i="238"/>
  <c r="E3468" i="238"/>
  <c r="E3473" i="238"/>
  <c r="E3478" i="238"/>
  <c r="E3483" i="238"/>
  <c r="E3340" i="238"/>
  <c r="E3345" i="238"/>
  <c r="E3350" i="238"/>
  <c r="E3355" i="238"/>
  <c r="E3360" i="238"/>
  <c r="E3370" i="238"/>
  <c r="E3365" i="238"/>
  <c r="E3375" i="238"/>
  <c r="E3380" i="238"/>
  <c r="E3385" i="238"/>
  <c r="E3390" i="238"/>
  <c r="E3395" i="238"/>
  <c r="E3400" i="238"/>
  <c r="E3405" i="238"/>
  <c r="E3410" i="238"/>
  <c r="E3415" i="238"/>
  <c r="E3420" i="238"/>
  <c r="E3425" i="238"/>
  <c r="E3430" i="238"/>
  <c r="E3435" i="238"/>
  <c r="E3440" i="238"/>
  <c r="E3445" i="238"/>
  <c r="E3450" i="238"/>
  <c r="E3455" i="238"/>
  <c r="E3460" i="238"/>
  <c r="E3465" i="238"/>
  <c r="E3470" i="238"/>
  <c r="E3475" i="238"/>
  <c r="E3480" i="238"/>
  <c r="E3341" i="238"/>
  <c r="E3346" i="238"/>
  <c r="E3351" i="238"/>
  <c r="E3356" i="238"/>
  <c r="E3361" i="238"/>
  <c r="E3371" i="238"/>
  <c r="E3366" i="238"/>
  <c r="E3376" i="238"/>
  <c r="E3381" i="238"/>
  <c r="E3386" i="238"/>
  <c r="E3391" i="238"/>
  <c r="E3396" i="238"/>
  <c r="E3401" i="238"/>
  <c r="E3406" i="238"/>
  <c r="E3411" i="238"/>
  <c r="E3416" i="238"/>
  <c r="E3421" i="238"/>
  <c r="E3426" i="238"/>
  <c r="E3431" i="238"/>
  <c r="E3436" i="238"/>
  <c r="E3441" i="238"/>
  <c r="E3446" i="238"/>
  <c r="E3451" i="238"/>
  <c r="E3456" i="238"/>
  <c r="E3461" i="238"/>
  <c r="E3466" i="238"/>
  <c r="E3471" i="238"/>
  <c r="E3476" i="238"/>
  <c r="E3481" i="238"/>
  <c r="E3761" i="238"/>
  <c r="E3762" i="238"/>
  <c r="E3766" i="238"/>
  <c r="E3767" i="238"/>
  <c r="E3768" i="238"/>
  <c r="E3769" i="238"/>
  <c r="E3770" i="238"/>
  <c r="E3771" i="238"/>
  <c r="E3772" i="238"/>
  <c r="E3773" i="238"/>
  <c r="E3774" i="238"/>
  <c r="E3763" i="238"/>
  <c r="E3764" i="238"/>
  <c r="E3765" i="238"/>
  <c r="E3972" i="238"/>
  <c r="E3984" i="238"/>
  <c r="E3996" i="238"/>
  <c r="E4008" i="238"/>
  <c r="E3960" i="238"/>
  <c r="E3973" i="238"/>
  <c r="E3985" i="238"/>
  <c r="E3997" i="238"/>
  <c r="E4009" i="238"/>
  <c r="E3961" i="238"/>
  <c r="E3974" i="238"/>
  <c r="E3986" i="238"/>
  <c r="E3998" i="238"/>
  <c r="E4010" i="238"/>
  <c r="E3962" i="238"/>
  <c r="E3975" i="238"/>
  <c r="E3987" i="238"/>
  <c r="E3999" i="238"/>
  <c r="E4011" i="238"/>
  <c r="E3963" i="238"/>
  <c r="E3976" i="238"/>
  <c r="E3988" i="238"/>
  <c r="E4000" i="238"/>
  <c r="E4012" i="238"/>
  <c r="E3964" i="238"/>
  <c r="E3977" i="238"/>
  <c r="E3989" i="238"/>
  <c r="E4001" i="238"/>
  <c r="E4013" i="238"/>
  <c r="E3965" i="238"/>
  <c r="E3978" i="238"/>
  <c r="E3990" i="238"/>
  <c r="E4002" i="238"/>
  <c r="E4014" i="238"/>
  <c r="E3966" i="238"/>
  <c r="E3979" i="238"/>
  <c r="E3991" i="238"/>
  <c r="E4003" i="238"/>
  <c r="E4015" i="238"/>
  <c r="E3967" i="238"/>
  <c r="E3980" i="238"/>
  <c r="E3992" i="238"/>
  <c r="E4004" i="238"/>
  <c r="E4016" i="238"/>
  <c r="E3968" i="238"/>
  <c r="E3969" i="238"/>
  <c r="E3981" i="238"/>
  <c r="E3993" i="238"/>
  <c r="E4005" i="238"/>
  <c r="E3957" i="238"/>
  <c r="E3970" i="238"/>
  <c r="E3982" i="238"/>
  <c r="E3994" i="238"/>
  <c r="E4006" i="238"/>
  <c r="E3958" i="238"/>
  <c r="E3971" i="238"/>
  <c r="E3983" i="238"/>
  <c r="E3995" i="238"/>
  <c r="E4007" i="238"/>
  <c r="E3959" i="238"/>
  <c r="F4063" i="238"/>
  <c r="F4046" i="238"/>
  <c r="F4051" i="238"/>
  <c r="F4052" i="238"/>
  <c r="F4053" i="238"/>
  <c r="E4082" i="238"/>
  <c r="F4082" i="238" s="1"/>
  <c r="E4083" i="238"/>
  <c r="F4083" i="238" s="1"/>
  <c r="F4081" i="238"/>
  <c r="E4019" i="238"/>
  <c r="F4019" i="238" s="1"/>
  <c r="E4020" i="238"/>
  <c r="F4020" i="238" s="1"/>
  <c r="E4021" i="238"/>
  <c r="F4021" i="238" s="1"/>
  <c r="E4022" i="238"/>
  <c r="F4022" i="238" s="1"/>
  <c r="E4023" i="238"/>
  <c r="F4023" i="238" s="1"/>
  <c r="E4024" i="238"/>
  <c r="F4024" i="238" s="1"/>
  <c r="E4025" i="238" a="1"/>
  <c r="E4025" i="238" s="1"/>
  <c r="F4025" i="238" s="1"/>
  <c r="E4026" i="238" a="1"/>
  <c r="E4026" i="238" s="1"/>
  <c r="F4026" i="238" s="1"/>
  <c r="E4027" i="238" a="1"/>
  <c r="E4027" i="238" s="1"/>
  <c r="F4027" i="238" s="1"/>
  <c r="E4032" i="238"/>
  <c r="F4032" i="238" s="1"/>
  <c r="E4028" i="238"/>
  <c r="F4028" i="238" s="1"/>
  <c r="E4030" i="238"/>
  <c r="F4030" i="238" s="1"/>
  <c r="E4029" i="238"/>
  <c r="F4029" i="238" s="1"/>
  <c r="E4017" i="238"/>
  <c r="F4017" i="238" s="1"/>
  <c r="E4018" i="238"/>
  <c r="F4018" i="238" s="1"/>
  <c r="E4033" i="238" a="1"/>
  <c r="E4033" i="238" s="1"/>
  <c r="E4034" i="238" a="1"/>
  <c r="E4034" i="238" s="1"/>
  <c r="E4035" i="238" a="1"/>
  <c r="E4035" i="238" s="1"/>
  <c r="E4036" i="238" a="1"/>
  <c r="E4036" i="238" s="1"/>
  <c r="E4037" i="238" a="1"/>
  <c r="E4037" i="238" s="1"/>
  <c r="E4038" i="238" a="1"/>
  <c r="E4038" i="238" s="1"/>
  <c r="E4039" i="238" a="1"/>
  <c r="E4039" i="238" s="1"/>
  <c r="E4040" i="238" a="1"/>
  <c r="E4040" i="238" s="1"/>
  <c r="E4041" i="238" a="1"/>
  <c r="E4041" i="238" s="1"/>
  <c r="E4042" i="238" a="1"/>
  <c r="E4042" i="238" s="1"/>
  <c r="E4043" i="238" a="1"/>
  <c r="E4043" i="238" s="1"/>
  <c r="E4044" i="238" a="1"/>
  <c r="E4044" i="238" s="1"/>
  <c r="E4045" i="238" a="1"/>
  <c r="E4045" i="238" s="1"/>
  <c r="E4084" i="238" a="1"/>
  <c r="E4084" i="238" s="1"/>
  <c r="E4085" i="238" a="1"/>
  <c r="E4085" i="238" s="1"/>
  <c r="E4086" i="238" a="1"/>
  <c r="E4086" i="238" s="1"/>
  <c r="E4121" i="238"/>
  <c r="F4121" i="238" s="1"/>
  <c r="E4107" i="238"/>
  <c r="F4107" i="238" s="1"/>
  <c r="E4108" i="238"/>
  <c r="F4108" i="238" s="1"/>
  <c r="E4109" i="238"/>
  <c r="F4109" i="238" s="1"/>
  <c r="E4122" i="238"/>
  <c r="F4122" i="238" s="1"/>
  <c r="E4095" i="238"/>
  <c r="F4095" i="238" s="1"/>
  <c r="E4096" i="238"/>
  <c r="F4096" i="238" s="1"/>
  <c r="E4097" i="238"/>
  <c r="F4097" i="238" s="1"/>
  <c r="E4098" i="238"/>
  <c r="F4098" i="238" s="1"/>
  <c r="E4099" i="238"/>
  <c r="F4099" i="238" s="1"/>
  <c r="E4100" i="238"/>
  <c r="E4101" i="238"/>
  <c r="F4101" i="238" s="1"/>
  <c r="E4102" i="238"/>
  <c r="F4102" i="238" s="1"/>
  <c r="E4103" i="238"/>
  <c r="F4103" i="238" s="1"/>
  <c r="E4104" i="238"/>
  <c r="F4104" i="238" s="1"/>
  <c r="E4105" i="238"/>
  <c r="F4105" i="238" s="1"/>
  <c r="E4106" i="238"/>
  <c r="E4114" i="238"/>
  <c r="F4114" i="238" s="1"/>
  <c r="E4115" i="238"/>
  <c r="F4115" i="238" s="1"/>
  <c r="E4116" i="238"/>
  <c r="F4116" i="238" s="1"/>
  <c r="E4117" i="238"/>
  <c r="F4117" i="238" s="1"/>
  <c r="E4118" i="238"/>
  <c r="F4118" i="238" s="1"/>
  <c r="E4119" i="238"/>
  <c r="F4119" i="238" s="1"/>
  <c r="E4120" i="238"/>
  <c r="F4120" i="238" s="1"/>
  <c r="E4110" i="238"/>
  <c r="F4110" i="238" s="1"/>
  <c r="E4111" i="238"/>
  <c r="F4111" i="238" s="1"/>
  <c r="E4112" i="238"/>
  <c r="F4112" i="238" s="1"/>
  <c r="E4113" i="238"/>
  <c r="F4113" i="238" s="1"/>
  <c r="E4091" i="238" a="1"/>
  <c r="E4091" i="238" s="1"/>
  <c r="E4092" i="238" a="1"/>
  <c r="E4092" i="238" s="1"/>
  <c r="E4093" i="238" a="1"/>
  <c r="E4093" i="238" s="1"/>
  <c r="E4094" i="238" a="1"/>
  <c r="E4094" i="238" s="1"/>
  <c r="E4123" i="238" a="1"/>
  <c r="E4123" i="238" s="1"/>
  <c r="E4124" i="238" a="1"/>
  <c r="E4124" i="238" s="1"/>
  <c r="E4125" i="238" a="1"/>
  <c r="E4125" i="238" s="1"/>
  <c r="E4126" i="238" a="1"/>
  <c r="E4126" i="238" s="1"/>
  <c r="E4127" i="238" a="1"/>
  <c r="E4127" i="238" s="1"/>
  <c r="E4128" i="238" a="1"/>
  <c r="E4128" i="238" s="1"/>
  <c r="E4129" i="238" a="1"/>
  <c r="E4129" i="238" s="1"/>
  <c r="E4130" i="238" a="1"/>
  <c r="E4130" i="238" s="1"/>
  <c r="E4131" i="238" a="1"/>
  <c r="E4131" i="238" s="1"/>
  <c r="E4132" i="238" a="1"/>
  <c r="E4132" i="238" s="1"/>
  <c r="E4133" i="238" a="1"/>
  <c r="E4133" i="238" s="1"/>
  <c r="E4134" i="238" a="1"/>
  <c r="E4134" i="238" s="1"/>
  <c r="E4135" i="238" a="1"/>
  <c r="E4135" i="238" s="1"/>
  <c r="E4136" i="238" a="1"/>
  <c r="E4136" i="238" s="1"/>
  <c r="E4137" i="238" a="1"/>
  <c r="E4137" i="238" s="1"/>
  <c r="E4138" i="238" a="1"/>
  <c r="E4138" i="238" s="1"/>
  <c r="E4182" i="238"/>
  <c r="F4182" i="238" s="1"/>
  <c r="E4269" i="238"/>
  <c r="E4155" i="238"/>
  <c r="F4155" i="238" s="1"/>
  <c r="E4156" i="238"/>
  <c r="F4156" i="238" s="1"/>
  <c r="E4157" i="238"/>
  <c r="F4157" i="238" s="1"/>
  <c r="E4217" i="238"/>
  <c r="E4219" i="238"/>
  <c r="E4221" i="238"/>
  <c r="E4227" i="238"/>
  <c r="E4235" i="238"/>
  <c r="E4270" i="238"/>
  <c r="E4271" i="238"/>
  <c r="E4272" i="238"/>
  <c r="E4179" i="238"/>
  <c r="F4179" i="238" s="1"/>
  <c r="E4273" i="238"/>
  <c r="E4158" i="238"/>
  <c r="F4158" i="238" s="1"/>
  <c r="E4159" i="238"/>
  <c r="F4159" i="238" s="1"/>
  <c r="E4160" i="238"/>
  <c r="E4237" i="238"/>
  <c r="E4239" i="238"/>
  <c r="E4231" i="238"/>
  <c r="E4241" i="238"/>
  <c r="E4253" i="238"/>
  <c r="E4163" i="238"/>
  <c r="F4163" i="238" s="1"/>
  <c r="E4185" i="238"/>
  <c r="F4185" i="238" s="1"/>
  <c r="E4186" i="238"/>
  <c r="F4186" i="238" s="1"/>
  <c r="E4187" i="238" a="1"/>
  <c r="E4187" i="238" s="1"/>
  <c r="F4187" i="238" s="1"/>
  <c r="E4188" i="238" a="1"/>
  <c r="E4188" i="238" s="1"/>
  <c r="F4188" i="238" s="1"/>
  <c r="E4164" i="238"/>
  <c r="F4164" i="238" s="1"/>
  <c r="E4194" i="238"/>
  <c r="F4194" i="238" s="1"/>
  <c r="E4353" i="238" a="1"/>
  <c r="E4353" i="238" s="1"/>
  <c r="F4353" i="238" s="1"/>
  <c r="E4165" i="238" a="1"/>
  <c r="E4165" i="238" s="1"/>
  <c r="F4165" i="238" s="1"/>
  <c r="E4195" i="238"/>
  <c r="F4195" i="238" s="1"/>
  <c r="E4196" i="238" a="1"/>
  <c r="E4196" i="238" s="1"/>
  <c r="F4196" i="238" s="1"/>
  <c r="E4161" i="238" a="1"/>
  <c r="E4161" i="238" s="1"/>
  <c r="F4161" i="238" s="1"/>
  <c r="E4355" i="238" a="1"/>
  <c r="E4355" i="238" s="1"/>
  <c r="F4355" i="238" s="1"/>
  <c r="E4184" i="238" a="1"/>
  <c r="E4184" i="238" s="1"/>
  <c r="F4184" i="238" s="1"/>
  <c r="E4170" i="238" a="1"/>
  <c r="E4170" i="238" s="1"/>
  <c r="F4170" i="238" s="1"/>
  <c r="E4190" i="238" a="1"/>
  <c r="E4190" i="238" s="1"/>
  <c r="E4191" i="238" a="1"/>
  <c r="E4191" i="238" s="1"/>
  <c r="E4192" i="238" a="1"/>
  <c r="E4192" i="238" s="1"/>
  <c r="E4193" i="238" a="1"/>
  <c r="E4193" i="238" s="1"/>
  <c r="E4189" i="238"/>
  <c r="F4189" i="238" s="1"/>
  <c r="E4162" i="238"/>
  <c r="F4162" i="238" s="1"/>
  <c r="E4178" i="238"/>
  <c r="F4178" i="238" s="1"/>
  <c r="F4399" i="238"/>
  <c r="E4389" i="238"/>
  <c r="F4389" i="238" s="1"/>
  <c r="F4405" i="238"/>
  <c r="F4407" i="238"/>
  <c r="E4153" i="238"/>
  <c r="F4153" i="238" s="1"/>
  <c r="E4387" i="238" a="1"/>
  <c r="E4387" i="238" s="1"/>
  <c r="F4387" i="238" s="1"/>
  <c r="E4391" i="238" a="1"/>
  <c r="E4391" i="238" s="1"/>
  <c r="F4391" i="238" s="1"/>
  <c r="E4393" i="238" a="1"/>
  <c r="E4393" i="238" s="1"/>
  <c r="F4393" i="238" s="1"/>
  <c r="E4395" i="238" a="1"/>
  <c r="E4395" i="238" s="1"/>
  <c r="F4395" i="238" s="1"/>
  <c r="E4397" i="238" a="1"/>
  <c r="E4397" i="238" s="1"/>
  <c r="F4397" i="238" s="1"/>
  <c r="F4401" i="238"/>
  <c r="F4403" i="238"/>
  <c r="E4147" i="238"/>
  <c r="F4147" i="238" s="1"/>
  <c r="E4149" i="238"/>
  <c r="F4149" i="238" s="1"/>
  <c r="E4151" i="238"/>
  <c r="F4151" i="238" s="1"/>
  <c r="E4145" i="238" a="1"/>
  <c r="E4145" i="238" s="1"/>
  <c r="F4145" i="238" s="1"/>
  <c r="E4154" i="238"/>
  <c r="E4181" i="238"/>
  <c r="F4181" i="238" s="1"/>
  <c r="E4146" i="238"/>
  <c r="F4146" i="238" s="1"/>
  <c r="E4148" i="238"/>
  <c r="F4148" i="238" s="1"/>
  <c r="E4144" i="238"/>
  <c r="F4144" i="238" s="1"/>
  <c r="E4197" i="238"/>
  <c r="E4201" i="238"/>
  <c r="E4207" i="238"/>
  <c r="E4209" i="238"/>
  <c r="E4211" i="238"/>
  <c r="E4274" i="238"/>
  <c r="E4275" i="238"/>
  <c r="E4276" i="238"/>
  <c r="E4277" i="238"/>
  <c r="E4180" i="238"/>
  <c r="F4180" i="238" s="1"/>
  <c r="E4166" i="238"/>
  <c r="F4166" i="238" s="1"/>
  <c r="E4152" i="238"/>
  <c r="F4152" i="238" s="1"/>
  <c r="E4150" i="238"/>
  <c r="F4150" i="238" s="1"/>
  <c r="E4278" i="238"/>
  <c r="E4279" i="238"/>
  <c r="E4167" i="238"/>
  <c r="F4167" i="238" s="1"/>
  <c r="E4168" i="238"/>
  <c r="F4168" i="238" s="1"/>
  <c r="E4183" i="238"/>
  <c r="F4183" i="238" s="1"/>
  <c r="E4169" i="238"/>
  <c r="F4169" i="238" s="1"/>
  <c r="E4385" i="238" a="1"/>
  <c r="E4385" i="238" s="1"/>
  <c r="F4385" i="238" s="1"/>
  <c r="E4386" i="238" a="1"/>
  <c r="E4386" i="238" s="1"/>
  <c r="F4386" i="238" s="1"/>
  <c r="E4171" i="238" a="1"/>
  <c r="E4171" i="238" s="1"/>
  <c r="F4171" i="238" s="1"/>
  <c r="E4172" i="238"/>
  <c r="F4172" i="238" s="1"/>
  <c r="E4173" i="238" a="1"/>
  <c r="E4173" i="238" s="1"/>
  <c r="F4173" i="238" s="1"/>
  <c r="E4174" i="238" a="1"/>
  <c r="E4174" i="238" s="1"/>
  <c r="F4174" i="238" s="1"/>
  <c r="E4175" i="238" a="1"/>
  <c r="E4175" i="238" s="1"/>
  <c r="F4175" i="238" s="1"/>
  <c r="E4176" i="238"/>
  <c r="F4176" i="238" s="1"/>
  <c r="E4177" i="238" a="1"/>
  <c r="E4177" i="238" s="1"/>
  <c r="F4177" i="238" s="1"/>
  <c r="E5101" i="238"/>
  <c r="F5101" i="238" s="1"/>
  <c r="E5102" i="238"/>
  <c r="F5102" i="238" s="1"/>
  <c r="E5103" i="238"/>
  <c r="F5103" i="238" s="1"/>
  <c r="F5120" i="238"/>
  <c r="E5121" i="238" a="1"/>
  <c r="E5121" i="238" s="1"/>
  <c r="F5121" i="238" s="1"/>
  <c r="E5122" i="238" a="1"/>
  <c r="E5122" i="238" s="1"/>
  <c r="F5122" i="238" s="1"/>
  <c r="E5123" i="238" a="1"/>
  <c r="E5123" i="238" s="1"/>
  <c r="E5124" i="238" a="1"/>
  <c r="E5124" i="238" s="1"/>
  <c r="F5124" i="238" s="1"/>
  <c r="E5125" i="238" a="1"/>
  <c r="E5125" i="238" s="1"/>
  <c r="F5125" i="238" s="1"/>
  <c r="E5142" i="238" a="1"/>
  <c r="E5142" i="238" s="1"/>
  <c r="F5142" i="238" s="1"/>
  <c r="E5143" i="238"/>
  <c r="E5144" i="238"/>
  <c r="E2744" i="238"/>
  <c r="F2744" i="238" s="1"/>
  <c r="E2747" i="238"/>
  <c r="F2747" i="238" s="1"/>
  <c r="E4031" i="238"/>
  <c r="F4031" i="238" s="1"/>
  <c r="E2628" i="238" a="1"/>
  <c r="E2628" i="238" s="1"/>
  <c r="E2629" i="238" a="1"/>
  <c r="E2629" i="238" s="1"/>
  <c r="E2636" i="238" a="1"/>
  <c r="E2636" i="238" s="1"/>
  <c r="E2637" i="238" a="1"/>
  <c r="E2637" i="238" s="1"/>
  <c r="E2644" i="238" a="1"/>
  <c r="E2644" i="238" s="1"/>
  <c r="E2645" i="238" a="1"/>
  <c r="E2645" i="238" s="1"/>
  <c r="E2652" i="238" a="1"/>
  <c r="E2652" i="238" s="1"/>
  <c r="E2653" i="238" a="1"/>
  <c r="E2653" i="238" s="1"/>
  <c r="E2660" i="238" a="1"/>
  <c r="E2660" i="238" s="1"/>
  <c r="E2661" i="238" a="1"/>
  <c r="E2661" i="238" s="1"/>
  <c r="E2630" i="238" a="1"/>
  <c r="E2630" i="238" s="1"/>
  <c r="E2631" i="238" a="1"/>
  <c r="E2631" i="238" s="1"/>
  <c r="E2638" i="238" a="1"/>
  <c r="E2638" i="238" s="1"/>
  <c r="E2639" i="238" a="1"/>
  <c r="E2639" i="238" s="1"/>
  <c r="E2646" i="238" a="1"/>
  <c r="E2646" i="238" s="1"/>
  <c r="E2647" i="238" a="1"/>
  <c r="E2647" i="238" s="1"/>
  <c r="E2654" i="238" a="1"/>
  <c r="E2654" i="238" s="1"/>
  <c r="E2655" i="238" a="1"/>
  <c r="E2655" i="238" s="1"/>
  <c r="E2662" i="238" a="1"/>
  <c r="E2662" i="238" s="1"/>
  <c r="E2663" i="238" a="1"/>
  <c r="E2663" i="238" s="1"/>
  <c r="E2632" i="238" a="1"/>
  <c r="E2632" i="238" s="1"/>
  <c r="E2633" i="238" a="1"/>
  <c r="E2633" i="238" s="1"/>
  <c r="E2640" i="238" a="1"/>
  <c r="E2640" i="238" s="1"/>
  <c r="E2641" i="238" a="1"/>
  <c r="E2641" i="238" s="1"/>
  <c r="E2648" i="238" a="1"/>
  <c r="E2648" i="238" s="1"/>
  <c r="E2649" i="238" a="1"/>
  <c r="E2649" i="238" s="1"/>
  <c r="E2656" i="238" a="1"/>
  <c r="E2656" i="238" s="1"/>
  <c r="E2657" i="238" a="1"/>
  <c r="E2657" i="238" s="1"/>
  <c r="E2664" i="238" a="1"/>
  <c r="E2664" i="238" s="1"/>
  <c r="E2665" i="238" a="1"/>
  <c r="E2665" i="238" s="1"/>
  <c r="E2634" i="238" a="1"/>
  <c r="E2634" i="238" s="1"/>
  <c r="E2635" i="238" a="1"/>
  <c r="E2635" i="238" s="1"/>
  <c r="E2642" i="238" a="1"/>
  <c r="E2642" i="238" s="1"/>
  <c r="E2643" i="238" a="1"/>
  <c r="E2643" i="238" s="1"/>
  <c r="E2650" i="238" a="1"/>
  <c r="E2650" i="238" s="1"/>
  <c r="E2651" i="238" a="1"/>
  <c r="E2651" i="238" s="1"/>
  <c r="E2658" i="238" a="1"/>
  <c r="E2658" i="238" s="1"/>
  <c r="E2659" i="238" a="1"/>
  <c r="E2659" i="238" s="1"/>
  <c r="E2666" i="238" a="1"/>
  <c r="E2666" i="238" s="1"/>
  <c r="E2667" i="238" a="1"/>
  <c r="E2667" i="238" s="1"/>
  <c r="E2668" i="238" a="1"/>
  <c r="E2668" i="238" s="1"/>
  <c r="E2669" i="238" a="1"/>
  <c r="E2669" i="238" s="1"/>
  <c r="E2676" i="238" a="1"/>
  <c r="E2676" i="238" s="1"/>
  <c r="E2677" i="238" a="1"/>
  <c r="E2677" i="238" s="1"/>
  <c r="E2684" i="238" a="1"/>
  <c r="E2684" i="238" s="1"/>
  <c r="E2685" i="238" a="1"/>
  <c r="E2685" i="238" s="1"/>
  <c r="E2692" i="238" a="1"/>
  <c r="E2692" i="238" s="1"/>
  <c r="E2693" i="238" a="1"/>
  <c r="E2693" i="238" s="1"/>
  <c r="E2670" i="238" a="1"/>
  <c r="E2670" i="238" s="1"/>
  <c r="E2671" i="238" a="1"/>
  <c r="E2671" i="238" s="1"/>
  <c r="E2678" i="238" a="1"/>
  <c r="E2678" i="238" s="1"/>
  <c r="E2679" i="238" a="1"/>
  <c r="E2679" i="238" s="1"/>
  <c r="E2686" i="238" a="1"/>
  <c r="E2686" i="238" s="1"/>
  <c r="E2687" i="238" a="1"/>
  <c r="E2687" i="238" s="1"/>
  <c r="E2694" i="238" a="1"/>
  <c r="E2694" i="238" s="1"/>
  <c r="E2695" i="238" a="1"/>
  <c r="E2695" i="238" s="1"/>
  <c r="E2672" i="238" a="1"/>
  <c r="E2672" i="238" s="1"/>
  <c r="E2673" i="238" a="1"/>
  <c r="E2673" i="238" s="1"/>
  <c r="E2680" i="238" a="1"/>
  <c r="E2680" i="238" s="1"/>
  <c r="E2681" i="238" a="1"/>
  <c r="E2681" i="238" s="1"/>
  <c r="E2688" i="238" a="1"/>
  <c r="E2688" i="238" s="1"/>
  <c r="E2689" i="238" a="1"/>
  <c r="E2689" i="238" s="1"/>
  <c r="E2696" i="238" a="1"/>
  <c r="E2696" i="238" s="1"/>
  <c r="E2697" i="238" a="1"/>
  <c r="E2697" i="238" s="1"/>
  <c r="E2674" i="238" a="1"/>
  <c r="E2674" i="238" s="1"/>
  <c r="E2675" i="238" a="1"/>
  <c r="E2675" i="238" s="1"/>
  <c r="E2682" i="238" a="1"/>
  <c r="E2682" i="238" s="1"/>
  <c r="E2683" i="238" a="1"/>
  <c r="E2683" i="238" s="1"/>
  <c r="E2690" i="238" a="1"/>
  <c r="E2690" i="238" s="1"/>
  <c r="E2691" i="238" a="1"/>
  <c r="E2691" i="238" s="1"/>
  <c r="E2698" i="238" a="1"/>
  <c r="E2698" i="238" s="1"/>
  <c r="E2699" i="238" a="1"/>
  <c r="E2699" i="238" s="1"/>
  <c r="E4199" i="238" a="1"/>
  <c r="E4199" i="238" s="1"/>
  <c r="E4203" i="238"/>
  <c r="E4205" i="238"/>
  <c r="E4213" i="238"/>
  <c r="E4215" i="238"/>
  <c r="E4223" i="238"/>
  <c r="E4225" i="238"/>
  <c r="E4229" i="238"/>
  <c r="E4233" i="238"/>
  <c r="E4243" i="238"/>
  <c r="E4245" i="238"/>
  <c r="E4247" i="238"/>
  <c r="E4249" i="238"/>
  <c r="E4251" i="238"/>
  <c r="E4198" i="238"/>
  <c r="E4200" i="238"/>
  <c r="E4202" i="238"/>
  <c r="E4204" i="238"/>
  <c r="E4206" i="238"/>
  <c r="E4208" i="238"/>
  <c r="E4210" i="238"/>
  <c r="E4212" i="238"/>
  <c r="E4214" i="238"/>
  <c r="E4216" i="238"/>
  <c r="E4218" i="238"/>
  <c r="E4220" i="238"/>
  <c r="E4222" i="238"/>
  <c r="E4224" i="238"/>
  <c r="E4226" i="238"/>
  <c r="E4228" i="238"/>
  <c r="E4230" i="238"/>
  <c r="E4232" i="238"/>
  <c r="E4234" i="238"/>
  <c r="E4236" i="238"/>
  <c r="E4238" i="238"/>
  <c r="E4240" i="238"/>
  <c r="E4242" i="238"/>
  <c r="E4244" i="238"/>
  <c r="E4246" i="238"/>
  <c r="E4248" i="238"/>
  <c r="E4250" i="238"/>
  <c r="E4252" i="238"/>
  <c r="E4254" i="238"/>
  <c r="E4255" i="238"/>
  <c r="E4257" i="238"/>
  <c r="E4259" i="238"/>
  <c r="E4261" i="238"/>
  <c r="E4263" i="238"/>
  <c r="E4265" i="238"/>
  <c r="E4267" i="238"/>
  <c r="E4256" i="238"/>
  <c r="E4258" i="238"/>
  <c r="E4260" i="238"/>
  <c r="E4262" i="238"/>
  <c r="E4264" i="238"/>
  <c r="E4266" i="238"/>
  <c r="E4268" i="238"/>
  <c r="E4341" i="238"/>
  <c r="E4342" i="238"/>
  <c r="E4343" i="238"/>
  <c r="E4344" i="238"/>
  <c r="E4345" i="238"/>
  <c r="E4346" i="238"/>
  <c r="E4347" i="238"/>
  <c r="E4348" i="238"/>
  <c r="E4349" i="238"/>
  <c r="E4350" i="238"/>
  <c r="E4351" i="238"/>
  <c r="E4352" i="238"/>
  <c r="E4388" i="238"/>
  <c r="E4392" i="238"/>
  <c r="E4394" i="238"/>
  <c r="E4396" i="238"/>
  <c r="E4398" i="238"/>
  <c r="E4409" i="238"/>
  <c r="E4410" i="238"/>
  <c r="E4411" i="238"/>
  <c r="E4412" i="238"/>
  <c r="E4413" i="238"/>
  <c r="E4414" i="238"/>
  <c r="E4415" i="238"/>
  <c r="E4416" i="238"/>
  <c r="E4417" i="238"/>
  <c r="E4418" i="238"/>
  <c r="E4419" i="238"/>
  <c r="E4420" i="238"/>
  <c r="E4421" i="238"/>
  <c r="E4422" i="238"/>
  <c r="E4423" i="238"/>
  <c r="E4424" i="238"/>
  <c r="E4425" i="238"/>
  <c r="E4426" i="238"/>
  <c r="E4427" i="238"/>
  <c r="E4428" i="238"/>
  <c r="E4429" i="238"/>
  <c r="E4430" i="238"/>
  <c r="E4431" i="238"/>
  <c r="E4432" i="238"/>
  <c r="E4433" i="238"/>
  <c r="E4434" i="238"/>
  <c r="E4435" i="238"/>
  <c r="E4436" i="238"/>
  <c r="E4437" i="238"/>
  <c r="E4438" i="238"/>
  <c r="E4439" i="238"/>
  <c r="E4440" i="238"/>
  <c r="E4356" i="238"/>
  <c r="E4358" i="238"/>
  <c r="E4360" i="238"/>
  <c r="E4362" i="238"/>
  <c r="E4364" i="238"/>
  <c r="E4366" i="238"/>
  <c r="E4368" i="238"/>
  <c r="E4370" i="238"/>
  <c r="E4357" i="238"/>
  <c r="E4359" i="238"/>
  <c r="E4361" i="238"/>
  <c r="E4363" i="238"/>
  <c r="E4365" i="238"/>
  <c r="E4367" i="238"/>
  <c r="E4369" i="238"/>
  <c r="E4371" i="238"/>
  <c r="E4372" i="238"/>
  <c r="E4379" i="238"/>
  <c r="E4380" i="238"/>
  <c r="E4373" i="238"/>
  <c r="E4374" i="238"/>
  <c r="E4375" i="238"/>
  <c r="E4376" i="238"/>
  <c r="E4377" i="238"/>
  <c r="E4378" i="238"/>
  <c r="E4381" i="238"/>
  <c r="E4382" i="238"/>
  <c r="E4383" i="238"/>
  <c r="E4384" i="238"/>
  <c r="E4354" i="238"/>
  <c r="E4441" i="238" a="1"/>
  <c r="E4441" i="238" s="1"/>
  <c r="E4442" i="238" a="1"/>
  <c r="E4442" i="238" s="1"/>
  <c r="E4445" i="238" a="1"/>
  <c r="E4445" i="238" s="1"/>
  <c r="E4446" i="238" a="1"/>
  <c r="E4446" i="238" s="1"/>
  <c r="E4449" i="238" a="1"/>
  <c r="E4449" i="238" s="1"/>
  <c r="E4450" i="238" a="1"/>
  <c r="E4450" i="238" s="1"/>
  <c r="E4443" i="238" a="1"/>
  <c r="E4443" i="238" s="1"/>
  <c r="E4444" i="238" a="1"/>
  <c r="E4444" i="238" s="1"/>
  <c r="E4447" i="238" a="1"/>
  <c r="E4447" i="238" s="1"/>
  <c r="E4448" i="238" a="1"/>
  <c r="E4448" i="238" s="1"/>
  <c r="E4451" i="238" a="1"/>
  <c r="E4451" i="238" s="1"/>
  <c r="E4452" i="238" a="1"/>
  <c r="E4452" i="238" s="1"/>
  <c r="E4459" i="238"/>
  <c r="F4459" i="238" s="1"/>
  <c r="E4460" i="238"/>
  <c r="F4460" i="238" s="1"/>
  <c r="E4461" i="238"/>
  <c r="F4461" i="238" s="1"/>
  <c r="E4462" i="238"/>
  <c r="F4462" i="238" s="1"/>
  <c r="E4463" i="238"/>
  <c r="F4463" i="238" s="1"/>
  <c r="E4464" i="238"/>
  <c r="F4464" i="238" s="1"/>
  <c r="E4465" i="238"/>
  <c r="F4465" i="238" s="1"/>
  <c r="E4466" i="238"/>
  <c r="F4466" i="238" s="1"/>
  <c r="E4467" i="238"/>
  <c r="F4467" i="238" s="1"/>
  <c r="E4468" i="238"/>
  <c r="F4468" i="238" s="1"/>
  <c r="E4469" i="238"/>
  <c r="F4469" i="238" s="1"/>
  <c r="E4470" i="238"/>
  <c r="F4470" i="238" s="1"/>
  <c r="E4471" i="238"/>
  <c r="F4471" i="238" s="1"/>
  <c r="E4472" i="238"/>
  <c r="F4472" i="238" s="1"/>
  <c r="E4473" i="238"/>
  <c r="F4473" i="238" s="1"/>
  <c r="E4474" i="238"/>
  <c r="F4474" i="238" s="1"/>
  <c r="E4475" i="238"/>
  <c r="F4475" i="238" s="1"/>
  <c r="E4476" i="238"/>
  <c r="F4476" i="238" s="1"/>
  <c r="E4477" i="238"/>
  <c r="F4477" i="238" s="1"/>
  <c r="E4478" i="238"/>
  <c r="F4478" i="238" s="1"/>
  <c r="E4479" i="238"/>
  <c r="F4479" i="238" s="1"/>
  <c r="E4480" i="238"/>
  <c r="F4480" i="238" s="1"/>
  <c r="E4481" i="238"/>
  <c r="F4481" i="238" s="1"/>
  <c r="E4482" i="238"/>
  <c r="F4482" i="238" s="1"/>
  <c r="E4483" i="238"/>
  <c r="F4483" i="238" s="1"/>
  <c r="E4484" i="238"/>
  <c r="F4484" i="238" s="1"/>
  <c r="E4485" i="238"/>
  <c r="F4485" i="238" s="1"/>
  <c r="E4486" i="238"/>
  <c r="F4486" i="238" s="1"/>
  <c r="E4487" i="238"/>
  <c r="F4487" i="238" s="1"/>
  <c r="E4488" i="238"/>
  <c r="F4488" i="238" s="1"/>
  <c r="E4489" i="238"/>
  <c r="F4489" i="238" s="1"/>
  <c r="E4490" i="238"/>
  <c r="F4490" i="238" s="1"/>
  <c r="E4491" i="238"/>
  <c r="F4491" i="238" s="1"/>
  <c r="E4492" i="238"/>
  <c r="F4492" i="238" s="1"/>
  <c r="E4493" i="238"/>
  <c r="F4493" i="238" s="1"/>
  <c r="E4494" i="238"/>
  <c r="F4494" i="238" s="1"/>
  <c r="E4495" i="238"/>
  <c r="F4495" i="238" s="1"/>
  <c r="E4496" i="238"/>
  <c r="F4496" i="238" s="1"/>
  <c r="E4497" i="238"/>
  <c r="F4497" i="238" s="1"/>
  <c r="E4498" i="238"/>
  <c r="F4498" i="238" s="1"/>
  <c r="E4499" i="238"/>
  <c r="F4499" i="238" s="1"/>
  <c r="E4500" i="238"/>
  <c r="F4500" i="238" s="1"/>
  <c r="E4501" i="238"/>
  <c r="F4501" i="238" s="1"/>
  <c r="E4502" i="238"/>
  <c r="F4502" i="238" s="1"/>
  <c r="E4503" i="238"/>
  <c r="F4503" i="238" s="1"/>
  <c r="E4504" i="238"/>
  <c r="F4504" i="238" s="1"/>
  <c r="E4505" i="238"/>
  <c r="F4505" i="238" s="1"/>
  <c r="E4506" i="238"/>
  <c r="F4506" i="238" s="1"/>
  <c r="E4507" i="238"/>
  <c r="F4507" i="238" s="1"/>
  <c r="E4508" i="238"/>
  <c r="F4508" i="238" s="1"/>
  <c r="E4509" i="238"/>
  <c r="F4509" i="238" s="1"/>
  <c r="E4510" i="238"/>
  <c r="F4510" i="238" s="1"/>
  <c r="E4511" i="238"/>
  <c r="F4511" i="238" s="1"/>
  <c r="E4512" i="238"/>
  <c r="F4512" i="238" s="1"/>
  <c r="E4513" i="238"/>
  <c r="F4513" i="238" s="1"/>
  <c r="E4514" i="238"/>
  <c r="F4514" i="238" s="1"/>
  <c r="E4515" i="238"/>
  <c r="F4515" i="238" s="1"/>
  <c r="E4516" i="238"/>
  <c r="F4516" i="238" s="1"/>
  <c r="E4517" i="238"/>
  <c r="F4517" i="238" s="1"/>
  <c r="E4518" i="238"/>
  <c r="F4518" i="238" s="1"/>
  <c r="E4519" i="238"/>
  <c r="F4519" i="238" s="1"/>
  <c r="E4520" i="238"/>
  <c r="F4520" i="238" s="1"/>
  <c r="E4521" i="238"/>
  <c r="F4521" i="238" s="1"/>
  <c r="E4522" i="238"/>
  <c r="F4522" i="238" s="1"/>
  <c r="E4523" i="238"/>
  <c r="F4523" i="238" s="1"/>
  <c r="E4524" i="238"/>
  <c r="F4524" i="238" s="1"/>
  <c r="E4525" i="238"/>
  <c r="F4525" i="238" s="1"/>
  <c r="E4526" i="238"/>
  <c r="F4526" i="238" s="1"/>
  <c r="E4527" i="238"/>
  <c r="F4527" i="238" s="1"/>
  <c r="E4528" i="238"/>
  <c r="F4528" i="238" s="1"/>
  <c r="E4529" i="238"/>
  <c r="F4529" i="238" s="1"/>
  <c r="E4530" i="238"/>
  <c r="F4530" i="238" s="1"/>
  <c r="E4531" i="238"/>
  <c r="F4531" i="238" s="1"/>
  <c r="E4532" i="238"/>
  <c r="F4532" i="238" s="1"/>
  <c r="E4533" i="238"/>
  <c r="F4533" i="238" s="1"/>
  <c r="E4534" i="238"/>
  <c r="F4534" i="238" s="1"/>
  <c r="E4535" i="238"/>
  <c r="F4535" i="238" s="1"/>
  <c r="E4536" i="238"/>
  <c r="F4536" i="238" s="1"/>
  <c r="E4537" i="238"/>
  <c r="F4537" i="238" s="1"/>
  <c r="E4538" i="238"/>
  <c r="F4538" i="238" s="1"/>
  <c r="E4539" i="238"/>
  <c r="F4539" i="238" s="1"/>
  <c r="E4540" i="238"/>
  <c r="F4540" i="238" s="1"/>
  <c r="E4541" i="238"/>
  <c r="F4541" i="238" s="1"/>
  <c r="E4542" i="238"/>
  <c r="F4542" i="238" s="1"/>
  <c r="E4543" i="238" a="1"/>
  <c r="E4543" i="238" s="1"/>
  <c r="E4544" i="238" a="1"/>
  <c r="E4544" i="238" s="1"/>
  <c r="E4545" i="238" a="1"/>
  <c r="E4545" i="238" s="1"/>
  <c r="E4546" i="238" a="1"/>
  <c r="E4546" i="238" s="1"/>
  <c r="E4547" i="238" a="1"/>
  <c r="E4547" i="238" s="1"/>
  <c r="E4548" i="238" a="1"/>
  <c r="E4548" i="238" s="1"/>
  <c r="E4549" i="238" a="1"/>
  <c r="E4549" i="238" s="1"/>
  <c r="E4550" i="238" a="1"/>
  <c r="E4550" i="238" s="1"/>
  <c r="E4551" i="238" a="1"/>
  <c r="E4551" i="238" s="1"/>
  <c r="E4552" i="238" a="1"/>
  <c r="E4552" i="238" s="1"/>
  <c r="E4553" i="238" a="1"/>
  <c r="E4553" i="238" s="1"/>
  <c r="E4554" i="238" a="1"/>
  <c r="E4554" i="238" s="1"/>
  <c r="E4555" i="238" a="1"/>
  <c r="E4555" i="238" s="1"/>
  <c r="E4556" i="238" a="1"/>
  <c r="E4556" i="238" s="1"/>
  <c r="E4557" i="238" a="1"/>
  <c r="E4557" i="238" s="1"/>
  <c r="E4558" i="238" a="1"/>
  <c r="E4558" i="238" s="1"/>
  <c r="E4559" i="238" a="1"/>
  <c r="E4559" i="238" s="1"/>
  <c r="E4560" i="238" a="1"/>
  <c r="E4560" i="238" s="1"/>
  <c r="E4564" i="238" a="1"/>
  <c r="E4564" i="238" s="1"/>
  <c r="E4565" i="238" a="1"/>
  <c r="E4565" i="238" s="1"/>
  <c r="E4566" i="238" a="1"/>
  <c r="E4566" i="238" s="1"/>
  <c r="E4567" i="238" a="1"/>
  <c r="E4567" i="238" s="1"/>
  <c r="E4568" i="238" a="1"/>
  <c r="E4568" i="238" s="1"/>
  <c r="E4569" i="238" a="1"/>
  <c r="E4569" i="238" s="1"/>
  <c r="E4570" i="238" a="1"/>
  <c r="E4570" i="238" s="1"/>
  <c r="E4571" i="238" a="1"/>
  <c r="E4571" i="238" s="1"/>
  <c r="E4572" i="238" a="1"/>
  <c r="E4572" i="238" s="1"/>
  <c r="E4573" i="238" a="1"/>
  <c r="E4573" i="238" s="1"/>
  <c r="E4574" i="238" a="1"/>
  <c r="E4574" i="238" s="1"/>
  <c r="E4575" i="238" a="1"/>
  <c r="E4575" i="238" s="1"/>
  <c r="E4576" i="238" a="1"/>
  <c r="E4576" i="238" s="1"/>
  <c r="E4577" i="238" a="1"/>
  <c r="E4577" i="238" s="1"/>
  <c r="E4578" i="238" a="1"/>
  <c r="E4578" i="238" s="1"/>
  <c r="E4579" i="238" a="1"/>
  <c r="E4579" i="238" s="1"/>
  <c r="E4580" i="238" a="1"/>
  <c r="E4580" i="238" s="1"/>
  <c r="E4581" i="238" a="1"/>
  <c r="E4581" i="238" s="1"/>
  <c r="E4582" i="238" a="1"/>
  <c r="E4582" i="238" s="1"/>
  <c r="E4583" i="238" a="1"/>
  <c r="E4583" i="238" s="1"/>
  <c r="E4584" i="238" a="1"/>
  <c r="E4584" i="238" s="1"/>
  <c r="E4585" i="238" a="1"/>
  <c r="E4585" i="238" s="1"/>
  <c r="E4586" i="238" a="1"/>
  <c r="E4586" i="238" s="1"/>
  <c r="E4587" i="238" a="1"/>
  <c r="E4587" i="238" s="1"/>
  <c r="E4588" i="238" a="1"/>
  <c r="E4588" i="238" s="1"/>
  <c r="E4589" i="238" a="1"/>
  <c r="E4589" i="238" s="1"/>
  <c r="E4590" i="238" a="1"/>
  <c r="E4590" i="238" s="1"/>
  <c r="E4591" i="238" a="1"/>
  <c r="E4591" i="238" s="1"/>
  <c r="E4592" i="238" a="1"/>
  <c r="E4592" i="238" s="1"/>
  <c r="E4593" i="238" a="1"/>
  <c r="E4593" i="238" s="1"/>
  <c r="E4594" i="238" a="1"/>
  <c r="E4594" i="238" s="1"/>
  <c r="E4595" i="238" a="1"/>
  <c r="E4595" i="238" s="1"/>
  <c r="E4596" i="238" a="1"/>
  <c r="E4596" i="238" s="1"/>
  <c r="E4597" i="238" a="1"/>
  <c r="E4597" i="238" s="1"/>
  <c r="E4598" i="238" a="1"/>
  <c r="E4598" i="238" s="1"/>
  <c r="E4599" i="238" a="1"/>
  <c r="E4599" i="238" s="1"/>
  <c r="E4600" i="238" a="1"/>
  <c r="E4600" i="238" s="1"/>
  <c r="E4601" i="238" a="1"/>
  <c r="E4601" i="238" s="1"/>
  <c r="E4602" i="238" a="1"/>
  <c r="E4602" i="238" s="1"/>
  <c r="E4603" i="238" a="1"/>
  <c r="E4603" i="238" s="1"/>
  <c r="E4604" i="238" a="1"/>
  <c r="E4604" i="238" s="1"/>
  <c r="E4605" i="238" a="1"/>
  <c r="E4605" i="238" s="1"/>
  <c r="E4606" i="238" a="1"/>
  <c r="E4606" i="238" s="1"/>
  <c r="E4607" i="238" a="1"/>
  <c r="E4607" i="238" s="1"/>
  <c r="E4608" i="238" a="1"/>
  <c r="E4608" i="238" s="1"/>
  <c r="E4609" i="238" a="1"/>
  <c r="E4609" i="238" s="1"/>
  <c r="E4610" i="238" a="1"/>
  <c r="E4610" i="238" s="1"/>
  <c r="E4613" i="238" a="1"/>
  <c r="E4613" i="238" s="1"/>
  <c r="E4614" i="238" a="1"/>
  <c r="E4614" i="238" s="1"/>
  <c r="E4617" i="238" a="1"/>
  <c r="E4617" i="238" s="1"/>
  <c r="E4618" i="238" a="1"/>
  <c r="E4618" i="238" s="1"/>
  <c r="E4621" i="238" a="1"/>
  <c r="E4621" i="238" s="1"/>
  <c r="E4622" i="238" a="1"/>
  <c r="E4622" i="238" s="1"/>
  <c r="E4625" i="238" a="1"/>
  <c r="E4625" i="238" s="1"/>
  <c r="E4626" i="238" a="1"/>
  <c r="E4626" i="238" s="1"/>
  <c r="E4629" i="238" a="1"/>
  <c r="E4629" i="238" s="1"/>
  <c r="E4630" i="238" a="1"/>
  <c r="E4630" i="238" s="1"/>
  <c r="E4633" i="238" a="1"/>
  <c r="E4633" i="238" s="1"/>
  <c r="E4634" i="238" a="1"/>
  <c r="E4634" i="238" s="1"/>
  <c r="E4637" i="238" a="1"/>
  <c r="E4637" i="238" s="1"/>
  <c r="E4638" i="238" a="1"/>
  <c r="E4638" i="238" s="1"/>
  <c r="E4642" i="238" a="1"/>
  <c r="E4642" i="238" s="1"/>
  <c r="E4643" i="238" a="1"/>
  <c r="E4643" i="238" s="1"/>
  <c r="E4641" i="238" a="1"/>
  <c r="E4641" i="238" s="1"/>
  <c r="E4646" i="238" a="1"/>
  <c r="E4646" i="238" s="1"/>
  <c r="E4647" i="238" a="1"/>
  <c r="E4647" i="238" s="1"/>
  <c r="E4650" i="238" a="1"/>
  <c r="E4650" i="238" s="1"/>
  <c r="E4651" i="238" a="1"/>
  <c r="E4651" i="238" s="1"/>
  <c r="E4654" i="238" a="1"/>
  <c r="E4654" i="238" s="1"/>
  <c r="E4655" i="238" a="1"/>
  <c r="E4655" i="238" s="1"/>
  <c r="E4658" i="238" a="1"/>
  <c r="E4658" i="238" s="1"/>
  <c r="E4659" i="238" a="1"/>
  <c r="E4659" i="238" s="1"/>
  <c r="E4662" i="238" a="1"/>
  <c r="E4662" i="238" s="1"/>
  <c r="E4663" i="238" a="1"/>
  <c r="E4663" i="238" s="1"/>
  <c r="E4666" i="238" a="1"/>
  <c r="E4666" i="238" s="1"/>
  <c r="E4667" i="238" a="1"/>
  <c r="E4667" i="238" s="1"/>
  <c r="E4670" i="238" a="1"/>
  <c r="E4670" i="238" s="1"/>
  <c r="E4671" i="238" a="1"/>
  <c r="E4671" i="238" s="1"/>
  <c r="E4674" i="238" a="1"/>
  <c r="E4674" i="238" s="1"/>
  <c r="E4675" i="238" a="1"/>
  <c r="E4675" i="238" s="1"/>
  <c r="E4678" i="238" a="1"/>
  <c r="E4678" i="238" s="1"/>
  <c r="E4679" i="238" a="1"/>
  <c r="E4679" i="238" s="1"/>
  <c r="E4682" i="238" a="1"/>
  <c r="E4682" i="238" s="1"/>
  <c r="E4683" i="238" a="1"/>
  <c r="E4683" i="238" s="1"/>
  <c r="E4686" i="238" a="1"/>
  <c r="E4686" i="238" s="1"/>
  <c r="E4687" i="238" a="1"/>
  <c r="E4687" i="238" s="1"/>
  <c r="E4690" i="238" a="1"/>
  <c r="E4690" i="238" s="1"/>
  <c r="E4691" i="238" a="1"/>
  <c r="E4691" i="238" s="1"/>
  <c r="E4694" i="238" a="1"/>
  <c r="E4694" i="238" s="1"/>
  <c r="E4695" i="238" a="1"/>
  <c r="E4695" i="238" s="1"/>
  <c r="E4698" i="238" a="1"/>
  <c r="E4698" i="238" s="1"/>
  <c r="E4699" i="238" a="1"/>
  <c r="E4699" i="238" s="1"/>
  <c r="E4700" i="238" a="1"/>
  <c r="E4700" i="238" s="1"/>
  <c r="E4703" i="238" a="1"/>
  <c r="E4703" i="238" s="1"/>
  <c r="E4704" i="238" a="1"/>
  <c r="E4704" i="238" s="1"/>
  <c r="E4707" i="238" a="1"/>
  <c r="E4707" i="238" s="1"/>
  <c r="E4708" i="238" a="1"/>
  <c r="E4708" i="238" s="1"/>
  <c r="E4711" i="238" a="1"/>
  <c r="E4711" i="238" s="1"/>
  <c r="E4712" i="238" a="1"/>
  <c r="E4712" i="238" s="1"/>
  <c r="E4715" i="238" a="1"/>
  <c r="E4715" i="238" s="1"/>
  <c r="E4716" i="238" a="1"/>
  <c r="E4716" i="238" s="1"/>
  <c r="E4719" i="238" a="1"/>
  <c r="E4719" i="238" s="1"/>
  <c r="E4720" i="238" a="1"/>
  <c r="E4720" i="238" s="1"/>
  <c r="E4721" i="238" a="1"/>
  <c r="E4721" i="238" s="1"/>
  <c r="E4611" i="238" a="1"/>
  <c r="E4611" i="238" s="1"/>
  <c r="E4612" i="238" a="1"/>
  <c r="E4612" i="238" s="1"/>
  <c r="E4615" i="238" a="1"/>
  <c r="E4615" i="238" s="1"/>
  <c r="E4616" i="238" a="1"/>
  <c r="E4616" i="238" s="1"/>
  <c r="E4619" i="238" a="1"/>
  <c r="E4619" i="238" s="1"/>
  <c r="E4620" i="238" a="1"/>
  <c r="E4620" i="238" s="1"/>
  <c r="E4623" i="238" a="1"/>
  <c r="E4623" i="238" s="1"/>
  <c r="E4624" i="238" a="1"/>
  <c r="E4624" i="238" s="1"/>
  <c r="E4627" i="238" a="1"/>
  <c r="E4627" i="238" s="1"/>
  <c r="E4628" i="238" a="1"/>
  <c r="E4628" i="238" s="1"/>
  <c r="E4631" i="238" a="1"/>
  <c r="E4631" i="238" s="1"/>
  <c r="E4632" i="238" a="1"/>
  <c r="E4632" i="238" s="1"/>
  <c r="E4635" i="238" a="1"/>
  <c r="E4635" i="238" s="1"/>
  <c r="E4636" i="238" a="1"/>
  <c r="E4636" i="238" s="1"/>
  <c r="E4639" i="238" a="1"/>
  <c r="E4639" i="238" s="1"/>
  <c r="E4640" i="238" a="1"/>
  <c r="E4640" i="238" s="1"/>
  <c r="E4644" i="238" a="1"/>
  <c r="E4644" i="238" s="1"/>
  <c r="E4645" i="238" a="1"/>
  <c r="E4645" i="238" s="1"/>
  <c r="E4648" i="238" a="1"/>
  <c r="E4648" i="238" s="1"/>
  <c r="E4649" i="238" a="1"/>
  <c r="E4649" i="238" s="1"/>
  <c r="E4652" i="238" a="1"/>
  <c r="E4652" i="238" s="1"/>
  <c r="E4653" i="238" a="1"/>
  <c r="E4653" i="238" s="1"/>
  <c r="E4656" i="238" a="1"/>
  <c r="E4656" i="238" s="1"/>
  <c r="E4657" i="238" a="1"/>
  <c r="E4657" i="238" s="1"/>
  <c r="E4660" i="238" a="1"/>
  <c r="E4660" i="238" s="1"/>
  <c r="E4661" i="238" a="1"/>
  <c r="E4661" i="238" s="1"/>
  <c r="E4664" i="238" a="1"/>
  <c r="E4664" i="238" s="1"/>
  <c r="E4665" i="238" a="1"/>
  <c r="E4665" i="238" s="1"/>
  <c r="E4668" i="238" a="1"/>
  <c r="E4668" i="238" s="1"/>
  <c r="E4669" i="238" a="1"/>
  <c r="E4669" i="238" s="1"/>
  <c r="E4672" i="238" a="1"/>
  <c r="E4672" i="238" s="1"/>
  <c r="E4673" i="238" a="1"/>
  <c r="E4673" i="238" s="1"/>
  <c r="E4676" i="238" a="1"/>
  <c r="E4676" i="238" s="1"/>
  <c r="E4677" i="238" a="1"/>
  <c r="E4677" i="238" s="1"/>
  <c r="E4680" i="238" a="1"/>
  <c r="E4680" i="238" s="1"/>
  <c r="E4681" i="238" a="1"/>
  <c r="E4681" i="238" s="1"/>
  <c r="E4684" i="238" a="1"/>
  <c r="E4684" i="238" s="1"/>
  <c r="E4685" i="238" a="1"/>
  <c r="E4685" i="238" s="1"/>
  <c r="E4688" i="238" a="1"/>
  <c r="E4688" i="238" s="1"/>
  <c r="E4689" i="238" a="1"/>
  <c r="E4689" i="238" s="1"/>
  <c r="E4692" i="238" a="1"/>
  <c r="E4692" i="238" s="1"/>
  <c r="E4693" i="238" a="1"/>
  <c r="E4693" i="238" s="1"/>
  <c r="E4696" i="238" a="1"/>
  <c r="E4696" i="238" s="1"/>
  <c r="E4697" i="238" a="1"/>
  <c r="E4697" i="238" s="1"/>
  <c r="E4701" i="238" a="1"/>
  <c r="E4701" i="238" s="1"/>
  <c r="E4702" i="238" a="1"/>
  <c r="E4702" i="238" s="1"/>
  <c r="E4705" i="238" a="1"/>
  <c r="E4705" i="238" s="1"/>
  <c r="E4706" i="238" a="1"/>
  <c r="E4706" i="238" s="1"/>
  <c r="E4709" i="238" a="1"/>
  <c r="E4709" i="238" s="1"/>
  <c r="E4710" i="238" a="1"/>
  <c r="E4710" i="238" s="1"/>
  <c r="E4713" i="238" a="1"/>
  <c r="E4713" i="238" s="1"/>
  <c r="E4714" i="238" a="1"/>
  <c r="E4714" i="238" s="1"/>
  <c r="E4717" i="238" a="1"/>
  <c r="E4717" i="238" s="1"/>
  <c r="E4718" i="238" a="1"/>
  <c r="E4718" i="238" s="1"/>
  <c r="E4722" i="238" a="1"/>
  <c r="E4722" i="238" s="1"/>
  <c r="E4723" i="238" a="1"/>
  <c r="E4723" i="238" s="1"/>
  <c r="E4724" i="238" a="1"/>
  <c r="E4724" i="238" s="1"/>
  <c r="E4725" i="238" a="1"/>
  <c r="E4725" i="238" s="1"/>
  <c r="E4726" i="238" a="1"/>
  <c r="E4726" i="238" s="1"/>
  <c r="E4727" i="238" a="1"/>
  <c r="E4727" i="238" s="1"/>
  <c r="E4728" i="238" a="1"/>
  <c r="E4728" i="238" s="1"/>
  <c r="E4729" i="238" a="1"/>
  <c r="E4729" i="238" s="1"/>
  <c r="E4730" i="238" a="1"/>
  <c r="E4730" i="238" s="1"/>
  <c r="E4731" i="238" a="1"/>
  <c r="E4731" i="238" s="1"/>
  <c r="E4732" i="238" a="1"/>
  <c r="E4732" i="238" s="1"/>
  <c r="E4733" i="238" a="1"/>
  <c r="E4733" i="238" s="1"/>
  <c r="E4734" i="238" a="1"/>
  <c r="E4734" i="238" s="1"/>
  <c r="E4735" i="238" a="1"/>
  <c r="E4735" i="238" s="1"/>
  <c r="E4736" i="238" a="1"/>
  <c r="E4736" i="238" s="1"/>
  <c r="E4737" i="238" a="1"/>
  <c r="E4737" i="238" s="1"/>
  <c r="E4738" i="238" a="1"/>
  <c r="E4738" i="238" s="1"/>
  <c r="E4739" i="238" a="1"/>
  <c r="E4739" i="238" s="1"/>
  <c r="E4740" i="238" a="1"/>
  <c r="E4740" i="238" s="1"/>
  <c r="E4741" i="238" a="1"/>
  <c r="E4741" i="238" s="1"/>
  <c r="E4742" i="238" a="1"/>
  <c r="E4742" i="238" s="1"/>
  <c r="E4743" i="238" a="1"/>
  <c r="E4743" i="238" s="1"/>
  <c r="E4744" i="238" a="1"/>
  <c r="E4744" i="238" s="1"/>
  <c r="E4745" i="238" a="1"/>
  <c r="E4745" i="238" s="1"/>
  <c r="E4746" i="238" a="1"/>
  <c r="E4746" i="238" s="1"/>
  <c r="E4747" i="238" a="1"/>
  <c r="E4747" i="238" s="1"/>
  <c r="E4748" i="238" a="1"/>
  <c r="E4748" i="238" s="1"/>
  <c r="E4749" i="238" a="1"/>
  <c r="E4749" i="238" s="1"/>
  <c r="E4750" i="238" a="1"/>
  <c r="E4750" i="238" s="1"/>
  <c r="E4751" i="238" a="1"/>
  <c r="E4751" i="238" s="1"/>
  <c r="E4752" i="238" a="1"/>
  <c r="E4752" i="238" s="1"/>
  <c r="E4753" i="238" a="1"/>
  <c r="E4753" i="238" s="1"/>
  <c r="E4754" i="238" a="1"/>
  <c r="E4754" i="238" s="1"/>
  <c r="E4755" i="238" a="1"/>
  <c r="E4755" i="238" s="1"/>
  <c r="E4756" i="238" a="1"/>
  <c r="E4756" i="238" s="1"/>
  <c r="E4757" i="238" a="1"/>
  <c r="E4757" i="238" s="1"/>
  <c r="E4758" i="238" a="1"/>
  <c r="E4758" i="238" s="1"/>
  <c r="E4759" i="238" a="1"/>
  <c r="E4759" i="238" s="1"/>
  <c r="E4760" i="238" a="1"/>
  <c r="E4760" i="238" s="1"/>
  <c r="E4761" i="238" a="1"/>
  <c r="E4761" i="238" s="1"/>
  <c r="E4762" i="238" a="1"/>
  <c r="E4762" i="238" s="1"/>
  <c r="E4763" i="238" a="1"/>
  <c r="E4763" i="238" s="1"/>
  <c r="E4764" i="238" a="1"/>
  <c r="E4764" i="238" s="1"/>
  <c r="E4765" i="238" a="1"/>
  <c r="E4765" i="238" s="1"/>
  <c r="E4766" i="238" a="1"/>
  <c r="E4766" i="238" s="1"/>
  <c r="E4767" i="238" a="1"/>
  <c r="E4767" i="238" s="1"/>
  <c r="E4768" i="238" a="1"/>
  <c r="E4768" i="238" s="1"/>
  <c r="E4769" i="238" a="1"/>
  <c r="E4769" i="238" s="1"/>
  <c r="E4770" i="238" a="1"/>
  <c r="E4770" i="238" s="1"/>
  <c r="E4771" i="238" a="1"/>
  <c r="E4771" i="238" s="1"/>
  <c r="E4772" i="238" a="1"/>
  <c r="E4772" i="238" s="1"/>
  <c r="E4773" i="238" a="1"/>
  <c r="E4773" i="238" s="1"/>
  <c r="E4774" i="238" a="1"/>
  <c r="E4774" i="238" s="1"/>
  <c r="E4775" i="238" a="1"/>
  <c r="E4775" i="238" s="1"/>
  <c r="E4776" i="238" a="1"/>
  <c r="E4776" i="238" s="1"/>
  <c r="E4777" i="238" a="1"/>
  <c r="E4777" i="238" s="1"/>
  <c r="E4778" i="238" a="1"/>
  <c r="E4778" i="238" s="1"/>
  <c r="E4779" i="238" a="1"/>
  <c r="E4779" i="238" s="1"/>
  <c r="E4780" i="238" a="1"/>
  <c r="E4780" i="238" s="1"/>
  <c r="E4781" i="238" a="1"/>
  <c r="E4781" i="238" s="1"/>
  <c r="E4782" i="238" a="1"/>
  <c r="E4782" i="238" s="1"/>
  <c r="E4783" i="238" a="1"/>
  <c r="E4783" i="238" s="1"/>
  <c r="E4784" i="238" a="1"/>
  <c r="E4784" i="238" s="1"/>
  <c r="E4785" i="238" a="1"/>
  <c r="E4785" i="238" s="1"/>
  <c r="E4786" i="238" a="1"/>
  <c r="E4786" i="238" s="1"/>
  <c r="E4787" i="238" a="1"/>
  <c r="E4787" i="238" s="1"/>
  <c r="E4788" i="238" a="1"/>
  <c r="E4788" i="238" s="1"/>
  <c r="E4789" i="238" a="1"/>
  <c r="E4789" i="238" s="1"/>
  <c r="E4790" i="238" a="1"/>
  <c r="E4790" i="238" s="1"/>
  <c r="E4791" i="238" a="1"/>
  <c r="E4791" i="238" s="1"/>
  <c r="E4792" i="238" a="1"/>
  <c r="E4792" i="238" s="1"/>
  <c r="E4793" i="238" a="1"/>
  <c r="E4793" i="238" s="1"/>
  <c r="E4794" i="238" a="1"/>
  <c r="E4794" i="238" s="1"/>
  <c r="E4795" i="238" a="1"/>
  <c r="E4795" i="238" s="1"/>
  <c r="E4797" i="238" a="1"/>
  <c r="E4797" i="238" s="1"/>
  <c r="E4798" i="238" a="1"/>
  <c r="E4798" i="238" s="1"/>
  <c r="E4799" i="238" a="1"/>
  <c r="E4799" i="238" s="1"/>
  <c r="E4800" i="238" a="1"/>
  <c r="E4800" i="238" s="1"/>
  <c r="E4801" i="238" a="1"/>
  <c r="E4801" i="238" s="1"/>
  <c r="E4802" i="238" a="1"/>
  <c r="E4802" i="238" s="1"/>
  <c r="E4803" i="238" a="1"/>
  <c r="E4803" i="238" s="1"/>
  <c r="E4804" i="238" a="1"/>
  <c r="E4804" i="238" s="1"/>
  <c r="E4796" i="238" a="1"/>
  <c r="E4796" i="238" s="1"/>
  <c r="E4805" i="238" a="1"/>
  <c r="E4805" i="238" s="1"/>
  <c r="E4806" i="238" a="1"/>
  <c r="E4806" i="238" s="1"/>
  <c r="E4807" i="238" a="1"/>
  <c r="E4807" i="238" s="1"/>
  <c r="E4808" i="238" a="1"/>
  <c r="E4808" i="238" s="1"/>
  <c r="E4809" i="238" a="1"/>
  <c r="E4809" i="238" s="1"/>
  <c r="E4810" i="238" a="1"/>
  <c r="E4810" i="238" s="1"/>
  <c r="E4811" i="238" a="1"/>
  <c r="E4811" i="238" s="1"/>
  <c r="E4812" i="238" a="1"/>
  <c r="E4812" i="238" s="1"/>
  <c r="E4813" i="238" a="1"/>
  <c r="E4813" i="238" s="1"/>
  <c r="E4814" i="238" a="1"/>
  <c r="E4814" i="238" s="1"/>
  <c r="E4815" i="238" a="1"/>
  <c r="E4815" i="238" s="1"/>
  <c r="E4816" i="238" a="1"/>
  <c r="E4816" i="238" s="1"/>
  <c r="E4817" i="238" a="1"/>
  <c r="E4817" i="238" s="1"/>
  <c r="E4818" i="238" a="1"/>
  <c r="E4818" i="238" s="1"/>
  <c r="E4819" i="238" a="1"/>
  <c r="E4819" i="238" s="1"/>
  <c r="E4820" i="238" a="1"/>
  <c r="E4820" i="238" s="1"/>
  <c r="E4821" i="238" a="1"/>
  <c r="E4821" i="238" s="1"/>
  <c r="E4822" i="238" a="1"/>
  <c r="E4822" i="238" s="1"/>
  <c r="E4823" i="238" a="1"/>
  <c r="E4823" i="238" s="1"/>
  <c r="E4824" i="238" a="1"/>
  <c r="E4824" i="238" s="1"/>
  <c r="E4825" i="238" a="1"/>
  <c r="E4825" i="238" s="1"/>
  <c r="E4826" i="238" a="1"/>
  <c r="E4826" i="238" s="1"/>
  <c r="E4827" i="238" a="1"/>
  <c r="E4827" i="238" s="1"/>
  <c r="E4828" i="238" a="1"/>
  <c r="E4828" i="238" s="1"/>
  <c r="E4829" i="238" a="1"/>
  <c r="E4829" i="238" s="1"/>
  <c r="E4830" i="238" a="1"/>
  <c r="E4830" i="238" s="1"/>
  <c r="E4831" i="238" a="1"/>
  <c r="E4831" i="238" s="1"/>
  <c r="E4832" i="238" a="1"/>
  <c r="E4832" i="238" s="1"/>
  <c r="E4833" i="238" a="1"/>
  <c r="E4833" i="238" s="1"/>
  <c r="E4834" i="238" a="1"/>
  <c r="E4834" i="238" s="1"/>
  <c r="E4835" i="238" a="1"/>
  <c r="E4835" i="238" s="1"/>
  <c r="E4836" i="238" a="1"/>
  <c r="E4836" i="238" s="1"/>
  <c r="E4837" i="238" a="1"/>
  <c r="E4837" i="238" s="1"/>
  <c r="E4838" i="238" a="1"/>
  <c r="E4838" i="238" s="1"/>
  <c r="E4839" i="238" a="1"/>
  <c r="E4839" i="238" s="1"/>
  <c r="E4840" i="238" a="1"/>
  <c r="E4840" i="238" s="1"/>
  <c r="E4841" i="238" a="1"/>
  <c r="E4841" i="238" s="1"/>
  <c r="E4842" i="238" a="1"/>
  <c r="E4842" i="238" s="1"/>
  <c r="E4843" i="238" a="1"/>
  <c r="E4843" i="238" s="1"/>
  <c r="E4844" i="238" a="1"/>
  <c r="E4844" i="238" s="1"/>
  <c r="E4845" i="238" a="1"/>
  <c r="E4845" i="238" s="1"/>
  <c r="E4846" i="238" a="1"/>
  <c r="E4846" i="238" s="1"/>
  <c r="E4847" i="238" a="1"/>
  <c r="E4847" i="238" s="1"/>
  <c r="E4848" i="238" a="1"/>
  <c r="E4848" i="238" s="1"/>
  <c r="E4849" i="238" a="1"/>
  <c r="E4849" i="238" s="1"/>
  <c r="E4850" i="238" a="1"/>
  <c r="E4850" i="238" s="1"/>
  <c r="E4851" i="238" a="1"/>
  <c r="E4851" i="238" s="1"/>
  <c r="E4852" i="238" a="1"/>
  <c r="E4852" i="238" s="1"/>
  <c r="E4853" i="238" a="1"/>
  <c r="E4853" i="238" s="1"/>
  <c r="E4854" i="238" a="1"/>
  <c r="E4854" i="238" s="1"/>
  <c r="E4855" i="238" a="1"/>
  <c r="E4855" i="238" s="1"/>
  <c r="E4856" i="238" a="1"/>
  <c r="E4856" i="238" s="1"/>
  <c r="E4857" i="238" a="1"/>
  <c r="E4857" i="238" s="1"/>
  <c r="E4858" i="238" a="1"/>
  <c r="E4858" i="238" s="1"/>
  <c r="E4859" i="238" a="1"/>
  <c r="E4859" i="238" s="1"/>
  <c r="E4860" i="238" a="1"/>
  <c r="E4860" i="238" s="1"/>
  <c r="E4861" i="238" a="1"/>
  <c r="E4861" i="238" s="1"/>
  <c r="E4862" i="238" a="1"/>
  <c r="E4862" i="238" s="1"/>
  <c r="E4863" i="238" a="1"/>
  <c r="E4863" i="238" s="1"/>
  <c r="E4864" i="238" a="1"/>
  <c r="E4864" i="238" s="1"/>
  <c r="E4865" i="238" a="1"/>
  <c r="E4865" i="238" s="1"/>
  <c r="E4866" i="238" a="1"/>
  <c r="E4866" i="238" s="1"/>
  <c r="E4867" i="238" a="1"/>
  <c r="E4867" i="238" s="1"/>
  <c r="E4868" i="238" a="1"/>
  <c r="E4868" i="238" s="1"/>
  <c r="E4869" i="238" a="1"/>
  <c r="E4869" i="238" s="1"/>
  <c r="E4870" i="238" a="1"/>
  <c r="E4870" i="238" s="1"/>
  <c r="E4871" i="238" a="1"/>
  <c r="E4871" i="238" s="1"/>
  <c r="E4872" i="238" a="1"/>
  <c r="E4872" i="238" s="1"/>
  <c r="E4873" i="238" a="1"/>
  <c r="E4873" i="238" s="1"/>
  <c r="E4874" i="238" a="1"/>
  <c r="E4874" i="238" s="1"/>
  <c r="E4875" i="238" a="1"/>
  <c r="E4875" i="238" s="1"/>
  <c r="E4876" i="238" a="1"/>
  <c r="E4876" i="238" s="1"/>
  <c r="E4877" i="238" a="1"/>
  <c r="E4877" i="238" s="1"/>
  <c r="E4878" i="238" a="1"/>
  <c r="E4878" i="238" s="1"/>
  <c r="E4879" i="238" a="1"/>
  <c r="E4879" i="238" s="1"/>
  <c r="E4880" i="238" a="1"/>
  <c r="E4880" i="238" s="1"/>
  <c r="E4881" i="238" a="1"/>
  <c r="E4881" i="238" s="1"/>
  <c r="E4882" i="238" a="1"/>
  <c r="E4882" i="238" s="1"/>
  <c r="E4883" i="238" a="1"/>
  <c r="E4883" i="238" s="1"/>
  <c r="E4884" i="238" a="1"/>
  <c r="E4884" i="238" s="1"/>
  <c r="E4885" i="238" a="1"/>
  <c r="E4885" i="238" s="1"/>
  <c r="E4886" i="238" a="1"/>
  <c r="E4886" i="238" s="1"/>
  <c r="E4887" i="238" a="1"/>
  <c r="E4887" i="238" s="1"/>
  <c r="E4888" i="238" a="1"/>
  <c r="E4888" i="238" s="1"/>
  <c r="E4889" i="238" a="1"/>
  <c r="E4889" i="238" s="1"/>
  <c r="E4890" i="238" a="1"/>
  <c r="E4890" i="238" s="1"/>
  <c r="E4891" i="238" a="1"/>
  <c r="E4891" i="238" s="1"/>
  <c r="E4892" i="238" a="1"/>
  <c r="E4892" i="238" s="1"/>
  <c r="E4894" i="238" a="1"/>
  <c r="E4894" i="238" s="1"/>
  <c r="E4895" i="238" a="1"/>
  <c r="E4895" i="238" s="1"/>
  <c r="E4896" i="238" a="1"/>
  <c r="E4896" i="238" s="1"/>
  <c r="E4897" i="238" a="1"/>
  <c r="E4897" i="238" s="1"/>
  <c r="E4898" i="238" a="1"/>
  <c r="E4898" i="238" s="1"/>
  <c r="E4899" i="238" a="1"/>
  <c r="E4899" i="238" s="1"/>
  <c r="E4900" i="238" a="1"/>
  <c r="E4900" i="238" s="1"/>
  <c r="E4901" i="238" a="1"/>
  <c r="E4901" i="238" s="1"/>
  <c r="E4893" i="238" a="1"/>
  <c r="E4893" i="238" s="1"/>
  <c r="E4902" i="238" a="1"/>
  <c r="E4902" i="238" s="1"/>
  <c r="E4903" i="238" a="1"/>
  <c r="E4903" i="238" s="1"/>
  <c r="E4904" i="238" a="1"/>
  <c r="E4904" i="238" s="1"/>
  <c r="E4905" i="238" a="1"/>
  <c r="E4905" i="238" s="1"/>
  <c r="E4906" i="238" a="1"/>
  <c r="E4906" i="238" s="1"/>
  <c r="E4907" i="238" a="1"/>
  <c r="E4907" i="238" s="1"/>
  <c r="E4908" i="238" a="1"/>
  <c r="E4908" i="238" s="1"/>
  <c r="E4909" i="238" a="1"/>
  <c r="E4909" i="238" s="1"/>
  <c r="E4910" i="238" a="1"/>
  <c r="E4910" i="238" s="1"/>
  <c r="E4911" i="238" a="1"/>
  <c r="E4911" i="238" s="1"/>
  <c r="E4912" i="238" a="1"/>
  <c r="E4912" i="238" s="1"/>
  <c r="E4913" i="238" a="1"/>
  <c r="E4913" i="238" s="1"/>
  <c r="E4914" i="238" a="1"/>
  <c r="E4914" i="238" s="1"/>
  <c r="E4915" i="238" a="1"/>
  <c r="E4915" i="238" s="1"/>
  <c r="E4916" i="238" a="1"/>
  <c r="E4916" i="238" s="1"/>
  <c r="E4917" i="238" a="1"/>
  <c r="E4917" i="238" s="1"/>
  <c r="E4918" i="238" a="1"/>
  <c r="E4918" i="238" s="1"/>
  <c r="E4919" i="238" a="1"/>
  <c r="E4919" i="238" s="1"/>
  <c r="E4920" i="238" a="1"/>
  <c r="E4920" i="238" s="1"/>
  <c r="E4921" i="238" a="1"/>
  <c r="E4921" i="238" s="1"/>
  <c r="E4922" i="238" a="1"/>
  <c r="E4922" i="238" s="1"/>
  <c r="E4923" i="238" a="1"/>
  <c r="E4923" i="238" s="1"/>
  <c r="E4924" i="238" a="1"/>
  <c r="E4924" i="238" s="1"/>
  <c r="E4925" i="238" a="1"/>
  <c r="E4925" i="238" s="1"/>
  <c r="E4926" i="238" a="1"/>
  <c r="E4926" i="238" s="1"/>
  <c r="E4927" i="238" a="1"/>
  <c r="E4927" i="238" s="1"/>
  <c r="E4928" i="238" a="1"/>
  <c r="E4928" i="238" s="1"/>
  <c r="E4929" i="238" a="1"/>
  <c r="E4929" i="238" s="1"/>
  <c r="E4930" i="238" a="1"/>
  <c r="E4930" i="238" s="1"/>
  <c r="E4931" i="238" a="1"/>
  <c r="E4931" i="238" s="1"/>
  <c r="E4932" i="238" a="1"/>
  <c r="E4932" i="238" s="1"/>
  <c r="E4933" i="238" a="1"/>
  <c r="E4933" i="238" s="1"/>
  <c r="E4935" i="238" a="1"/>
  <c r="E4935" i="238" s="1"/>
  <c r="E4936" i="238" a="1"/>
  <c r="E4936" i="238" s="1"/>
  <c r="E4937" i="238" a="1"/>
  <c r="E4937" i="238" s="1"/>
  <c r="E4938" i="238" a="1"/>
  <c r="E4938" i="238" s="1"/>
  <c r="E4939" i="238" a="1"/>
  <c r="E4939" i="238" s="1"/>
  <c r="E4940" i="238" a="1"/>
  <c r="E4940" i="238" s="1"/>
  <c r="E4941" i="238" a="1"/>
  <c r="E4941" i="238" s="1"/>
  <c r="E4942" i="238" a="1"/>
  <c r="E4942" i="238" s="1"/>
  <c r="E4934" i="238" a="1"/>
  <c r="E4934" i="238" s="1"/>
  <c r="E4943" i="238" a="1"/>
  <c r="E4943" i="238" s="1"/>
  <c r="F4943" i="238" s="1"/>
  <c r="E4982" i="238" a="1"/>
  <c r="E4982" i="238" s="1"/>
  <c r="F4982" i="238" s="1"/>
  <c r="E5082" i="238" a="1"/>
  <c r="E5082" i="238" s="1"/>
  <c r="F5082" i="238" s="1"/>
  <c r="E4944" i="238" a="1"/>
  <c r="E4944" i="238" s="1"/>
  <c r="E4945" i="238" a="1"/>
  <c r="E4945" i="238" s="1"/>
  <c r="E4946" i="238" a="1"/>
  <c r="E4946" i="238" s="1"/>
  <c r="E4947" i="238" a="1"/>
  <c r="E4947" i="238" s="1"/>
  <c r="E4948" i="238" a="1"/>
  <c r="E4948" i="238" s="1"/>
  <c r="E4949" i="238" a="1"/>
  <c r="E4949" i="238" s="1"/>
  <c r="E4950" i="238" a="1"/>
  <c r="E4950" i="238" s="1"/>
  <c r="E4951" i="238" a="1"/>
  <c r="E4951" i="238" s="1"/>
  <c r="E4952" i="238" a="1"/>
  <c r="E4952" i="238" s="1"/>
  <c r="E4953" i="238" a="1"/>
  <c r="E4953" i="238" s="1"/>
  <c r="E4954" i="238" a="1"/>
  <c r="E4954" i="238" s="1"/>
  <c r="E4955" i="238" a="1"/>
  <c r="E4955" i="238" s="1"/>
  <c r="E4956" i="238" a="1"/>
  <c r="E4956" i="238" s="1"/>
  <c r="E4957" i="238" a="1"/>
  <c r="E4957" i="238" s="1"/>
  <c r="E4958" i="238" a="1"/>
  <c r="E4958" i="238" s="1"/>
  <c r="E4959" i="238" a="1"/>
  <c r="E4959" i="238" s="1"/>
  <c r="E4960" i="238" a="1"/>
  <c r="E4960" i="238" s="1"/>
  <c r="E4961" i="238" a="1"/>
  <c r="E4961" i="238" s="1"/>
  <c r="E4962" i="238" a="1"/>
  <c r="E4962" i="238" s="1"/>
  <c r="E4963" i="238" a="1"/>
  <c r="E4963" i="238" s="1"/>
  <c r="E4964" i="238" a="1"/>
  <c r="E4964" i="238" s="1"/>
  <c r="E4965" i="238" a="1"/>
  <c r="E4965" i="238" s="1"/>
  <c r="E4966" i="238" a="1"/>
  <c r="E4966" i="238" s="1"/>
  <c r="E4967" i="238" a="1"/>
  <c r="E4967" i="238" s="1"/>
  <c r="E4968" i="238" a="1"/>
  <c r="E4968" i="238" s="1"/>
  <c r="E4969" i="238" a="1"/>
  <c r="E4969" i="238" s="1"/>
  <c r="E4970" i="238" a="1"/>
  <c r="E4970" i="238" s="1"/>
  <c r="E4971" i="238" a="1"/>
  <c r="E4971" i="238" s="1"/>
  <c r="E4972" i="238" a="1"/>
  <c r="E4972" i="238" s="1"/>
  <c r="E4973" i="238" a="1"/>
  <c r="E4973" i="238" s="1"/>
  <c r="E4974" i="238" a="1"/>
  <c r="E4974" i="238" s="1"/>
  <c r="E4975" i="238" a="1"/>
  <c r="E4975" i="238" s="1"/>
  <c r="E4976" i="238" a="1"/>
  <c r="E4976" i="238" s="1"/>
  <c r="E4977" i="238" a="1"/>
  <c r="E4977" i="238" s="1"/>
  <c r="E4978" i="238" a="1"/>
  <c r="E4978" i="238" s="1"/>
  <c r="E4979" i="238" a="1"/>
  <c r="E4979" i="238" s="1"/>
  <c r="E4980" i="238" a="1"/>
  <c r="E4980" i="238" s="1"/>
  <c r="E4981" i="238" a="1"/>
  <c r="E4981" i="238" s="1"/>
  <c r="E5076" i="238" a="1"/>
  <c r="E5076" i="238" s="1"/>
  <c r="E5077" i="238" a="1"/>
  <c r="E5077" i="238" s="1"/>
  <c r="E5078" i="238" a="1"/>
  <c r="E5078" i="238" s="1"/>
  <c r="E5079" i="238" a="1"/>
  <c r="E5079" i="238" s="1"/>
  <c r="E5080" i="238" a="1"/>
  <c r="E5080" i="238" s="1"/>
  <c r="E5081" i="238" a="1"/>
  <c r="E5081" i="238" s="1"/>
  <c r="E5083" i="238" a="1"/>
  <c r="E5083" i="238" s="1"/>
  <c r="E5084" i="238" a="1"/>
  <c r="E5084" i="238" s="1"/>
  <c r="E5085" i="238" a="1"/>
  <c r="E5085" i="238" s="1"/>
  <c r="E5086" i="238" a="1"/>
  <c r="E5086" i="238" s="1"/>
  <c r="E5087" i="238" a="1"/>
  <c r="E5087" i="238" s="1"/>
  <c r="E5088" i="238" a="1"/>
  <c r="E5088" i="238" s="1"/>
  <c r="E5089" i="238" a="1"/>
  <c r="E5089" i="238" s="1"/>
  <c r="E5090" i="238" a="1"/>
  <c r="E5090" i="238" s="1"/>
  <c r="E5091" i="238" a="1"/>
  <c r="E5091" i="238" s="1"/>
  <c r="E5092" i="238" a="1"/>
  <c r="E5092" i="238" s="1"/>
  <c r="E5093" i="238" a="1"/>
  <c r="E5093" i="238" s="1"/>
  <c r="E5094" i="238" a="1"/>
  <c r="E5094" i="238" s="1"/>
  <c r="E5095" i="238" a="1"/>
  <c r="E5095" i="238" s="1"/>
  <c r="E5096" i="238" a="1"/>
  <c r="E5096" i="238" s="1"/>
  <c r="E5097" i="238" a="1"/>
  <c r="E5097" i="238" s="1"/>
  <c r="E5098" i="238" a="1"/>
  <c r="E5098" i="238" s="1"/>
  <c r="E5099" i="238" a="1"/>
  <c r="E5099" i="238" s="1"/>
  <c r="E5100" i="238" a="1"/>
  <c r="E5100" i="238" s="1"/>
  <c r="E5126" i="238" a="1"/>
  <c r="E5126" i="238" s="1"/>
  <c r="E5127" i="238" a="1"/>
  <c r="E5127" i="238" s="1"/>
  <c r="E5128" i="238" a="1"/>
  <c r="E5128" i="238" s="1"/>
  <c r="E5129" i="238" a="1"/>
  <c r="E5129" i="238" s="1"/>
  <c r="E5130" i="238" a="1"/>
  <c r="E5130" i="238" s="1"/>
  <c r="E5131" i="238" a="1"/>
  <c r="E5131" i="238" s="1"/>
  <c r="E5132" i="238" a="1"/>
  <c r="E5132" i="238" s="1"/>
  <c r="E5133" i="238" a="1"/>
  <c r="E5133" i="238" s="1"/>
  <c r="E5134" i="238" a="1"/>
  <c r="E5134" i="238" s="1"/>
  <c r="E5135" i="238" a="1"/>
  <c r="E5135" i="238" s="1"/>
  <c r="E5136" i="238" a="1"/>
  <c r="E5136" i="238" s="1"/>
  <c r="E5137" i="238" a="1"/>
  <c r="E5137" i="238" s="1"/>
  <c r="E5138" i="238" a="1"/>
  <c r="E5138" i="238" s="1"/>
  <c r="E5139" i="238" a="1"/>
  <c r="E5139" i="238" s="1"/>
  <c r="E5140" i="238" a="1"/>
  <c r="E5140" i="238" s="1"/>
  <c r="E5141" i="238" a="1"/>
  <c r="E5141" i="238" s="1"/>
  <c r="E4453" i="238" a="1"/>
  <c r="E4453" i="238" s="1"/>
  <c r="E4454" i="238"/>
  <c r="E4455" i="238"/>
  <c r="F4455" i="238" s="1"/>
  <c r="E4456" i="238"/>
  <c r="F4456" i="238" s="1"/>
  <c r="E4457" i="238" a="1"/>
  <c r="E4457" i="238" s="1"/>
  <c r="F4457" i="238" s="1"/>
  <c r="E4458" i="238"/>
  <c r="F4458" i="238" s="1"/>
  <c r="F4047" i="238"/>
  <c r="F4048" i="238"/>
  <c r="F4049" i="238"/>
  <c r="F4050" i="238"/>
  <c r="F2302" i="238"/>
  <c r="F2303" i="238"/>
  <c r="F2304" i="238"/>
  <c r="F2305" i="238"/>
  <c r="F2306" i="238"/>
  <c r="E2488" i="238"/>
  <c r="E2489" i="238"/>
  <c r="E2490" i="238"/>
  <c r="X8" i="171"/>
  <c r="X9" i="171"/>
  <c r="X10" i="171"/>
  <c r="X7" i="171"/>
  <c r="R11" i="171"/>
  <c r="U11" i="171"/>
  <c r="L11" i="171"/>
  <c r="I11" i="171"/>
  <c r="BN29" i="32" s="1" a="1"/>
  <c r="BN29" i="32" s="1"/>
  <c r="O8" i="171"/>
  <c r="O9" i="171"/>
  <c r="O10" i="171"/>
  <c r="O7" i="171"/>
  <c r="BF8" i="176"/>
  <c r="BF9" i="176"/>
  <c r="BF10" i="176"/>
  <c r="BF11" i="176"/>
  <c r="BF12" i="176"/>
  <c r="BF13" i="176"/>
  <c r="AZ14" i="176"/>
  <c r="BF7" i="176"/>
  <c r="BF14" i="176" s="1"/>
  <c r="AH13" i="176"/>
  <c r="AE13" i="176"/>
  <c r="AK9" i="176"/>
  <c r="AK10" i="176"/>
  <c r="AK11" i="176"/>
  <c r="AK12" i="176"/>
  <c r="AK8" i="176"/>
  <c r="J23" i="176"/>
  <c r="P8" i="176"/>
  <c r="P9" i="176"/>
  <c r="P10" i="176"/>
  <c r="P11" i="176"/>
  <c r="P12" i="176"/>
  <c r="P13" i="176"/>
  <c r="P14" i="176"/>
  <c r="P15" i="176"/>
  <c r="P16" i="176"/>
  <c r="P17" i="176"/>
  <c r="P18" i="176"/>
  <c r="P19" i="176"/>
  <c r="P20" i="176"/>
  <c r="P21" i="176"/>
  <c r="P22" i="176"/>
  <c r="P7" i="176"/>
  <c r="P34" i="32"/>
  <c r="S34" i="32"/>
  <c r="M34" i="32"/>
  <c r="V30" i="32"/>
  <c r="V31" i="32"/>
  <c r="V32" i="32"/>
  <c r="V33" i="32"/>
  <c r="V29" i="32"/>
  <c r="AU27" i="32"/>
  <c r="AX27" i="32"/>
  <c r="AK27" i="32"/>
  <c r="P27" i="32"/>
  <c r="S27" i="32"/>
  <c r="Y27" i="32"/>
  <c r="AB27" i="32"/>
  <c r="AE27" i="32"/>
  <c r="AH27" i="32"/>
  <c r="M27" i="32"/>
  <c r="V12" i="32"/>
  <c r="V13" i="32"/>
  <c r="V14" i="32"/>
  <c r="V15" i="32"/>
  <c r="V16" i="32"/>
  <c r="V17" i="32"/>
  <c r="V18" i="32"/>
  <c r="V19" i="32"/>
  <c r="V20" i="32"/>
  <c r="V21" i="32"/>
  <c r="V22" i="32"/>
  <c r="V23" i="32"/>
  <c r="V24" i="32"/>
  <c r="V25" i="32"/>
  <c r="V26" i="32"/>
  <c r="BA12" i="32"/>
  <c r="BD12" i="32"/>
  <c r="BG12" i="32"/>
  <c r="BA13" i="32"/>
  <c r="BD13" i="32"/>
  <c r="BG13" i="32"/>
  <c r="BA14" i="32"/>
  <c r="BD14" i="32"/>
  <c r="BG14" i="32"/>
  <c r="BA15" i="32"/>
  <c r="BD15" i="32"/>
  <c r="BG15" i="32"/>
  <c r="BA16" i="32"/>
  <c r="BD16" i="32"/>
  <c r="BG16" i="32"/>
  <c r="BA17" i="32"/>
  <c r="BD17" i="32"/>
  <c r="BG17" i="32"/>
  <c r="BA18" i="32"/>
  <c r="BD18" i="32"/>
  <c r="BG18" i="32"/>
  <c r="BA19" i="32"/>
  <c r="BD19" i="32"/>
  <c r="BG19" i="32"/>
  <c r="BA20" i="32"/>
  <c r="BD20" i="32"/>
  <c r="BG20" i="32"/>
  <c r="BA21" i="32"/>
  <c r="BD21" i="32"/>
  <c r="BG21" i="32"/>
  <c r="BA22" i="32"/>
  <c r="BD22" i="32"/>
  <c r="BG22" i="32"/>
  <c r="BA23" i="32"/>
  <c r="BD23" i="32"/>
  <c r="BG23" i="32"/>
  <c r="BA24" i="32"/>
  <c r="BD24" i="32"/>
  <c r="BG24" i="32"/>
  <c r="BA25" i="32"/>
  <c r="BD25" i="32"/>
  <c r="BG25" i="32"/>
  <c r="BA26" i="32"/>
  <c r="BD26" i="32"/>
  <c r="BG26" i="32"/>
  <c r="AO12" i="32"/>
  <c r="AO13" i="32"/>
  <c r="AO14" i="32"/>
  <c r="AO15" i="32"/>
  <c r="AO16" i="32"/>
  <c r="AO17" i="32"/>
  <c r="AO18" i="32"/>
  <c r="AO19" i="32"/>
  <c r="AO20" i="32"/>
  <c r="AO21" i="32"/>
  <c r="AO22" i="32"/>
  <c r="AR22" i="32" s="1"/>
  <c r="AO23" i="32"/>
  <c r="AO24" i="32"/>
  <c r="AO25" i="32"/>
  <c r="AO26" i="32"/>
  <c r="BG11" i="32"/>
  <c r="BD11" i="32"/>
  <c r="BA11" i="32"/>
  <c r="AO11" i="32"/>
  <c r="V11" i="32"/>
  <c r="AG21" i="190"/>
  <c r="AG22" i="190"/>
  <c r="AG23" i="190"/>
  <c r="AG24" i="190"/>
  <c r="AG25" i="190"/>
  <c r="AG26" i="190"/>
  <c r="AG27" i="190"/>
  <c r="X21" i="190"/>
  <c r="X22" i="190"/>
  <c r="X23" i="190"/>
  <c r="X24" i="190"/>
  <c r="X25" i="190"/>
  <c r="X26" i="190"/>
  <c r="X27" i="190"/>
  <c r="AG20" i="190"/>
  <c r="X20" i="190"/>
  <c r="X8" i="190"/>
  <c r="X9" i="190"/>
  <c r="X10" i="190"/>
  <c r="X11" i="190"/>
  <c r="X12" i="190"/>
  <c r="X13" i="190"/>
  <c r="X14" i="190"/>
  <c r="X15" i="190"/>
  <c r="X16" i="190"/>
  <c r="X17" i="190"/>
  <c r="X18" i="190"/>
  <c r="AG8" i="190"/>
  <c r="AG9" i="190"/>
  <c r="AG10" i="190"/>
  <c r="AG11" i="190"/>
  <c r="AG12" i="190"/>
  <c r="AG13" i="190"/>
  <c r="AG14" i="190"/>
  <c r="AG15" i="190"/>
  <c r="AG16" i="190"/>
  <c r="AG17" i="190"/>
  <c r="AG18" i="190"/>
  <c r="AS8" i="190"/>
  <c r="AS9" i="190"/>
  <c r="AS10" i="190"/>
  <c r="AS11" i="190"/>
  <c r="AS12" i="190"/>
  <c r="AS13" i="190"/>
  <c r="AS14" i="190"/>
  <c r="AS15" i="190"/>
  <c r="AS16" i="190"/>
  <c r="AS17" i="190"/>
  <c r="AS18" i="190"/>
  <c r="BB8" i="190"/>
  <c r="BB9" i="190"/>
  <c r="BB10" i="190"/>
  <c r="BB11" i="190"/>
  <c r="BB12" i="190"/>
  <c r="BB13" i="190"/>
  <c r="BB14" i="190"/>
  <c r="BB15" i="190"/>
  <c r="BB16" i="190"/>
  <c r="BB17" i="190"/>
  <c r="BB18" i="190"/>
  <c r="BB7" i="190"/>
  <c r="AS7" i="190"/>
  <c r="AG7" i="190"/>
  <c r="X7" i="190"/>
  <c r="AN33" i="174"/>
  <c r="AQ33" i="174"/>
  <c r="AN34" i="174"/>
  <c r="AQ34" i="174"/>
  <c r="AN35" i="174"/>
  <c r="AQ35" i="174"/>
  <c r="AQ32" i="174"/>
  <c r="AN32" i="174"/>
  <c r="AN24" i="174"/>
  <c r="AQ24" i="174"/>
  <c r="AN25" i="174"/>
  <c r="AQ25" i="174"/>
  <c r="AN26" i="174"/>
  <c r="AQ26" i="174"/>
  <c r="AN27" i="174"/>
  <c r="AQ27" i="174"/>
  <c r="AN28" i="174"/>
  <c r="AQ28" i="174"/>
  <c r="AN29" i="174"/>
  <c r="AQ29" i="174"/>
  <c r="AN30" i="174"/>
  <c r="AQ30" i="174"/>
  <c r="AN19" i="174"/>
  <c r="AQ19" i="174"/>
  <c r="AN20" i="174"/>
  <c r="AQ20" i="174"/>
  <c r="AN21" i="174"/>
  <c r="AQ21" i="174"/>
  <c r="AQ23" i="174"/>
  <c r="AN23" i="174"/>
  <c r="AQ18" i="174"/>
  <c r="AN18" i="174"/>
  <c r="AN9" i="174"/>
  <c r="AQ9" i="174"/>
  <c r="AN10" i="174"/>
  <c r="AQ10" i="174"/>
  <c r="AN11" i="174"/>
  <c r="AQ11" i="174"/>
  <c r="AN12" i="174"/>
  <c r="AQ12" i="174"/>
  <c r="AN13" i="174"/>
  <c r="AQ13" i="174"/>
  <c r="AN14" i="174"/>
  <c r="AQ14" i="174"/>
  <c r="AN15" i="174"/>
  <c r="AQ15" i="174"/>
  <c r="AN16" i="174"/>
  <c r="AQ16" i="174"/>
  <c r="AQ8" i="174"/>
  <c r="AN8" i="174"/>
  <c r="BC7" i="231"/>
  <c r="BE7" i="231"/>
  <c r="BC8" i="231"/>
  <c r="BE8" i="231"/>
  <c r="BC9" i="231"/>
  <c r="BE9" i="231"/>
  <c r="BC10" i="231"/>
  <c r="BE10" i="231"/>
  <c r="BC11" i="231"/>
  <c r="BE11" i="231"/>
  <c r="BE6" i="231"/>
  <c r="BC6" i="231"/>
  <c r="AI7" i="231"/>
  <c r="AK7" i="231"/>
  <c r="AI8" i="231"/>
  <c r="AK8" i="231"/>
  <c r="AI9" i="231"/>
  <c r="AK9" i="231"/>
  <c r="AI10" i="231"/>
  <c r="AK10" i="231"/>
  <c r="AI11" i="231"/>
  <c r="AK11" i="231"/>
  <c r="AK6" i="231"/>
  <c r="AM29" i="198"/>
  <c r="AP29" i="198"/>
  <c r="AM30" i="198"/>
  <c r="AP30" i="198"/>
  <c r="AP28" i="198"/>
  <c r="AM28" i="198"/>
  <c r="AP26" i="198"/>
  <c r="AM26" i="198"/>
  <c r="AM23" i="198"/>
  <c r="AP23" i="198"/>
  <c r="AM24" i="198"/>
  <c r="AP24" i="198"/>
  <c r="AP22" i="198"/>
  <c r="AM22" i="198"/>
  <c r="AM9" i="198"/>
  <c r="AP9" i="198"/>
  <c r="AM10" i="198"/>
  <c r="AP10" i="198"/>
  <c r="AM11" i="198"/>
  <c r="AP11" i="198"/>
  <c r="AM12" i="198"/>
  <c r="AP12" i="198"/>
  <c r="AM13" i="198"/>
  <c r="AP13" i="198"/>
  <c r="AM14" i="198"/>
  <c r="AP14" i="198"/>
  <c r="AM15" i="198"/>
  <c r="AP15" i="198"/>
  <c r="AM16" i="198"/>
  <c r="AP16" i="198"/>
  <c r="AM17" i="198"/>
  <c r="AP17" i="198"/>
  <c r="AM18" i="198"/>
  <c r="AP18" i="198"/>
  <c r="AM19" i="198"/>
  <c r="AP19" i="198"/>
  <c r="AM20" i="198"/>
  <c r="AP20" i="198"/>
  <c r="AP8" i="198"/>
  <c r="AM8" i="198"/>
  <c r="AO6" i="117"/>
  <c r="AL6" i="117"/>
  <c r="AM12" i="117"/>
  <c r="AM13" i="117"/>
  <c r="AM11" i="117"/>
  <c r="AK34" i="176"/>
  <c r="AK35" i="176"/>
  <c r="AK36" i="176"/>
  <c r="AK37" i="176"/>
  <c r="AK38" i="176"/>
  <c r="AK33" i="176"/>
  <c r="Y34" i="176"/>
  <c r="Y35" i="176"/>
  <c r="Y36" i="176"/>
  <c r="Y37" i="176"/>
  <c r="Y38" i="176"/>
  <c r="Y33" i="176"/>
  <c r="AN7" i="169"/>
  <c r="AN23" i="169" s="1"/>
  <c r="BA11" i="143"/>
  <c r="BA12" i="143"/>
  <c r="BJ12" i="143"/>
  <c r="BA13" i="143"/>
  <c r="BA14" i="143"/>
  <c r="BA15" i="143"/>
  <c r="BA16" i="143"/>
  <c r="BJ16" i="143"/>
  <c r="BA17" i="143"/>
  <c r="BA18" i="143"/>
  <c r="BA19" i="143"/>
  <c r="BA20" i="143"/>
  <c r="BJ20" i="143"/>
  <c r="BA21" i="143"/>
  <c r="BA22" i="143"/>
  <c r="BA23" i="143"/>
  <c r="BA24" i="143"/>
  <c r="BJ24" i="143"/>
  <c r="BA25" i="143"/>
  <c r="BA26" i="143"/>
  <c r="BA27" i="143"/>
  <c r="BA28" i="143"/>
  <c r="BJ28" i="143"/>
  <c r="BA29" i="143"/>
  <c r="BA30" i="143"/>
  <c r="BA31" i="143"/>
  <c r="BA32" i="143"/>
  <c r="BJ32" i="143"/>
  <c r="BA33" i="143"/>
  <c r="BA34" i="143"/>
  <c r="BA35" i="143"/>
  <c r="BA36" i="143"/>
  <c r="BJ36" i="143"/>
  <c r="BA37" i="143"/>
  <c r="BA38" i="143"/>
  <c r="BA39" i="143"/>
  <c r="BA40" i="143"/>
  <c r="BJ40" i="143"/>
  <c r="BA41" i="143"/>
  <c r="BA42" i="143"/>
  <c r="BA43" i="143"/>
  <c r="BA44" i="143"/>
  <c r="BJ44" i="143"/>
  <c r="BA45" i="143"/>
  <c r="BA46" i="143"/>
  <c r="BA47" i="143"/>
  <c r="BA48" i="143"/>
  <c r="BJ48" i="143"/>
  <c r="BA10" i="143"/>
  <c r="V11" i="143"/>
  <c r="V12" i="143"/>
  <c r="AR12" i="143" s="1"/>
  <c r="BN12" i="143" s="1"/>
  <c r="V13" i="143"/>
  <c r="AR13" i="143" s="1"/>
  <c r="BN13" i="143" s="1"/>
  <c r="V14" i="143"/>
  <c r="AR14" i="143" s="1"/>
  <c r="BN14" i="143" s="1"/>
  <c r="V15" i="143"/>
  <c r="V16" i="143"/>
  <c r="V17" i="143"/>
  <c r="V18" i="143"/>
  <c r="V19" i="143"/>
  <c r="V20" i="143"/>
  <c r="V21" i="143"/>
  <c r="V22" i="143"/>
  <c r="V23" i="143"/>
  <c r="V24" i="143"/>
  <c r="V25" i="143"/>
  <c r="V26" i="143"/>
  <c r="AR26" i="143" s="1"/>
  <c r="BN26" i="143" s="1"/>
  <c r="V27" i="143"/>
  <c r="V28" i="143"/>
  <c r="V29" i="143"/>
  <c r="V30" i="143"/>
  <c r="V31" i="143"/>
  <c r="V32" i="143"/>
  <c r="V33" i="143"/>
  <c r="V34" i="143"/>
  <c r="V35" i="143"/>
  <c r="V36" i="143"/>
  <c r="V37" i="143"/>
  <c r="AR37" i="143" s="1"/>
  <c r="BN37" i="143" s="1"/>
  <c r="V38" i="143"/>
  <c r="V39" i="143"/>
  <c r="V40" i="143"/>
  <c r="V41" i="143"/>
  <c r="V42" i="143"/>
  <c r="V43" i="143"/>
  <c r="V44" i="143"/>
  <c r="V45" i="143"/>
  <c r="AR45" i="143" s="1"/>
  <c r="BN45" i="143" s="1"/>
  <c r="V46" i="143"/>
  <c r="AR46" i="143" s="1"/>
  <c r="BN46" i="143" s="1"/>
  <c r="V47" i="143"/>
  <c r="V48" i="143"/>
  <c r="V10" i="143"/>
  <c r="AR10" i="143" s="1"/>
  <c r="BN10" i="143" s="1"/>
  <c r="AA25" i="177"/>
  <c r="L25" i="177"/>
  <c r="Z7" i="177"/>
  <c r="L44" i="191"/>
  <c r="R49" i="182"/>
  <c r="R48" i="182"/>
  <c r="AJ42" i="182"/>
  <c r="AE37" i="182"/>
  <c r="AB37" i="182"/>
  <c r="AO22" i="182"/>
  <c r="AL22" i="182"/>
  <c r="AO21" i="182"/>
  <c r="AL21" i="182"/>
  <c r="Q23" i="182"/>
  <c r="T23" i="182"/>
  <c r="W23" i="182"/>
  <c r="Z23" i="182"/>
  <c r="AC23" i="182"/>
  <c r="AF23" i="182"/>
  <c r="AI23" i="182"/>
  <c r="N23" i="182"/>
  <c r="X28" i="190" l="1"/>
  <c r="BB28" i="190"/>
  <c r="AS28" i="190"/>
  <c r="AG28" i="190"/>
  <c r="P23" i="176"/>
  <c r="AR26" i="32"/>
  <c r="BJ25" i="32"/>
  <c r="AU21" i="169" s="1"/>
  <c r="AR23" i="32"/>
  <c r="AR18" i="32"/>
  <c r="AR14" i="32"/>
  <c r="AR49" i="143"/>
  <c r="AR16" i="32"/>
  <c r="AR12" i="32"/>
  <c r="AK13" i="176"/>
  <c r="AR20" i="32"/>
  <c r="AR24" i="32"/>
  <c r="AR25" i="32"/>
  <c r="V27" i="32"/>
  <c r="AO23" i="182"/>
  <c r="O11" i="171"/>
  <c r="I12" i="171" s="1"/>
  <c r="V34" i="32"/>
  <c r="BJ17" i="32"/>
  <c r="AU13" i="169" s="1"/>
  <c r="BA27" i="32"/>
  <c r="AU35" i="32" s="1"/>
  <c r="BJ13" i="32"/>
  <c r="AU9" i="169" s="1"/>
  <c r="AR19" i="32"/>
  <c r="AR15" i="32"/>
  <c r="AR21" i="32"/>
  <c r="AR17" i="32"/>
  <c r="BJ26" i="32"/>
  <c r="BJ23" i="32"/>
  <c r="AU19" i="169" s="1"/>
  <c r="BJ15" i="32"/>
  <c r="AU11" i="169" s="1"/>
  <c r="BJ14" i="32"/>
  <c r="AU10" i="169" s="1"/>
  <c r="BJ22" i="32"/>
  <c r="AU18" i="169" s="1"/>
  <c r="BJ24" i="32"/>
  <c r="AU20" i="169" s="1"/>
  <c r="BJ19" i="32"/>
  <c r="AU15" i="169" s="1"/>
  <c r="BJ16" i="32"/>
  <c r="AU12" i="169" s="1"/>
  <c r="BJ21" i="32"/>
  <c r="AU17" i="169" s="1"/>
  <c r="BJ18" i="32"/>
  <c r="AU14" i="169" s="1"/>
  <c r="AO27" i="32"/>
  <c r="BJ12" i="32"/>
  <c r="AU8" i="169" s="1"/>
  <c r="BG27" i="32"/>
  <c r="BJ20" i="32"/>
  <c r="AU16" i="169" s="1"/>
  <c r="AR11" i="32"/>
  <c r="BD27" i="32"/>
  <c r="BJ11" i="32"/>
  <c r="AU7" i="169" s="1"/>
  <c r="AR34" i="143"/>
  <c r="BN34" i="143" s="1"/>
  <c r="AR18" i="143"/>
  <c r="BN18" i="143" s="1"/>
  <c r="AR41" i="143"/>
  <c r="BN41" i="143" s="1"/>
  <c r="AR33" i="143"/>
  <c r="BN33" i="143" s="1"/>
  <c r="AR29" i="143"/>
  <c r="BN29" i="143" s="1"/>
  <c r="AR25" i="143"/>
  <c r="BN25" i="143" s="1"/>
  <c r="AR21" i="143"/>
  <c r="BN21" i="143" s="1"/>
  <c r="AR17" i="143"/>
  <c r="BN17" i="143" s="1"/>
  <c r="AR42" i="143"/>
  <c r="BN42" i="143" s="1"/>
  <c r="AR38" i="143"/>
  <c r="BN38" i="143" s="1"/>
  <c r="AR22" i="143"/>
  <c r="BN22" i="143" s="1"/>
  <c r="AR48" i="143"/>
  <c r="BN48" i="143" s="1"/>
  <c r="AR44" i="143"/>
  <c r="BN44" i="143" s="1"/>
  <c r="AR40" i="143"/>
  <c r="BN40" i="143" s="1"/>
  <c r="AR36" i="143"/>
  <c r="BN36" i="143" s="1"/>
  <c r="AR32" i="143"/>
  <c r="BN32" i="143" s="1"/>
  <c r="AR28" i="143"/>
  <c r="BN28" i="143" s="1"/>
  <c r="AR24" i="143"/>
  <c r="BN24" i="143" s="1"/>
  <c r="AR20" i="143"/>
  <c r="BN20" i="143" s="1"/>
  <c r="AR16" i="143"/>
  <c r="BN16" i="143" s="1"/>
  <c r="AR30" i="143"/>
  <c r="BN30" i="143" s="1"/>
  <c r="AR47" i="143"/>
  <c r="BN47" i="143" s="1"/>
  <c r="AR43" i="143"/>
  <c r="BN43" i="143" s="1"/>
  <c r="AR39" i="143"/>
  <c r="BN39" i="143" s="1"/>
  <c r="AR35" i="143"/>
  <c r="BN35" i="143" s="1"/>
  <c r="AR31" i="143"/>
  <c r="BN31" i="143" s="1"/>
  <c r="AR27" i="143"/>
  <c r="BN27" i="143" s="1"/>
  <c r="AR23" i="143"/>
  <c r="BN23" i="143" s="1"/>
  <c r="AR19" i="143"/>
  <c r="BN19" i="143" s="1"/>
  <c r="AR15" i="143"/>
  <c r="BN15" i="143" s="1"/>
  <c r="BJ41" i="143"/>
  <c r="BJ33" i="143"/>
  <c r="BJ25" i="143"/>
  <c r="BJ17" i="143"/>
  <c r="BJ42" i="143"/>
  <c r="BJ30" i="143"/>
  <c r="BJ22" i="143"/>
  <c r="BJ14" i="143"/>
  <c r="BJ45" i="143"/>
  <c r="BJ37" i="143"/>
  <c r="BJ29" i="143"/>
  <c r="BJ21" i="143"/>
  <c r="BJ13" i="143"/>
  <c r="BJ46" i="143"/>
  <c r="BJ38" i="143"/>
  <c r="BJ34" i="143"/>
  <c r="BJ26" i="143"/>
  <c r="BJ18" i="143"/>
  <c r="BJ47" i="143"/>
  <c r="BJ43" i="143"/>
  <c r="BJ39" i="143"/>
  <c r="BJ35" i="143"/>
  <c r="BJ31" i="143"/>
  <c r="BJ27" i="143"/>
  <c r="BJ23" i="143"/>
  <c r="BJ19" i="143"/>
  <c r="BJ15" i="143"/>
  <c r="AR11" i="143"/>
  <c r="BN11" i="143" s="1"/>
  <c r="BJ11" i="143"/>
  <c r="BJ10" i="143"/>
  <c r="B9" i="177"/>
  <c r="B27" i="177"/>
  <c r="X11" i="171"/>
  <c r="AR13" i="32"/>
  <c r="AL23" i="182"/>
  <c r="U36" i="180"/>
  <c r="AA36" i="180"/>
  <c r="AG36" i="180"/>
  <c r="AM28" i="180"/>
  <c r="AM29" i="180"/>
  <c r="AM30" i="180"/>
  <c r="AM31" i="180"/>
  <c r="AM32" i="180"/>
  <c r="AM33" i="180"/>
  <c r="AM34" i="180"/>
  <c r="AM35" i="180"/>
  <c r="O36" i="180"/>
  <c r="AM27" i="180"/>
  <c r="U22" i="180"/>
  <c r="O22" i="180"/>
  <c r="AA19" i="180"/>
  <c r="AA20" i="180"/>
  <c r="AA21" i="180"/>
  <c r="AA18" i="180"/>
  <c r="U13" i="180"/>
  <c r="O13" i="180"/>
  <c r="AA10" i="180"/>
  <c r="AA11" i="180"/>
  <c r="AA12" i="180"/>
  <c r="AA9" i="180"/>
  <c r="U32" i="184"/>
  <c r="AA29" i="184"/>
  <c r="AA30" i="184"/>
  <c r="AA31" i="184"/>
  <c r="AA28" i="184"/>
  <c r="O32" i="184"/>
  <c r="AG23" i="184"/>
  <c r="AM23" i="184"/>
  <c r="U23" i="184"/>
  <c r="AA20" i="184"/>
  <c r="AA21" i="184"/>
  <c r="AA22" i="184"/>
  <c r="AA19" i="184"/>
  <c r="O23" i="184"/>
  <c r="S26" i="196"/>
  <c r="S18" i="196"/>
  <c r="X45" i="121"/>
  <c r="AG45" i="121"/>
  <c r="O45" i="121"/>
  <c r="X33" i="121"/>
  <c r="AG33" i="121"/>
  <c r="O33" i="121"/>
  <c r="T43" i="195"/>
  <c r="Z43" i="195"/>
  <c r="N43" i="195"/>
  <c r="T34" i="195"/>
  <c r="Z34" i="195"/>
  <c r="AF34" i="195"/>
  <c r="AL34" i="195"/>
  <c r="N34" i="195"/>
  <c r="T13" i="195"/>
  <c r="Z13" i="195"/>
  <c r="AF13" i="195"/>
  <c r="AL13" i="195"/>
  <c r="W23" i="186"/>
  <c r="AD23" i="186"/>
  <c r="AK23" i="186"/>
  <c r="P23" i="186"/>
  <c r="W13" i="186"/>
  <c r="AD13" i="186"/>
  <c r="AK13" i="186"/>
  <c r="P13" i="186"/>
  <c r="I30" i="193"/>
  <c r="N30" i="193"/>
  <c r="S30" i="193"/>
  <c r="X30" i="193"/>
  <c r="AC30" i="193"/>
  <c r="AH30" i="193"/>
  <c r="L16" i="193"/>
  <c r="Z7" i="113"/>
  <c r="Z6" i="113"/>
  <c r="Z7" i="183"/>
  <c r="Z8" i="183"/>
  <c r="Z9" i="183"/>
  <c r="Z10" i="183"/>
  <c r="Z11" i="183"/>
  <c r="Z6" i="183"/>
  <c r="BN25" i="32" l="1"/>
  <c r="BN20" i="32"/>
  <c r="BN11" i="32"/>
  <c r="BN26" i="32"/>
  <c r="BN24" i="32"/>
  <c r="BN23" i="32"/>
  <c r="BN22" i="32"/>
  <c r="BN21" i="32"/>
  <c r="BN19" i="32"/>
  <c r="BN18" i="32"/>
  <c r="BN17" i="32"/>
  <c r="BN16" i="32"/>
  <c r="BN15" i="32"/>
  <c r="BN14" i="32"/>
  <c r="BN13" i="32"/>
  <c r="BN12" i="32"/>
  <c r="BJ27" i="32"/>
  <c r="AU22" i="169"/>
  <c r="P35" i="32"/>
  <c r="AA23" i="184"/>
  <c r="AM36" i="180"/>
  <c r="AA22" i="180"/>
  <c r="AA13" i="180"/>
  <c r="AA32" i="184"/>
  <c r="AR27" i="32"/>
  <c r="BG49" i="143"/>
  <c r="BD49" i="143"/>
  <c r="B95" i="192"/>
  <c r="A95" i="192"/>
  <c r="BF44" i="200"/>
  <c r="BJ49" i="143" l="1"/>
  <c r="BA49" i="14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<sst xmlns="http://schemas.openxmlformats.org/spreadsheetml/2006/main" count="26167" uniqueCount="12834">
  <si>
    <t>Republic of the Philippines</t>
  </si>
  <si>
    <t>DEPARTMENT OF EDUCATION</t>
  </si>
  <si>
    <t>INSTRUCTIONS</t>
  </si>
  <si>
    <t>SCHOOL INFORMATION</t>
  </si>
  <si>
    <t>:</t>
  </si>
  <si>
    <t xml:space="preserve">Region </t>
  </si>
  <si>
    <t>Division</t>
  </si>
  <si>
    <t>Legislative District</t>
  </si>
  <si>
    <t>Address</t>
  </si>
  <si>
    <t>Barangay</t>
  </si>
  <si>
    <t xml:space="preserve">E-Mail Address    </t>
  </si>
  <si>
    <t>No</t>
  </si>
  <si>
    <t>Certified True and Correct by  :</t>
  </si>
  <si>
    <t>School Head</t>
  </si>
  <si>
    <t>Male</t>
  </si>
  <si>
    <t>Female</t>
  </si>
  <si>
    <t>TOTAL</t>
  </si>
  <si>
    <t>LGU/SEF</t>
  </si>
  <si>
    <t>Others</t>
  </si>
  <si>
    <t>No source of electricity</t>
  </si>
  <si>
    <t>Grid Supply</t>
  </si>
  <si>
    <t>Generator</t>
  </si>
  <si>
    <t>Solar Power</t>
  </si>
  <si>
    <t>Position Title</t>
  </si>
  <si>
    <t>NATIONALLY-FUNDED PERSONNEL</t>
  </si>
  <si>
    <t>SCHOOL PLANTILLA ITEMS</t>
  </si>
  <si>
    <t>Number of plantilla items in school per latest PSI-POP</t>
  </si>
  <si>
    <t>On leave</t>
  </si>
  <si>
    <t>Col. 1</t>
  </si>
  <si>
    <t>Col. 2</t>
  </si>
  <si>
    <t>Col. 3</t>
  </si>
  <si>
    <t>Col. 4</t>
  </si>
  <si>
    <t>Col. 5</t>
  </si>
  <si>
    <t>Col. 6</t>
  </si>
  <si>
    <t>Col. 7</t>
  </si>
  <si>
    <t>Col. 8</t>
  </si>
  <si>
    <t>Col. 9</t>
  </si>
  <si>
    <t>Col. 10</t>
  </si>
  <si>
    <t>Col. 11</t>
  </si>
  <si>
    <t>Col. 12</t>
  </si>
  <si>
    <t>Col. 13</t>
  </si>
  <si>
    <t>Head Teacher VI</t>
  </si>
  <si>
    <t>Head Teacher V</t>
  </si>
  <si>
    <t>Head Teacher IV</t>
  </si>
  <si>
    <t>Head Teacher III</t>
  </si>
  <si>
    <t>Head Teacher II</t>
  </si>
  <si>
    <t>Head Teacher I</t>
  </si>
  <si>
    <t>Master Teacher II</t>
  </si>
  <si>
    <t>Master Teacher I</t>
  </si>
  <si>
    <t>Teacher III</t>
  </si>
  <si>
    <t>Teacher II</t>
  </si>
  <si>
    <t>Teacher I</t>
  </si>
  <si>
    <t>Not assigned to ancillary services</t>
  </si>
  <si>
    <t>Class teaching 200 min. per day or more</t>
  </si>
  <si>
    <t>Class teaching less than 200 min. per day</t>
  </si>
  <si>
    <t>Street/Sitio/Purok</t>
  </si>
  <si>
    <t>Local Gov't Unit (LGU) funded</t>
  </si>
  <si>
    <t>School MOOE</t>
  </si>
  <si>
    <t>School Canteen Fund</t>
  </si>
  <si>
    <t>PTA</t>
  </si>
  <si>
    <t>LGU</t>
  </si>
  <si>
    <t>Private Individual/Sector</t>
  </si>
  <si>
    <t>Col. 14</t>
  </si>
  <si>
    <t>Col. 15</t>
  </si>
  <si>
    <t>Col. 16</t>
  </si>
  <si>
    <t>Yes</t>
  </si>
  <si>
    <t>Rainwater Catchments</t>
  </si>
  <si>
    <t>Elementary school(s) within the division</t>
  </si>
  <si>
    <t>Plantilla personnel detailed to</t>
  </si>
  <si>
    <t>Col. 17</t>
  </si>
  <si>
    <t>Col. 18</t>
  </si>
  <si>
    <t>(Col.3+Col.13)</t>
  </si>
  <si>
    <t>(Col.4+Col.14)</t>
  </si>
  <si>
    <t>(Col.16+Col.17)</t>
  </si>
  <si>
    <t>Master Teacher III</t>
  </si>
  <si>
    <t>Plantilla personnel borrowed/detailed from other school(s)/ DepEd office(s)</t>
  </si>
  <si>
    <t>Funding Source</t>
  </si>
  <si>
    <t>These are classified according to the following:</t>
  </si>
  <si>
    <t xml:space="preserve">   Master Teacher III</t>
  </si>
  <si>
    <t xml:space="preserve">   Master Teacher II</t>
  </si>
  <si>
    <t xml:space="preserve">   Master Teacher I</t>
  </si>
  <si>
    <t xml:space="preserve">   Teacher III</t>
  </si>
  <si>
    <t xml:space="preserve">   Teacher II</t>
  </si>
  <si>
    <t xml:space="preserve">   Teacher I</t>
  </si>
  <si>
    <t xml:space="preserve">   Handling SPED classes</t>
  </si>
  <si>
    <t>Livestock</t>
  </si>
  <si>
    <t>DepEd office(s)/ sec. school(s) within the division</t>
  </si>
  <si>
    <t>Grade 7</t>
  </si>
  <si>
    <t>Grade 8</t>
  </si>
  <si>
    <t>Grade 9</t>
  </si>
  <si>
    <t>Grade 10</t>
  </si>
  <si>
    <t>Tsunami</t>
  </si>
  <si>
    <t>Storm Surge</t>
  </si>
  <si>
    <t>Flood</t>
  </si>
  <si>
    <t>Drought</t>
  </si>
  <si>
    <t>Earthquake</t>
  </si>
  <si>
    <t>Volcanic Eruption</t>
  </si>
  <si>
    <t>Landslide</t>
  </si>
  <si>
    <t xml:space="preserve">  Natural Hazards</t>
  </si>
  <si>
    <t xml:space="preserve">  Human-Induced Hazards</t>
  </si>
  <si>
    <t>Mode</t>
  </si>
  <si>
    <t>Tax Declaration</t>
  </si>
  <si>
    <t>Deed of Absolute Sale</t>
  </si>
  <si>
    <t>Deed of Donation</t>
  </si>
  <si>
    <t>Contract of Usufruct</t>
  </si>
  <si>
    <t>Encroachment</t>
  </si>
  <si>
    <t xml:space="preserve">     </t>
  </si>
  <si>
    <t>a.</t>
  </si>
  <si>
    <t>b.</t>
  </si>
  <si>
    <t>Beauty Care</t>
  </si>
  <si>
    <t>Caregiving</t>
  </si>
  <si>
    <t>Cookery</t>
  </si>
  <si>
    <t>Dressmaking</t>
  </si>
  <si>
    <t>Handicraft</t>
  </si>
  <si>
    <t>Household Services</t>
  </si>
  <si>
    <t>Animal Production</t>
  </si>
  <si>
    <t>Carpentry</t>
  </si>
  <si>
    <t>Electrical Installation and Maintenance</t>
  </si>
  <si>
    <t>Masonry</t>
  </si>
  <si>
    <t>Plumbing</t>
  </si>
  <si>
    <t>Contact Center Services</t>
  </si>
  <si>
    <t>Technical Drafting</t>
  </si>
  <si>
    <t xml:space="preserve">         </t>
  </si>
  <si>
    <t xml:space="preserve">Are there internet service providers in the area? </t>
  </si>
  <si>
    <t xml:space="preserve">        </t>
  </si>
  <si>
    <t xml:space="preserve">If Yes, check the appropriate internet service provider/s servicing the area: </t>
  </si>
  <si>
    <t xml:space="preserve">Does the school subscribe to any of the internet service provider/s listed above? </t>
  </si>
  <si>
    <t>Internet Service Provider</t>
  </si>
  <si>
    <t>None</t>
  </si>
  <si>
    <t>May</t>
  </si>
  <si>
    <t>SUBJECT</t>
  </si>
  <si>
    <t>c.</t>
  </si>
  <si>
    <t>d.</t>
  </si>
  <si>
    <t>e.</t>
  </si>
  <si>
    <t>DepEd office(s)/ school(s) outside the division or other government agencies</t>
  </si>
  <si>
    <r>
      <t xml:space="preserve">Assigned to ancillary services as </t>
    </r>
    <r>
      <rPr>
        <b/>
        <u/>
        <sz val="10"/>
        <rFont val="Times New Roman"/>
        <family val="1"/>
      </rPr>
      <t>additional load</t>
    </r>
  </si>
  <si>
    <t>A teacher who is teaching more than one learning area or grade level can be counted more than once.</t>
  </si>
  <si>
    <t>Off Grid Supply</t>
  </si>
  <si>
    <t>Types of Computer</t>
  </si>
  <si>
    <t>DepEd
DCP</t>
  </si>
  <si>
    <t>DepEd
non-DCP</t>
  </si>
  <si>
    <t>Private Donations</t>
  </si>
  <si>
    <t>Other
Government
Agencies</t>
  </si>
  <si>
    <t>Desktop</t>
  </si>
  <si>
    <t>Desktop Virtual Terminal</t>
  </si>
  <si>
    <t>Average Monthly Expense</t>
  </si>
  <si>
    <t>(Check as appropriate)</t>
  </si>
  <si>
    <t xml:space="preserve">Legal Ownership Issues: </t>
  </si>
  <si>
    <t>Aquaculture</t>
  </si>
  <si>
    <t>Agricultural Crops</t>
  </si>
  <si>
    <t>1.</t>
  </si>
  <si>
    <t>2.</t>
  </si>
  <si>
    <t>3.</t>
  </si>
  <si>
    <t>8.</t>
  </si>
  <si>
    <t>9.</t>
  </si>
  <si>
    <t>4.</t>
  </si>
  <si>
    <t>5.</t>
  </si>
  <si>
    <t>6.</t>
  </si>
  <si>
    <t>11.</t>
  </si>
  <si>
    <t>7.</t>
  </si>
  <si>
    <t>10.</t>
  </si>
  <si>
    <t xml:space="preserve">    </t>
  </si>
  <si>
    <t>Front Office Services</t>
  </si>
  <si>
    <t>Travel Services</t>
  </si>
  <si>
    <t>Wellness Massage</t>
  </si>
  <si>
    <t>Agri-Crop Production</t>
  </si>
  <si>
    <t>Fish Processing</t>
  </si>
  <si>
    <t>Automotive Servicing</t>
  </si>
  <si>
    <t>Refrigeration and Airconditioning</t>
  </si>
  <si>
    <t>Shielded Metal Arc Welding</t>
  </si>
  <si>
    <t>Illustration</t>
  </si>
  <si>
    <t xml:space="preserve">Reminder: </t>
  </si>
  <si>
    <t>Vocational School Administrator I</t>
  </si>
  <si>
    <t>Vocational School Administrator II</t>
  </si>
  <si>
    <t>Vocational School Administrator III</t>
  </si>
  <si>
    <t>Bookkeeper</t>
  </si>
  <si>
    <t xml:space="preserve">   Master Teacher IV</t>
  </si>
  <si>
    <t>Instructor I</t>
  </si>
  <si>
    <t xml:space="preserve">   Instructor I</t>
  </si>
  <si>
    <t xml:space="preserve">   Instructor II</t>
  </si>
  <si>
    <t xml:space="preserve">   Instructor III</t>
  </si>
  <si>
    <t xml:space="preserve">   SPED Teacher I</t>
  </si>
  <si>
    <t xml:space="preserve">   SPED Teacher II</t>
  </si>
  <si>
    <t xml:space="preserve">   SPED Teacher III</t>
  </si>
  <si>
    <t xml:space="preserve">   SPED Teacher IV</t>
  </si>
  <si>
    <t xml:space="preserve">   SPED Teacher V</t>
  </si>
  <si>
    <t>a. Teaching Positions</t>
  </si>
  <si>
    <t>Instructor III</t>
  </si>
  <si>
    <t>Instructor II</t>
  </si>
  <si>
    <t>Master Teacher IV</t>
  </si>
  <si>
    <t>SPED Teacher V</t>
  </si>
  <si>
    <t>SPED Teacher IV</t>
  </si>
  <si>
    <t>SPED Teacher III</t>
  </si>
  <si>
    <t>SPED Teacher I</t>
  </si>
  <si>
    <t>Academic Use</t>
  </si>
  <si>
    <t>Administrative Use</t>
  </si>
  <si>
    <r>
      <rPr>
        <b/>
        <i/>
        <sz val="11"/>
        <rFont val="Times New Roman"/>
        <family val="1"/>
      </rPr>
      <t xml:space="preserve">1. </t>
    </r>
    <r>
      <rPr>
        <sz val="11"/>
        <rFont val="Times New Roman"/>
        <family val="1"/>
      </rPr>
      <t>Indicate the number of functional computers according to the following funding sources:</t>
    </r>
  </si>
  <si>
    <r>
      <t>b. DepEd non-DCP</t>
    </r>
    <r>
      <rPr>
        <sz val="11"/>
        <rFont val="Times New Roman"/>
        <family val="1"/>
      </rPr>
      <t xml:space="preserve"> - computers procured through other DepEd downloaded funds.</t>
    </r>
  </si>
  <si>
    <r>
      <rPr>
        <b/>
        <i/>
        <sz val="11"/>
        <rFont val="Times New Roman"/>
        <family val="1"/>
      </rPr>
      <t>c. LGU/SEF</t>
    </r>
    <r>
      <rPr>
        <sz val="11"/>
        <rFont val="Times New Roman"/>
        <family val="1"/>
      </rPr>
      <t xml:space="preserve"> - computers procured from the Special Education Fund (SEF) and the budgets of Local Government Units (LGU): provincial, municipal or barangay units.</t>
    </r>
  </si>
  <si>
    <r>
      <rPr>
        <b/>
        <i/>
        <sz val="11"/>
        <rFont val="Times New Roman"/>
        <family val="1"/>
      </rPr>
      <t>d. PTA</t>
    </r>
    <r>
      <rPr>
        <sz val="11"/>
        <rFont val="Times New Roman"/>
        <family val="1"/>
      </rPr>
      <t xml:space="preserve"> - computers funded from the Parents-Teachers Association (PTA).</t>
    </r>
  </si>
  <si>
    <r>
      <rPr>
        <b/>
        <i/>
        <sz val="11"/>
        <rFont val="Times New Roman"/>
        <family val="1"/>
      </rPr>
      <t>f. Other Government Agencies</t>
    </r>
    <r>
      <rPr>
        <sz val="11"/>
        <rFont val="Times New Roman"/>
        <family val="1"/>
      </rPr>
      <t xml:space="preserve"> - computers funded from other government agencies such as DTI, DOST, CICT, etc.</t>
    </r>
  </si>
  <si>
    <r>
      <rPr>
        <b/>
        <i/>
        <sz val="11"/>
        <rFont val="Times New Roman"/>
        <family val="1"/>
      </rPr>
      <t>a. Desktop</t>
    </r>
    <r>
      <rPr>
        <sz val="11"/>
        <rFont val="Times New Roman"/>
        <family val="1"/>
      </rPr>
      <t xml:space="preserve"> - refers to a computer that is designed to be used on a table.</t>
    </r>
  </si>
  <si>
    <r>
      <rPr>
        <b/>
        <i/>
        <sz val="11"/>
        <rFont val="Times New Roman"/>
        <family val="1"/>
      </rPr>
      <t>b. Fixed wireless</t>
    </r>
    <r>
      <rPr>
        <b/>
        <sz val="11"/>
        <rFont val="Times New Roman"/>
        <family val="1"/>
      </rPr>
      <t xml:space="preserve"> </t>
    </r>
    <r>
      <rPr>
        <sz val="11"/>
        <rFont val="Times New Roman"/>
        <family val="1"/>
      </rPr>
      <t>- internet connection through radio frequency bands with directional radio antenna on each end of the signal.</t>
    </r>
  </si>
  <si>
    <t>a.1.</t>
  </si>
  <si>
    <t>a.2.</t>
  </si>
  <si>
    <t>a.3.</t>
  </si>
  <si>
    <t>a.4.</t>
  </si>
  <si>
    <t>f.</t>
  </si>
  <si>
    <t>g.</t>
  </si>
  <si>
    <t>h.</t>
  </si>
  <si>
    <t>LGU Fund</t>
  </si>
  <si>
    <t>Barangay Fund</t>
  </si>
  <si>
    <t>PTA Fund</t>
  </si>
  <si>
    <t>Fish Pond</t>
  </si>
  <si>
    <t>Private Individual/Sector Fund</t>
  </si>
  <si>
    <t xml:space="preserve">   Handling Full Time Ancilliary Services </t>
  </si>
  <si>
    <t>1. Types of Internet Connection:</t>
  </si>
  <si>
    <t>Special Program in the Arts</t>
  </si>
  <si>
    <t>Special Program in Foreign Language</t>
  </si>
  <si>
    <t>Special Program in Journalism</t>
  </si>
  <si>
    <t>Special Program in Science, Technology and Engineering</t>
  </si>
  <si>
    <t>Special Program in Sports</t>
  </si>
  <si>
    <t>Special Program in Technical Vocational Education</t>
  </si>
  <si>
    <r>
      <rPr>
        <b/>
        <i/>
        <sz val="11"/>
        <rFont val="Times New Roman"/>
        <family val="1"/>
      </rPr>
      <t>g. Others</t>
    </r>
    <r>
      <rPr>
        <b/>
        <sz val="11"/>
        <rFont val="Times New Roman"/>
        <family val="1"/>
      </rPr>
      <t xml:space="preserve"> </t>
    </r>
    <r>
      <rPr>
        <sz val="11"/>
        <rFont val="Times New Roman"/>
        <family val="1"/>
      </rPr>
      <t>- computers procured from other sources not listed above.</t>
    </r>
  </si>
  <si>
    <r>
      <rPr>
        <b/>
        <i/>
        <sz val="11"/>
        <rFont val="Times New Roman"/>
        <family val="1"/>
      </rPr>
      <t>2. Computer</t>
    </r>
    <r>
      <rPr>
        <sz val="11"/>
        <rFont val="Times New Roman"/>
        <family val="1"/>
      </rPr>
      <t xml:space="preserve"> - refers to electronic devices for storing and processing data such as :</t>
    </r>
  </si>
  <si>
    <r>
      <rPr>
        <b/>
        <i/>
        <sz val="11"/>
        <rFont val="Times New Roman"/>
        <family val="1"/>
      </rPr>
      <t>3. Computer for Academic Use</t>
    </r>
    <r>
      <rPr>
        <sz val="11"/>
        <rFont val="Times New Roman"/>
        <family val="1"/>
      </rPr>
      <t xml:space="preserve"> - refers to computer units utilized in the classroom/laboratory as an aid to instruction.</t>
    </r>
  </si>
  <si>
    <t>Types of Internet Connection</t>
  </si>
  <si>
    <r>
      <rPr>
        <b/>
        <i/>
        <sz val="11"/>
        <rFont val="Times New Roman"/>
        <family val="1"/>
      </rPr>
      <t>a. Wired</t>
    </r>
    <r>
      <rPr>
        <b/>
        <sz val="11"/>
        <rFont val="Times New Roman"/>
        <family val="1"/>
      </rPr>
      <t xml:space="preserve"> -</t>
    </r>
    <r>
      <rPr>
        <sz val="11"/>
        <rFont val="Times New Roman"/>
        <family val="1"/>
      </rPr>
      <t xml:space="preserve"> internet connection using the phone lines from the service provider to a client.</t>
    </r>
  </si>
  <si>
    <r>
      <rPr>
        <b/>
        <i/>
        <sz val="11"/>
        <rFont val="Times New Roman"/>
        <family val="1"/>
      </rPr>
      <t>c. Satellite</t>
    </r>
    <r>
      <rPr>
        <sz val="11"/>
        <rFont val="Times New Roman"/>
        <family val="1"/>
      </rPr>
      <t xml:space="preserve"> - internet connection using satellite dish supplied by an internet provider.</t>
    </r>
  </si>
  <si>
    <r>
      <rPr>
        <b/>
        <i/>
        <sz val="11"/>
        <rFont val="Times New Roman"/>
        <family val="1"/>
      </rPr>
      <t>a. DepEd DCP</t>
    </r>
    <r>
      <rPr>
        <sz val="11"/>
        <rFont val="Times New Roman"/>
        <family val="1"/>
      </rPr>
      <t xml:space="preserve"> - computers procured through the DepEd Computerization Program.</t>
    </r>
  </si>
  <si>
    <t>Education Management Information System Division</t>
  </si>
  <si>
    <t xml:space="preserve">   Handling Grades 7-10</t>
  </si>
  <si>
    <t>PLANNING SERVICE</t>
  </si>
  <si>
    <t>GOVERNMENT JUNIOR HIGH SCHOOL (JHS) PROFILE</t>
  </si>
  <si>
    <t xml:space="preserve">   Special Science Teacher I</t>
  </si>
  <si>
    <t>Special Science Teacher I</t>
  </si>
  <si>
    <t>MOOE</t>
  </si>
  <si>
    <t>Allocation</t>
  </si>
  <si>
    <t>Utilization</t>
  </si>
  <si>
    <t>Liquidation</t>
  </si>
  <si>
    <r>
      <t>Maintenance and Other Operating Expenses (MOOE)</t>
    </r>
    <r>
      <rPr>
        <sz val="11"/>
        <rFont val="Times New Roman"/>
        <family val="1"/>
      </rPr>
      <t xml:space="preserve"> - is the allocated funds for public elementary and secondary schools that can be spent on activities and necessities (i.e. electricity and water) that support learning programs and help maintain a safe and healthy environment in schools.</t>
    </r>
  </si>
  <si>
    <t>June</t>
  </si>
  <si>
    <t>July</t>
  </si>
  <si>
    <t>Aug.</t>
  </si>
  <si>
    <t>Sept.</t>
  </si>
  <si>
    <t>Oct.</t>
  </si>
  <si>
    <t>Nov.</t>
  </si>
  <si>
    <t>Dec.</t>
  </si>
  <si>
    <t>Jan.</t>
  </si>
  <si>
    <t>Feb.</t>
  </si>
  <si>
    <t>Mar.</t>
  </si>
  <si>
    <t>Composting</t>
  </si>
  <si>
    <t>Posting of signage</t>
  </si>
  <si>
    <t>Use of paper plates/cups instead of plastic</t>
  </si>
  <si>
    <t>Designation of trash collection point</t>
  </si>
  <si>
    <t>Recycling Projects</t>
  </si>
  <si>
    <t>Use of recycled materials are teaching tool</t>
  </si>
  <si>
    <t>Poster making and/or slogan making contest</t>
  </si>
  <si>
    <t>School representative at the Barangay Solid</t>
  </si>
  <si>
    <t>Use of reusable food containerts</t>
  </si>
  <si>
    <t>Waste Management Committee</t>
  </si>
  <si>
    <t>Waste segregation</t>
  </si>
  <si>
    <t>Local business partners</t>
  </si>
  <si>
    <t>Parents</t>
  </si>
  <si>
    <t>Community leaders</t>
  </si>
  <si>
    <t>Municipal/City government</t>
  </si>
  <si>
    <t>Type of Vaccines</t>
  </si>
  <si>
    <t>1. Is there a water source inside the school ground?</t>
  </si>
  <si>
    <t xml:space="preserve"> </t>
  </si>
  <si>
    <t>Piped water from local service provider</t>
  </si>
  <si>
    <t>Water Well</t>
  </si>
  <si>
    <t>Natural source</t>
  </si>
  <si>
    <t xml:space="preserve">Yes </t>
  </si>
  <si>
    <t xml:space="preserve">No  </t>
  </si>
  <si>
    <t>2. Does the school have mechanism to ensure that the learners have safe drinking water?</t>
  </si>
  <si>
    <t>Teachers ask the learners to bring their own drinking water to school</t>
  </si>
  <si>
    <t>Safe water in refillable containers are provided in designated areas within the school</t>
  </si>
  <si>
    <t>Usage</t>
  </si>
  <si>
    <t>Functional</t>
  </si>
  <si>
    <t>Facilities for individual handwashing</t>
  </si>
  <si>
    <t xml:space="preserve">Daily </t>
  </si>
  <si>
    <t>Once a week</t>
  </si>
  <si>
    <t>At least twice a week</t>
  </si>
  <si>
    <t>Less than once a week</t>
  </si>
  <si>
    <t>School Canteen</t>
  </si>
  <si>
    <t>School Clinic</t>
  </si>
  <si>
    <t>Guidance Office</t>
  </si>
  <si>
    <t>Facilities for group handwashing</t>
  </si>
  <si>
    <t>Non-Functional</t>
  </si>
  <si>
    <r>
      <t xml:space="preserve">1. Local piped water </t>
    </r>
    <r>
      <rPr>
        <sz val="11"/>
        <rFont val="Times New Roman"/>
        <family val="1"/>
      </rPr>
      <t>- water source coming from local water service providers.</t>
    </r>
  </si>
  <si>
    <r>
      <t>2. Water well</t>
    </r>
    <r>
      <rPr>
        <sz val="11"/>
        <rFont val="Times New Roman"/>
        <family val="1"/>
      </rPr>
      <t xml:space="preserve"> - an excavation structure in the ground by digging, driving, boring or drilling to access water in underground aquifiers.</t>
    </r>
  </si>
  <si>
    <r>
      <t>3. Rainwater catchment</t>
    </r>
    <r>
      <rPr>
        <sz val="11"/>
        <rFont val="Times New Roman"/>
        <family val="1"/>
      </rPr>
      <t xml:space="preserve"> - water sourced from rainwater and collected thru a rainwater collector.</t>
    </r>
  </si>
  <si>
    <r>
      <t>4. Natural source</t>
    </r>
    <r>
      <rPr>
        <b/>
        <sz val="11"/>
        <rFont val="Times New Roman"/>
        <family val="1"/>
      </rPr>
      <t xml:space="preserve"> - </t>
    </r>
    <r>
      <rPr>
        <sz val="11"/>
        <rFont val="Times New Roman"/>
        <family val="1"/>
      </rPr>
      <t>water sourced from a spring or stream that is either located inside the school grounds or located outside school grounds but water is supplied via pipes.</t>
    </r>
  </si>
  <si>
    <t>1. Is your school compliant to the Ecological Solid Waste Management Act (RA 9003)?</t>
  </si>
  <si>
    <t>If Yes, where can the learners avail the sanitary pads?</t>
  </si>
  <si>
    <t>Number of personnel actually working  in the school</t>
  </si>
  <si>
    <t>Filipino</t>
  </si>
  <si>
    <t>Mathematics</t>
  </si>
  <si>
    <t>Science</t>
  </si>
  <si>
    <t>Araling Panlipunan</t>
  </si>
  <si>
    <t>Extra-curricular activities</t>
  </si>
  <si>
    <t>Number of Teachers</t>
  </si>
  <si>
    <t>Does the school have a provision for availability of sanitary pads?</t>
  </si>
  <si>
    <t xml:space="preserve">Reminders: </t>
  </si>
  <si>
    <t>Amount in PhP</t>
  </si>
  <si>
    <t>Electrical Supply Sources:</t>
  </si>
  <si>
    <t>What is the funding source?</t>
  </si>
  <si>
    <t xml:space="preserve"> 2.1. If Yes, what mechanism is used?</t>
  </si>
  <si>
    <t>School-Based Feeding Program (SBFP)</t>
  </si>
  <si>
    <t xml:space="preserve">     If Yes, what is the funding source of school feeding program?</t>
  </si>
  <si>
    <t xml:space="preserve">     If Yes, what is the funding source?</t>
  </si>
  <si>
    <t>Grade 11</t>
  </si>
  <si>
    <t>Grade 12</t>
  </si>
  <si>
    <t>Junior High School</t>
  </si>
  <si>
    <t>Senior High School</t>
  </si>
  <si>
    <t>Note: *   -  Number of teachers with Junior High School plantilla items teaching Senior High School subjects.</t>
  </si>
  <si>
    <r>
      <t xml:space="preserve">Location descriptions for your school: </t>
    </r>
    <r>
      <rPr>
        <b/>
        <i/>
        <sz val="12"/>
        <rFont val="Times New Roman"/>
        <family val="1"/>
      </rPr>
      <t>(Check all applicable)</t>
    </r>
  </si>
  <si>
    <t>Quarterly</t>
  </si>
  <si>
    <t>Monthly</t>
  </si>
  <si>
    <t>Edukasyon sa Pagpapakatao (EsP)</t>
  </si>
  <si>
    <t>Physical Education</t>
  </si>
  <si>
    <t>Health</t>
  </si>
  <si>
    <t>Edukasyong Pantahanan at Pangkabuhayan (EPP)</t>
  </si>
  <si>
    <t>Number of Learners</t>
  </si>
  <si>
    <t xml:space="preserve">   Handling Grades 11-12</t>
  </si>
  <si>
    <t>TABLE</t>
  </si>
  <si>
    <t>BOX</t>
  </si>
  <si>
    <t>Page #</t>
  </si>
  <si>
    <t>TITLE</t>
  </si>
  <si>
    <t>School Name</t>
  </si>
  <si>
    <t>(Previous Name, if any)</t>
  </si>
  <si>
    <t>Municipality/City</t>
  </si>
  <si>
    <t>Province</t>
  </si>
  <si>
    <t>Zip Code</t>
  </si>
  <si>
    <t>Mobile Number</t>
  </si>
  <si>
    <t>Fax Number</t>
  </si>
  <si>
    <t>No.</t>
  </si>
  <si>
    <t xml:space="preserve">Website (if any)    </t>
  </si>
  <si>
    <t>Offering Night Classes</t>
  </si>
  <si>
    <t>DepEd</t>
  </si>
  <si>
    <t>Private Entity / Individual/s</t>
  </si>
  <si>
    <t>Other Government Agency</t>
  </si>
  <si>
    <t xml:space="preserve">   b. With Document? </t>
  </si>
  <si>
    <t>Special Patent</t>
  </si>
  <si>
    <t>Presidential Proclamation</t>
  </si>
  <si>
    <t>Certificate of Stewardship</t>
  </si>
  <si>
    <t>Special Land Use Permit (SLUP)</t>
  </si>
  <si>
    <t>Lease Agreement</t>
  </si>
  <si>
    <t>Donation</t>
  </si>
  <si>
    <t>Purchase</t>
  </si>
  <si>
    <t>Usufruct Agreement</t>
  </si>
  <si>
    <t>Expropriation</t>
  </si>
  <si>
    <t>Deed of Exchange (Land Swapping)</t>
  </si>
  <si>
    <t>Year
Acquired</t>
  </si>
  <si>
    <t>With Usufruct Agreement?</t>
  </si>
  <si>
    <t>4. Within Ancestral Domain :</t>
  </si>
  <si>
    <t>With Adverse Claim</t>
  </si>
  <si>
    <t>With Illegal Settlers</t>
  </si>
  <si>
    <t>Document Type:</t>
  </si>
  <si>
    <t>i.</t>
  </si>
  <si>
    <t>j.</t>
  </si>
  <si>
    <t>k.</t>
  </si>
  <si>
    <t>TOTAL
(Grades 7 to 10)</t>
  </si>
  <si>
    <t>Provincial</t>
  </si>
  <si>
    <t>Municipal/City</t>
  </si>
  <si>
    <t>Certificate of Land Ownership Award (CLOA)</t>
  </si>
  <si>
    <t>5. Within Ancestral Land :</t>
  </si>
  <si>
    <t>Protected Areas</t>
  </si>
  <si>
    <t>Areas classified as Timberland and Forestland</t>
  </si>
  <si>
    <t>Certificate of Land Ownership Award
(CLOA)</t>
  </si>
  <si>
    <t>Original Certificate of Title (OCT)</t>
  </si>
  <si>
    <t>Transfer Certificate of Title (TCT)</t>
  </si>
  <si>
    <t>l.</t>
  </si>
  <si>
    <t>m.</t>
  </si>
  <si>
    <t>refers to a claim of a property against that</t>
  </si>
  <si>
    <t>School Principal IV</t>
  </si>
  <si>
    <t>School Principal III</t>
  </si>
  <si>
    <t>School Principal II</t>
  </si>
  <si>
    <t>School Principal I</t>
  </si>
  <si>
    <r>
      <t>No source of electricity</t>
    </r>
    <r>
      <rPr>
        <sz val="11"/>
        <rFont val="Times New Roman"/>
        <family val="1"/>
      </rPr>
      <t xml:space="preserve"> - without existing electrical supply at all.</t>
    </r>
  </si>
  <si>
    <t>School Site within:</t>
  </si>
  <si>
    <t>Hostage-taking within school premises</t>
  </si>
  <si>
    <t>With Certificate of Ancestral Domain Title (CADT)?</t>
  </si>
  <si>
    <t>With Certificate of Ancestral Land Title (CALT)?</t>
  </si>
  <si>
    <t xml:space="preserve"> Music, Art, Physical Education, Health (MAPEH)</t>
  </si>
  <si>
    <t xml:space="preserve"> English</t>
  </si>
  <si>
    <t xml:space="preserve"> Mathematics</t>
  </si>
  <si>
    <t xml:space="preserve"> Filipino</t>
  </si>
  <si>
    <t xml:space="preserve"> Science</t>
  </si>
  <si>
    <t xml:space="preserve"> Araling Panlipunan (AP)</t>
  </si>
  <si>
    <t xml:space="preserve"> Edukasyon sa Pagpapakatao (EsP)</t>
  </si>
  <si>
    <t xml:space="preserve"> Technology and Livelihood Education (TLE)</t>
  </si>
  <si>
    <t>Learning Areas</t>
  </si>
  <si>
    <t>Types of ICT Equipment</t>
  </si>
  <si>
    <t>LED TV</t>
  </si>
  <si>
    <t>Network Switch</t>
  </si>
  <si>
    <t>Printer</t>
  </si>
  <si>
    <t>Projector</t>
  </si>
  <si>
    <t>UPS</t>
  </si>
  <si>
    <t>Wireless Router</t>
  </si>
  <si>
    <t xml:space="preserve">                    TOTAL</t>
  </si>
  <si>
    <t>Along the highway *</t>
  </si>
  <si>
    <t>Near the coastline *****</t>
  </si>
  <si>
    <t>*</t>
  </si>
  <si>
    <t>-  facing or directly beside a national road/public road</t>
  </si>
  <si>
    <t>By the hillside **</t>
  </si>
  <si>
    <t>Near a river or waterway *****</t>
  </si>
  <si>
    <t>**</t>
  </si>
  <si>
    <t>-  on an inclined or steeped area</t>
  </si>
  <si>
    <t>On top of a mountain ***</t>
  </si>
  <si>
    <t>***</t>
  </si>
  <si>
    <t>-  on an elevated area</t>
  </si>
  <si>
    <t>On a small island ****</t>
  </si>
  <si>
    <t>****</t>
  </si>
  <si>
    <t>-  an island with an area less than 200 sq. km.</t>
  </si>
  <si>
    <t>*****</t>
  </si>
  <si>
    <t>-  near if within 1.5 km from the school</t>
  </si>
  <si>
    <t>Philippine National Police (PNP)</t>
  </si>
  <si>
    <t>Moro National Liberation Front (MNLF)</t>
  </si>
  <si>
    <t>Bangsamoro Islamic Freedom Fighters (BIFF)</t>
  </si>
  <si>
    <t>Maute Group</t>
  </si>
  <si>
    <t>Abu Sayyaf Group (ASG)</t>
  </si>
  <si>
    <t>If Yes,</t>
  </si>
  <si>
    <t>Memorandum of Agreement or Understanding</t>
  </si>
  <si>
    <r>
      <rPr>
        <b/>
        <i/>
        <sz val="11"/>
        <rFont val="Times New Roman"/>
        <family val="1"/>
      </rPr>
      <t>d. USB Modem</t>
    </r>
    <r>
      <rPr>
        <sz val="11"/>
        <rFont val="Times New Roman"/>
        <family val="1"/>
      </rPr>
      <t xml:space="preserve"> - internet connection using USB dongle (e.g., SMART Bro, Globe Tattoo).</t>
    </r>
  </si>
  <si>
    <t>1.4. Is the water source inside the school ground being used for drinking?</t>
  </si>
  <si>
    <t>1.5. Has the water source inside the school been tested to determine safety of the water?</t>
  </si>
  <si>
    <t>with soap</t>
  </si>
  <si>
    <t>without soap</t>
  </si>
  <si>
    <t>Number
of
Water Outlets</t>
  </si>
  <si>
    <t>Nutritional Status</t>
  </si>
  <si>
    <t>Normal</t>
  </si>
  <si>
    <t>Obese</t>
  </si>
  <si>
    <t>Overweight</t>
  </si>
  <si>
    <t>Severely Wasted</t>
  </si>
  <si>
    <t>Wasted</t>
  </si>
  <si>
    <t>Weight</t>
  </si>
  <si>
    <t>Height</t>
  </si>
  <si>
    <t>Severely Stunted</t>
  </si>
  <si>
    <t>Stunted</t>
  </si>
  <si>
    <t>Tall</t>
  </si>
  <si>
    <t>Learners Nutritional Status in Weight:</t>
  </si>
  <si>
    <t>Learners Nutritional Status in Height:</t>
  </si>
  <si>
    <t>Notes:</t>
  </si>
  <si>
    <t>Number of plantilla items in school per latest
PSI-POP</t>
  </si>
  <si>
    <t>Plantilla
item(s)
vacant</t>
  </si>
  <si>
    <t>Information and Communication
Technology (ICT)</t>
  </si>
  <si>
    <t>Number of Learners Dewormed</t>
  </si>
  <si>
    <t>Learners</t>
  </si>
  <si>
    <t>April</t>
  </si>
  <si>
    <r>
      <t xml:space="preserve">Structural collapse </t>
    </r>
    <r>
      <rPr>
        <i/>
        <sz val="13"/>
        <rFont val="Times New Roman"/>
        <family val="1"/>
      </rPr>
      <t>(as a result of engineering failures)</t>
    </r>
  </si>
  <si>
    <t>1.3. Who pays for the Cost of Monthly Bills/Maintenance?</t>
  </si>
  <si>
    <t>NUMBER OF FUNCTIONAL ICT EQUIPMENT BY FUNDING SOURCE</t>
  </si>
  <si>
    <t>Measles Rubella</t>
  </si>
  <si>
    <t>(Official Name)</t>
  </si>
  <si>
    <r>
      <t>MOOE Allocation</t>
    </r>
    <r>
      <rPr>
        <sz val="11"/>
        <rFont val="Times New Roman"/>
        <family val="1"/>
      </rPr>
      <t xml:space="preserve"> - refers to the MOOE provided for the previous fiscal year.</t>
    </r>
  </si>
  <si>
    <r>
      <t>MOOE Utilization</t>
    </r>
    <r>
      <rPr>
        <sz val="11"/>
        <rFont val="Times New Roman"/>
        <family val="1"/>
      </rPr>
      <t xml:space="preserve"> - refers to the amount of MOOE utilized from the MOOE allocation of the previous fiscal year.</t>
    </r>
  </si>
  <si>
    <r>
      <t>MOOE Liquidation</t>
    </r>
    <r>
      <rPr>
        <sz val="11"/>
        <rFont val="Times New Roman"/>
        <family val="1"/>
      </rPr>
      <t xml:space="preserve"> - refers to the amount of MOOE liquidated from the MOOE utilized from the MOOE allocation of the previous fiscal year.</t>
    </r>
  </si>
  <si>
    <t>NUMBER OF FUNCTIONAL COMPUTERS BY FUNDING SOURCE</t>
  </si>
  <si>
    <r>
      <rPr>
        <b/>
        <i/>
        <sz val="11"/>
        <rFont val="Times New Roman"/>
        <family val="1"/>
      </rPr>
      <t>ICT Equipment</t>
    </r>
    <r>
      <rPr>
        <sz val="11"/>
        <rFont val="Times New Roman"/>
        <family val="1"/>
      </rPr>
      <t xml:space="preserve"> - refers to electronic devices such as hardware and software that are intended to perform information processing and communication functions.</t>
    </r>
  </si>
  <si>
    <r>
      <rPr>
        <b/>
        <i/>
        <sz val="11"/>
        <rFont val="Times New Roman"/>
        <family val="1"/>
      </rPr>
      <t>LED TV</t>
    </r>
    <r>
      <rPr>
        <sz val="11"/>
        <rFont val="Times New Roman"/>
        <family val="1"/>
      </rPr>
      <t xml:space="preserve"> - refers to a type of television that uses light-emitting diodes (LED).</t>
    </r>
  </si>
  <si>
    <r>
      <t>Network Switch</t>
    </r>
    <r>
      <rPr>
        <sz val="11"/>
        <rFont val="Times New Roman"/>
        <family val="1"/>
      </rPr>
      <t xml:space="preserve"> - refers to a device used to network multiple computers together.</t>
    </r>
  </si>
  <si>
    <r>
      <rPr>
        <b/>
        <i/>
        <sz val="11"/>
        <rFont val="Times New Roman"/>
        <family val="1"/>
      </rPr>
      <t>Printer</t>
    </r>
    <r>
      <rPr>
        <sz val="11"/>
        <rFont val="Times New Roman"/>
        <family val="1"/>
      </rPr>
      <t xml:space="preserve"> - refers to a machine for printing text or illustrations on paper.</t>
    </r>
  </si>
  <si>
    <r>
      <rPr>
        <b/>
        <i/>
        <sz val="11"/>
        <rFont val="Times New Roman"/>
        <family val="1"/>
      </rPr>
      <t>Projector</t>
    </r>
    <r>
      <rPr>
        <sz val="11"/>
        <rFont val="Times New Roman"/>
        <family val="1"/>
      </rPr>
      <t>- refers to a machine that projects images onto a screen or a wall.</t>
    </r>
  </si>
  <si>
    <r>
      <rPr>
        <b/>
        <i/>
        <sz val="11"/>
        <rFont val="Times New Roman"/>
        <family val="1"/>
      </rPr>
      <t>Uninterruptible Power Source (UPS)</t>
    </r>
    <r>
      <rPr>
        <b/>
        <sz val="11"/>
        <rFont val="Times New Roman"/>
        <family val="1"/>
      </rPr>
      <t xml:space="preserve"> </t>
    </r>
    <r>
      <rPr>
        <sz val="11"/>
        <rFont val="Times New Roman"/>
        <family val="1"/>
      </rPr>
      <t>- refers to an electronic equipment that provides battery backup when the electrical power source fails.</t>
    </r>
  </si>
  <si>
    <r>
      <rPr>
        <b/>
        <i/>
        <sz val="11"/>
        <rFont val="Times New Roman"/>
        <family val="1"/>
      </rPr>
      <t>Wireless Router</t>
    </r>
    <r>
      <rPr>
        <sz val="11"/>
        <rFont val="Times New Roman"/>
        <family val="1"/>
      </rPr>
      <t xml:space="preserve"> - refers to electronic device that works as router and as a wireless access point, to provide access to the internet or a private computer network.</t>
    </r>
  </si>
  <si>
    <r>
      <t xml:space="preserve">School Site Ownership and / or Proof of Occupancy </t>
    </r>
    <r>
      <rPr>
        <sz val="11"/>
        <rFont val="Times New Roman"/>
        <family val="1"/>
      </rPr>
      <t>- refers to any legal and official document that acts as a competent proof of one's ownership and/or occupancy of the subject property.</t>
    </r>
  </si>
  <si>
    <r>
      <t xml:space="preserve">Certificate of Title </t>
    </r>
    <r>
      <rPr>
        <sz val="11"/>
        <rFont val="Times New Roman"/>
        <family val="1"/>
      </rPr>
      <t>- refers to the transcript of the decree or registration made by the Register of Deeds.</t>
    </r>
  </si>
  <si>
    <r>
      <t xml:space="preserve">Original Certificate of Title (OCT) </t>
    </r>
    <r>
      <rPr>
        <sz val="11"/>
        <rFont val="Times New Roman"/>
        <family val="1"/>
      </rPr>
      <t>- refers to a document when the land has been adjudicated and decreed in the name of its owner in registration proceeding and the title issued for the</t>
    </r>
    <r>
      <rPr>
        <b/>
        <sz val="11"/>
        <rFont val="Times New Roman"/>
        <family val="1"/>
      </rPr>
      <t xml:space="preserve"> first time</t>
    </r>
    <r>
      <rPr>
        <sz val="11"/>
        <rFont val="Times New Roman"/>
        <family val="1"/>
      </rPr>
      <t xml:space="preserve"> is pursuant of such decree.</t>
    </r>
  </si>
  <si>
    <r>
      <t xml:space="preserve">Transfer Certificate of Title (TCT) </t>
    </r>
    <r>
      <rPr>
        <sz val="11"/>
        <rFont val="Times New Roman"/>
        <family val="1"/>
      </rPr>
      <t xml:space="preserve">- refers to a document when the land title is </t>
    </r>
    <r>
      <rPr>
        <b/>
        <sz val="11"/>
        <rFont val="Times New Roman"/>
        <family val="1"/>
      </rPr>
      <t>cancelled and replaced</t>
    </r>
    <r>
      <rPr>
        <sz val="11"/>
        <rFont val="Times New Roman"/>
        <family val="1"/>
      </rPr>
      <t xml:space="preserve"> by another title by reason of sale or transfer.</t>
    </r>
  </si>
  <si>
    <r>
      <t xml:space="preserve">Certificate of Land Ownership Award (CLOA) </t>
    </r>
    <r>
      <rPr>
        <sz val="11"/>
        <rFont val="Times New Roman"/>
        <family val="1"/>
      </rPr>
      <t>- refers to a proof of ownership of the agrarian reform beneficiary with respect to private and agricultural land covered under RA 6657.</t>
    </r>
  </si>
  <si>
    <r>
      <t>Presidential Proclamation</t>
    </r>
    <r>
      <rPr>
        <sz val="11"/>
        <rFont val="Times New Roman"/>
        <family val="1"/>
      </rPr>
      <t xml:space="preserve"> - refers to a proclamation issued by the President reserving an untitled land for public use.</t>
    </r>
  </si>
  <si>
    <r>
      <t>Tax Declaration</t>
    </r>
    <r>
      <rPr>
        <sz val="11"/>
        <rFont val="Times New Roman"/>
        <family val="1"/>
      </rPr>
      <t xml:space="preserve"> - refers to a document issued by the Assessor's Office of the jurisdiction (e.g., city or municipality) evidencing the payment of taxes on the use of the real property.</t>
    </r>
  </si>
  <si>
    <r>
      <t>Deed of Absolute Sale</t>
    </r>
    <r>
      <rPr>
        <sz val="11"/>
        <rFont val="Times New Roman"/>
        <family val="1"/>
      </rPr>
      <t xml:space="preserve"> - refers to a document executed by the vendor evidencing the absolute (without conditions) sale of the real property in favor of the vendee.</t>
    </r>
  </si>
  <si>
    <r>
      <t>Deed of Donation</t>
    </r>
    <r>
      <rPr>
        <sz val="11"/>
        <rFont val="Times New Roman"/>
        <family val="1"/>
      </rPr>
      <t xml:space="preserve"> - refers to a document executed by the donor, under the formalities required by law, evidencing the donation of the property.</t>
    </r>
  </si>
  <si>
    <r>
      <t>Certificate of Stewardship</t>
    </r>
    <r>
      <rPr>
        <sz val="11"/>
        <rFont val="Times New Roman"/>
        <family val="1"/>
      </rPr>
      <t xml:space="preserve"> - refers to a document awarded to individuals or families actually occupying or tilling portions of forest lands pursuant to LOI 1260 for a period of 25 years’ renewable for another 25 years.</t>
    </r>
  </si>
  <si>
    <r>
      <t>Special Land Use Permit (SLUP)</t>
    </r>
    <r>
      <rPr>
        <sz val="11"/>
        <rFont val="Times New Roman"/>
        <family val="1"/>
      </rPr>
      <t xml:space="preserve"> - refers to a privilege granted by the State to a person to occupy, possess and manage in consideration of specified return, any public forest lands for a specific use or purpose.</t>
    </r>
  </si>
  <si>
    <r>
      <t>Contract of Usufruc</t>
    </r>
    <r>
      <rPr>
        <sz val="11"/>
        <rFont val="Times New Roman"/>
        <family val="1"/>
      </rPr>
      <t>t - refers to a document which stipulates that DepEd/school is allowed of full use or perpetual right of use of property without consideration as long as the property is used solely for educational or designated purposes.</t>
    </r>
  </si>
  <si>
    <r>
      <t>Memorandum of Agreement or Understanding/Lease Agreement</t>
    </r>
    <r>
      <rPr>
        <sz val="11"/>
        <rFont val="Times New Roman"/>
        <family val="1"/>
      </rPr>
      <t xml:space="preserve"> - refers to a document executed by the legal owner/occupant of the land setting unnecessary the conditions on the use of the property.</t>
    </r>
  </si>
  <si>
    <r>
      <t>Others</t>
    </r>
    <r>
      <rPr>
        <sz val="11"/>
        <rFont val="Times New Roman"/>
        <family val="1"/>
      </rPr>
      <t xml:space="preserve"> - refers to the other documents that are competent proof of ownership and occupancy.</t>
    </r>
  </si>
  <si>
    <r>
      <t>Total Land Area</t>
    </r>
    <r>
      <rPr>
        <sz val="11"/>
        <rFont val="Times New Roman"/>
        <family val="1"/>
      </rPr>
      <t xml:space="preserve"> - refers to the size in square meters of all areas designated as land used for some particular purpose such as school building.</t>
    </r>
  </si>
  <si>
    <r>
      <t>Mode of Acquisition of School Site</t>
    </r>
    <r>
      <rPr>
        <sz val="11"/>
        <rFont val="Times New Roman"/>
        <family val="1"/>
      </rPr>
      <t xml:space="preserve"> - refers to the means of acquiring the school site.</t>
    </r>
  </si>
  <si>
    <r>
      <t>Donation</t>
    </r>
    <r>
      <rPr>
        <i/>
        <sz val="11"/>
        <rFont val="Times New Roman"/>
        <family val="1"/>
      </rPr>
      <t xml:space="preserve"> </t>
    </r>
    <r>
      <rPr>
        <sz val="11"/>
        <rFont val="Times New Roman"/>
        <family val="1"/>
      </rPr>
      <t>- includes the four (4) types of donation: .</t>
    </r>
  </si>
  <si>
    <r>
      <t>Simple Donation</t>
    </r>
    <r>
      <rPr>
        <sz val="11"/>
        <rFont val="Times New Roman"/>
        <family val="1"/>
      </rPr>
      <t xml:space="preserve"> - refers to a type of donation whereby a person, through an act of liberality disposes a piece of land in favor of the government.</t>
    </r>
  </si>
  <si>
    <r>
      <t>Conditional Donation</t>
    </r>
    <r>
      <rPr>
        <sz val="11"/>
        <rFont val="Times New Roman"/>
        <family val="1"/>
      </rPr>
      <t xml:space="preserve"> - refers to a type of donation which imposes a condition (e.g., "that the land shall be used only for education"). In such case, the property is reverted to the owner when the condition as stipulated in the donation is not met.</t>
    </r>
  </si>
  <si>
    <r>
      <t>Inter Vivos Donation</t>
    </r>
    <r>
      <rPr>
        <sz val="11"/>
        <rFont val="Times New Roman"/>
        <family val="1"/>
      </rPr>
      <t xml:space="preserve"> - refers to a type of donation that is in effect during the lifetime of the donor. </t>
    </r>
  </si>
  <si>
    <r>
      <t>Mortis Causa</t>
    </r>
    <r>
      <rPr>
        <sz val="11"/>
        <rFont val="Times New Roman"/>
        <family val="1"/>
      </rPr>
      <t xml:space="preserve"> - refers to a type of donation that takes effect only after the donor's death. Donations by mortis causa should conform to the formalities required of the last will.</t>
    </r>
  </si>
  <si>
    <r>
      <t>Purchase</t>
    </r>
    <r>
      <rPr>
        <sz val="11"/>
        <rFont val="Times New Roman"/>
        <family val="1"/>
      </rPr>
      <t xml:space="preserve"> - refers to a mode of acquisition of school sites by direct purchase from the legal owner who voluntarily sold it as evidenced by a Deed of Sale duly executed, notarized and registered with the Register of Deeds.</t>
    </r>
  </si>
  <si>
    <r>
      <t>Expropriation</t>
    </r>
    <r>
      <rPr>
        <sz val="11"/>
        <rFont val="Times New Roman"/>
        <family val="1"/>
      </rPr>
      <t xml:space="preserve"> - refers to a mode of acquisition of school sites by the government through the exercise its power of eminent domain (i.e. by taking private property for public use upon payment of just compensation).</t>
    </r>
  </si>
  <si>
    <r>
      <t>Exchange (Land Swapping)</t>
    </r>
    <r>
      <rPr>
        <sz val="11"/>
        <rFont val="Times New Roman"/>
        <family val="1"/>
      </rPr>
      <t xml:space="preserve"> - refers to a mode of acquisition of school sites by exchanging an existing school site for a new site for justifiable reasons as identified by law.</t>
    </r>
  </si>
  <si>
    <r>
      <t>Presidential Proclamation</t>
    </r>
    <r>
      <rPr>
        <sz val="11"/>
        <rFont val="Times New Roman"/>
        <family val="1"/>
      </rPr>
      <t xml:space="preserve"> - refers to a mode of acquisition of school sites by virtue of a declaration by the President under the procedures established by law.</t>
    </r>
  </si>
  <si>
    <r>
      <t>Within Ancestral Domain</t>
    </r>
    <r>
      <rPr>
        <sz val="11"/>
        <rFont val="Times New Roman"/>
        <family val="1"/>
      </rPr>
      <t xml:space="preserve"> - refers to all areas generally belonging to Indigenous Cultural Communities / Indigenous People (ICCs/IPs) comprising lands, inland waters, coastal areas, and natural resources therein, held under a claim of ownership, occupied or possessed by ICCs/IPs, communally or individually since time immemorial. It covers the total environment, including the spiritual and cultural bonds to the areas which the ICCs/IPs possess, occupy and use and to which they have claims of ownership.</t>
    </r>
  </si>
  <si>
    <r>
      <t>Within Ancestral Land</t>
    </r>
    <r>
      <rPr>
        <sz val="11"/>
        <rFont val="Times New Roman"/>
        <family val="1"/>
      </rPr>
      <t xml:space="preserve"> - refers to occupied land, possessed and utilized by individuals, families and clans who are members of the ICCs/IPs since time immemorial. Ancestral lands include residential lots, rice terraces or paddies, private forests, swidden farms and tree lots. These may be found within ancestral domains.</t>
    </r>
  </si>
  <si>
    <r>
      <t>Certificate of Ancestral Land Title (CALT)</t>
    </r>
    <r>
      <rPr>
        <sz val="11"/>
        <rFont val="Times New Roman"/>
        <family val="1"/>
      </rPr>
      <t xml:space="preserve"> - refers to a title formally recognizing the rights of ICCs/IPs over their ancestral lands.</t>
    </r>
  </si>
  <si>
    <r>
      <t>Adverse Claim</t>
    </r>
    <r>
      <rPr>
        <sz val="11"/>
        <rFont val="Times New Roman"/>
        <family val="1"/>
      </rPr>
      <t xml:space="preserve"> - refers to a written statement setting forth claim to the title or right to possession over a registered property, alleging how and under whom such alleged right was acquired.</t>
    </r>
  </si>
  <si>
    <r>
      <t>Encroachment</t>
    </r>
    <r>
      <rPr>
        <sz val="11"/>
        <rFont val="Times New Roman"/>
        <family val="1"/>
      </rPr>
      <t xml:space="preserve"> - refers to unlawful interference or gaining upon the land, property, other possessions, or the rights of another.</t>
    </r>
  </si>
  <si>
    <r>
      <t>With Illegal Settlers</t>
    </r>
    <r>
      <rPr>
        <sz val="11"/>
        <rFont val="Times New Roman"/>
        <family val="1"/>
      </rPr>
      <t xml:space="preserve"> - refers to groups of housing units illegally constructed on a land that the occupants have no legal claim.</t>
    </r>
  </si>
  <si>
    <r>
      <t>Protected Areas</t>
    </r>
    <r>
      <rPr>
        <sz val="11"/>
        <rFont val="Times New Roman"/>
        <family val="1"/>
      </rPr>
      <t xml:space="preserve"> – refers to identified portions of land and water set aside by reason of their unique physical and biological significance, managed to enhance biological diversity and protected against destructive human exploitation, such as National Parks, Natural Parks, Natural Monuments, Protected Landscape, Protected Seascape, Game Refuge and Bird Sanctuaries, Resource Reserves, Managed Resource Protected Areas, Marine Reserves, Watershed Forest Reserves, Natural Biotic Areas, Wildlife Sanctuaries, and Wilderness Areas.</t>
    </r>
  </si>
  <si>
    <r>
      <t>Timberland and Forestland</t>
    </r>
    <r>
      <rPr>
        <sz val="11"/>
        <rFont val="Times New Roman"/>
        <family val="1"/>
      </rPr>
      <t xml:space="preserve"> – refers to lands of the public domain which have been the subject of the present system of land classification and determined to be needed for forest purposes. Eventually, these lands will be proclaimed as forest reserves by the President.</t>
    </r>
  </si>
  <si>
    <t>Tetanus Diphtheria</t>
  </si>
  <si>
    <r>
      <rPr>
        <b/>
        <i/>
        <sz val="11"/>
        <rFont val="Times New Roman"/>
        <family val="1"/>
      </rPr>
      <t>Normal</t>
    </r>
    <r>
      <rPr>
        <sz val="11"/>
        <rFont val="Times New Roman"/>
        <family val="1"/>
      </rPr>
      <t xml:space="preserve"> - refers to a learner with normal weight for his/her age whose BMI-for-age fall between -2 to +2 z-score line or standard deviation (SD).</t>
    </r>
  </si>
  <si>
    <r>
      <rPr>
        <b/>
        <i/>
        <sz val="11"/>
        <rFont val="Times New Roman"/>
        <family val="1"/>
      </rPr>
      <t>Obese</t>
    </r>
    <r>
      <rPr>
        <sz val="11"/>
        <rFont val="Times New Roman"/>
        <family val="1"/>
      </rPr>
      <t xml:space="preserve"> - refers to a learner who is severely overweight for his/her height and whose BMI-for-age fall beyond +3 z-score line or standard deviation (SD).</t>
    </r>
  </si>
  <si>
    <r>
      <rPr>
        <b/>
        <i/>
        <sz val="11"/>
        <rFont val="Times New Roman"/>
        <family val="1"/>
      </rPr>
      <t>Overweight</t>
    </r>
    <r>
      <rPr>
        <sz val="11"/>
        <rFont val="Times New Roman"/>
        <family val="1"/>
      </rPr>
      <t xml:space="preserve"> - refers to a learner weighing too much for his/her height and whose BMI-for-age fall between +2 to +3 z-score line or standard deviation (SD).</t>
    </r>
  </si>
  <si>
    <r>
      <rPr>
        <b/>
        <i/>
        <sz val="11"/>
        <rFont val="Times New Roman"/>
        <family val="1"/>
      </rPr>
      <t>Severely wasted</t>
    </r>
    <r>
      <rPr>
        <sz val="11"/>
        <rFont val="Times New Roman"/>
        <family val="1"/>
      </rPr>
      <t xml:space="preserve"> - refers to a very thin learner whose BMI-for-age  is below -3 z-score line or standard deviation (SD).</t>
    </r>
  </si>
  <si>
    <r>
      <rPr>
        <b/>
        <i/>
        <sz val="11"/>
        <rFont val="Times New Roman"/>
        <family val="1"/>
      </rPr>
      <t>Wasted</t>
    </r>
    <r>
      <rPr>
        <sz val="11"/>
        <rFont val="Times New Roman"/>
        <family val="1"/>
      </rPr>
      <t xml:space="preserve"> - refers to a thin learner whose BMI-for-age fall between -2 to -3 z-score line or standard deviation (SD).</t>
    </r>
  </si>
  <si>
    <r>
      <rPr>
        <b/>
        <i/>
        <sz val="11"/>
        <rFont val="Times New Roman"/>
        <family val="1"/>
      </rPr>
      <t>Severely Stunted</t>
    </r>
    <r>
      <rPr>
        <sz val="11"/>
        <rFont val="Times New Roman"/>
        <family val="1"/>
      </rPr>
      <t xml:space="preserve"> - refers to a learner who is very short for his/her age and whose height-for-age (HFA) fall below -3 z-score line or standard deviation (SD).</t>
    </r>
  </si>
  <si>
    <r>
      <rPr>
        <b/>
        <i/>
        <sz val="11"/>
        <rFont val="Times New Roman"/>
        <family val="1"/>
      </rPr>
      <t>Stunted</t>
    </r>
    <r>
      <rPr>
        <sz val="11"/>
        <rFont val="Times New Roman"/>
        <family val="1"/>
      </rPr>
      <t xml:space="preserve"> - refers to a learner who is short for his/her age and whose height-for-age (HFA) fall between -2 to -3 z-score line or standard deviation (SD).</t>
    </r>
  </si>
  <si>
    <r>
      <rPr>
        <b/>
        <i/>
        <sz val="11"/>
        <rFont val="Times New Roman"/>
        <family val="1"/>
      </rPr>
      <t>Normal</t>
    </r>
    <r>
      <rPr>
        <sz val="11"/>
        <rFont val="Times New Roman"/>
        <family val="1"/>
      </rPr>
      <t xml:space="preserve"> - refers to a learner with normal height for his/her age and whose height-for-age (HFA) fall between -2 to +2 z-score line or standard deviation (SD).</t>
    </r>
  </si>
  <si>
    <r>
      <rPr>
        <b/>
        <i/>
        <sz val="11"/>
        <rFont val="Times New Roman"/>
        <family val="1"/>
      </rPr>
      <t>Tall</t>
    </r>
    <r>
      <rPr>
        <sz val="11"/>
        <rFont val="Times New Roman"/>
        <family val="1"/>
      </rPr>
      <t xml:space="preserve"> - refers to a learner who is tall for his/her age and whose height-for-age (HFA) fall beyond +2 z-score line or standard deviation (SD).</t>
    </r>
  </si>
  <si>
    <t>Water from an accessible water source is treated (i.e., boiled, etc.)</t>
  </si>
  <si>
    <t>Near a faultline *****</t>
  </si>
  <si>
    <t>Armed Forces of the Philippines (AFP)</t>
  </si>
  <si>
    <t>Special Education Fund  (SEF)</t>
  </si>
  <si>
    <t>Number of female learners with consent</t>
  </si>
  <si>
    <t>Type of Weighing Scale</t>
  </si>
  <si>
    <t>Number of Units Available in the School</t>
  </si>
  <si>
    <t>Bathroom</t>
  </si>
  <si>
    <t>Beam balance</t>
  </si>
  <si>
    <t>Tape Measure</t>
  </si>
  <si>
    <t>Steel tape</t>
  </si>
  <si>
    <t>Microtoise</t>
  </si>
  <si>
    <t>Stadiometer</t>
  </si>
  <si>
    <t>Annually</t>
  </si>
  <si>
    <t>Number of learners examined</t>
  </si>
  <si>
    <t>Number of learners found to have gum disease</t>
  </si>
  <si>
    <t>Number of learners with other significant dental anomalies</t>
  </si>
  <si>
    <t xml:space="preserve">     1. Does the school have a designated school clinic?</t>
  </si>
  <si>
    <t>1. Does the school implement a preventive drug education program?</t>
  </si>
  <si>
    <t>Curriculum integration</t>
  </si>
  <si>
    <t>Partnership with the Barangay Anti-Drug Abuse Council</t>
  </si>
  <si>
    <t>4. How many classrooms have NDEP Corners?</t>
  </si>
  <si>
    <t>3. Does the school have a National Drug Education Program (NDEP) Coordinator?</t>
  </si>
  <si>
    <t>Legumes</t>
  </si>
  <si>
    <t>Leafy vegetables</t>
  </si>
  <si>
    <t>Fruit-bearing</t>
  </si>
  <si>
    <t>Rootcrops</t>
  </si>
  <si>
    <t>School</t>
  </si>
  <si>
    <t>Teacher-Coop</t>
  </si>
  <si>
    <t>Visual Impairment</t>
  </si>
  <si>
    <t>Hearing Impairment</t>
  </si>
  <si>
    <t>Learning Disability</t>
  </si>
  <si>
    <t>Intellectual Disability</t>
  </si>
  <si>
    <t>Autism Spectrum Disorder</t>
  </si>
  <si>
    <t>Emotional-Behavioral Disorder</t>
  </si>
  <si>
    <t>Cerebral Palsy</t>
  </si>
  <si>
    <t>With Diagnosis from Licensed Medical Specialist:</t>
  </si>
  <si>
    <t>Killing and maiming of children</t>
  </si>
  <si>
    <t>Recruitment or use of children as soldiers</t>
  </si>
  <si>
    <t>Sexual violence against children</t>
  </si>
  <si>
    <t>Abduction of children</t>
  </si>
  <si>
    <t>Attacks against schools or hospitals</t>
  </si>
  <si>
    <t>Denial of humanitarian access for children</t>
  </si>
  <si>
    <t>Number of Classrooms used as Evacuation Center</t>
  </si>
  <si>
    <t>Number of Days the Classrooms were used as Evacuation Center</t>
  </si>
  <si>
    <t>With Manifestations:</t>
  </si>
  <si>
    <t>Difficulty in Seeing</t>
  </si>
  <si>
    <t>Difficulty in Hearing</t>
  </si>
  <si>
    <t>Difficulty in Remembering, Concentrating,
Paying Attention and Understanding</t>
  </si>
  <si>
    <t>Difficulty in Communicating</t>
  </si>
  <si>
    <t>Difficulty in Applying Knowledge</t>
  </si>
  <si>
    <t>Difficulty in Applying Adaptive Skills</t>
  </si>
  <si>
    <t>Difficulty in Displaying Inter-Personal Behavior</t>
  </si>
  <si>
    <r>
      <t xml:space="preserve">Health Threat
</t>
    </r>
    <r>
      <rPr>
        <i/>
        <sz val="13"/>
        <rFont val="Times New Roman"/>
        <family val="1"/>
      </rPr>
      <t>(i.e. Dengue, Malaria, Measles, food poisoning, disease outbreak)</t>
    </r>
  </si>
  <si>
    <t>Result of Disaster Incidences</t>
  </si>
  <si>
    <t>Grade Level</t>
  </si>
  <si>
    <t>1.a.</t>
  </si>
  <si>
    <t>1.b.</t>
  </si>
  <si>
    <t xml:space="preserve">   Handling ALIVE classes</t>
  </si>
  <si>
    <t>Arnis</t>
  </si>
  <si>
    <t>Athletics (throwing)</t>
  </si>
  <si>
    <t>Athletics (running)</t>
  </si>
  <si>
    <t>Badminton</t>
  </si>
  <si>
    <t>Basketball</t>
  </si>
  <si>
    <t>Baseball</t>
  </si>
  <si>
    <t>Billards</t>
  </si>
  <si>
    <t>Boxing</t>
  </si>
  <si>
    <t>Chess</t>
  </si>
  <si>
    <t>Dance Sports</t>
  </si>
  <si>
    <t>Football</t>
  </si>
  <si>
    <t>Aerobic Gymnastics</t>
  </si>
  <si>
    <t>Sepak Takraw</t>
  </si>
  <si>
    <t>Softball</t>
  </si>
  <si>
    <t>Swimming</t>
  </si>
  <si>
    <t>Table Tennis</t>
  </si>
  <si>
    <t>Taekwondo</t>
  </si>
  <si>
    <t>Tennis</t>
  </si>
  <si>
    <t>Volleyball</t>
  </si>
  <si>
    <t>Wrestling</t>
  </si>
  <si>
    <t>Wushu</t>
  </si>
  <si>
    <t>Bocce</t>
  </si>
  <si>
    <t>Goal Ball</t>
  </si>
  <si>
    <t>Number of Officiating Official/s</t>
  </si>
  <si>
    <t>Electronic Products Assembly and Servicing</t>
  </si>
  <si>
    <t>Computer Systems Servicing</t>
  </si>
  <si>
    <t>EXPLORATORY YEARS</t>
  </si>
  <si>
    <t>REGULAR TLE</t>
  </si>
  <si>
    <t>Bachelor Degree</t>
  </si>
  <si>
    <t>Master Degree Units</t>
  </si>
  <si>
    <t>Master Degree</t>
  </si>
  <si>
    <t>Doctorate Degree Units</t>
  </si>
  <si>
    <t>Doctorate Degree</t>
  </si>
  <si>
    <t>General Science</t>
  </si>
  <si>
    <t>Area of Specialization</t>
  </si>
  <si>
    <t>Biology</t>
  </si>
  <si>
    <t>Chemistry</t>
  </si>
  <si>
    <t>Physics</t>
  </si>
  <si>
    <t>2.a.</t>
  </si>
  <si>
    <t>2.b.</t>
  </si>
  <si>
    <t>Date Tested:</t>
  </si>
  <si>
    <t>Time Tested:</t>
  </si>
  <si>
    <t>Ping (ms):</t>
  </si>
  <si>
    <t>Download (Mbps):</t>
  </si>
  <si>
    <t>Upload (Mbps):</t>
  </si>
  <si>
    <t>How fast is your internet connection when not in use? Use www.speedtest.net to test the speed.</t>
  </si>
  <si>
    <t>Do you conduct LAC Session/s in your school?</t>
  </si>
  <si>
    <t>On-going</t>
  </si>
  <si>
    <t>1.c.</t>
  </si>
  <si>
    <t>To be conducted</t>
  </si>
  <si>
    <t>If Yes, indicate the number of LAC Session/s conducted:</t>
  </si>
  <si>
    <t>If Yes, indicate the number of Action Research conducted:</t>
  </si>
  <si>
    <t>Teaching Assignment</t>
  </si>
  <si>
    <t>With Major/Minor</t>
  </si>
  <si>
    <t xml:space="preserve">Not Their Major/Minor </t>
  </si>
  <si>
    <t>Does the school display the following IEC materials:</t>
  </si>
  <si>
    <t>Measures Against Tobacco Industry Interference:</t>
  </si>
  <si>
    <t>"No Smoking" Signages (EO 26, s.2017, DO 48, s.2016)</t>
  </si>
  <si>
    <t>Poster at the school gate about prohibition of selling of cigarettes within 100 meters from the perimeter of the school (EO 26, s.2017)</t>
  </si>
  <si>
    <t>Details</t>
  </si>
  <si>
    <t>No. of learners with DMFT</t>
  </si>
  <si>
    <t>No. of DMFT</t>
  </si>
  <si>
    <t xml:space="preserve">How many of these partnerships have the proper partnership instrument needed (e.g., service contract, memorandum of agreement (MOA), deed of donation (DOD)/deed of acceptance, memorandum of understanding, etc.)? </t>
  </si>
  <si>
    <t>How many of the partnerships with memoranda of agreement/deeds of donation include a provision in the MOA/DOD that the partner/donor is not connected to the tobacco industry, does not received funding from tobacco companies, or does not sell cigarettes?</t>
  </si>
  <si>
    <t>Number of learners with findings</t>
  </si>
  <si>
    <t>Number of learners referred to city/rural health units or other private health professionals</t>
  </si>
  <si>
    <t>Number of learners given interventions by clinic teachers and DepEd health personnel</t>
  </si>
  <si>
    <t>Cases</t>
  </si>
  <si>
    <t>Suicide</t>
  </si>
  <si>
    <t>Against Male Learners</t>
  </si>
  <si>
    <t>Against Female Learners</t>
  </si>
  <si>
    <t>3.a.</t>
  </si>
  <si>
    <t>3.b.</t>
  </si>
  <si>
    <t>3.c.</t>
  </si>
  <si>
    <t>1.5.a. If Yes, did the test results show that the water source inside the school is safe to drink?</t>
  </si>
  <si>
    <t>1.5.b. How frequent is the water source tested for safety?</t>
  </si>
  <si>
    <t>1.5.c. When was the last time the water source was tested?</t>
  </si>
  <si>
    <t>1.a. Managed by:</t>
  </si>
  <si>
    <t>1.b. Sanitary Permit</t>
  </si>
  <si>
    <t>1.c. Validity Date</t>
  </si>
  <si>
    <t>1.d. Do canteen personnel/food handlers have health certificates?</t>
  </si>
  <si>
    <t>Among Learners</t>
  </si>
  <si>
    <t>Among School Personnel</t>
  </si>
  <si>
    <t>1.6. Are there times in the year when water is not available for an extended period of time?</t>
  </si>
  <si>
    <t>Reminders:</t>
  </si>
  <si>
    <t>A teacher who is teaching more than one teaching assignment can be counted more than once (vertical).</t>
  </si>
  <si>
    <t>Home Economics (HE)</t>
  </si>
  <si>
    <t>Agri-Fishery Arts (AFA)</t>
  </si>
  <si>
    <t>Industrial Arts (IA)</t>
  </si>
  <si>
    <t>A teacher who is teaching more than one teaching assignment or more than one specialization can be counted more than once.</t>
  </si>
  <si>
    <t>Araling Panlipunan (AP)</t>
  </si>
  <si>
    <t xml:space="preserve">Master Degree </t>
  </si>
  <si>
    <t>12.</t>
  </si>
  <si>
    <t>What is/are the subject/s handled by the adviser?</t>
  </si>
  <si>
    <t xml:space="preserve">What is the highest academic degree of the adviser? </t>
  </si>
  <si>
    <t>How many times have the Youth Formation Coordinator (YFC)/Project Development Officer I (PDO I) visited the school?</t>
  </si>
  <si>
    <t>Have your division won any National Award?</t>
  </si>
  <si>
    <t>Have the school lead in National Greening Program?</t>
  </si>
  <si>
    <t>Do you have a guidance advocate?</t>
  </si>
  <si>
    <t>Sports Program</t>
  </si>
  <si>
    <t>Sports
 Event/s</t>
  </si>
  <si>
    <t>Sports
Club/s</t>
  </si>
  <si>
    <t>Sports 
Facilities</t>
  </si>
  <si>
    <t>13.</t>
  </si>
  <si>
    <t>14.</t>
  </si>
  <si>
    <t>15.</t>
  </si>
  <si>
    <t>16.</t>
  </si>
  <si>
    <t>17.</t>
  </si>
  <si>
    <t>18.</t>
  </si>
  <si>
    <t>19.</t>
  </si>
  <si>
    <t>20.</t>
  </si>
  <si>
    <t>21.</t>
  </si>
  <si>
    <t>22.</t>
  </si>
  <si>
    <t>23.</t>
  </si>
  <si>
    <t>24.</t>
  </si>
  <si>
    <t>25.</t>
  </si>
  <si>
    <t>26.</t>
  </si>
  <si>
    <t>27.</t>
  </si>
  <si>
    <t>28.</t>
  </si>
  <si>
    <t>29.</t>
  </si>
  <si>
    <t>Women Artistic Gymnastics (WAG)</t>
  </si>
  <si>
    <t>Archery</t>
  </si>
  <si>
    <t>Futsal</t>
  </si>
  <si>
    <t>Men Artistic Gymnastics (MAG)</t>
  </si>
  <si>
    <t>Ryhtmic Gymnastics (RG)</t>
  </si>
  <si>
    <t>Pencak Silat</t>
  </si>
  <si>
    <t>Sporting Events</t>
  </si>
  <si>
    <t>HOMEBOUND</t>
  </si>
  <si>
    <t>HOSPITAL BOUND</t>
  </si>
  <si>
    <t>Age Profile</t>
  </si>
  <si>
    <t>Grade Placement</t>
  </si>
  <si>
    <t>16-20 years old</t>
  </si>
  <si>
    <t>21-25 years old</t>
  </si>
  <si>
    <t>Transition
Program</t>
  </si>
  <si>
    <t>Orthopedic/Physical Handicap</t>
  </si>
  <si>
    <t>Speech/Language Disorder</t>
  </si>
  <si>
    <t>Special Health Problem/Chronic Disease</t>
  </si>
  <si>
    <t>`</t>
  </si>
  <si>
    <t>12-15 years old</t>
  </si>
  <si>
    <t>Number of
Coach/es</t>
  </si>
  <si>
    <t>Number of   
PE teacher/s
with sports specialization</t>
  </si>
  <si>
    <t>Number of
 Non PE teacher/s
 with sports specialization</t>
  </si>
  <si>
    <t>Number of
Non-teaching
personnel with
sports specialization</t>
  </si>
  <si>
    <t>Do you have a Supreme Student Government (SSG) Council?</t>
  </si>
  <si>
    <t>Does the school collect fees for the SSG acivities?</t>
  </si>
  <si>
    <t>Do you have a SSG Adviser?</t>
  </si>
  <si>
    <t>Are the SSG Adviser deloaded of some of their subjects handled?</t>
  </si>
  <si>
    <t>Did the school incorporate a budget for SSG as part of SIP/APP?</t>
  </si>
  <si>
    <t>Does the school have a room dedicated for the SSG Council?</t>
  </si>
  <si>
    <t>Do you provide Compensatory Time Off (CTO) for activities conducted by SSG advisers during Saturday?</t>
  </si>
  <si>
    <t>Have the SSG organized the participation of learners in Brigada Eskwela?</t>
  </si>
  <si>
    <t>Have the school SSG  conducted activities to prevent learners from dropping-out of schools?</t>
  </si>
  <si>
    <t>Have the school SSG conducted English Speaking Campaigns and Reading and Tutorial Services?</t>
  </si>
  <si>
    <t>Have the school SSG conducted activities to support Anti-Drug Abuse Education and Campaign?</t>
  </si>
  <si>
    <t>Have the school SSG assisted in ensuring that the school is a smoke/tobacco free place?</t>
  </si>
  <si>
    <t>Have the school SSG lead learners in organizing activities which start during the Teachers' Month Campaign every September and which culminate during the World Teachers' Day celebration on October 5?</t>
  </si>
  <si>
    <t>Have the school SSG encourage and support the participation of learners in recognized co-curricular clubs/organizations and activities?</t>
  </si>
  <si>
    <t>Do you have a school guidance counselor?</t>
  </si>
  <si>
    <t>How many years he/she is assigned as guidance counselor?</t>
  </si>
  <si>
    <t>How many years he/she is as guidance advocate?</t>
  </si>
  <si>
    <t>Have you conducted a career guidance activity?</t>
  </si>
  <si>
    <t xml:space="preserve">Has the school funded a career guidance activity? </t>
  </si>
  <si>
    <t>Do you have a guidance office?</t>
  </si>
  <si>
    <t>Grade 7 
to
Grade 10</t>
  </si>
  <si>
    <t>Have the school SSG joined a division search for best SSG Council?</t>
  </si>
  <si>
    <t>STATUS</t>
  </si>
  <si>
    <r>
      <t>1. Group handwashing facility</t>
    </r>
    <r>
      <rPr>
        <sz val="11"/>
        <rFont val="Times New Roman"/>
        <family val="1"/>
      </rPr>
      <t xml:space="preserve"> - a facility to be used in supervised handwashing and toothbrushing activtity that can accommodate at least 10 learners.</t>
    </r>
  </si>
  <si>
    <r>
      <t>2. Individual handwashing facility</t>
    </r>
    <r>
      <rPr>
        <sz val="11"/>
        <rFont val="Times New Roman"/>
        <family val="1"/>
      </rPr>
      <t xml:space="preserve"> - a facility in the classroom, drinking points, near toilets, near the canteen, etc. that learners can be used for handwashing at critical times.</t>
    </r>
  </si>
  <si>
    <r>
      <t>3. Functional facilities for handwashing</t>
    </r>
    <r>
      <rPr>
        <sz val="11"/>
        <rFont val="Times New Roman"/>
        <family val="1"/>
      </rPr>
      <t xml:space="preserve"> - the hand washing facility is accessible, with daily water supply, learner-appropriate height and with appropriate drainage.</t>
    </r>
  </si>
  <si>
    <r>
      <t>4. Non-functional facilities for handwashing</t>
    </r>
    <r>
      <rPr>
        <sz val="11"/>
        <rFont val="Times New Roman"/>
        <family val="1"/>
      </rPr>
      <t xml:space="preserve"> - the hand washing facility is broken, clogged or damaged in such a way that it cannot be used.</t>
    </r>
  </si>
  <si>
    <r>
      <t>5. Water Outlet</t>
    </r>
    <r>
      <rPr>
        <sz val="11"/>
        <rFont val="Times New Roman"/>
        <family val="1"/>
      </rPr>
      <t xml:space="preserve"> - any opening where water comes out for handwashing (e.g., Faucets, Punch Pipes, etc.).</t>
    </r>
  </si>
  <si>
    <r>
      <t xml:space="preserve">Decayed, Missing, and Filled Teeth (DMFT) - </t>
    </r>
    <r>
      <rPr>
        <b/>
        <i/>
        <sz val="12"/>
        <rFont val="Times New Roman"/>
        <family val="1"/>
      </rPr>
      <t>Permanent Teeth</t>
    </r>
  </si>
  <si>
    <r>
      <t xml:space="preserve">Decayed, Missing, and Filled Teeth (DMFT) Index </t>
    </r>
    <r>
      <rPr>
        <sz val="11"/>
        <rFont val="Times New Roman"/>
        <family val="1"/>
      </rPr>
      <t>- refers to the common method use in oral epidemology for assessing dental carries prevalence as well as dental treatment needs among populations.</t>
    </r>
  </si>
  <si>
    <r>
      <t>Gum Disease</t>
    </r>
    <r>
      <rPr>
        <sz val="11"/>
        <rFont val="Times New Roman"/>
        <family val="1"/>
      </rPr>
      <t xml:space="preserve"> - refers to an inflammation of the gum line that can progress to affect the bone that surrounds and supports the teeth.</t>
    </r>
  </si>
  <si>
    <r>
      <t>Dental Anomalies</t>
    </r>
    <r>
      <rPr>
        <sz val="11"/>
        <rFont val="Times New Roman"/>
        <family val="1"/>
      </rPr>
      <t xml:space="preserve"> - refers to the craniofacial abnormalities of form, function or position of the teeth, bones, and tissues of the jaw and mouth.</t>
    </r>
  </si>
  <si>
    <t>regardless if it is related to his/her specialization subject or not (i.e. Master of Public</t>
  </si>
  <si>
    <t>Administration [MPA], Master in Business Administration [MBA], etc.).</t>
  </si>
  <si>
    <t>School ID:</t>
  </si>
  <si>
    <t>Do you conduct Action Research in your school?</t>
  </si>
  <si>
    <t>)</t>
  </si>
  <si>
    <t>WIT Global (Satellite)</t>
  </si>
  <si>
    <t>Highest Educational Attainment</t>
  </si>
  <si>
    <t>Telephone Number</t>
  </si>
  <si>
    <t>Guidance Coordinator III</t>
  </si>
  <si>
    <t>Guidance Coordinator II</t>
  </si>
  <si>
    <t>Guidance Coordinator I</t>
  </si>
  <si>
    <t>Guidance Counselor III</t>
  </si>
  <si>
    <t>Guidance Counselor II</t>
  </si>
  <si>
    <t>Guidance Counselor I</t>
  </si>
  <si>
    <t>School Librarian III</t>
  </si>
  <si>
    <t>School Librarian II</t>
  </si>
  <si>
    <t>School Librarian I</t>
  </si>
  <si>
    <t>Administrative Assistant III
(Senior Bookkeeper)</t>
  </si>
  <si>
    <t>Administrative Assistant II
(Disbursing Officer II)</t>
  </si>
  <si>
    <t>Disbursing Officer I</t>
  </si>
  <si>
    <t>Utility Worker I</t>
  </si>
  <si>
    <t>Administrative Officer IV</t>
  </si>
  <si>
    <t>Accountant I</t>
  </si>
  <si>
    <t>Cashier I</t>
  </si>
  <si>
    <t>Supply Officer I</t>
  </si>
  <si>
    <t>Administrative Aide VI</t>
  </si>
  <si>
    <t>Heavy Equipment Operator I</t>
  </si>
  <si>
    <t>Driver I</t>
  </si>
  <si>
    <t>Assistant School Principal III</t>
  </si>
  <si>
    <t>Assistant School Principal I</t>
  </si>
  <si>
    <t>Assistant School Principal II</t>
  </si>
  <si>
    <t>Security Guard I</t>
  </si>
  <si>
    <t>Light Equipment Operator</t>
  </si>
  <si>
    <t>Qualified Teachers</t>
  </si>
  <si>
    <t>Trained Teachers</t>
  </si>
  <si>
    <t>1.1. What is the Water Supply Source:</t>
  </si>
  <si>
    <t>(Signature Over Printed Name) / Date</t>
  </si>
  <si>
    <t>School Head    :</t>
  </si>
  <si>
    <t>Position Title          :</t>
  </si>
  <si>
    <t>Position Title   :</t>
  </si>
  <si>
    <t xml:space="preserve">Head of the Office  :  </t>
  </si>
  <si>
    <t>Position Title :</t>
  </si>
  <si>
    <t>SHS Subjects</t>
  </si>
  <si>
    <t>Training on ICT</t>
  </si>
  <si>
    <t>ICT Integration</t>
  </si>
  <si>
    <t>ICT Literacy/Content</t>
  </si>
  <si>
    <t>Software</t>
  </si>
  <si>
    <t>Hardware</t>
  </si>
  <si>
    <t>Constructivist</t>
  </si>
  <si>
    <t>Inquiry based</t>
  </si>
  <si>
    <t>Reflective</t>
  </si>
  <si>
    <t>Collaborative</t>
  </si>
  <si>
    <t>Integrative</t>
  </si>
  <si>
    <t>Inclusive Education</t>
  </si>
  <si>
    <t>Training on Pedagogy</t>
  </si>
  <si>
    <t xml:space="preserve">1. School Site Ownership and / or Proof of Occupancy
      </t>
  </si>
  <si>
    <t>Validated by Phy. Facilities Coordinator/Div. Engineer:</t>
  </si>
  <si>
    <t>Validated by Division Accountant:</t>
  </si>
  <si>
    <t>Human-Induced Hazards</t>
  </si>
  <si>
    <t>Bomb Threat in School Premises</t>
  </si>
  <si>
    <t>Bombing in School Premises</t>
  </si>
  <si>
    <t>Crime against learner/s</t>
  </si>
  <si>
    <t>Crime against non-teaching personnel</t>
  </si>
  <si>
    <t>Crime against school head/s</t>
  </si>
  <si>
    <t>Crime against school property</t>
  </si>
  <si>
    <t>Crime against teaching personnel</t>
  </si>
  <si>
    <t>Fire **</t>
  </si>
  <si>
    <t>Shooting incident within school vicinity</t>
  </si>
  <si>
    <t>School Head  :</t>
  </si>
  <si>
    <t>Armed conflict incident experienced in the past months</t>
  </si>
  <si>
    <t>Communist Party of the Philippines/
New People's Army/
National Democratic Front (CPP-NPA-NDF)</t>
  </si>
  <si>
    <t>Armed Conflict</t>
  </si>
  <si>
    <t>1a.</t>
  </si>
  <si>
    <t>1b.</t>
  </si>
  <si>
    <t>2a.</t>
  </si>
  <si>
    <t>Result of Disaster Incidences / Emergencies</t>
  </si>
  <si>
    <t>Number of School Days lost due to class suspensions resulting from natural hazards</t>
  </si>
  <si>
    <t>Number of School Days lost due to class suspensions resulting from armed conflict</t>
  </si>
  <si>
    <t>Title</t>
  </si>
  <si>
    <t>DO 82 s.2010</t>
  </si>
  <si>
    <t>Reiteration of CCA-DRR at the School Level</t>
  </si>
  <si>
    <t>DO 83 s.2011</t>
  </si>
  <si>
    <t>Disaster Preparedness in Schools</t>
  </si>
  <si>
    <t>DO 43 s.2012</t>
  </si>
  <si>
    <t>Guidelines on the Implementation of EO 66 (Suspension of Classes)</t>
  </si>
  <si>
    <t>DO 21 s.2015</t>
  </si>
  <si>
    <t>DepEd DRRM Information Management and Coordination Protocol</t>
  </si>
  <si>
    <t>DO 23 s.2015</t>
  </si>
  <si>
    <t>School Watching and Hazard Mapping</t>
  </si>
  <si>
    <t>DO 27 s.2015</t>
  </si>
  <si>
    <t>Family Earthquake Preparedness</t>
  </si>
  <si>
    <t>DO 37 s.2015</t>
  </si>
  <si>
    <t>Comprehensive DRRM in Basic Education Framework</t>
  </si>
  <si>
    <t>DO 28 s.2016</t>
  </si>
  <si>
    <t>Strengthening Fire Safety and Awareness Program</t>
  </si>
  <si>
    <t>DM 221 s.2013</t>
  </si>
  <si>
    <t>Guidelines on the Protection of Children during Armed Conflict</t>
  </si>
  <si>
    <t>DO 44 s.2005</t>
  </si>
  <si>
    <t>Declaration of Schools as Zones of Peace</t>
  </si>
  <si>
    <t>DO 57 s.2017</t>
  </si>
  <si>
    <t>Policy on the Protection of Children in Armed Conflict</t>
  </si>
  <si>
    <t>DO 40 s.2012</t>
  </si>
  <si>
    <t>Child Protection Policy</t>
  </si>
  <si>
    <t>Validated by DRRM Coordinator:</t>
  </si>
  <si>
    <t>Bomb Threats / Bombing</t>
  </si>
  <si>
    <t>Fire</t>
  </si>
  <si>
    <t>Civilian Violence</t>
  </si>
  <si>
    <t>Tropical Cyclone</t>
  </si>
  <si>
    <t>Partners</t>
  </si>
  <si>
    <t>Personnel</t>
  </si>
  <si>
    <t>C-Collar</t>
  </si>
  <si>
    <t>Life Vest / Life Jacket</t>
  </si>
  <si>
    <t>Emergency Head Lamp</t>
  </si>
  <si>
    <t>Safety Coat</t>
  </si>
  <si>
    <t>Emergency Whistle</t>
  </si>
  <si>
    <t>Safety Shoes</t>
  </si>
  <si>
    <t>Fire Extinguisher</t>
  </si>
  <si>
    <t>Splinter</t>
  </si>
  <si>
    <t>Temporary Learning Spaces (TLS)</t>
  </si>
  <si>
    <t>E-Impact</t>
  </si>
  <si>
    <t>MISOSA</t>
  </si>
  <si>
    <t>School has taken appropriate actions based on the results of the Family Earthquake Preparedness Plan</t>
  </si>
  <si>
    <t>Earthquake Drill</t>
  </si>
  <si>
    <t>Fire Drill</t>
  </si>
  <si>
    <t>Flood Evacuation Drill</t>
  </si>
  <si>
    <t>Tsunami Drill</t>
  </si>
  <si>
    <t>Storm Surge Drill</t>
  </si>
  <si>
    <t>Lockdown Drill</t>
  </si>
  <si>
    <t>Natural Hazards:</t>
  </si>
  <si>
    <t>Subjects</t>
  </si>
  <si>
    <t>Peace Conferences or Camps</t>
  </si>
  <si>
    <t>Art, essay, slogan, etc. contests for peace</t>
  </si>
  <si>
    <t>Basic First Aid</t>
  </si>
  <si>
    <t>Peacebuilding</t>
  </si>
  <si>
    <t>DRRM</t>
  </si>
  <si>
    <t>DRRM and Climate Change Terminologies</t>
  </si>
  <si>
    <t xml:space="preserve">International and National Foundations of DRRM in the Education Sector </t>
  </si>
  <si>
    <t>The Comprehensive Disaster Risk Reduction and Management in Education Framework and Other DRRM-CCAM Related Policies</t>
  </si>
  <si>
    <t>Inclusive and Child-centered DRRM</t>
  </si>
  <si>
    <t xml:space="preserve">Education in Emergencies (EiE) </t>
  </si>
  <si>
    <t>Alternative Delivery Modes</t>
  </si>
  <si>
    <t xml:space="preserve">Information Management </t>
  </si>
  <si>
    <t>School-Based DRRM</t>
  </si>
  <si>
    <t>Camp Management Guidelines for DepEd</t>
  </si>
  <si>
    <t>Basic Education in Emergencies (EiE) Supplies and Logistics</t>
  </si>
  <si>
    <t>Resource Mobilization and Partnership</t>
  </si>
  <si>
    <t xml:space="preserve">Contingency Planning for Basic Education </t>
  </si>
  <si>
    <t>Understanding Common Hazards</t>
  </si>
  <si>
    <t>DRRM Mainstreaming in the Planning Cycle</t>
  </si>
  <si>
    <t>Understanding Climate Change</t>
  </si>
  <si>
    <t>Climate Change Global, National and Local Frameworks</t>
  </si>
  <si>
    <t>Understanding Peace and Conflict</t>
  </si>
  <si>
    <t>Conflict Sensitive Education</t>
  </si>
  <si>
    <t>Basic Life Support and Occupational First Aid</t>
  </si>
  <si>
    <t>Staff Safety and Security in the Field</t>
  </si>
  <si>
    <t>Teaching Personnel</t>
  </si>
  <si>
    <t>Non-Teaching Personnel</t>
  </si>
  <si>
    <t xml:space="preserve">Carries full-time class teaching load
(360 min. or more)            </t>
  </si>
  <si>
    <t xml:space="preserve">Assigned part-time to class teaching,
part-time to ancillary services                     </t>
  </si>
  <si>
    <t>Assigned full-time to ancillary services</t>
  </si>
  <si>
    <r>
      <t xml:space="preserve">TOTAL </t>
    </r>
    <r>
      <rPr>
        <b/>
        <sz val="10"/>
        <rFont val="Times New Roman"/>
        <family val="1"/>
      </rPr>
      <t xml:space="preserve">
(Col.2+Col.3+Col.4+    Col.5+Col.6)</t>
    </r>
  </si>
  <si>
    <r>
      <t>Ancillary services</t>
    </r>
    <r>
      <rPr>
        <sz val="11"/>
        <rFont val="Times New Roman"/>
        <family val="1"/>
      </rPr>
      <t xml:space="preserve"> - those rendered as a guidance teacher, librarian, property custodian, office clerk, canteen manager, coordinator (ALS, Boy/Girl Scout, etc.), teacher nurse.  Class advisorship is not included.</t>
    </r>
  </si>
  <si>
    <t>Validated by Senior Education Program Specialist (HRTD):</t>
  </si>
  <si>
    <t>Validated by Senior Education Program Specialist (PRS-SGOD):</t>
  </si>
  <si>
    <t>Validated by Information Technology Officer:</t>
  </si>
  <si>
    <t>Validated by Division School Health Coordinator/Medical Officer/Nurse:</t>
  </si>
  <si>
    <t>Validated by Division Sports Coordinator:</t>
  </si>
  <si>
    <t>School Head :</t>
  </si>
  <si>
    <t>Validated by Division SPED Coordinator:</t>
  </si>
  <si>
    <t>Validated by Division HR Personnel:</t>
  </si>
  <si>
    <t>Certified True and Correct by:</t>
  </si>
  <si>
    <t>Noted by the Schools Division Office:</t>
  </si>
  <si>
    <t xml:space="preserve"> TOTAL</t>
  </si>
  <si>
    <t>Counted only once *</t>
  </si>
  <si>
    <t>Counted more than once **</t>
  </si>
  <si>
    <t>(Nationally-funded teachers working in the school)</t>
  </si>
  <si>
    <t>INFORMATION AND COMMUNICATIONS TECHNOLOGY (ICT)</t>
  </si>
  <si>
    <r>
      <rPr>
        <b/>
        <i/>
        <sz val="11"/>
        <rFont val="Times New Roman"/>
        <family val="1"/>
      </rPr>
      <t>e. Private Donations</t>
    </r>
    <r>
      <rPr>
        <b/>
        <sz val="11"/>
        <rFont val="Times New Roman"/>
        <family val="1"/>
      </rPr>
      <t xml:space="preserve"> </t>
    </r>
    <r>
      <rPr>
        <sz val="11"/>
        <rFont val="Times New Roman"/>
        <family val="1"/>
      </rPr>
      <t>- computers donated/procured by private individuals, corporations, alumni associations, non-government organizations, philanthropic organizations or through foreign-assisted funds.</t>
    </r>
  </si>
  <si>
    <t>Validated by Division Youth Formation Coordinator:</t>
  </si>
  <si>
    <t>Validated by Planning Officer III (PRS-SGOD):</t>
  </si>
  <si>
    <r>
      <rPr>
        <b/>
        <i/>
        <sz val="13"/>
        <rFont val="Times New Roman"/>
        <family val="1"/>
      </rPr>
      <t>ICT Integration</t>
    </r>
    <r>
      <rPr>
        <sz val="13"/>
        <rFont val="Times New Roman"/>
        <family val="1"/>
      </rPr>
      <t xml:space="preserve"> - it is a strategy  to incorporate information and communications technology into all facets of education and training, including the administrative functions and models required to support learning.</t>
    </r>
  </si>
  <si>
    <r>
      <rPr>
        <b/>
        <i/>
        <sz val="13"/>
        <rFont val="Times New Roman"/>
        <family val="1"/>
      </rPr>
      <t xml:space="preserve">Pedagogy - </t>
    </r>
    <r>
      <rPr>
        <sz val="13"/>
        <rFont val="Times New Roman"/>
        <family val="1"/>
      </rPr>
      <t>strategies/approaches in teaching and learning. Based on RA 10533; Rule 2, Section 10.2.</t>
    </r>
  </si>
  <si>
    <r>
      <rPr>
        <b/>
        <i/>
        <sz val="13"/>
        <rFont val="Times New Roman"/>
        <family val="1"/>
      </rPr>
      <t>ICT Literacy/Content -</t>
    </r>
    <r>
      <rPr>
        <sz val="13"/>
        <rFont val="Times New Roman"/>
        <family val="1"/>
      </rPr>
      <t xml:space="preserve"> knowledge to use digital technology, communication tools, and/or networks appropriately to solve information problems in order to function in an information society.</t>
    </r>
  </si>
  <si>
    <r>
      <rPr>
        <b/>
        <i/>
        <sz val="13"/>
        <rFont val="Times New Roman"/>
        <family val="1"/>
      </rPr>
      <t>Constructivist teaching -</t>
    </r>
    <r>
      <rPr>
        <sz val="13"/>
        <rFont val="Times New Roman"/>
        <family val="1"/>
      </rPr>
      <t xml:space="preserve"> based on the belief that learning occurs as learners are actively involved in a process of meaning and knowledge construction as opposed to passively receiving information.</t>
    </r>
  </si>
  <si>
    <r>
      <rPr>
        <b/>
        <i/>
        <sz val="13"/>
        <rFont val="Times New Roman"/>
        <family val="1"/>
      </rPr>
      <t>Software</t>
    </r>
    <r>
      <rPr>
        <sz val="13"/>
        <rFont val="Times New Roman"/>
        <family val="1"/>
      </rPr>
      <t xml:space="preserve"> - the programs and other operating information used by a computer.</t>
    </r>
  </si>
  <si>
    <r>
      <rPr>
        <b/>
        <i/>
        <sz val="13"/>
        <rFont val="Times New Roman"/>
        <family val="1"/>
      </rPr>
      <t>Inquiry based</t>
    </r>
    <r>
      <rPr>
        <sz val="13"/>
        <rFont val="Times New Roman"/>
        <family val="1"/>
      </rPr>
      <t xml:space="preserve"> - is a form of active learning that starts by posing questions, problems or scenarios-rather  than simply presenting established facts or portraying a smooth path to knowledge.</t>
    </r>
  </si>
  <si>
    <r>
      <rPr>
        <b/>
        <i/>
        <sz val="13"/>
        <rFont val="Times New Roman"/>
        <family val="1"/>
      </rPr>
      <t>Hardware</t>
    </r>
    <r>
      <rPr>
        <sz val="13"/>
        <rFont val="Times New Roman"/>
        <family val="1"/>
      </rPr>
      <t xml:space="preserve"> - the machines, writing, and other physical components of a computer or other electronic system.</t>
    </r>
  </si>
  <si>
    <r>
      <rPr>
        <b/>
        <i/>
        <sz val="13"/>
        <rFont val="Times New Roman"/>
        <family val="1"/>
      </rPr>
      <t>Reflective teaching</t>
    </r>
    <r>
      <rPr>
        <sz val="13"/>
        <rFont val="Times New Roman"/>
        <family val="1"/>
      </rPr>
      <t xml:space="preserve"> - means looking at what you do in the classroom, thinking about why you do it, and thinking about if it works - a process of self-observation and self-evaluation.</t>
    </r>
  </si>
  <si>
    <r>
      <rPr>
        <b/>
        <i/>
        <sz val="13"/>
        <rFont val="Times New Roman"/>
        <family val="1"/>
      </rPr>
      <t>Collaborative learning</t>
    </r>
    <r>
      <rPr>
        <sz val="13"/>
        <rFont val="Times New Roman"/>
        <family val="1"/>
      </rPr>
      <t xml:space="preserve"> - is a method of teaching and learning in which learners team together to explore a significant question or create a meaningful project.</t>
    </r>
  </si>
  <si>
    <r>
      <rPr>
        <b/>
        <i/>
        <sz val="13"/>
        <rFont val="Times New Roman"/>
        <family val="1"/>
      </rPr>
      <t>Integrated approach</t>
    </r>
    <r>
      <rPr>
        <sz val="13"/>
        <rFont val="Times New Roman"/>
        <family val="1"/>
      </rPr>
      <t xml:space="preserve"> - allows learners to explore, gather, process, refine and represent information about topics they want to investigate without the constraints imposed by traditional subject barriers (Pigdon and Wolly, 1992).</t>
    </r>
  </si>
  <si>
    <r>
      <rPr>
        <b/>
        <i/>
        <sz val="13"/>
        <rFont val="Times New Roman"/>
        <family val="1"/>
      </rPr>
      <t xml:space="preserve">Inclusive Education </t>
    </r>
    <r>
      <rPr>
        <sz val="13"/>
        <rFont val="Times New Roman"/>
        <family val="1"/>
      </rPr>
      <t>- embraces the philosophy of accepting all children regardless of race, size, shape, color, ability or disability with support from school staff, learners, parents and the community (DepED Order No. 72,  s. 2009).</t>
    </r>
  </si>
  <si>
    <t>TOTAL
Number of Wash
Facilities</t>
  </si>
  <si>
    <t xml:space="preserve">Full-Time Teachers </t>
  </si>
  <si>
    <t xml:space="preserve">Part-Time Teachers </t>
  </si>
  <si>
    <t>English</t>
  </si>
  <si>
    <t xml:space="preserve">Major in </t>
  </si>
  <si>
    <t>Major / Minor
in Other
Subjects</t>
  </si>
  <si>
    <t>Reminder:</t>
  </si>
  <si>
    <t xml:space="preserve">Minor in </t>
  </si>
  <si>
    <t>SPECIALIZATION</t>
  </si>
  <si>
    <t>Arts and Trades Technology Course</t>
  </si>
  <si>
    <t>Beauty Care and Wellness Technology</t>
  </si>
  <si>
    <t>Garments Technology</t>
  </si>
  <si>
    <t>Food Technology</t>
  </si>
  <si>
    <t>Airconditioning Technology</t>
  </si>
  <si>
    <t>Machine Technology</t>
  </si>
  <si>
    <t>Building Construction Technology</t>
  </si>
  <si>
    <t>Automotive Technology</t>
  </si>
  <si>
    <t>Electrical Technology</t>
  </si>
  <si>
    <t>Drafting Technology</t>
  </si>
  <si>
    <t>Furniture Technology</t>
  </si>
  <si>
    <t>Electronic Technology</t>
  </si>
  <si>
    <t>Welding Technology</t>
  </si>
  <si>
    <t>Computer Technology</t>
  </si>
  <si>
    <t>Agriculture Technology Course</t>
  </si>
  <si>
    <t>Animal Production Technology</t>
  </si>
  <si>
    <t>Food Processing Technology</t>
  </si>
  <si>
    <t>Agri-Crop Production Technology</t>
  </si>
  <si>
    <t>Fishery Technology Course</t>
  </si>
  <si>
    <t>Fish Production Technology</t>
  </si>
  <si>
    <t>Internet Computing Fundamentals</t>
  </si>
  <si>
    <t>Entrepreneurship</t>
  </si>
  <si>
    <t>Technical Drawing</t>
  </si>
  <si>
    <t>Music</t>
  </si>
  <si>
    <t>Dance</t>
  </si>
  <si>
    <t>Theater Arts</t>
  </si>
  <si>
    <t>Creative Writing</t>
  </si>
  <si>
    <t>Media Arts</t>
  </si>
  <si>
    <t>Visual Arts</t>
  </si>
  <si>
    <t>SPTVE Mandatory Subjects</t>
  </si>
  <si>
    <t>Spanish</t>
  </si>
  <si>
    <t>French</t>
  </si>
  <si>
    <t>German</t>
  </si>
  <si>
    <t>Korean</t>
  </si>
  <si>
    <t>Individual Sports</t>
  </si>
  <si>
    <t>Dual Sports</t>
  </si>
  <si>
    <t>Team Sports</t>
  </si>
  <si>
    <t>Chinese (Mandarin)</t>
  </si>
  <si>
    <t>PEDAGOGY (Nationally-funded teachers working in the school)</t>
  </si>
  <si>
    <t>Special Curricular Programs</t>
  </si>
  <si>
    <t>Training Provided by DepED</t>
  </si>
  <si>
    <t>Training Provided by Non-DepED</t>
  </si>
  <si>
    <t>Japanese (Nihongo)</t>
  </si>
  <si>
    <t>Types of Devices</t>
  </si>
  <si>
    <t>Number of Devices</t>
  </si>
  <si>
    <t xml:space="preserve">TOTAL </t>
  </si>
  <si>
    <t>Difficulty in Mobility
(Walking, Climbing and Grasping)</t>
  </si>
  <si>
    <t>DO 32 s.2019</t>
  </si>
  <si>
    <t xml:space="preserve">Prevalence of the Use of Cigarettes and E-cigarettes/Vapes Among Learners and School Personnel
</t>
  </si>
  <si>
    <t>4.a.</t>
  </si>
  <si>
    <t>4.b.</t>
  </si>
  <si>
    <t>How many teachers are tobacco (cigarette) smokers and/or ENDS/ENNDS (vape/e-cigarette) users?</t>
  </si>
  <si>
    <t>Tobacco (Cigarette) Smokers
but are not ENDS/ENNDS
(Vape/E-cigarette) Users</t>
  </si>
  <si>
    <t>ENDS/ENNDS
(Vape/E-cigarette) Users but are not Tobacco (Cigarette) Smokers</t>
  </si>
  <si>
    <t>4.c.</t>
  </si>
  <si>
    <t>In the previous school year, how many learners were recorded by the school to have smoked tobacco and/or used ENDS/ENNDS?</t>
  </si>
  <si>
    <t>Smoked Tobacco (Cigarette)
but not used ENDS/ENNDS
(Vape/E-cigarette)</t>
  </si>
  <si>
    <t>Used ENDS/ENNDS
(Vape/E-cigarette) but Smoked
Tobacco (Cigarette)</t>
  </si>
  <si>
    <t>Tobacco (Cigarette) Smokers and
also ENDS/ENNDS
(Vape/E-cigarette) Users</t>
  </si>
  <si>
    <t>Smoked Tobacco (Cigarette) and
also Used ENDS/ENNDS
(Vape/E-cigarette)</t>
  </si>
  <si>
    <t>6. How many learners are members of Barkada Kontra Droga?</t>
  </si>
  <si>
    <t>7. In the previous school year, how many learners were trained on life skills in relation to drug prevention?</t>
  </si>
  <si>
    <t>Cancer Cases among Learners</t>
  </si>
  <si>
    <t>Cancer Cases</t>
  </si>
  <si>
    <t>Leukemia</t>
  </si>
  <si>
    <t>Brain and Spinal Cancer</t>
  </si>
  <si>
    <t>Other Types of Cancer</t>
  </si>
  <si>
    <t>Breast Cancer</t>
  </si>
  <si>
    <t>Lung Cancer</t>
  </si>
  <si>
    <t>Number of Learners who were Recorded to have</t>
  </si>
  <si>
    <t>Number of Pregnant Learners</t>
  </si>
  <si>
    <t>In School</t>
  </si>
  <si>
    <t>Dropped</t>
  </si>
  <si>
    <t>On Alternative Delivery Mode (ADM)</t>
  </si>
  <si>
    <t>Number of Impregnator-Learners</t>
  </si>
  <si>
    <t>Does the school have an operational teen center?</t>
  </si>
  <si>
    <t>Number of Learners Reached by Adolescent Reproductive Health Trainings/Activities</t>
  </si>
  <si>
    <t>Participated in HIV/AIDS Training</t>
  </si>
  <si>
    <t>Screened for ARH Concerns</t>
  </si>
  <si>
    <t>Catered to by Teen Centers</t>
  </si>
  <si>
    <t>Red Cross Youth</t>
  </si>
  <si>
    <t>HIV/AIDS Training</t>
  </si>
  <si>
    <t>Trained on 
Adolescent Job Aid (AJA)</t>
  </si>
  <si>
    <t>Trained on Adolescent Health Education and Practical Training 
(ADEPT)</t>
  </si>
  <si>
    <t>Does the school have a designated OK sa DepEd focal person (DO 28, s. 2018)?</t>
  </si>
  <si>
    <t>Does the school officially manage a Facebook page?</t>
  </si>
  <si>
    <t xml:space="preserve">     2. Does the school have a designated Clinic Teacher?	</t>
  </si>
  <si>
    <t xml:space="preserve">     3. How many weighing scales does the school have?</t>
  </si>
  <si>
    <t xml:space="preserve">     5. How many first aid kits does the school have?</t>
  </si>
  <si>
    <t xml:space="preserve">     6. How many medical thermometers does the school have?</t>
  </si>
  <si>
    <t xml:space="preserve">     7. How many blood pressure apparatus does the school have?</t>
  </si>
  <si>
    <t xml:space="preserve">     8. How many school personnel has a training on basic life support and/or first aid?</t>
  </si>
  <si>
    <t>Does the school have a guidance office?</t>
  </si>
  <si>
    <t>Is the person in charge of the guidance office a Registered Guidance Counselor?</t>
  </si>
  <si>
    <t>Does the school currently use a “screening tool” for identification of learners at risk of mental health conditions?</t>
  </si>
  <si>
    <t>Self-Care</t>
  </si>
  <si>
    <t>Incidents recorded</t>
  </si>
  <si>
    <t>Perpetrator</t>
  </si>
  <si>
    <t>School Personnel</t>
  </si>
  <si>
    <t>Outsider</t>
  </si>
  <si>
    <t>Number of reported incidents of violence against children by grade level and sex</t>
  </si>
  <si>
    <t>Does the school have a Child Protection Committee (CPC)?</t>
  </si>
  <si>
    <t>How many cases were referred to appropriate authority (e.g PNP, LSWDO, NGOs, etc)?</t>
  </si>
  <si>
    <t>If Yes, what is the Facebook page address?  (facebook.com/________)</t>
  </si>
  <si>
    <t>If Yes, how often does the CPC meet?</t>
  </si>
  <si>
    <t>Does the school have a Student Code of Conduct?</t>
  </si>
  <si>
    <t>Number of reported incidents of bullying or peer abuse by grade level and sex</t>
  </si>
  <si>
    <t>Usual reasons for bullying that were recorded by the school</t>
  </si>
  <si>
    <t>Reasons</t>
  </si>
  <si>
    <t>Validated by Division Child Protection Focal Person/Coordinator:</t>
  </si>
  <si>
    <t>Is there at least one store or shop with in 100 meters from any point of the perimeter of the school that sells:</t>
  </si>
  <si>
    <t xml:space="preserve">Tobacco products (e.g., cigarettes)?	</t>
  </si>
  <si>
    <t xml:space="preserve">Vape or e-cigarettes?	</t>
  </si>
  <si>
    <t>Special Programs</t>
  </si>
  <si>
    <t>Classification/Types of Disabilities</t>
  </si>
  <si>
    <t>Assistive Technology Devices</t>
  </si>
  <si>
    <t>Adaptive Devices</t>
  </si>
  <si>
    <t>In the previous school year, did the school observe “One Health Week” as part of OK sa DepEd?</t>
  </si>
  <si>
    <t>Types of Special Programs:</t>
  </si>
  <si>
    <t>Cancer</t>
  </si>
  <si>
    <t>10.a.</t>
  </si>
  <si>
    <t>A science teacher with Science Education Major who has more than one</t>
  </si>
  <si>
    <t>specialization can be counted more than once.</t>
  </si>
  <si>
    <t>Transferred</t>
  </si>
  <si>
    <t>In</t>
  </si>
  <si>
    <t>Out</t>
  </si>
  <si>
    <t>Trained as Peer Educators for Adolescent Sexual and Reproductive Health (ASRH)</t>
  </si>
  <si>
    <t>Cancer Survivors</t>
  </si>
  <si>
    <t>Died due to Cancer</t>
  </si>
  <si>
    <t>COURSES/SUBJECTS</t>
  </si>
  <si>
    <t>Note:  Number of teachers who received training relevant to the</t>
  </si>
  <si>
    <t xml:space="preserve">Does the school have experience in working with the IP community for the development of contextualized lesson plans, development of learning resources and other activities? </t>
  </si>
  <si>
    <t>Teachers shall be counted only once. If a teacher is teaching more than one grade, he/she shall be counted to the grade level where he/she teaches the most number of hours.
However, if he/she teaches an equal number of hours per grade level, he/she shall be counted to the highest grade level assignment.</t>
  </si>
  <si>
    <t>Number of teachers residing within and outside the school municipality</t>
  </si>
  <si>
    <t>Validated by Division IPEd Focal Person/Coordinator:</t>
  </si>
  <si>
    <t xml:space="preserve">Peace and order tensions in the community experienced at least once in the past five years caused by the presence of armed groups and/or potential violence; areas that have experienced worse, like armed conflict or evacuation in the past 5 years are included </t>
  </si>
  <si>
    <t>Cannot be reached by regular cars or through regular public utility vehicles (PUVs; jeep, bus, tricycle); specialized transportation (e.g., single motor or habal-habal, skylab, horse, bangka) and/or walking is needed</t>
  </si>
  <si>
    <t xml:space="preserve">Occasional dangerous geographical challenges affecting learners coming to school (e.g., river to be crossed by learners swells during rains; area to school or of the school prone to landslides) </t>
  </si>
  <si>
    <t>If there is check in any of the above conditions, please provide answers to the following:</t>
  </si>
  <si>
    <t>Teachers Residence</t>
  </si>
  <si>
    <t>For administrative use</t>
  </si>
  <si>
    <t>For classroom instruction use</t>
  </si>
  <si>
    <r>
      <t xml:space="preserve">1. How often are the sanitation facilites cleaned? </t>
    </r>
    <r>
      <rPr>
        <i/>
        <sz val="12"/>
        <rFont val="Times New Roman"/>
        <family val="1"/>
      </rPr>
      <t>(Check only one)</t>
    </r>
  </si>
  <si>
    <t>Reminder: PE teacher/s, Non PE teacher/s and Non-teaching personnel may identify multiple sporting events.</t>
  </si>
  <si>
    <t>Does the school have a feeding program?</t>
  </si>
  <si>
    <t>Availability of agriculture and fishery resources in the school :</t>
  </si>
  <si>
    <t>Does agricultural and fishery in the school used for feeding program?</t>
  </si>
  <si>
    <t>Does the school have a canteen?</t>
  </si>
  <si>
    <t>(Check/Provide appropriate answers)</t>
  </si>
  <si>
    <t>If Yes, for how many years as adviser?</t>
  </si>
  <si>
    <t>Others, (specify)</t>
  </si>
  <si>
    <t xml:space="preserve">Note: In case the school head does not have adequate information on the items listed above, the assistance of the Industrial Arts Teacher/Division Physical Facilities Coordinator/Division Project Engineer can be asked.        </t>
  </si>
  <si>
    <t xml:space="preserve">Others, (specify) </t>
  </si>
  <si>
    <t xml:space="preserve">If a teacher is receiving more than one training on ICT, he/she can be counted more than once. </t>
  </si>
  <si>
    <t xml:space="preserve">If a teacher is receiving more than one training on pedagogy, he/she can be counted more than once. </t>
  </si>
  <si>
    <t>(Provide appropriate answers)</t>
  </si>
  <si>
    <t>(Check multiple sports events, clubs, and facilities being offered in the school)</t>
  </si>
  <si>
    <t>(Provide the number of times the following hazards occurred in your school and its immediate surroundings)</t>
  </si>
  <si>
    <t>B. Number of learners by nutritional status</t>
  </si>
  <si>
    <t>Attempted Suicide</t>
  </si>
  <si>
    <t>2. How is the school implementing Solid Waste Management?</t>
  </si>
  <si>
    <t>3. Who are the school stakeholders actively engaged on the implementation of solid waste management?</t>
  </si>
  <si>
    <t>1.2. Who Pays for the Cost of Monthly Bills/Maintenance?</t>
  </si>
  <si>
    <t>Classification of Learners with Disabilities:</t>
  </si>
  <si>
    <t>For 10.a., out of the total number of learners with Special Health Problems / Chronic Disease, determine the number of learners who are cancer patients, living with cancer and cancer survivor.</t>
  </si>
  <si>
    <t>LWDs With Diagnosis from Licensed Medical Specialist:</t>
  </si>
  <si>
    <t>LWDs With Manifestations:</t>
  </si>
  <si>
    <t>(Continuation from previous page, Table 5)</t>
  </si>
  <si>
    <t>Table 6. NUMBER OF FUNCTIONAL ASSISTIVE TECHNOLOGY AND ADAPTIVE DEVICES FOR LEARNERS WITH DISABILITIES</t>
  </si>
  <si>
    <t>Table 7. LOCALLY-FUNDED TEACHERS WORKING IN THE SCHOOL BY FUNDING SOURCE</t>
  </si>
  <si>
    <t>Table 8. LOCALLY-FUNDED TEACHERS WORKING IN THE SCHOOL WHO ARE QUALIFIED AND TRAINED</t>
  </si>
  <si>
    <t>Table 12. TEACHERS WHO RECEIVED TRAINING WHILE</t>
  </si>
  <si>
    <t>Table 14. TEACHERS WHO RECEIVED TRAINING ON</t>
  </si>
  <si>
    <t>Table 13. TEACHERS WHO RECEIVED TRAINING ON</t>
  </si>
  <si>
    <t>Table 16. NUMBER OF TEACHERS BY GRADE LEVEL AND SEX</t>
  </si>
  <si>
    <t>Table 18. NUMBER OF TEACHERS BY HIGHEST EDUCATIONAL ATTAINMENT</t>
  </si>
  <si>
    <t>Table 19. NUMBER OF SCIENCE TEACHERS WITH SCIENCE EDUCATION MAJOR</t>
  </si>
  <si>
    <t xml:space="preserve">Reminder: Total of Qualified / Trained Teachers shall be less than or equal to the Total of Locally-funded Teachers in Table 7.  </t>
  </si>
  <si>
    <t>If Yes, shall provide data on Guidance Counselor in Table 9.</t>
  </si>
  <si>
    <t>Check if the school has the following conditions:</t>
  </si>
  <si>
    <t xml:space="preserve">   a. Ownership in the name of:</t>
  </si>
  <si>
    <t>If Yes, what Document Type:</t>
  </si>
  <si>
    <t>3. Mode of Acquisition of School Site:</t>
  </si>
  <si>
    <t>6. Legal Ownership Issues :</t>
  </si>
  <si>
    <t>7. School Site within :</t>
  </si>
  <si>
    <r>
      <t xml:space="preserve">Sports events </t>
    </r>
    <r>
      <rPr>
        <b/>
        <sz val="12"/>
        <rFont val="Times New Roman"/>
        <family val="1"/>
      </rPr>
      <t>-</t>
    </r>
    <r>
      <rPr>
        <sz val="12"/>
        <rFont val="Times New Roman"/>
        <family val="1"/>
      </rPr>
      <t xml:space="preserve"> current sports events being offered by the school.</t>
    </r>
  </si>
  <si>
    <r>
      <t xml:space="preserve">Sports clubs </t>
    </r>
    <r>
      <rPr>
        <b/>
        <sz val="12"/>
        <rFont val="Times New Roman"/>
        <family val="1"/>
      </rPr>
      <t>-</t>
    </r>
    <r>
      <rPr>
        <sz val="12"/>
        <rFont val="Times New Roman"/>
        <family val="1"/>
      </rPr>
      <t xml:space="preserve"> current sports clubs being offered by the school.</t>
    </r>
  </si>
  <si>
    <r>
      <t>Sports facilities</t>
    </r>
    <r>
      <rPr>
        <sz val="12"/>
        <rFont val="Times New Roman"/>
        <family val="1"/>
      </rPr>
      <t xml:space="preserve"> - current venues being used for sports events.</t>
    </r>
  </si>
  <si>
    <r>
      <t>Bullying or peer abuse</t>
    </r>
    <r>
      <rPr>
        <sz val="12"/>
        <rFont val="Times New Roman"/>
        <family val="1"/>
      </rPr>
      <t xml:space="preserve"> - refers to any severe, or repeated use by one or more students of a written, verbal or electronic expression, or a physical act or gesture, or any combination thereof, directed at another student (DO 55 s.2013).</t>
    </r>
  </si>
  <si>
    <r>
      <t>Incidents recorded</t>
    </r>
    <r>
      <rPr>
        <sz val="12"/>
        <rFont val="Times New Roman"/>
        <family val="1"/>
      </rPr>
      <t xml:space="preserve"> - refers to incidence of bullying reported to the school regardless of criminal or admin case filed.</t>
    </r>
  </si>
  <si>
    <r>
      <t>Physical Bullying</t>
    </r>
    <r>
      <rPr>
        <sz val="12"/>
        <rFont val="Times New Roman"/>
        <family val="1"/>
      </rPr>
      <t xml:space="preserve"> - refers to any unwanted physical contact between the bully and the victim.</t>
    </r>
  </si>
  <si>
    <r>
      <t>Cyber Bullying</t>
    </r>
    <r>
      <rPr>
        <sz val="12"/>
        <rFont val="Times New Roman"/>
        <family val="1"/>
      </rPr>
      <t xml:space="preserve"> - refers to any bullying done through using technology or any electronic means (e.g instant messaging, social media, etc).</t>
    </r>
  </si>
  <si>
    <r>
      <t>Gender-based Bullying</t>
    </r>
    <r>
      <rPr>
        <sz val="12"/>
        <rFont val="Times New Roman"/>
        <family val="1"/>
      </rPr>
      <t xml:space="preserve"> - refers to any act that humiliates or excludes a person on the basis of perceived or actual sexual orientation and gender identity.</t>
    </r>
  </si>
  <si>
    <r>
      <t xml:space="preserve">Social Bullying </t>
    </r>
    <r>
      <rPr>
        <sz val="12"/>
        <rFont val="Times New Roman"/>
        <family val="1"/>
      </rPr>
      <t>- refers to any social behaviour intended hurt others or to belittle another individual (e.g verbal, social exclusion).</t>
    </r>
  </si>
  <si>
    <r>
      <t xml:space="preserve">Violence Against Children </t>
    </r>
    <r>
      <rPr>
        <sz val="12"/>
        <rFont val="Times New Roman"/>
        <family val="1"/>
      </rPr>
      <t>- refers to a single act or series of acts committed by school administrators, academic, and non-academic personnel against a child (DO 40 s.2012)</t>
    </r>
    <r>
      <rPr>
        <b/>
        <i/>
        <sz val="12"/>
        <rFont val="Times New Roman"/>
        <family val="1"/>
      </rPr>
      <t>.</t>
    </r>
  </si>
  <si>
    <r>
      <t>Incidents recorded</t>
    </r>
    <r>
      <rPr>
        <sz val="12"/>
        <rFont val="Times New Roman"/>
        <family val="1"/>
      </rPr>
      <t xml:space="preserve"> - refers to incidence of violence reported to the school regardless of criminal or admin case filed</t>
    </r>
    <r>
      <rPr>
        <b/>
        <i/>
        <sz val="12"/>
        <rFont val="Times New Roman"/>
        <family val="1"/>
      </rPr>
      <t>.</t>
    </r>
  </si>
  <si>
    <r>
      <t>Perpetrator</t>
    </r>
    <r>
      <rPr>
        <sz val="12"/>
        <rFont val="Times New Roman"/>
        <family val="1"/>
      </rPr>
      <t xml:space="preserve"> - refers to an adult, including any school personnel, teaching or non-teaching.</t>
    </r>
  </si>
  <si>
    <r>
      <t>Other Acts of Violence</t>
    </r>
    <r>
      <rPr>
        <sz val="12"/>
        <rFont val="Times New Roman"/>
        <family val="1"/>
      </rPr>
      <t xml:space="preserve"> - refers to physical, sexual, or psychological nature that are prejudicial to the child (DO 40 s.2012)</t>
    </r>
    <r>
      <rPr>
        <b/>
        <i/>
        <sz val="12"/>
        <rFont val="Times New Roman"/>
        <family val="1"/>
      </rPr>
      <t>.</t>
    </r>
  </si>
  <si>
    <r>
      <t xml:space="preserve">1.1. Average Cost of Monthly Bills/Maintenance: </t>
    </r>
    <r>
      <rPr>
        <i/>
        <sz val="12"/>
        <rFont val="Times New Roman"/>
        <family val="1"/>
      </rPr>
      <t>(Indicate the amount in Php)</t>
    </r>
  </si>
  <si>
    <r>
      <rPr>
        <b/>
        <i/>
        <sz val="12"/>
        <rFont val="Times New Roman"/>
        <family val="1"/>
      </rPr>
      <t>Sanitary Permit</t>
    </r>
    <r>
      <rPr>
        <sz val="12"/>
        <rFont val="Times New Roman"/>
        <family val="1"/>
      </rPr>
      <t xml:space="preserve"> - is the official document issued by proper authorities to an establishment that has been determined to have met the minimum requirements for the sanitary operation.</t>
    </r>
  </si>
  <si>
    <t>Cancer Cases among School Personnel</t>
  </si>
  <si>
    <r>
      <t xml:space="preserve">1.2. Average Cost of Monthly Bills/Maintenance: </t>
    </r>
    <r>
      <rPr>
        <i/>
        <sz val="12"/>
        <rFont val="Times New Roman"/>
        <family val="1"/>
      </rPr>
      <t>(Indicate the amount in PhP)</t>
    </r>
  </si>
  <si>
    <r>
      <t>2. Total Land Area</t>
    </r>
    <r>
      <rPr>
        <i/>
        <sz val="11"/>
        <rFont val="Times New Roman"/>
        <family val="1"/>
      </rPr>
      <t xml:space="preserve"> (in square meters)</t>
    </r>
    <r>
      <rPr>
        <sz val="12"/>
        <rFont val="Times New Roman"/>
        <family val="1"/>
      </rPr>
      <t xml:space="preserve">: </t>
    </r>
  </si>
  <si>
    <r>
      <t xml:space="preserve">Average Cost of Monthly Bills/Maintenance: </t>
    </r>
    <r>
      <rPr>
        <i/>
        <sz val="12"/>
        <rFont val="Times New Roman"/>
        <family val="1"/>
      </rPr>
      <t>(Indicate the amount in PhP)</t>
    </r>
  </si>
  <si>
    <r>
      <t xml:space="preserve">Number of </t>
    </r>
    <r>
      <rPr>
        <b/>
        <u/>
        <sz val="12"/>
        <rFont val="Times New Roman"/>
        <family val="1"/>
      </rPr>
      <t>hours</t>
    </r>
    <r>
      <rPr>
        <sz val="12"/>
        <rFont val="Times New Roman"/>
        <family val="1"/>
      </rPr>
      <t xml:space="preserve"> that the electricity is usually available in a day:</t>
    </r>
  </si>
  <si>
    <r>
      <t>Grid Supply</t>
    </r>
    <r>
      <rPr>
        <sz val="11"/>
        <rFont val="Times New Roman"/>
        <family val="1"/>
      </rPr>
      <t xml:space="preserve"> - electricity coming from major or local power distributors (e.g.,</t>
    </r>
    <r>
      <rPr>
        <b/>
        <sz val="11"/>
        <rFont val="Times New Roman"/>
        <family val="1"/>
      </rPr>
      <t xml:space="preserve"> electric cooperatives such as ANTECO, BASELCO, CASURECO, MERALCO, NAPOCOR, etc.</t>
    </r>
    <r>
      <rPr>
        <sz val="11"/>
        <rFont val="Times New Roman"/>
        <family val="1"/>
      </rPr>
      <t>).</t>
    </r>
  </si>
  <si>
    <r>
      <t>Off Grid Supply</t>
    </r>
    <r>
      <rPr>
        <sz val="11"/>
        <rFont val="Times New Roman"/>
        <family val="1"/>
      </rPr>
      <t xml:space="preserve"> - electricity coming from alternative source of power (e.g., </t>
    </r>
    <r>
      <rPr>
        <b/>
        <sz val="11"/>
        <rFont val="Times New Roman"/>
        <family val="1"/>
      </rPr>
      <t>solar power, generator, hydro electric, micro hydro, wind turbine, windmill, etc.</t>
    </r>
    <r>
      <rPr>
        <sz val="11"/>
        <rFont val="Times New Roman"/>
        <family val="1"/>
      </rPr>
      <t>).</t>
    </r>
  </si>
  <si>
    <t xml:space="preserve">If Yes, check the purpose: </t>
  </si>
  <si>
    <r>
      <rPr>
        <sz val="12"/>
        <rFont val="Times New Roman"/>
        <family val="1"/>
      </rPr>
      <t xml:space="preserve">   </t>
    </r>
    <r>
      <rPr>
        <b/>
        <i/>
        <sz val="12"/>
        <rFont val="Times New Roman"/>
        <family val="1"/>
      </rPr>
      <t>(Reminder: Do not count the computer host.)</t>
    </r>
  </si>
  <si>
    <t>A teacher shall be counted based on his/her highest level of educational attainment</t>
  </si>
  <si>
    <r>
      <t>With Major/Minor</t>
    </r>
    <r>
      <rPr>
        <sz val="12"/>
        <rFont val="Times New Roman"/>
        <family val="1"/>
      </rPr>
      <t xml:space="preserve"> - refers to the  number of teachers who have specialization in the subject area they are teaching.  </t>
    </r>
  </si>
  <si>
    <r>
      <t>Not Their Major/Minor</t>
    </r>
    <r>
      <rPr>
        <sz val="12"/>
        <rFont val="Times New Roman"/>
        <family val="1"/>
      </rPr>
      <t xml:space="preserve"> - refers to the number of teachers who have NO specialization in the subject area they are teaching, and can be classified as either with or without special training.</t>
    </r>
  </si>
  <si>
    <t>A teacher shall only be counted once as either "With Major/Minor" or "Not Their Major/Minor" (horizontal).</t>
  </si>
  <si>
    <r>
      <t xml:space="preserve">* Number of teachers that shall be </t>
    </r>
    <r>
      <rPr>
        <b/>
        <i/>
        <u/>
        <sz val="12"/>
        <rFont val="Times New Roman"/>
        <family val="1"/>
      </rPr>
      <t>counted only once</t>
    </r>
  </si>
  <si>
    <t>If a teacher is teaching more than one grade, he/she shall be counted to the grade level where he/she teaches the most number of hours. 
However, if he/she teaches an equal number of hours per grade level, he/she shall be counted to the highest grade level assignment.</t>
  </si>
  <si>
    <t xml:space="preserve">    subject matter they are teaching for the past 12 months.</t>
  </si>
  <si>
    <r>
      <t xml:space="preserve">Special Program in Science, Technology </t>
    </r>
    <r>
      <rPr>
        <sz val="10"/>
        <rFont val="Times New Roman"/>
        <family val="1"/>
      </rPr>
      <t>and</t>
    </r>
    <r>
      <rPr>
        <sz val="12"/>
        <rFont val="Times New Roman"/>
        <family val="1"/>
      </rPr>
      <t xml:space="preserve"> Engineering</t>
    </r>
  </si>
  <si>
    <r>
      <t>Full-time Teachers</t>
    </r>
    <r>
      <rPr>
        <sz val="11"/>
        <rFont val="Times New Roman"/>
        <family val="1"/>
      </rPr>
      <t xml:space="preserve"> - refers to teachers who carry/render full-time class teaching load of 360 minutes or more per day with or without assigned ancillary services.</t>
    </r>
  </si>
  <si>
    <r>
      <t>Part-time Teachers</t>
    </r>
    <r>
      <rPr>
        <sz val="11"/>
        <rFont val="Times New Roman"/>
        <family val="1"/>
      </rPr>
      <t xml:space="preserve"> - refers to teachers who carry/render part-time class teaching load of less than 360 minutes per day and part-time to ancillary services.</t>
    </r>
  </si>
  <si>
    <r>
      <t>Totals in column 7 of this table shall be equal to the totals in Table 10</t>
    </r>
    <r>
      <rPr>
        <b/>
        <i/>
        <vertAlign val="subscript"/>
        <sz val="12"/>
        <rFont val="Times New Roman"/>
        <family val="1"/>
      </rPr>
      <t>a</t>
    </r>
    <r>
      <rPr>
        <b/>
        <i/>
        <sz val="12"/>
        <rFont val="Times New Roman"/>
        <family val="1"/>
      </rPr>
      <t xml:space="preserve"> (column 18 - Total Nationally-funded teachers working in the school).</t>
    </r>
  </si>
  <si>
    <r>
      <t>Nationally-funded personnel</t>
    </r>
    <r>
      <rPr>
        <sz val="12"/>
        <rFont val="Times New Roman"/>
        <family val="1"/>
      </rPr>
      <t xml:space="preserve"> - teaching, teaching-related and non-teaching personnel having plantilla positions, including those with provisional appointments.</t>
    </r>
  </si>
  <si>
    <r>
      <t>Number of plantilla items in school per latest PSI-POP</t>
    </r>
    <r>
      <rPr>
        <sz val="12"/>
        <rFont val="Times New Roman"/>
        <family val="1"/>
      </rPr>
      <t xml:space="preserve"> - number of plantilla items allocated to the school.</t>
    </r>
  </si>
  <si>
    <r>
      <t xml:space="preserve">Number of teachers actually working in the school </t>
    </r>
    <r>
      <rPr>
        <sz val="12"/>
        <rFont val="Times New Roman"/>
        <family val="1"/>
      </rPr>
      <t>- teaching, teaching-related and non-teaching personnel with plantilla positions who are actually performing their specific assignments in the school.</t>
    </r>
  </si>
  <si>
    <r>
      <t>On leave personnel</t>
    </r>
    <r>
      <rPr>
        <i/>
        <sz val="12"/>
        <rFont val="Times New Roman"/>
        <family val="1"/>
      </rPr>
      <t xml:space="preserve"> - </t>
    </r>
    <r>
      <rPr>
        <sz val="12"/>
        <rFont val="Times New Roman"/>
        <family val="1"/>
      </rPr>
      <t>personnel who are on leave for the whole school year approved by the School Division Superintendent.</t>
    </r>
  </si>
  <si>
    <r>
      <t xml:space="preserve">Plantilla item(s) vacant </t>
    </r>
    <r>
      <rPr>
        <sz val="12"/>
        <rFont val="Times New Roman"/>
        <family val="1"/>
      </rPr>
      <t>- plantilla positions that are unfilled whether existing plantilla or newly created positions.</t>
    </r>
  </si>
  <si>
    <r>
      <t>Plantilla personnel detailed to DepEd office(s)/sec. school(s) within the division</t>
    </r>
    <r>
      <rPr>
        <sz val="12"/>
        <rFont val="Times New Roman"/>
        <family val="1"/>
      </rPr>
      <t xml:space="preserve"> - personnel assigned/designated to the division office or to other secondary schools within the division.</t>
    </r>
  </si>
  <si>
    <r>
      <t>Plantilla personnel detailed to Elementary school(s) within the division</t>
    </r>
    <r>
      <rPr>
        <sz val="12"/>
        <rFont val="Times New Roman"/>
        <family val="1"/>
      </rPr>
      <t xml:space="preserve"> - personnel assigned/designated to elementary schools within the division.</t>
    </r>
  </si>
  <si>
    <r>
      <t>Plantilla personnel detailed to DepEd office(s)/school(s) outside the division or other government agencies</t>
    </r>
    <r>
      <rPr>
        <sz val="12"/>
        <rFont val="Times New Roman"/>
        <family val="1"/>
      </rPr>
      <t xml:space="preserve"> - personnel assigned/designated to other DepEd office(s)/school(s) outside the division or other government agencies.</t>
    </r>
  </si>
  <si>
    <r>
      <t>Plantilla personnel borrowed/detailed from other school(s)/ DepEd office(s)</t>
    </r>
    <r>
      <rPr>
        <sz val="12"/>
        <rFont val="Times New Roman"/>
        <family val="1"/>
      </rPr>
      <t xml:space="preserve"> - personnel who are actually working in the school but whose items belong from elementary/secondary school(s) or from other DepEd office(s) like the division, regional, central office or from other school division(s).</t>
    </r>
  </si>
  <si>
    <r>
      <t>In Table 10</t>
    </r>
    <r>
      <rPr>
        <b/>
        <i/>
        <vertAlign val="subscript"/>
        <sz val="13"/>
        <rFont val="Times New Roman"/>
        <family val="1"/>
      </rPr>
      <t>a</t>
    </r>
    <r>
      <rPr>
        <b/>
        <i/>
        <sz val="13"/>
        <rFont val="Times New Roman"/>
        <family val="1"/>
      </rPr>
      <t>, totals in column 12 shall tally with entries in column 2.</t>
    </r>
  </si>
  <si>
    <r>
      <t>In Table 10</t>
    </r>
    <r>
      <rPr>
        <b/>
        <i/>
        <vertAlign val="subscript"/>
        <sz val="13"/>
        <rFont val="Times New Roman"/>
        <family val="1"/>
      </rPr>
      <t>b</t>
    </r>
    <r>
      <rPr>
        <b/>
        <i/>
        <sz val="13"/>
        <rFont val="Times New Roman"/>
        <family val="1"/>
      </rPr>
      <t xml:space="preserve">, if a teacher is handling two or more assignments, he/she shall be counted in his/her assignment where he/she has the most number of loads. </t>
    </r>
  </si>
  <si>
    <r>
      <t>Totals in Tables 10</t>
    </r>
    <r>
      <rPr>
        <b/>
        <i/>
        <vertAlign val="subscript"/>
        <sz val="13"/>
        <rFont val="Times New Roman"/>
        <family val="1"/>
      </rPr>
      <t>a</t>
    </r>
    <r>
      <rPr>
        <b/>
        <i/>
        <sz val="13"/>
        <rFont val="Times New Roman"/>
        <family val="1"/>
      </rPr>
      <t xml:space="preserve"> &amp; 10</t>
    </r>
    <r>
      <rPr>
        <b/>
        <i/>
        <vertAlign val="subscript"/>
        <sz val="13"/>
        <rFont val="Times New Roman"/>
        <family val="1"/>
      </rPr>
      <t>b</t>
    </r>
    <r>
      <rPr>
        <b/>
        <i/>
        <sz val="13"/>
        <rFont val="Times New Roman"/>
        <family val="1"/>
      </rPr>
      <t xml:space="preserve"> shall tally. </t>
    </r>
  </si>
  <si>
    <r>
      <t>Locally-funded teachers working in the school</t>
    </r>
    <r>
      <rPr>
        <sz val="12"/>
        <rFont val="Times New Roman"/>
        <family val="1"/>
      </rPr>
      <t xml:space="preserve"> - teachers not having plantilla positions and whose compensation is chargeable against the local budget. </t>
    </r>
  </si>
  <si>
    <r>
      <t xml:space="preserve">Special Education Fund (SEF) Teachers </t>
    </r>
    <r>
      <rPr>
        <sz val="12"/>
        <rFont val="Times New Roman"/>
        <family val="1"/>
      </rPr>
      <t>- teachers whose salaries are being paid by the Local School Board Fund (Provincial/City or Municipal) where the school is located.</t>
    </r>
  </si>
  <si>
    <r>
      <t xml:space="preserve">Local Government Unit (LGU) funded Teachers </t>
    </r>
    <r>
      <rPr>
        <sz val="12"/>
        <rFont val="Times New Roman"/>
        <family val="1"/>
      </rPr>
      <t>- teachers paid out of the general fund
(not the SEF) of the LGU.</t>
    </r>
  </si>
  <si>
    <r>
      <t>Others</t>
    </r>
    <r>
      <rPr>
        <i/>
        <sz val="12"/>
        <rFont val="Times New Roman"/>
        <family val="1"/>
      </rPr>
      <t xml:space="preserve"> -</t>
    </r>
    <r>
      <rPr>
        <sz val="12"/>
        <rFont val="Times New Roman"/>
        <family val="1"/>
      </rPr>
      <t xml:space="preserve"> teachers who are being funded by other sources not mentioned above
(e.g., Parents-Teachers Association, etc.).</t>
    </r>
  </si>
  <si>
    <r>
      <rPr>
        <b/>
        <i/>
        <sz val="12"/>
        <rFont val="Times New Roman"/>
        <family val="1"/>
      </rPr>
      <t>Qualified teacher</t>
    </r>
    <r>
      <rPr>
        <sz val="12"/>
        <rFont val="Times New Roman"/>
        <family val="1"/>
      </rPr>
      <t xml:space="preserve"> - locally-funded teacher who has the minimum academic qualifications necessary to teach Junior High School Education. He/She must be a Licensure Examination for Teacher (LET) passer given by the Professional Regulation Commission (PRC) and the Board for Professional Teachers (BPT) or a Professional Board Examination for Teachers (PBET) passer given by the Civil Service Commission (CSC) and the Department of Education, Culture and Sports (DECS [now DepEd]).</t>
    </r>
  </si>
  <si>
    <r>
      <rPr>
        <b/>
        <i/>
        <sz val="12"/>
        <rFont val="Times New Roman"/>
        <family val="1"/>
      </rPr>
      <t>Trained teacher</t>
    </r>
    <r>
      <rPr>
        <sz val="12"/>
        <rFont val="Times New Roman"/>
        <family val="1"/>
      </rPr>
      <t xml:space="preserve"> - locally-funded teacher who received at least the minimum organized teacher-training requirements (pre-service or in-service) to teach Junior High School Education.</t>
    </r>
  </si>
  <si>
    <r>
      <t xml:space="preserve">With Manifestations - </t>
    </r>
    <r>
      <rPr>
        <sz val="12"/>
        <rFont val="Times New Roman"/>
        <family val="1"/>
      </rPr>
      <t>refers to learners manifesting difficulties in particular activities (e.g., cognitive, communication, mobility, hearing, seeing, etc.) who were observed by teachers on daily lessons/activities or through anecdotals.</t>
    </r>
  </si>
  <si>
    <r>
      <rPr>
        <b/>
        <i/>
        <sz val="12"/>
        <rFont val="Times New Roman"/>
        <family val="1"/>
      </rPr>
      <t>Hospital Bound</t>
    </r>
    <r>
      <rPr>
        <b/>
        <sz val="12"/>
        <rFont val="Times New Roman"/>
        <family val="1"/>
      </rPr>
      <t xml:space="preserve"> </t>
    </r>
    <r>
      <rPr>
        <sz val="12"/>
        <rFont val="Times New Roman"/>
        <family val="1"/>
      </rPr>
      <t>- refers to an educational program designed for LWDs with severe disturbance, profound level of disability, bed-bound, with crippling, chronic or serious health disabilities/impairments and recovering patient (LWDs).</t>
    </r>
  </si>
  <si>
    <r>
      <t>Hearing Impairment</t>
    </r>
    <r>
      <rPr>
        <sz val="12"/>
        <rFont val="Times New Roman"/>
        <family val="1"/>
      </rPr>
      <t xml:space="preserve"> - refers to a learner with an impairment, whether permanent or fluctuating that adversely affects a child’s educational performance such as deafness.</t>
    </r>
  </si>
  <si>
    <r>
      <t>Learning Disability</t>
    </r>
    <r>
      <rPr>
        <sz val="12"/>
        <rFont val="Times New Roman"/>
        <family val="1"/>
      </rPr>
      <t xml:space="preserve"> - refers to a learner with a disorder in perception, listening, thinking, reading, writing, spelling, and arithmetic although normal in sensory, emotional and intellectual abilities.</t>
    </r>
  </si>
  <si>
    <r>
      <t>Intellectual Disability</t>
    </r>
    <r>
      <rPr>
        <sz val="12"/>
        <rFont val="Times New Roman"/>
        <family val="1"/>
      </rPr>
      <t xml:space="preserve"> - refers to a learner with significantly subaverage general intellectual functioning which originates during the developmental period and associated with impairment in adoptive behavior like maturation, learning and social adjustment.</t>
    </r>
  </si>
  <si>
    <r>
      <t>Autism Spectrum Disorder</t>
    </r>
    <r>
      <rPr>
        <sz val="12"/>
        <rFont val="Times New Roman"/>
        <family val="1"/>
      </rPr>
      <t xml:space="preserve"> - refers to a learner characterized by varying degrees of impairment in communication skills and social interactions and in restrictive, repetitive patterns of behavior.</t>
    </r>
  </si>
  <si>
    <r>
      <t>Emotional-Behavioral Disorder</t>
    </r>
    <r>
      <rPr>
        <sz val="12"/>
        <rFont val="Times New Roman"/>
        <family val="1"/>
      </rPr>
      <t xml:space="preserve"> - refers to a learner with a condition exhibiting one or more of the following characteristics over a long period of time and to a marked degree that adversely affects a child's educational performance: (i) an inability to learn that cannot be explained by intellectual, sensory, or health factors, (ii) an inability to build or maintain satisfactory interpersonal relationships with peers and teachers, (iii) inappropriate types of behavior or feelings under normal circumstances, (iv) a general pervasive mood of unhappiness or depression, (v)  a tendency to develop physical symptoms or fears associated with personal or school factors.</t>
    </r>
  </si>
  <si>
    <r>
      <t>Special Health Problem/Chronic Illness</t>
    </r>
    <r>
      <rPr>
        <sz val="12"/>
        <rFont val="Times New Roman"/>
        <family val="1"/>
      </rPr>
      <t xml:space="preserve"> - refers to a learner with a chronic or acute health problems such as asthma, attention deficit disorder or attention deficit hyperactivity disorder, diabetes, epilepsy, a heart condition, hemophilia, lead poisoning, leukemia, nephritis, rheumatic fever, sickle cell anemia, and Tourette syndrome; that adversely affect a child's educational performance.</t>
    </r>
  </si>
  <si>
    <r>
      <t xml:space="preserve">Cancer </t>
    </r>
    <r>
      <rPr>
        <sz val="12"/>
        <rFont val="Times New Roman"/>
        <family val="1"/>
      </rPr>
      <t>- refers to a learner who are cancer patients, living with cancer and cancer survivor.</t>
    </r>
  </si>
  <si>
    <r>
      <t>Multiple Disabilities</t>
    </r>
    <r>
      <rPr>
        <sz val="12"/>
        <rFont val="Times New Roman"/>
        <family val="1"/>
      </rPr>
      <t xml:space="preserve"> - refers to a learner with a combination of disabilities that causes severe educational needs that require multiple special education programs such as mental retardation-blindness or mental retardation-orthopedic impairment.</t>
    </r>
  </si>
  <si>
    <r>
      <t xml:space="preserve">Difficulty in Seeing </t>
    </r>
    <r>
      <rPr>
        <sz val="12"/>
        <rFont val="Times New Roman"/>
        <family val="1"/>
      </rPr>
      <t>- refers to a learner that manifest difficulty in vision that even with correction, adversely affects a child educational performance. They include those that are totally blind, functionally blind or low vision.</t>
    </r>
  </si>
  <si>
    <r>
      <t>Difficulty in Hearing</t>
    </r>
    <r>
      <rPr>
        <sz val="12"/>
        <rFont val="Times New Roman"/>
        <family val="1"/>
      </rPr>
      <t xml:space="preserve"> - refers to a learner  that have difficulty in hearing, hard of hearing, suffering from hearing loss or deafness.</t>
    </r>
  </si>
  <si>
    <r>
      <t>Difficulty in Performing Adaptive Skills (self-care)</t>
    </r>
    <r>
      <rPr>
        <sz val="12"/>
        <rFont val="Times New Roman"/>
        <family val="1"/>
      </rPr>
      <t xml:space="preserve"> - refers to a learner manifesting difficulty in washing oneself, caring of body parts, toileting, dressing, eating and drinking.</t>
    </r>
  </si>
  <si>
    <r>
      <t>Difficulty in Displaying Interpersonal Behavior (Emotional and Behavioral)</t>
    </r>
    <r>
      <rPr>
        <sz val="12"/>
        <rFont val="Times New Roman"/>
        <family val="1"/>
      </rPr>
      <t xml:space="preserve"> - refers to a learner whose conditions are characterized by emotional or behavioral responses in school programs so different from appropriate age, cultural or ethnic norms which affects their educational performance (academic, social, vocational or personal skills) more than temporary and responses are stressful to environment behavior is exhibited in two different settings (one of which is school related). They are also unresponsive to direct intervention in general education.</t>
    </r>
  </si>
  <si>
    <r>
      <t>Difficulty in Mobility (Walking, Climbing and Grasping)</t>
    </r>
    <r>
      <rPr>
        <sz val="12"/>
        <rFont val="Times New Roman"/>
        <family val="1"/>
      </rPr>
      <t xml:space="preserve"> - refers to a learner that manifest difficulty in maintaining one’s position or changing a body position. They include those diagnosed as having cerebral palsy, spina bifida and muscular dystrophy.</t>
    </r>
  </si>
  <si>
    <r>
      <t>Difficulty in Communicating</t>
    </r>
    <r>
      <rPr>
        <sz val="12"/>
        <rFont val="Times New Roman"/>
        <family val="1"/>
      </rPr>
      <t xml:space="preserve"> - refers to a learner whose developmental conditions are causing problems in communication, learning and social behaviors. It is typically characterized by difficulty in:  Understanding others; Producing message;  Communicating using devices.
</t>
    </r>
  </si>
  <si>
    <r>
      <t xml:space="preserve">2. Adaptive Device </t>
    </r>
    <r>
      <rPr>
        <sz val="13"/>
        <rFont val="Times New Roman"/>
        <family val="1"/>
      </rPr>
      <t>- refers to any device that are used to assist with completing activities of daily living.</t>
    </r>
  </si>
  <si>
    <t>Multiple Disabilities</t>
  </si>
  <si>
    <r>
      <t xml:space="preserve">LWDs </t>
    </r>
    <r>
      <rPr>
        <b/>
        <i/>
        <u/>
        <sz val="12"/>
        <rFont val="Times New Roman"/>
        <family val="1"/>
      </rPr>
      <t>with two or more manifestations</t>
    </r>
    <r>
      <rPr>
        <b/>
        <i/>
        <sz val="12"/>
        <rFont val="Times New Roman"/>
        <family val="1"/>
      </rPr>
      <t>, the data shall be counted under dominant/prevalent manifestation/difficulty.</t>
    </r>
  </si>
  <si>
    <r>
      <t>Exploratory Years</t>
    </r>
    <r>
      <rPr>
        <sz val="12"/>
        <rFont val="Times New Roman"/>
        <family val="1"/>
      </rPr>
      <t xml:space="preserve"> - learners will be taking up Basic Fundamental Skills of the four components (HE, AFA, IA &amp; ICT) which is aligned to the specializations offered by the school in Grades 9 to 10.</t>
    </r>
  </si>
  <si>
    <r>
      <t>Basic Fundamental Skills</t>
    </r>
    <r>
      <rPr>
        <sz val="12"/>
        <rFont val="Times New Roman"/>
        <family val="1"/>
      </rPr>
      <t xml:space="preserve"> - these are pre-requisite competencies for the learners who will take a specialization/s under Technical Livelihood Education.</t>
    </r>
  </si>
  <si>
    <r>
      <t xml:space="preserve">1. Special Program for Technical Vocational Education (SPTVE) - </t>
    </r>
    <r>
      <rPr>
        <sz val="12"/>
        <rFont val="Times New Roman"/>
        <family val="1"/>
      </rPr>
      <t>refers to a program that is aligned with the implementation of the enhanced basic education curriculum under Republic Act 10533 that seeks to provide opportunities for Junior High School learners to acquire the necessary skills, competencies, and qualifications that will prepare them to face life challenges and provide viable options as they pursue further specialization in Senior High School. Below are the courses / subjects under the Special Program for Technical Vocational Education (SPTVE):</t>
    </r>
  </si>
  <si>
    <r>
      <t>Arts and Trades Technology Course</t>
    </r>
    <r>
      <rPr>
        <sz val="12"/>
        <rFont val="Times New Roman"/>
        <family val="1"/>
      </rPr>
      <t xml:space="preserve"> - this technology course consists of a combination of related specializations in the areas of Industrial Arts, Home Economics, and Information and Communications Technology (ICT).</t>
    </r>
  </si>
  <si>
    <r>
      <t>Agriculture Technology Course</t>
    </r>
    <r>
      <rPr>
        <sz val="12"/>
        <rFont val="Times New Roman"/>
        <family val="1"/>
      </rPr>
      <t xml:space="preserve"> - this technology course consists of a combination of related specializations in the areas of agriculture (land) and/or agri-industrial.</t>
    </r>
  </si>
  <si>
    <r>
      <t>Fishery Technology Course</t>
    </r>
    <r>
      <rPr>
        <sz val="12"/>
        <rFont val="Times New Roman"/>
        <family val="1"/>
      </rPr>
      <t xml:space="preserve"> - this technology course consists of a combination of related specializations in the areas of fishery.</t>
    </r>
  </si>
  <si>
    <r>
      <t>SPTVE Mandatory Subjects</t>
    </r>
    <r>
      <rPr>
        <sz val="12"/>
        <rFont val="Times New Roman"/>
        <family val="1"/>
      </rPr>
      <t xml:space="preserve"> - these are subjects that are mandatory for students under the SPTVE Curriculum. Technical Drawing, Entrepreneurship, and Information and Computer Technology (ICT) are among the subjects. They supplement the development and application of skills and competencies of learners in the different technology courses.</t>
    </r>
  </si>
  <si>
    <r>
      <t xml:space="preserve">2. Exploratory Subject </t>
    </r>
    <r>
      <rPr>
        <sz val="12"/>
        <rFont val="Times New Roman"/>
        <family val="1"/>
      </rPr>
      <t>- refers to subject that  is taken by SPTVE learners in Grade 7 to equip them with the common competencies of the industries in preparation for their specializations in Grade 8.</t>
    </r>
  </si>
  <si>
    <r>
      <t xml:space="preserve">3. Stand-Alone TechVoc High School - </t>
    </r>
    <r>
      <rPr>
        <sz val="12"/>
        <rFont val="Times New Roman"/>
        <family val="1"/>
      </rPr>
      <t>refers to public secondary high school that implement only STVEP/SPTVE curriculum in junior high school. Majority of these schools are legislated or created through a Republic Act.</t>
    </r>
  </si>
  <si>
    <t>Reminder:  This table shall be accomplished ONLY by Stand-Alone TechVoc HS.</t>
  </si>
  <si>
    <r>
      <t>Enrollment by Special Program</t>
    </r>
    <r>
      <rPr>
        <i/>
        <sz val="12"/>
        <rFont val="Times New Roman"/>
        <family val="1"/>
      </rPr>
      <t xml:space="preserve"> </t>
    </r>
    <r>
      <rPr>
        <sz val="12"/>
        <rFont val="Times New Roman"/>
        <family val="1"/>
      </rPr>
      <t xml:space="preserve">- refers to the number of learners according to special programs offered in JHS.
</t>
    </r>
  </si>
  <si>
    <r>
      <t>Music</t>
    </r>
    <r>
      <rPr>
        <b/>
        <sz val="12"/>
        <rFont val="Times New Roman"/>
        <family val="1"/>
      </rPr>
      <t xml:space="preserve"> </t>
    </r>
    <r>
      <rPr>
        <sz val="12"/>
        <rFont val="Times New Roman"/>
        <family val="1"/>
      </rPr>
      <t>- a specialization in the Special Program in the Arts where learner demonstrates an appreciation and understanding of the concepts and principles of music leading to careers such as singer, voice actor, music teacher, music composer, amateur/professional musician and sound designer.</t>
    </r>
  </si>
  <si>
    <r>
      <t>Dance</t>
    </r>
    <r>
      <rPr>
        <b/>
        <sz val="12"/>
        <rFont val="Times New Roman"/>
        <family val="1"/>
      </rPr>
      <t xml:space="preserve"> </t>
    </r>
    <r>
      <rPr>
        <sz val="12"/>
        <rFont val="Times New Roman"/>
        <family val="1"/>
      </rPr>
      <t>- a specialization in the Special Program in the Arts where the learner demonstrates understanding and appreciation of the basic concepts and principles of dance leading to careers such as professional dancer, dance director, choreographer, dance teacher and athlete.</t>
    </r>
  </si>
  <si>
    <r>
      <t>Theater Arts</t>
    </r>
    <r>
      <rPr>
        <sz val="12"/>
        <rFont val="Times New Roman"/>
        <family val="1"/>
      </rPr>
      <t xml:space="preserve"> - a specialization in the Special Program in the Arts where the learner demonstrates an appreciation and understanding of the concepts and principles of theater arts leading to careers such as set designer, teacher, theater director, film director, stand-up comedian and professional actor.</t>
    </r>
  </si>
  <si>
    <r>
      <t>Creative Writing</t>
    </r>
    <r>
      <rPr>
        <b/>
        <sz val="12"/>
        <rFont val="Times New Roman"/>
        <family val="1"/>
      </rPr>
      <t xml:space="preserve"> </t>
    </r>
    <r>
      <rPr>
        <sz val="12"/>
        <rFont val="Times New Roman"/>
        <family val="1"/>
      </rPr>
      <t>- a specialization in the Special Program in the Arts where the learner demonstrates an appreciation and understanding of principles of creative writing leading to careers such as novelist, screenwriter, playwright, calligraphist, teacher and journalist.</t>
    </r>
  </si>
  <si>
    <r>
      <t>Media Arts</t>
    </r>
    <r>
      <rPr>
        <sz val="12"/>
        <rFont val="Times New Roman"/>
        <family val="1"/>
      </rPr>
      <t xml:space="preserve"> - a specialization in the in the Special Program in the Arts where the learner demonstrates appreciation and basic understanding of the of the concept and principles of media arts leading to multimedia designer product, designer, web developer, video game director and print designer.</t>
    </r>
  </si>
  <si>
    <r>
      <t>Visual Arts</t>
    </r>
    <r>
      <rPr>
        <b/>
        <sz val="12"/>
        <rFont val="Times New Roman"/>
        <family val="1"/>
      </rPr>
      <t xml:space="preserve"> </t>
    </r>
    <r>
      <rPr>
        <sz val="12"/>
        <rFont val="Times New Roman"/>
        <family val="1"/>
      </rPr>
      <t>- a specialization in the Special Program in the Arts where the learner demonstrates appreciation and basic understanding of the of the concept and principles of visual arts leading to careers such as visual effects animator, video game designer, architect, naval architect and landscape architect.</t>
    </r>
  </si>
  <si>
    <r>
      <t>Japanese (Nihongo)</t>
    </r>
    <r>
      <rPr>
        <b/>
        <sz val="12"/>
        <rFont val="Times New Roman"/>
        <family val="1"/>
      </rPr>
      <t xml:space="preserve"> </t>
    </r>
    <r>
      <rPr>
        <sz val="12"/>
        <rFont val="Times New Roman"/>
        <family val="1"/>
      </rPr>
      <t>- one of the 6 languages offered in the Special Program in Foreign Language. The language of the Japanese.</t>
    </r>
  </si>
  <si>
    <r>
      <t>Spanish</t>
    </r>
    <r>
      <rPr>
        <b/>
        <sz val="12"/>
        <rFont val="Times New Roman"/>
        <family val="1"/>
      </rPr>
      <t xml:space="preserve"> </t>
    </r>
    <r>
      <rPr>
        <sz val="12"/>
        <rFont val="Times New Roman"/>
        <family val="1"/>
      </rPr>
      <t>- one of the 6 languages offered in the Special Program in Foreign Languages. A language spoken in Spain and of the countries colonized by Spaniards</t>
    </r>
    <r>
      <rPr>
        <b/>
        <i/>
        <sz val="12"/>
        <rFont val="Times New Roman"/>
        <family val="1"/>
      </rPr>
      <t>.</t>
    </r>
  </si>
  <si>
    <r>
      <t>French</t>
    </r>
    <r>
      <rPr>
        <sz val="12"/>
        <rFont val="Times New Roman"/>
        <family val="1"/>
      </rPr>
      <t xml:space="preserve"> - one of the 6 languages offered in the Special Program in Foreign Language. Language spoken in France, also used in parts of Belgium, Switzerland, and Canada</t>
    </r>
    <r>
      <rPr>
        <b/>
        <i/>
        <sz val="12"/>
        <rFont val="Times New Roman"/>
        <family val="1"/>
      </rPr>
      <t>.</t>
    </r>
  </si>
  <si>
    <r>
      <t>German</t>
    </r>
    <r>
      <rPr>
        <b/>
        <sz val="12"/>
        <rFont val="Times New Roman"/>
        <family val="1"/>
      </rPr>
      <t xml:space="preserve"> </t>
    </r>
    <r>
      <rPr>
        <sz val="12"/>
        <rFont val="Times New Roman"/>
        <family val="1"/>
      </rPr>
      <t xml:space="preserve">- one of the 6 languages offered in the Special Program in Foreign Language. Official language of both Germany and Austria and one of the three official languages of Switzerland. </t>
    </r>
  </si>
  <si>
    <r>
      <t>Korean</t>
    </r>
    <r>
      <rPr>
        <sz val="12"/>
        <rFont val="Times New Roman"/>
        <family val="1"/>
      </rPr>
      <t xml:space="preserve"> - one of the 6 languages offered in the Special Program in Foreign Language.  A language spoken by the people living in South Korea and North Korea.</t>
    </r>
  </si>
  <si>
    <r>
      <t>Chinese (Mandarin)</t>
    </r>
    <r>
      <rPr>
        <b/>
        <sz val="12"/>
        <rFont val="Times New Roman"/>
        <family val="1"/>
      </rPr>
      <t xml:space="preserve"> </t>
    </r>
    <r>
      <rPr>
        <sz val="12"/>
        <rFont val="Times New Roman"/>
        <family val="1"/>
      </rPr>
      <t>- one of the 6 languages offered in the Special Program in Foreign Language. One of the languages in China and oldest written language in the world.</t>
    </r>
  </si>
  <si>
    <r>
      <t xml:space="preserve">Special Program in Journalism </t>
    </r>
    <r>
      <rPr>
        <sz val="12"/>
        <rFont val="Times New Roman"/>
        <family val="1"/>
      </rPr>
      <t>- a program designed to enrich the experiences, hone the journalistic skills and competencies of learner-writers and to strengthen free and responsible journalism.</t>
    </r>
  </si>
  <si>
    <r>
      <t>Special Program in Science, Technology and Engineering</t>
    </r>
    <r>
      <rPr>
        <sz val="12"/>
        <rFont val="Times New Roman"/>
        <family val="1"/>
      </rPr>
      <t xml:space="preserve"> - a program which aims to develop the learners' skills in science, technology and engineering.</t>
    </r>
  </si>
  <si>
    <r>
      <t>Special Program in Sports</t>
    </r>
    <r>
      <rPr>
        <b/>
        <sz val="12"/>
        <rFont val="Times New Roman"/>
        <family val="1"/>
      </rPr>
      <t xml:space="preserve"> </t>
    </r>
    <r>
      <rPr>
        <sz val="12"/>
        <rFont val="Times New Roman"/>
        <family val="1"/>
      </rPr>
      <t>- a program that will identify learners with potential talent in sports and hone their skills for higher levels of athletic endeavors.</t>
    </r>
  </si>
  <si>
    <r>
      <t>Individual Sports</t>
    </r>
    <r>
      <rPr>
        <b/>
        <sz val="12"/>
        <rFont val="Times New Roman"/>
        <family val="1"/>
      </rPr>
      <t xml:space="preserve"> </t>
    </r>
    <r>
      <rPr>
        <sz val="12"/>
        <rFont val="Times New Roman"/>
        <family val="1"/>
      </rPr>
      <t>- a sport wherein participants compete individually. Examples of individual sports are swimming, gymnastics and running.</t>
    </r>
  </si>
  <si>
    <r>
      <t>Dual Sports</t>
    </r>
    <r>
      <rPr>
        <b/>
        <sz val="12"/>
        <rFont val="Times New Roman"/>
        <family val="1"/>
      </rPr>
      <t xml:space="preserve"> </t>
    </r>
    <r>
      <rPr>
        <sz val="12"/>
        <rFont val="Times New Roman"/>
        <family val="1"/>
      </rPr>
      <t>-  a sport played by two people to compete as a team to win together. Examples of dual sports are badminton, table tennis and tennis.</t>
    </r>
  </si>
  <si>
    <r>
      <t>Team Sports</t>
    </r>
    <r>
      <rPr>
        <sz val="12"/>
        <rFont val="Times New Roman"/>
        <family val="1"/>
      </rPr>
      <t xml:space="preserve"> - a sport that involves competition between teams of players. Examples of team sports are basketball, volleyball and soccer.</t>
    </r>
  </si>
  <si>
    <r>
      <t xml:space="preserve">Special Program for Technical Vocational Education (SPTVE) - </t>
    </r>
    <r>
      <rPr>
        <sz val="12"/>
        <rFont val="Times New Roman"/>
        <family val="1"/>
      </rPr>
      <t>refer to Table 2 for detailed definition.</t>
    </r>
  </si>
  <si>
    <t>Reminder:  A learner shall be counted only once where he/she has the most number of time spent.</t>
  </si>
  <si>
    <t xml:space="preserve">          This form shall be accomplished by the head of all government Junior High Schools. In the case of schools with  annexes,  extensions,  etc., a separate school profile form shall be accomplished by every annex, extension,  etc.</t>
  </si>
  <si>
    <t xml:space="preserve">          The head of the school shall sign the forms certifying  to  the  correctness  of  the  data,  and  shall  be  responsible  and  accountable for any inaccuracy or false data/information reported. He/She shall submit the accomplished forms to the respective Schools Division Office (SDO).</t>
  </si>
  <si>
    <r>
      <t>1b1.</t>
    </r>
    <r>
      <rPr>
        <b/>
        <i/>
        <sz val="13"/>
        <color theme="0"/>
        <rFont val="Times New Roman"/>
        <family val="1"/>
      </rPr>
      <t xml:space="preserve"> </t>
    </r>
    <r>
      <rPr>
        <b/>
        <i/>
        <u/>
        <sz val="13"/>
        <color theme="0"/>
        <rFont val="Times New Roman"/>
        <family val="1"/>
      </rPr>
      <t>State Actors:</t>
    </r>
  </si>
  <si>
    <r>
      <t xml:space="preserve">1b2. </t>
    </r>
    <r>
      <rPr>
        <b/>
        <i/>
        <u/>
        <sz val="13"/>
        <color theme="0"/>
        <rFont val="Times New Roman"/>
        <family val="1"/>
      </rPr>
      <t>Non-State Actors:</t>
    </r>
  </si>
  <si>
    <r>
      <rPr>
        <b/>
        <sz val="11"/>
        <rFont val="Times New Roman"/>
        <family val="1"/>
      </rPr>
      <t xml:space="preserve">TOTAL    </t>
    </r>
    <r>
      <rPr>
        <b/>
        <sz val="10"/>
        <rFont val="Times New Roman"/>
        <family val="1"/>
      </rPr>
      <t xml:space="preserve">              
</t>
    </r>
    <r>
      <rPr>
        <b/>
        <sz val="8"/>
        <rFont val="Times New Roman"/>
        <family val="1"/>
      </rPr>
      <t>(Col.5+Col.6+
Col.7+ Col.11)</t>
    </r>
  </si>
  <si>
    <r>
      <rPr>
        <b/>
        <sz val="11"/>
        <rFont val="Times New Roman"/>
        <family val="1"/>
      </rPr>
      <t>TOTAL</t>
    </r>
    <r>
      <rPr>
        <b/>
        <sz val="10"/>
        <rFont val="Times New Roman"/>
        <family val="1"/>
      </rPr>
      <t xml:space="preserve"> 
</t>
    </r>
    <r>
      <rPr>
        <b/>
        <sz val="8"/>
        <rFont val="Times New Roman"/>
        <family val="1"/>
      </rPr>
      <t>(Col.5+Col.6+
Col.7+ Col.11)</t>
    </r>
  </si>
  <si>
    <t>(Col.3+Col.4)</t>
  </si>
  <si>
    <t>(Col.8+Col.9+
Col.10)</t>
  </si>
  <si>
    <t>(Col.13+Col.14)</t>
  </si>
  <si>
    <t>TOTAL
Locally-funded
Teachers</t>
  </si>
  <si>
    <t>Validated by Curriculum Implementation Division (CID) Personnel:</t>
  </si>
  <si>
    <t>a tobacco (cigarette) smoker but not an ENDS/ENNDS (vape/e-cigarette) user?</t>
  </si>
  <si>
    <t>an ENDS/ENNDs (vape/e-cigarette) user but not a tobacco (cigarette) smoker?</t>
  </si>
  <si>
    <t>both a tobacco (cigarette) smoker and an ENDS/ENNDS (vape/e-cigarette) user?</t>
  </si>
  <si>
    <t>neither a tobacco (cigarette) smoker nor an ENDS/ENNDS (vape/e-cigarette) user?</t>
  </si>
  <si>
    <t>2. Which of the following components are part of the school's preventive drug education program?</t>
  </si>
  <si>
    <r>
      <t xml:space="preserve">Number of learners who sought </t>
    </r>
    <r>
      <rPr>
        <i/>
        <sz val="12"/>
        <rFont val="Times New Roman"/>
        <family val="1"/>
      </rPr>
      <t>guidance counseling or life coaching</t>
    </r>
    <r>
      <rPr>
        <sz val="12"/>
        <rFont val="Times New Roman"/>
        <family val="1"/>
      </rPr>
      <t xml:space="preserve"> from the school’s guidance counselor or guidance advocate:</t>
    </r>
  </si>
  <si>
    <r>
      <t>Cancer patients</t>
    </r>
    <r>
      <rPr>
        <sz val="12"/>
        <rFont val="Times New Roman"/>
        <family val="1"/>
      </rPr>
      <t xml:space="preserve"> - are those with symptomatic and/or under definitive or palliative treatment.</t>
    </r>
  </si>
  <si>
    <r>
      <t xml:space="preserve">Living with cancer </t>
    </r>
    <r>
      <rPr>
        <sz val="12"/>
        <rFont val="Times New Roman"/>
        <family val="1"/>
      </rPr>
      <t>- are those with microscopic or residual disease, asymptomatic, or with supportive treatment subclinical symptoms on maintenance or supportive treatment.</t>
    </r>
  </si>
  <si>
    <r>
      <t>Cancer survivors</t>
    </r>
    <r>
      <rPr>
        <sz val="12"/>
        <rFont val="Times New Roman"/>
        <family val="1"/>
      </rPr>
      <t xml:space="preserve"> - are those who have completed all of their anti-cancer therapy and presently show no signs of disease.
 </t>
    </r>
  </si>
  <si>
    <t xml:space="preserve">  Grade 7</t>
  </si>
  <si>
    <t xml:space="preserve">  Grade 8</t>
  </si>
  <si>
    <t xml:space="preserve">  Grade 9</t>
  </si>
  <si>
    <t xml:space="preserve">  Grade 10</t>
  </si>
  <si>
    <t xml:space="preserve">   Grade 7</t>
  </si>
  <si>
    <t xml:space="preserve">   Grade 8</t>
  </si>
  <si>
    <t xml:space="preserve">   Grade 9</t>
  </si>
  <si>
    <t xml:space="preserve">   Grade 10</t>
  </si>
  <si>
    <r>
      <t xml:space="preserve">Is the </t>
    </r>
    <r>
      <rPr>
        <b/>
        <i/>
        <sz val="12"/>
        <rFont val="Times New Roman"/>
        <family val="1"/>
      </rPr>
      <t>school head</t>
    </r>
    <r>
      <rPr>
        <sz val="12"/>
        <rFont val="Times New Roman"/>
        <family val="1"/>
      </rPr>
      <t xml:space="preserve"> ___ </t>
    </r>
    <r>
      <rPr>
        <i/>
        <sz val="12"/>
        <rFont val="Times New Roman"/>
        <family val="1"/>
      </rPr>
      <t>(Check only one)</t>
    </r>
  </si>
  <si>
    <r>
      <t xml:space="preserve">ENDS/ENNDS - </t>
    </r>
    <r>
      <rPr>
        <sz val="12"/>
        <rFont val="Times New Roman"/>
        <family val="1"/>
      </rPr>
      <t>stands for Electronic Nicotine Delivery Systems and Electronic Non-Nicotine Delivery Systems, which include vape and e-cigarettes.</t>
    </r>
  </si>
  <si>
    <r>
      <t xml:space="preserve">5. Does the school have an established chapter of </t>
    </r>
    <r>
      <rPr>
        <i/>
        <sz val="12"/>
        <rFont val="Times New Roman"/>
        <family val="1"/>
      </rPr>
      <t>Barkada Kontra Droga</t>
    </r>
    <r>
      <rPr>
        <sz val="12"/>
        <rFont val="Times New Roman"/>
        <family val="1"/>
      </rPr>
      <t>?</t>
    </r>
  </si>
  <si>
    <t xml:space="preserve"> Physical Violence</t>
  </si>
  <si>
    <t xml:space="preserve"> Sexual Violence</t>
  </si>
  <si>
    <t xml:space="preserve"> Psychological Violence</t>
  </si>
  <si>
    <t xml:space="preserve"> Other Acts of Violence</t>
  </si>
  <si>
    <r>
      <t xml:space="preserve">Number of reported incidents of </t>
    </r>
    <r>
      <rPr>
        <i/>
        <sz val="12"/>
        <rFont val="Times New Roman"/>
        <family val="1"/>
      </rPr>
      <t>violence against children committed in schools</t>
    </r>
    <r>
      <rPr>
        <sz val="12"/>
        <rFont val="Times New Roman"/>
        <family val="1"/>
      </rPr>
      <t xml:space="preserve"> by type of violence:</t>
    </r>
  </si>
  <si>
    <t xml:space="preserve"> Physical Bullying</t>
  </si>
  <si>
    <t xml:space="preserve"> Cyber Bullying</t>
  </si>
  <si>
    <t xml:space="preserve"> Gender-based Bullying</t>
  </si>
  <si>
    <t xml:space="preserve"> Social Bullying</t>
  </si>
  <si>
    <t xml:space="preserve"> Physical appearance</t>
  </si>
  <si>
    <t xml:space="preserve"> Status in life (e.g. poor)</t>
  </si>
  <si>
    <t xml:space="preserve"> Skin colour</t>
  </si>
  <si>
    <t xml:space="preserve"> Age (young or old)</t>
  </si>
  <si>
    <t xml:space="preserve"> Gender</t>
  </si>
  <si>
    <t xml:space="preserve"> Race or ethnicity</t>
  </si>
  <si>
    <t xml:space="preserve"> Religion</t>
  </si>
  <si>
    <t xml:space="preserve"> Disability</t>
  </si>
  <si>
    <r>
      <t xml:space="preserve">Number of reported incidents of </t>
    </r>
    <r>
      <rPr>
        <i/>
        <sz val="12"/>
        <rFont val="Times New Roman"/>
        <family val="1"/>
      </rPr>
      <t>bullying or peer abuse</t>
    </r>
    <r>
      <rPr>
        <sz val="12"/>
        <rFont val="Times New Roman"/>
        <family val="1"/>
      </rPr>
      <t xml:space="preserve"> by type of violence:</t>
    </r>
  </si>
  <si>
    <r>
      <t xml:space="preserve">Women Artistic Gymnastics </t>
    </r>
    <r>
      <rPr>
        <sz val="12"/>
        <rFont val="Times New Roman"/>
        <family val="1"/>
      </rPr>
      <t>(</t>
    </r>
    <r>
      <rPr>
        <sz val="13"/>
        <rFont val="Times New Roman"/>
        <family val="1"/>
      </rPr>
      <t>WAG</t>
    </r>
    <r>
      <rPr>
        <sz val="12"/>
        <rFont val="Times New Roman"/>
        <family val="1"/>
      </rPr>
      <t>)</t>
    </r>
  </si>
  <si>
    <r>
      <rPr>
        <b/>
        <i/>
        <sz val="12"/>
        <rFont val="Times New Roman"/>
        <family val="1"/>
      </rPr>
      <t>Coaches</t>
    </r>
    <r>
      <rPr>
        <sz val="12"/>
        <rFont val="Times New Roman"/>
        <family val="1"/>
      </rPr>
      <t xml:space="preserve"> - identified personnel (DepEd funded) who is qualified/currently handling the identified sporting event.</t>
    </r>
  </si>
  <si>
    <r>
      <rPr>
        <b/>
        <i/>
        <sz val="12"/>
        <rFont val="Times New Roman"/>
        <family val="1"/>
      </rPr>
      <t>Officiating Officials</t>
    </r>
    <r>
      <rPr>
        <sz val="12"/>
        <rFont val="Times New Roman"/>
        <family val="1"/>
      </rPr>
      <t xml:space="preserve"> - identified personnel (DepEd funded) who is qualified/can handle officiating the identified sporting event.</t>
    </r>
  </si>
  <si>
    <r>
      <rPr>
        <b/>
        <i/>
        <sz val="12"/>
        <rFont val="Times New Roman"/>
        <family val="1"/>
      </rPr>
      <t>PE teachers</t>
    </r>
    <r>
      <rPr>
        <sz val="12"/>
        <rFont val="Times New Roman"/>
        <family val="1"/>
      </rPr>
      <t xml:space="preserve"> - identified BSPE personnel (DepEd funded) and their sports specialization.</t>
    </r>
  </si>
  <si>
    <r>
      <rPr>
        <b/>
        <i/>
        <sz val="12"/>
        <rFont val="Times New Roman"/>
        <family val="1"/>
      </rPr>
      <t>Non PE teachers</t>
    </r>
    <r>
      <rPr>
        <sz val="12"/>
        <rFont val="Times New Roman"/>
        <family val="1"/>
      </rPr>
      <t xml:space="preserve"> - identified personnel teaching academics (DepEd funded) and their sports specialization.</t>
    </r>
  </si>
  <si>
    <r>
      <rPr>
        <b/>
        <i/>
        <sz val="12"/>
        <rFont val="Times New Roman"/>
        <family val="1"/>
      </rPr>
      <t>Non-teaching personnel</t>
    </r>
    <r>
      <rPr>
        <sz val="12"/>
        <rFont val="Times New Roman"/>
        <family val="1"/>
      </rPr>
      <t xml:space="preserve"> - identified non academic personnel (DepEd funded) and their sports specialization.</t>
    </r>
  </si>
  <si>
    <t>(See definitions on the next page)</t>
  </si>
  <si>
    <t>(See continuation of definitions on the next page)</t>
  </si>
  <si>
    <t>TOTAL
Nationally-funded personnel working
in the school</t>
  </si>
  <si>
    <t>TOTAL
Nationally-funded teachers working
in the school</t>
  </si>
  <si>
    <t>Number of teachers actually working
in the school</t>
  </si>
  <si>
    <r>
      <t>In Table 10</t>
    </r>
    <r>
      <rPr>
        <b/>
        <i/>
        <vertAlign val="subscript"/>
        <sz val="13"/>
        <rFont val="Times New Roman"/>
        <family val="1"/>
      </rPr>
      <t>a</t>
    </r>
    <r>
      <rPr>
        <b/>
        <i/>
        <sz val="13"/>
        <rFont val="Times New Roman"/>
        <family val="1"/>
      </rPr>
      <t xml:space="preserve">, totals in column 18 shall tally with entries in Table 11 column 7. </t>
    </r>
  </si>
  <si>
    <t xml:space="preserve">     4. Which of the following tools does the school use for taking height?</t>
  </si>
  <si>
    <r>
      <rPr>
        <b/>
        <i/>
        <sz val="12"/>
        <rFont val="Times New Roman"/>
        <family val="1"/>
      </rPr>
      <t>Age Profile (Homebound/Hospital bound)</t>
    </r>
    <r>
      <rPr>
        <b/>
        <sz val="12"/>
        <rFont val="Times New Roman"/>
        <family val="1"/>
      </rPr>
      <t xml:space="preserve"> </t>
    </r>
    <r>
      <rPr>
        <sz val="12"/>
        <rFont val="Times New Roman"/>
        <family val="1"/>
      </rPr>
      <t>- refers to a range of age per type of learners with disabilities.</t>
    </r>
  </si>
  <si>
    <r>
      <rPr>
        <b/>
        <i/>
        <sz val="12"/>
        <rFont val="Times New Roman"/>
        <family val="1"/>
      </rPr>
      <t>Grade Placement (Homebound/Hospital bound)</t>
    </r>
    <r>
      <rPr>
        <sz val="12"/>
        <rFont val="Times New Roman"/>
        <family val="1"/>
      </rPr>
      <t xml:space="preserve"> - refers to what program the learners are placed or enrolled. </t>
    </r>
  </si>
  <si>
    <r>
      <t>Visual Impairment</t>
    </r>
    <r>
      <rPr>
        <sz val="12"/>
        <rFont val="Times New Roman"/>
        <family val="1"/>
      </rPr>
      <t xml:space="preserve"> - refers to a learner with an impairment that even with correction, adversely affects a child's educational performance. This includes both partial sight and blindness.</t>
    </r>
  </si>
  <si>
    <r>
      <t>Orthopedic /Physical Handicap</t>
    </r>
    <r>
      <rPr>
        <sz val="12"/>
        <rFont val="Times New Roman"/>
        <family val="1"/>
      </rPr>
      <t xml:space="preserve"> - refers to a learner with any condition that interferes with a child's ability to use his or her body.</t>
    </r>
  </si>
  <si>
    <r>
      <t>Speech/Language Disorder</t>
    </r>
    <r>
      <rPr>
        <sz val="12"/>
        <rFont val="Times New Roman"/>
        <family val="1"/>
      </rPr>
      <t xml:space="preserve"> - refers to a learner with a communication disorder, such as stuttering, impaired articulation, a language impairment, or a voice impairment, that adversely affects a child’s educational performance.</t>
    </r>
  </si>
  <si>
    <r>
      <t>Cerebral Palsy</t>
    </r>
    <r>
      <rPr>
        <sz val="12"/>
        <rFont val="Times New Roman"/>
        <family val="1"/>
      </rPr>
      <t xml:space="preserve"> - refers to a learner that  is caused by damage to developing brain either before or during birth, or in the first few years of life. The impairment depends on where in the brain the damage occurs.</t>
    </r>
  </si>
  <si>
    <r>
      <t xml:space="preserve">Difficulty in Applying Knowledge </t>
    </r>
    <r>
      <rPr>
        <sz val="12"/>
        <rFont val="Times New Roman"/>
        <family val="1"/>
      </rPr>
      <t>- refers to a learner that has a problem that interferes with learning basic skills such as reading, writing, acquiring skills and/or math. It can also delay higher level thinking skills such as organization, time planning, abstract reasoning, long and short term memory and attention.</t>
    </r>
  </si>
  <si>
    <r>
      <t>Difficulty in Remembering, Concentrating, Paying Attention and Understanding</t>
    </r>
    <r>
      <rPr>
        <sz val="12"/>
        <rFont val="Times New Roman"/>
        <family val="1"/>
      </rPr>
      <t xml:space="preserve"> - refers to a learner that manifest significant limitations in general intellectual functioning; in adaptive functioning (communication, self-care, home living, health and safety, social skills, functional academics, community use, leisure and work) which exist concurrently; it includes those medically diagnosed as learners with: Reading Disability or Dyslexia; Written Expression Disability; Spelling Disability; Handwriting Disability or Dysgraphia; Mathematical Disability or Dyscalculia.</t>
    </r>
  </si>
  <si>
    <t>Number of Teachers Reached by Adolescent Reproductive Health Trainings/Activities</t>
  </si>
  <si>
    <r>
      <rPr>
        <b/>
        <i/>
        <sz val="12"/>
        <rFont val="Times New Roman"/>
        <family val="1"/>
      </rPr>
      <t>Crime against school property</t>
    </r>
    <r>
      <rPr>
        <i/>
        <sz val="12"/>
        <rFont val="Times New Roman"/>
        <family val="1"/>
      </rPr>
      <t xml:space="preserve"> -</t>
    </r>
    <r>
      <rPr>
        <sz val="12"/>
        <rFont val="Times New Roman"/>
        <family val="1"/>
      </rPr>
      <t xml:space="preserve"> Theft, Robbery, Arson, etc.
</t>
    </r>
    <r>
      <rPr>
        <b/>
        <sz val="12"/>
        <rFont val="Times New Roman"/>
        <family val="1"/>
      </rPr>
      <t>Source of Definition: DO No. 23, s. 2014. http://www.deped.gov.ph/wp-content/uploads/2014/04/DO_s2014_023.pdf</t>
    </r>
  </si>
  <si>
    <r>
      <rPr>
        <b/>
        <i/>
        <sz val="12"/>
        <rFont val="Times New Roman"/>
        <family val="1"/>
      </rPr>
      <t xml:space="preserve">Landslide </t>
    </r>
    <r>
      <rPr>
        <i/>
        <sz val="12"/>
        <rFont val="Times New Roman"/>
        <family val="1"/>
      </rPr>
      <t xml:space="preserve">- </t>
    </r>
    <r>
      <rPr>
        <sz val="12"/>
        <rFont val="Times New Roman"/>
        <family val="1"/>
      </rPr>
      <t xml:space="preserve">A mass movement of rock, soil, and debris down a slope due to gravity. It occurs when the driving force is greater than the resisting force. It is a natural process that occurs in steep slopes. The movement may range from very slow to rapid. It can affect areas both near and far from the source.
</t>
    </r>
    <r>
      <rPr>
        <b/>
        <sz val="12"/>
        <rFont val="Times New Roman"/>
        <family val="1"/>
      </rPr>
      <t>Source of Definition: DOST-PHIVOLCS: Introduction to Landslide. https://www.phivolcs.dost.gov.ph/index.php/landslide/introduction-to-landslide</t>
    </r>
  </si>
  <si>
    <r>
      <rPr>
        <b/>
        <i/>
        <sz val="12"/>
        <rFont val="Times New Roman"/>
        <family val="1"/>
      </rPr>
      <t>Storm Surge</t>
    </r>
    <r>
      <rPr>
        <i/>
        <sz val="12"/>
        <rFont val="Times New Roman"/>
        <family val="1"/>
      </rPr>
      <t xml:space="preserve"> - </t>
    </r>
    <r>
      <rPr>
        <sz val="12"/>
        <rFont val="Times New Roman"/>
        <family val="1"/>
      </rPr>
      <t xml:space="preserve">An abnormal increase in water level in seashores when a storm nears coastal lines caused by strong winds brought by low pressure at the eye wall.
</t>
    </r>
    <r>
      <rPr>
        <b/>
        <sz val="12"/>
        <rFont val="Times New Roman"/>
        <family val="1"/>
      </rPr>
      <t>Source of Definition: DOST-PAGASA Learning Tools: Meteorological Terms, Storm Surge. http://bagong.pagasa.dost.gov.ph/learning-tools/meteorological-terms</t>
    </r>
  </si>
  <si>
    <r>
      <rPr>
        <b/>
        <i/>
        <sz val="12"/>
        <rFont val="Times New Roman"/>
        <family val="1"/>
      </rPr>
      <t xml:space="preserve">Tsunami </t>
    </r>
    <r>
      <rPr>
        <i/>
        <sz val="12"/>
        <rFont val="Times New Roman"/>
        <family val="1"/>
      </rPr>
      <t xml:space="preserve">- </t>
    </r>
    <r>
      <rPr>
        <sz val="12"/>
        <rFont val="Times New Roman"/>
        <family val="1"/>
      </rPr>
      <t xml:space="preserve">An ocean wave produced by a submarine earthquake, landslide, or volcanic eruption that may reach enormous dimensions and have sufficient energy to travel across entire oceans.
</t>
    </r>
    <r>
      <rPr>
        <b/>
        <sz val="12"/>
        <rFont val="Times New Roman"/>
        <family val="1"/>
      </rPr>
      <t>Source of Definition: DOST-PAGASA Learning Tools: Meteorological Terms, Tsunami. http://bagong.pagasa.dost.gov.ph/learning-tools/meteorological-terms</t>
    </r>
  </si>
  <si>
    <r>
      <rPr>
        <b/>
        <i/>
        <sz val="12"/>
        <rFont val="Times New Roman"/>
        <family val="1"/>
      </rPr>
      <t xml:space="preserve">Volcanic Eruption </t>
    </r>
    <r>
      <rPr>
        <i/>
        <sz val="12"/>
        <rFont val="Times New Roman"/>
        <family val="1"/>
      </rPr>
      <t>-</t>
    </r>
    <r>
      <rPr>
        <sz val="12"/>
        <rFont val="Times New Roman"/>
        <family val="1"/>
      </rPr>
      <t xml:space="preserve"> The transport of magma or gases to the Earth's surface, which can be accompanied with tremors and eruptions; and the interaction of magma and water underneath the Earth's surface which can result in phreatic eruptions
</t>
    </r>
    <r>
      <rPr>
        <b/>
        <sz val="12"/>
        <rFont val="Times New Roman"/>
        <family val="1"/>
      </rPr>
      <t>Source of Definition: DOST PHIVOLCS: Introduction to Volcanoes. https://www.phivolcs.dost.gov.ph/index.php/volcano-hazard/introduction-to-volcanoes</t>
    </r>
  </si>
  <si>
    <t>(Grades 7 to 10)</t>
  </si>
  <si>
    <t>Types of Bullying</t>
  </si>
  <si>
    <t>Types of Violence</t>
  </si>
  <si>
    <r>
      <t xml:space="preserve">
1. Assistive Technology Device </t>
    </r>
    <r>
      <rPr>
        <sz val="13"/>
        <rFont val="Times New Roman"/>
        <family val="1"/>
      </rPr>
      <t xml:space="preserve">- refers to any device that helps someone do something that might not otherwise be able to do well or at all. Generally, the term is used for devices that help people overcome a handicap such as a mobility, vision, mental, dexterity or hearing loss.
</t>
    </r>
  </si>
  <si>
    <r>
      <t>Transition Program or Self-Contained Non-Graded</t>
    </r>
    <r>
      <rPr>
        <sz val="12"/>
        <rFont val="Times New Roman"/>
        <family val="1"/>
      </rPr>
      <t xml:space="preserve"> - refers to the coordinated set of activities for LWDs ages 15 to 24 who are placed in a self-contained non-graded classes. It is designed within an outcome-oriented process that promotes movement from home to school, school to functional life and school to employment/enterprenuership; including vocational training, integrated employment, continuing  adult education, and services and community participation.</t>
    </r>
  </si>
  <si>
    <t xml:space="preserve"> Others</t>
  </si>
  <si>
    <r>
      <t xml:space="preserve">Did the school conduct trainings or extra-curricular activities for </t>
    </r>
    <r>
      <rPr>
        <b/>
        <i/>
        <sz val="12"/>
        <rFont val="Times New Roman"/>
        <family val="1"/>
      </rPr>
      <t>learners</t>
    </r>
    <r>
      <rPr>
        <sz val="12"/>
        <rFont val="Times New Roman"/>
        <family val="1"/>
      </rPr>
      <t xml:space="preserve"> related to any of the topics below?</t>
    </r>
  </si>
  <si>
    <t>If Yes, indicate the number of learners who participated in the activities that covered each of the following topics.</t>
  </si>
  <si>
    <t>Addressing
the Problem of Bullying</t>
  </si>
  <si>
    <t>Mental Health and Psychosocial Issues and Conditions including Depression</t>
  </si>
  <si>
    <t>Suicide
Prevention</t>
  </si>
  <si>
    <t>Psychological
First Aid</t>
  </si>
  <si>
    <t>Other Topics</t>
  </si>
  <si>
    <r>
      <t xml:space="preserve">Did the school conduct trainings or extra-curricular activities for </t>
    </r>
    <r>
      <rPr>
        <b/>
        <i/>
        <sz val="12"/>
        <rFont val="Times New Roman"/>
        <family val="1"/>
      </rPr>
      <t>teachers</t>
    </r>
    <r>
      <rPr>
        <sz val="12"/>
        <rFont val="Times New Roman"/>
        <family val="1"/>
      </rPr>
      <t xml:space="preserve"> related to any of the topics below?</t>
    </r>
  </si>
  <si>
    <t>If Yes, indicate the number of teachers who participated in the activities that covered each of the following topics.</t>
  </si>
  <si>
    <t>Learners with Cancer</t>
  </si>
  <si>
    <t>Number of School Personnel</t>
  </si>
  <si>
    <t>School Personnel with Cancer</t>
  </si>
  <si>
    <t>Cancer Patients
(Symptomatic)</t>
  </si>
  <si>
    <t>Living with Cancer
(Asymptomatic)</t>
  </si>
  <si>
    <t xml:space="preserve">Learners with Disabilities under the Homebound and Hospital Bound Program: </t>
  </si>
  <si>
    <r>
      <rPr>
        <b/>
        <i/>
        <sz val="12"/>
        <rFont val="Times New Roman"/>
        <family val="1"/>
      </rPr>
      <t>Homebound</t>
    </r>
    <r>
      <rPr>
        <b/>
        <sz val="12"/>
        <rFont val="Times New Roman"/>
        <family val="1"/>
      </rPr>
      <t xml:space="preserve"> -</t>
    </r>
    <r>
      <rPr>
        <sz val="12"/>
        <rFont val="Times New Roman"/>
        <family val="1"/>
      </rPr>
      <t xml:space="preserve"> refers to an educational  program designed for children with disabilities who are enrolled in the nearest school to their residence, but can not go to school on a regular schedule. Community volunteers, para-teacher, parents or any member of the family are trained to assist the child at home.  </t>
    </r>
  </si>
  <si>
    <t>Date Established (Year)</t>
  </si>
  <si>
    <t xml:space="preserve">Reminder: Total of Locally-funded Teachers shall be greater than or equal to the Total of Qualified / Trained Teachers in Table 8.  </t>
  </si>
  <si>
    <t>(Nationally-funded teachers working in the school), SY 2021-2022 (As of October 31, 2021)</t>
  </si>
  <si>
    <r>
      <t xml:space="preserve">Decayed, Missing, and Filled Teeth (dmft) - </t>
    </r>
    <r>
      <rPr>
        <b/>
        <i/>
        <sz val="12"/>
        <rFont val="Times New Roman"/>
        <family val="1"/>
      </rPr>
      <t>Temporary Teeth</t>
    </r>
  </si>
  <si>
    <t>No. of learners with dmft</t>
  </si>
  <si>
    <t>No. of dmft</t>
  </si>
  <si>
    <t>(Provide the number of cases of suicide and attempted suicide among learners and school personnel that were recorded by the school)</t>
  </si>
  <si>
    <t>During SY 2020-2021</t>
  </si>
  <si>
    <t>After SY 2020-2021</t>
  </si>
  <si>
    <t>During SY 2021-2022</t>
  </si>
  <si>
    <t>Apr.</t>
  </si>
  <si>
    <r>
      <t>Special Program in Foreign Language (SPFL)</t>
    </r>
    <r>
      <rPr>
        <sz val="12"/>
        <rFont val="Times New Roman"/>
        <family val="1"/>
      </rPr>
      <t xml:space="preserve"> - a program which envisions a multilingual Filipino learner who is globally competitive and equipped with 21st century skills in a culturally diverse environment while preserving the national identity. The program will equip learners with skills and competencies in a foreign language by providing them with greater opportunities through an enhanced research-based curriculum, competent roster of teachers, supportive administrators, and strong collaboration with program partners. The program offers a variety of opportunities for students to learn not only the basics of foreign languages, but at the same time, heighten their global awareness by enhancing their social and cross-cultural skills and understanding. </t>
    </r>
  </si>
  <si>
    <r>
      <t>Special Program in the Arts</t>
    </r>
    <r>
      <rPr>
        <sz val="12"/>
        <rFont val="Times New Roman"/>
        <family val="1"/>
      </rPr>
      <t xml:space="preserve"> -  a program designed to cater to the needs of learners who are talented in the arts.</t>
    </r>
  </si>
  <si>
    <t>Proficiency Examination in SPFL</t>
  </si>
  <si>
    <t>Japanese - Japan Language Proficiency Test (JLPT)</t>
  </si>
  <si>
    <t>French - Diplôme d'études en langue française (DELF)</t>
  </si>
  <si>
    <t xml:space="preserve">Korean - Test of Proficiency in Korean (TOPIK) </t>
  </si>
  <si>
    <t>Chinese - Youth Chinese Test (YCT)</t>
  </si>
  <si>
    <t>Number of Takers</t>
  </si>
  <si>
    <t>German - Zertifikat Deutsch (ZD)</t>
  </si>
  <si>
    <r>
      <t>TOTAL</t>
    </r>
    <r>
      <rPr>
        <b/>
        <sz val="11"/>
        <rFont val="Times New Roman"/>
        <family val="1"/>
      </rPr>
      <t xml:space="preserve">
(Grades 7 to 10)</t>
    </r>
  </si>
  <si>
    <t>Number of Passers</t>
  </si>
  <si>
    <t>Proficiency Examination in SPFL:</t>
  </si>
  <si>
    <r>
      <rPr>
        <b/>
        <i/>
        <sz val="12"/>
        <rFont val="Times New Roman"/>
        <family val="1"/>
      </rPr>
      <t>Japanese Language Proficiency Test (JLPT)</t>
    </r>
    <r>
      <rPr>
        <b/>
        <sz val="12"/>
        <rFont val="Times New Roman"/>
        <family val="1"/>
      </rPr>
      <t xml:space="preserve"> - </t>
    </r>
    <r>
      <rPr>
        <sz val="12"/>
        <rFont val="Times New Roman"/>
        <family val="1"/>
      </rPr>
      <t>a standardized criterion-referenced test to evaluate and certify Japanese language proficiency for non-native speakers, covering language knowledge, reading ability, and listening ability.</t>
    </r>
  </si>
  <si>
    <r>
      <rPr>
        <b/>
        <i/>
        <sz val="12"/>
        <rFont val="Times New Roman"/>
        <family val="1"/>
      </rPr>
      <t xml:space="preserve">Diplomas de Español como Lengua Extranjera (DELE) </t>
    </r>
    <r>
      <rPr>
        <i/>
        <sz val="12"/>
        <rFont val="Times New Roman"/>
        <family val="1"/>
      </rPr>
      <t>(English: Diplomas of Spanish as a Foreign Language)</t>
    </r>
    <r>
      <rPr>
        <sz val="12"/>
        <rFont val="Times New Roman"/>
        <family val="1"/>
      </rPr>
      <t xml:space="preserve"> </t>
    </r>
    <r>
      <rPr>
        <sz val="12"/>
        <rFont val="Times New Roman"/>
        <family val="1"/>
      </rPr>
      <t>- an official diplomas issued by the Spanish Instituto Cervantes on behalf of the Spanish Ministry of Education and Science to participants who have passed a standardised test indicating their European Spanish language proficiency.</t>
    </r>
  </si>
  <si>
    <r>
      <rPr>
        <b/>
        <i/>
        <sz val="12"/>
        <rFont val="Times New Roman"/>
        <family val="1"/>
      </rPr>
      <t>Diplôme d'études en langue française (DELF)</t>
    </r>
    <r>
      <rPr>
        <b/>
        <sz val="12"/>
        <rFont val="Times New Roman"/>
        <family val="1"/>
      </rPr>
      <t xml:space="preserve"> - </t>
    </r>
    <r>
      <rPr>
        <sz val="12"/>
        <rFont val="Times New Roman"/>
        <family val="1"/>
      </rPr>
      <t xml:space="preserve">a certification of French-language abilities for non-native speakers of French administered by the International Centre for French Studies for France's Ministry of Education. It is composed of four independent diplomas corresponding to the first four levels of the Common European Framework of Reference for Languages: A1, A2, B1 and B2. </t>
    </r>
  </si>
  <si>
    <t>Spanish - Diplomas de Español como Lengua Extranjera (DELE)</t>
  </si>
  <si>
    <r>
      <rPr>
        <b/>
        <i/>
        <sz val="12"/>
        <rFont val="Times New Roman"/>
        <family val="1"/>
      </rPr>
      <t>Zertifikat Deutsch (ZD)</t>
    </r>
    <r>
      <rPr>
        <b/>
        <sz val="12"/>
        <rFont val="Times New Roman"/>
        <family val="1"/>
      </rPr>
      <t xml:space="preserve"> - </t>
    </r>
    <r>
      <rPr>
        <sz val="12"/>
        <rFont val="Times New Roman"/>
        <family val="1"/>
      </rPr>
      <t>an internationally acknowledged exam of German language ability. It tests for a level of proficiency equivalent to level B2 of the six-level scale of competence laid down in the Common European Framework of Reference (CEFR) for Languages.</t>
    </r>
  </si>
  <si>
    <r>
      <rPr>
        <b/>
        <i/>
        <sz val="12"/>
        <rFont val="Times New Roman"/>
        <family val="1"/>
      </rPr>
      <t xml:space="preserve">Test of Proficiency in Korean (TOPIK) - </t>
    </r>
    <r>
      <rPr>
        <sz val="12"/>
        <rFont val="Times New Roman"/>
        <family val="1"/>
      </rPr>
      <t xml:space="preserve">a written test designed to to measure the ability on non-native speakers for expression and comprehension in the Korean language. The test has three different levels, Beginner, Intermediate and Advanced. </t>
    </r>
  </si>
  <si>
    <r>
      <rPr>
        <b/>
        <i/>
        <sz val="12"/>
        <rFont val="Times New Roman"/>
        <family val="1"/>
      </rPr>
      <t>Youth Chinese Test (YCT)</t>
    </r>
    <r>
      <rPr>
        <sz val="12"/>
        <rFont val="Times New Roman"/>
        <family val="1"/>
      </rPr>
      <t xml:space="preserve"> - an international standardized test of Chinese language proficiency. It assesses young foreign students’ abilities to use Chinese in their daily and academic lives. The new YCT consists of a writing test and a speaking test, which are independent of each other. The writing test is divided into four levels, namely, YCT - Level I, YCT - Level II, YCT - Level III, and YCT - Level IV. The speaking test is divided into YCT - Beginner Level and YCT - Intermediate Level.</t>
    </r>
  </si>
  <si>
    <r>
      <t xml:space="preserve">With Diagnosis from Licensed Medical Specialist - </t>
    </r>
    <r>
      <rPr>
        <sz val="12"/>
        <rFont val="Times New Roman"/>
        <family val="1"/>
      </rPr>
      <t>refers to learners who have undergone assessment of licensed professionals like Psychologists, Psychometricians, and Medical Specialists who can determine the level of disability of any learner.</t>
    </r>
  </si>
  <si>
    <t>6 - 7</t>
  </si>
  <si>
    <t>b. Assignment (Number of teachers working in the school):</t>
  </si>
  <si>
    <r>
      <t>In Table 10</t>
    </r>
    <r>
      <rPr>
        <b/>
        <i/>
        <vertAlign val="subscript"/>
        <sz val="13"/>
        <rFont val="Times New Roman"/>
        <family val="1"/>
      </rPr>
      <t>b</t>
    </r>
    <r>
      <rPr>
        <b/>
        <i/>
        <sz val="13"/>
        <rFont val="Times New Roman"/>
        <family val="1"/>
      </rPr>
      <t xml:space="preserve">, totals in Handling Grades 7-10 shall tally with the Totals of the Number of Teachers (counted only once) in Table 16. </t>
    </r>
  </si>
  <si>
    <t>Table 12. TEACHERS WHO RECEIVED TRAINING WHILE IN-SERVICE FROM JULY 2020 TO JUNE 2021 (Nationally-funded teachers working in the school)</t>
  </si>
  <si>
    <t>Revised reminder</t>
  </si>
  <si>
    <t>Graduate Degree Major</t>
  </si>
  <si>
    <t>Bachelor's Degree Major</t>
  </si>
  <si>
    <t>Bachelor's Degree Minor</t>
  </si>
  <si>
    <t>With Special Training</t>
  </si>
  <si>
    <t>Without Special Training</t>
  </si>
  <si>
    <t xml:space="preserve"> Technology and Livelihood
 Education (TLE)</t>
  </si>
  <si>
    <t xml:space="preserve"> Music, Art, Physical Education,
 Health (MAPEH)</t>
  </si>
  <si>
    <t>Table 15. TEACHERS WHO RECEIVED TRAINING ON SPECIAL CURRICULAR PROGRAMS</t>
  </si>
  <si>
    <t>Notebook</t>
  </si>
  <si>
    <t>Android Tablet</t>
  </si>
  <si>
    <t>Tablet PC</t>
  </si>
  <si>
    <r>
      <rPr>
        <b/>
        <i/>
        <sz val="11"/>
        <rFont val="Times New Roman"/>
        <family val="1"/>
      </rPr>
      <t>b. Notebook</t>
    </r>
    <r>
      <rPr>
        <sz val="11"/>
        <rFont val="Times New Roman"/>
        <family val="1"/>
      </rPr>
      <t xml:space="preserve"> - refers to a device that is lighter than laptops. Usually have screens ranging from 12 to 17 inches (30.5 to 43.2 centimeters) and weigh around 5 to 6 pounds (2.3 to 2.7 kilograms).</t>
    </r>
  </si>
  <si>
    <r>
      <rPr>
        <b/>
        <i/>
        <sz val="11"/>
        <rFont val="Times New Roman"/>
        <family val="1"/>
      </rPr>
      <t>c. Android Tablet</t>
    </r>
    <r>
      <rPr>
        <sz val="11"/>
        <rFont val="Times New Roman"/>
        <family val="1"/>
      </rPr>
      <t xml:space="preserve"> - refers to a portable computer that has a touchscreen feature as the primary means of input.</t>
    </r>
  </si>
  <si>
    <r>
      <rPr>
        <b/>
        <i/>
        <sz val="11"/>
        <rFont val="Times New Roman"/>
        <family val="1"/>
      </rPr>
      <t>d. Tablet PC</t>
    </r>
    <r>
      <rPr>
        <sz val="11"/>
        <rFont val="Times New Roman"/>
        <family val="1"/>
      </rPr>
      <t xml:space="preserve"> - refers to a touchscreen tablet when you want to browse or interact, a laptop when you need a tablet with keyboard to be productive.</t>
    </r>
  </si>
  <si>
    <r>
      <rPr>
        <b/>
        <i/>
        <sz val="11"/>
        <rFont val="Times New Roman"/>
        <family val="1"/>
      </rPr>
      <t>e. Desktop Virtual Terminal</t>
    </r>
    <r>
      <rPr>
        <sz val="11"/>
        <rFont val="Times New Roman"/>
        <family val="1"/>
      </rPr>
      <t xml:space="preserve"> - refers to a computer terminal consisting of  monitor, keyboard and mouse connected to a terminal device that connects to a computer host.</t>
    </r>
  </si>
  <si>
    <t>Lapel</t>
  </si>
  <si>
    <r>
      <rPr>
        <b/>
        <i/>
        <sz val="11"/>
        <rFont val="Times New Roman"/>
        <family val="1"/>
      </rPr>
      <t>Lapel</t>
    </r>
    <r>
      <rPr>
        <sz val="11"/>
        <rFont val="Times New Roman"/>
        <family val="1"/>
      </rPr>
      <t xml:space="preserve"> - refers to an electronic device used to amplify voice. </t>
    </r>
  </si>
  <si>
    <r>
      <rPr>
        <b/>
        <i/>
        <sz val="11"/>
        <rFont val="Times New Roman"/>
        <family val="1"/>
      </rPr>
      <t>Internet Service Provider (ISP)</t>
    </r>
    <r>
      <rPr>
        <sz val="11"/>
        <rFont val="Times New Roman"/>
        <family val="1"/>
      </rPr>
      <t xml:space="preserve"> - refers to an organization that provides a myriad of services for accessing, using, or participating in the internet.</t>
    </r>
  </si>
  <si>
    <r>
      <rPr>
        <b/>
        <i/>
        <sz val="11"/>
        <rFont val="Times New Roman"/>
        <family val="1"/>
      </rPr>
      <t>2. Average Monthly Expense</t>
    </r>
    <r>
      <rPr>
        <sz val="11"/>
        <rFont val="Times New Roman"/>
        <family val="1"/>
      </rPr>
      <t xml:space="preserve"> - refers to the average cost spent in Philippine Peso for the internet connection by type, ISP and funding source.</t>
    </r>
  </si>
  <si>
    <r>
      <t>4. Computer for Administrative Use</t>
    </r>
    <r>
      <rPr>
        <sz val="11"/>
        <rFont val="Times New Roman"/>
        <family val="1"/>
      </rPr>
      <t xml:space="preserve"> - refers to computer units used for encoding administrative data of the school (e.g., enrollment, attendance, disbursements, financial statements, and other reports).</t>
    </r>
  </si>
  <si>
    <t>Cellular Service Provider</t>
  </si>
  <si>
    <t>Signal Capacity</t>
  </si>
  <si>
    <t>BAYANTEL</t>
  </si>
  <si>
    <t>DIGITEL</t>
  </si>
  <si>
    <t>GLOBE</t>
  </si>
  <si>
    <t>PLDT</t>
  </si>
  <si>
    <t>SMART</t>
  </si>
  <si>
    <t>SUN</t>
  </si>
  <si>
    <t>Text/SMS</t>
  </si>
  <si>
    <t>Call</t>
  </si>
  <si>
    <t>Send/View Images</t>
  </si>
  <si>
    <t>Video Call</t>
  </si>
  <si>
    <t>No Signal at all</t>
  </si>
  <si>
    <t>(Check all applicable)</t>
  </si>
  <si>
    <t>(in PhP)</t>
  </si>
  <si>
    <t>(2G/3G/LTE/5G)</t>
  </si>
  <si>
    <t>(DepEd DICP, MOOE, School Funds, LGU/SEF, PTA, Private Donations, Other Government Agencies, Others)</t>
  </si>
  <si>
    <t>a. SMART</t>
  </si>
  <si>
    <t>d. SUN</t>
  </si>
  <si>
    <t>g. TOUCH MOBILE</t>
  </si>
  <si>
    <t>b. GLOBE</t>
  </si>
  <si>
    <t>c. TALK n TEXT</t>
  </si>
  <si>
    <t>f. RED MOBILE</t>
  </si>
  <si>
    <t>e. DITO</t>
  </si>
  <si>
    <r>
      <rPr>
        <b/>
        <i/>
        <sz val="11"/>
        <rFont val="Times New Roman"/>
        <family val="1"/>
      </rPr>
      <t>2. Signal Capacity</t>
    </r>
    <r>
      <rPr>
        <sz val="11"/>
        <rFont val="Times New Roman"/>
        <family val="1"/>
      </rPr>
      <t xml:space="preserve"> - refers to the ability of the cellular's signal to perform activities.</t>
    </r>
  </si>
  <si>
    <r>
      <t xml:space="preserve">a. Text/ SMS - </t>
    </r>
    <r>
      <rPr>
        <sz val="11"/>
        <rFont val="Times New Roman"/>
        <family val="1"/>
      </rPr>
      <t>refers to the ability to receive and send text or Small Message Service (SMS).</t>
    </r>
  </si>
  <si>
    <r>
      <t xml:space="preserve">b. Call - </t>
    </r>
    <r>
      <rPr>
        <sz val="11"/>
        <rFont val="Times New Roman"/>
        <family val="1"/>
      </rPr>
      <t>refers to the ability to complete a call without signal drop</t>
    </r>
    <r>
      <rPr>
        <b/>
        <sz val="11"/>
        <rFont val="Times New Roman"/>
        <family val="1"/>
      </rPr>
      <t>.</t>
    </r>
  </si>
  <si>
    <r>
      <t xml:space="preserve">c. Send / View images - </t>
    </r>
    <r>
      <rPr>
        <sz val="11"/>
        <rFont val="Times New Roman"/>
        <family val="1"/>
      </rPr>
      <t>refers to the ability to receive and send images without image corruption</t>
    </r>
    <r>
      <rPr>
        <b/>
        <sz val="11"/>
        <rFont val="Times New Roman"/>
        <family val="1"/>
      </rPr>
      <t>.</t>
    </r>
  </si>
  <si>
    <r>
      <t>e. No Signal at all</t>
    </r>
    <r>
      <rPr>
        <sz val="11"/>
        <rFont val="Times New Roman"/>
        <family val="1"/>
      </rPr>
      <t xml:space="preserve"> - refers to the cellular's reception/signal with no ability to perform all the above-mentioned activities.</t>
    </r>
  </si>
  <si>
    <t xml:space="preserve">Types of Cellular Wireless Technology </t>
  </si>
  <si>
    <r>
      <t>d. Video Call</t>
    </r>
    <r>
      <rPr>
        <sz val="11"/>
        <rFont val="Times New Roman"/>
        <family val="1"/>
      </rPr>
      <t xml:space="preserve"> - refers to the ability to initiate and receive video call without interruption. </t>
    </r>
  </si>
  <si>
    <r>
      <rPr>
        <b/>
        <i/>
        <sz val="11"/>
        <rFont val="Times New Roman"/>
        <family val="1"/>
      </rPr>
      <t xml:space="preserve">a. 2G (Second Generation) </t>
    </r>
    <r>
      <rPr>
        <sz val="11"/>
        <rFont val="Times New Roman"/>
        <family val="1"/>
      </rPr>
      <t>- refers to a cellular wireless technology that offers a theoretical maximum transfer speed of 40 kbit/s (5 KB/s)</t>
    </r>
    <r>
      <rPr>
        <b/>
        <sz val="11"/>
        <rFont val="Times New Roman"/>
        <family val="1"/>
      </rPr>
      <t>.</t>
    </r>
  </si>
  <si>
    <r>
      <rPr>
        <b/>
        <i/>
        <sz val="11"/>
        <rFont val="Times New Roman"/>
        <family val="1"/>
      </rPr>
      <t>b. 3G (Third Generation)</t>
    </r>
    <r>
      <rPr>
        <b/>
        <sz val="11"/>
        <rFont val="Times New Roman"/>
        <family val="1"/>
      </rPr>
      <t xml:space="preserve"> </t>
    </r>
    <r>
      <rPr>
        <sz val="11"/>
        <rFont val="Times New Roman"/>
        <family val="1"/>
      </rPr>
      <t>-  refers to a cellular wireless technology that offers a speed of at least 7.2 Mbps.</t>
    </r>
  </si>
  <si>
    <r>
      <t>c. LTE (Long Term Evolution) -</t>
    </r>
    <r>
      <rPr>
        <sz val="11"/>
        <rFont val="Times New Roman"/>
        <family val="1"/>
      </rPr>
      <t xml:space="preserve"> refers to a mobile wireless technology that offers a speed of 50 Mbps to 100 Mbps.</t>
    </r>
  </si>
  <si>
    <r>
      <t>d. 5G (FifthGeneration) -</t>
    </r>
    <r>
      <rPr>
        <sz val="11"/>
        <rFont val="Times New Roman"/>
        <family val="1"/>
      </rPr>
      <t xml:space="preserve"> refers to a cellular wireless technology that offers a speed of around 1 Gbps to 20 Gbps.</t>
    </r>
  </si>
  <si>
    <t>Note:  This table shall be filled out if the school subscribe to any cellular service provider.</t>
  </si>
  <si>
    <t>(SMART, GLOBE, TALK n TEXT, 
SUN, DITO, RED MOBILE, 
TOUCH MOBILE, Others)</t>
  </si>
  <si>
    <t>f. Others</t>
  </si>
  <si>
    <t>Types of Printer / Photocopier</t>
  </si>
  <si>
    <t>Brand / Model</t>
  </si>
  <si>
    <t>Purpose</t>
  </si>
  <si>
    <t>(Wired, Fixed wireless, Satellite, 
USB Modem)</t>
  </si>
  <si>
    <t>(Select from available ISPs above)</t>
  </si>
  <si>
    <t>(InkJet Printer, Laser Printer,
 LED Printer, Multifunction Printer, 
Solid Ink Printer, Photocopier, Others)</t>
  </si>
  <si>
    <t>(For administrative use,
 For classroom instruction use,
 For both administrative &amp; classroom instruction use)</t>
  </si>
  <si>
    <t>Types of Printer / Photocopier:</t>
  </si>
  <si>
    <r>
      <t xml:space="preserve">Purpose - </t>
    </r>
    <r>
      <rPr>
        <sz val="11"/>
        <rFont val="Times New Roman"/>
        <family val="1"/>
      </rPr>
      <t>refers to the purpose of printer/photocopier if for administrative use, for classroom instruction use or for both administrative &amp; classroom instruction use.</t>
    </r>
  </si>
  <si>
    <r>
      <t xml:space="preserve">Average Monthly Expense - </t>
    </r>
    <r>
      <rPr>
        <sz val="11"/>
        <rFont val="Times New Roman"/>
        <family val="1"/>
      </rPr>
      <t>refers to the</t>
    </r>
    <r>
      <rPr>
        <b/>
        <i/>
        <sz val="11"/>
        <rFont val="Times New Roman"/>
        <family val="1"/>
      </rPr>
      <t xml:space="preserve"> </t>
    </r>
    <r>
      <rPr>
        <sz val="11"/>
        <rFont val="Times New Roman"/>
        <family val="1"/>
      </rPr>
      <t>average cost spent in Philippine Peso for the printer/photocopier use by type, brand/model, funding source and purpose.</t>
    </r>
  </si>
  <si>
    <r>
      <rPr>
        <b/>
        <i/>
        <sz val="11"/>
        <rFont val="Times New Roman"/>
        <family val="1"/>
      </rPr>
      <t>LED Printer</t>
    </r>
    <r>
      <rPr>
        <sz val="11"/>
        <rFont val="Times New Roman"/>
        <family val="1"/>
      </rPr>
      <t xml:space="preserve"> - refers to a printer that uses light-emitting diode (LED) to print documents.</t>
    </r>
  </si>
  <si>
    <r>
      <rPr>
        <b/>
        <i/>
        <sz val="11"/>
        <rFont val="Times New Roman"/>
        <family val="1"/>
      </rPr>
      <t>InkJet Printer</t>
    </r>
    <r>
      <rPr>
        <sz val="11"/>
        <rFont val="Times New Roman"/>
        <family val="1"/>
      </rPr>
      <t xml:space="preserve"> - refers to a printer that uses ink to print documents.</t>
    </r>
  </si>
  <si>
    <r>
      <rPr>
        <b/>
        <i/>
        <sz val="11"/>
        <rFont val="Times New Roman"/>
        <family val="1"/>
      </rPr>
      <t>Laser Printer</t>
    </r>
    <r>
      <rPr>
        <sz val="11"/>
        <rFont val="Times New Roman"/>
        <family val="1"/>
      </rPr>
      <t xml:space="preserve"> - refers to a printer that uses laser to print documents.</t>
    </r>
  </si>
  <si>
    <r>
      <rPr>
        <b/>
        <i/>
        <sz val="11"/>
        <rFont val="Times New Roman"/>
        <family val="1"/>
      </rPr>
      <t>Multifunction Printer</t>
    </r>
    <r>
      <rPr>
        <sz val="11"/>
        <rFont val="Times New Roman"/>
        <family val="1"/>
      </rPr>
      <t xml:space="preserve"> - refers to a machine that has a scanner, photocopier, printer, and fax machine all rolled into one unit.</t>
    </r>
  </si>
  <si>
    <r>
      <rPr>
        <b/>
        <i/>
        <sz val="11"/>
        <rFont val="Times New Roman"/>
        <family val="1"/>
      </rPr>
      <t>Solid Ink Printer</t>
    </r>
    <r>
      <rPr>
        <sz val="11"/>
        <rFont val="Times New Roman"/>
        <family val="1"/>
      </rPr>
      <t xml:space="preserve"> - refers to a technology using a unique type of tinting, which is previously melted into a fluid.</t>
    </r>
  </si>
  <si>
    <r>
      <rPr>
        <b/>
        <i/>
        <sz val="11"/>
        <rFont val="Times New Roman"/>
        <family val="1"/>
      </rPr>
      <t>Photocopier</t>
    </r>
    <r>
      <rPr>
        <sz val="11"/>
        <rFont val="Times New Roman"/>
        <family val="1"/>
      </rPr>
      <t xml:space="preserve"> - refers to a machine that makes copies of documents and other visual images.</t>
    </r>
  </si>
  <si>
    <r>
      <rPr>
        <b/>
        <i/>
        <sz val="11"/>
        <rFont val="Times New Roman"/>
        <family val="1"/>
      </rPr>
      <t>Others</t>
    </r>
    <r>
      <rPr>
        <sz val="11"/>
        <rFont val="Times New Roman"/>
        <family val="1"/>
      </rPr>
      <t xml:space="preserve"> - refers to a printer/photocopier that are not mentioned above.</t>
    </r>
  </si>
  <si>
    <r>
      <t>Funding Source</t>
    </r>
    <r>
      <rPr>
        <sz val="11"/>
        <rFont val="Times New Roman"/>
        <family val="1"/>
      </rPr>
      <t xml:space="preserve"> - refers to the identified source of financial support/fund type.</t>
    </r>
  </si>
  <si>
    <r>
      <t>Brand/Model</t>
    </r>
    <r>
      <rPr>
        <b/>
        <sz val="11"/>
        <rFont val="Times New Roman"/>
        <family val="1"/>
      </rPr>
      <t xml:space="preserve"> </t>
    </r>
    <r>
      <rPr>
        <sz val="11"/>
        <rFont val="Times New Roman"/>
        <family val="1"/>
      </rPr>
      <t>- refers to the product manufactured by a particular company under a particular name.</t>
    </r>
  </si>
  <si>
    <t>Types of Broadcasting Station</t>
  </si>
  <si>
    <t>Name of Station</t>
  </si>
  <si>
    <t>Owner</t>
  </si>
  <si>
    <t>Contact Details of Partner/s</t>
  </si>
  <si>
    <t>Telephone / Cellphone Number</t>
  </si>
  <si>
    <t>E-mail Address</t>
  </si>
  <si>
    <t>(e.g. 594 kHz/ 
97.1 MHz)</t>
  </si>
  <si>
    <t>NTC License Number</t>
  </si>
  <si>
    <t>(e.g. ESD-RCE-2126881)</t>
  </si>
  <si>
    <t>Frequency</t>
  </si>
  <si>
    <t>Status of Partnership</t>
  </si>
  <si>
    <t xml:space="preserve">(w/ signed MOA, Ongoing, for MOA signing)  </t>
  </si>
  <si>
    <t>(mm/dd/yyyy)</t>
  </si>
  <si>
    <t>Date of Broadcasting Started</t>
  </si>
  <si>
    <r>
      <rPr>
        <b/>
        <i/>
        <sz val="11"/>
        <rFont val="Times New Roman"/>
        <family val="1"/>
      </rPr>
      <t>3. Types of Cellular Wireless Technology</t>
    </r>
    <r>
      <rPr>
        <sz val="11"/>
        <rFont val="Times New Roman"/>
        <family val="1"/>
      </rPr>
      <t xml:space="preserve"> - refers to the type/level of wireless mobile telecommunications technology available.</t>
    </r>
  </si>
  <si>
    <r>
      <rPr>
        <b/>
        <i/>
        <sz val="11"/>
        <rFont val="Times New Roman"/>
        <family val="1"/>
      </rPr>
      <t>3. Funding Source</t>
    </r>
    <r>
      <rPr>
        <sz val="11"/>
        <rFont val="Times New Roman"/>
        <family val="1"/>
      </rPr>
      <t xml:space="preserve"> - refers to the financial resource of the government or other entity set aside for specific purposes to finance specific programs and projects.</t>
    </r>
  </si>
  <si>
    <r>
      <rPr>
        <b/>
        <i/>
        <sz val="11"/>
        <rFont val="Times New Roman"/>
        <family val="1"/>
      </rPr>
      <t>4. Average Monthly Expense</t>
    </r>
    <r>
      <rPr>
        <sz val="11"/>
        <rFont val="Times New Roman"/>
        <family val="1"/>
      </rPr>
      <t xml:space="preserve"> - refers to the average cost spent in Philippine Peso for the cellular communication by type of cellular wireless technology, cellular service provider and funding source.</t>
    </r>
  </si>
  <si>
    <r>
      <rPr>
        <b/>
        <i/>
        <sz val="11"/>
        <rFont val="Times New Roman"/>
        <family val="1"/>
      </rPr>
      <t>5. Funding Source</t>
    </r>
    <r>
      <rPr>
        <sz val="11"/>
        <rFont val="Times New Roman"/>
        <family val="1"/>
      </rPr>
      <t xml:space="preserve"> - refers to the identified source of financial support/fund type</t>
    </r>
    <r>
      <rPr>
        <b/>
        <sz val="11"/>
        <rFont val="Times New Roman"/>
        <family val="1"/>
      </rPr>
      <t>.</t>
    </r>
  </si>
  <si>
    <t xml:space="preserve">(Local TV, CATV, DTT, AM/FM Radio Station) </t>
  </si>
  <si>
    <t>Note:  This table shall be filled out if the school implements broadcasting station and partnered to any broadcasting service provider.</t>
  </si>
  <si>
    <r>
      <t xml:space="preserve">Types of Broadcasting Station - </t>
    </r>
    <r>
      <rPr>
        <sz val="11"/>
        <rFont val="Times New Roman"/>
        <family val="1"/>
      </rPr>
      <t>refers to</t>
    </r>
    <r>
      <rPr>
        <b/>
        <i/>
        <sz val="11"/>
        <rFont val="Times New Roman"/>
        <family val="1"/>
      </rPr>
      <t xml:space="preserve"> </t>
    </r>
    <r>
      <rPr>
        <sz val="11"/>
        <rFont val="Times New Roman"/>
        <family val="1"/>
      </rPr>
      <t>the</t>
    </r>
    <r>
      <rPr>
        <b/>
        <i/>
        <sz val="11"/>
        <rFont val="Times New Roman"/>
        <family val="1"/>
      </rPr>
      <t xml:space="preserve"> </t>
    </r>
    <r>
      <rPr>
        <sz val="11"/>
        <rFont val="Times New Roman"/>
        <family val="1"/>
      </rPr>
      <t>transmission of audio (sound)/video intended to reach a wide audience</t>
    </r>
    <r>
      <rPr>
        <b/>
        <i/>
        <sz val="11"/>
        <rFont val="Times New Roman"/>
        <family val="1"/>
      </rPr>
      <t>.</t>
    </r>
  </si>
  <si>
    <r>
      <t xml:space="preserve">Local TV - </t>
    </r>
    <r>
      <rPr>
        <sz val="11"/>
        <rFont val="Times New Roman"/>
        <family val="1"/>
      </rPr>
      <t>refers to the local content or local television</t>
    </r>
    <r>
      <rPr>
        <b/>
        <i/>
        <sz val="11"/>
        <rFont val="Times New Roman"/>
        <family val="1"/>
      </rPr>
      <t>.</t>
    </r>
  </si>
  <si>
    <r>
      <t xml:space="preserve">Community Antenna Television (CATV) - </t>
    </r>
    <r>
      <rPr>
        <sz val="11"/>
        <rFont val="Times New Roman"/>
        <family val="1"/>
      </rPr>
      <t>refers to the use a “community antenna” to receive broadcast signals to retransmit via cables to homes and establishments in the local area subscribing to the service.</t>
    </r>
  </si>
  <si>
    <r>
      <t xml:space="preserve">Digital Terrestrial Television (DTT) - </t>
    </r>
    <r>
      <rPr>
        <sz val="11"/>
        <rFont val="Times New Roman"/>
        <family val="1"/>
      </rPr>
      <t xml:space="preserve">refers to the television stations broadcast in digital format. </t>
    </r>
  </si>
  <si>
    <r>
      <t xml:space="preserve">AM Radio Station - </t>
    </r>
    <r>
      <rPr>
        <sz val="11"/>
        <rFont val="Times New Roman"/>
        <family val="1"/>
      </rPr>
      <t>refers to the</t>
    </r>
    <r>
      <rPr>
        <b/>
        <i/>
        <sz val="11"/>
        <rFont val="Times New Roman"/>
        <family val="1"/>
      </rPr>
      <t xml:space="preserve"> </t>
    </r>
    <r>
      <rPr>
        <sz val="11"/>
        <rFont val="Times New Roman"/>
        <family val="1"/>
      </rPr>
      <t>radio broadcasting using Amplitude Modulation (AM)</t>
    </r>
    <r>
      <rPr>
        <b/>
        <i/>
        <sz val="11"/>
        <rFont val="Times New Roman"/>
        <family val="1"/>
      </rPr>
      <t>.</t>
    </r>
  </si>
  <si>
    <r>
      <t xml:space="preserve">FM Radio Station - </t>
    </r>
    <r>
      <rPr>
        <sz val="11"/>
        <rFont val="Times New Roman"/>
        <family val="1"/>
      </rPr>
      <t>refers to the</t>
    </r>
    <r>
      <rPr>
        <b/>
        <i/>
        <sz val="11"/>
        <rFont val="Times New Roman"/>
        <family val="1"/>
      </rPr>
      <t xml:space="preserve"> </t>
    </r>
    <r>
      <rPr>
        <sz val="11"/>
        <rFont val="Times New Roman"/>
        <family val="1"/>
      </rPr>
      <t>radio broadcasting using Frequency Modulation (FM)</t>
    </r>
    <r>
      <rPr>
        <b/>
        <i/>
        <sz val="11"/>
        <rFont val="Times New Roman"/>
        <family val="1"/>
      </rPr>
      <t>.</t>
    </r>
  </si>
  <si>
    <r>
      <t xml:space="preserve">Name of Station - </t>
    </r>
    <r>
      <rPr>
        <sz val="11"/>
        <rFont val="Times New Roman"/>
        <family val="1"/>
      </rPr>
      <t xml:space="preserve">refers to the name of the broadcasting station. </t>
    </r>
  </si>
  <si>
    <r>
      <t xml:space="preserve">Frequency - </t>
    </r>
    <r>
      <rPr>
        <sz val="11"/>
        <rFont val="Times New Roman"/>
        <family val="1"/>
      </rPr>
      <t>refers to the band at which wireless telecommunications signals are being transmitted and broadcast. This ranges from 3 kHz to 300 GHz.</t>
    </r>
  </si>
  <si>
    <r>
      <t xml:space="preserve">NTC License Number -  </t>
    </r>
    <r>
      <rPr>
        <sz val="11"/>
        <rFont val="Times New Roman"/>
        <family val="1"/>
      </rPr>
      <t xml:space="preserve">refers to the license number of the issued National Telecommunications Commission (NTC) permit. </t>
    </r>
  </si>
  <si>
    <r>
      <t xml:space="preserve">Owner - </t>
    </r>
    <r>
      <rPr>
        <sz val="11"/>
        <rFont val="Times New Roman"/>
        <family val="1"/>
      </rPr>
      <t>refers to the full</t>
    </r>
    <r>
      <rPr>
        <b/>
        <i/>
        <sz val="11"/>
        <rFont val="Times New Roman"/>
        <family val="1"/>
      </rPr>
      <t xml:space="preserve"> </t>
    </r>
    <r>
      <rPr>
        <sz val="11"/>
        <rFont val="Times New Roman"/>
        <family val="1"/>
      </rPr>
      <t xml:space="preserve">name of the owner. </t>
    </r>
  </si>
  <si>
    <r>
      <t xml:space="preserve">Status of Partnership - </t>
    </r>
    <r>
      <rPr>
        <sz val="11"/>
        <rFont val="Times New Roman"/>
        <family val="1"/>
      </rPr>
      <t xml:space="preserve">refers to the MOA status of the partnership. </t>
    </r>
  </si>
  <si>
    <r>
      <t xml:space="preserve">Date of Broadcasting Started - </t>
    </r>
    <r>
      <rPr>
        <sz val="11"/>
        <rFont val="Times New Roman"/>
        <family val="1"/>
      </rPr>
      <t xml:space="preserve">refers to the date when a contract begins. </t>
    </r>
  </si>
  <si>
    <r>
      <t xml:space="preserve">Contact Details of Partner/s - </t>
    </r>
    <r>
      <rPr>
        <sz val="11"/>
        <rFont val="Times New Roman"/>
        <family val="1"/>
      </rPr>
      <t xml:space="preserve">refers to the telephone/cellphone number, address, and e-mail address to reach out the said partner. </t>
    </r>
  </si>
  <si>
    <t>Types of Radio</t>
  </si>
  <si>
    <t>(UHF Two-Way Radio, 
VHF Two-Way Radio)</t>
  </si>
  <si>
    <t>Number of Units</t>
  </si>
  <si>
    <t>Note:  This table shall be filled out if the school implements radio-based instruction.</t>
  </si>
  <si>
    <r>
      <t>UHF -</t>
    </r>
    <r>
      <rPr>
        <sz val="11"/>
        <rFont val="Times New Roman"/>
        <family val="1"/>
      </rPr>
      <t xml:space="preserve"> refers to the Two-Way Radio that uses Ultra High Frequency (UHF).</t>
    </r>
  </si>
  <si>
    <r>
      <t xml:space="preserve">VHF - </t>
    </r>
    <r>
      <rPr>
        <sz val="11"/>
        <rFont val="Times New Roman"/>
        <family val="1"/>
      </rPr>
      <t>refers to the Two-Way Radio that uses Very High Frequency (VHF).</t>
    </r>
  </si>
  <si>
    <r>
      <rPr>
        <b/>
        <i/>
        <sz val="11"/>
        <rFont val="Times New Roman"/>
        <family val="1"/>
      </rPr>
      <t>Purpose</t>
    </r>
    <r>
      <rPr>
        <sz val="11"/>
        <rFont val="Times New Roman"/>
        <family val="1"/>
      </rPr>
      <t xml:space="preserve"> - refers to the purpose of the school radio if for administrative use, for classroom instruction use or for both administrative &amp; classroom instruction use.</t>
    </r>
  </si>
  <si>
    <r>
      <rPr>
        <b/>
        <i/>
        <sz val="11"/>
        <rFont val="Times New Roman"/>
        <family val="1"/>
      </rPr>
      <t>NTC License Number</t>
    </r>
    <r>
      <rPr>
        <sz val="11"/>
        <rFont val="Times New Roman"/>
        <family val="1"/>
      </rPr>
      <t xml:space="preserve"> - refers to the license number of the issued National Telecommunications Commission (NTC) permit. </t>
    </r>
  </si>
  <si>
    <r>
      <rPr>
        <b/>
        <i/>
        <sz val="11"/>
        <rFont val="Times New Roman"/>
        <family val="1"/>
      </rPr>
      <t>Number of Units</t>
    </r>
    <r>
      <rPr>
        <sz val="11"/>
        <rFont val="Times New Roman"/>
        <family val="1"/>
      </rPr>
      <t xml:space="preserve"> - refers to the number of possessed units.</t>
    </r>
  </si>
  <si>
    <t>Number of OERs Developed Locally as an 
Original Work</t>
  </si>
  <si>
    <t>Number of OERs Developed Locally as an 
Edited/Remix/Reuse Work</t>
  </si>
  <si>
    <r>
      <t xml:space="preserve">Open Educational Resources (OERs) - </t>
    </r>
    <r>
      <rPr>
        <sz val="11"/>
        <rFont val="Times New Roman"/>
        <family val="1"/>
      </rPr>
      <t xml:space="preserve">refers to teaching, learning, and research materials in any medium – digital or otherwise – that reside in the public  domain or have been released under an open license that permits no-cost access, use, adaptation and redistribution by others with no or limited restrictions.
(Source: UNESCO) </t>
    </r>
  </si>
  <si>
    <r>
      <t xml:space="preserve">Distance Learning Modality - </t>
    </r>
    <r>
      <rPr>
        <sz val="11"/>
        <rFont val="Times New Roman"/>
        <family val="1"/>
      </rPr>
      <t xml:space="preserve">refers to the print or non-print based resources medium used to augment instruction if face-to-face instruction is not possible. </t>
    </r>
  </si>
  <si>
    <t xml:space="preserve">A. Number of Teachers Using DepEd TV as part of Delivering Instruction and Include in the Daily Learning Plan </t>
  </si>
  <si>
    <t>Frequent</t>
  </si>
  <si>
    <t>Seldom</t>
  </si>
  <si>
    <t>Never</t>
  </si>
  <si>
    <t>Broadcast TV (Live)</t>
  </si>
  <si>
    <t>DepEd YouTube Channel</t>
  </si>
  <si>
    <t>Facebook (Live)</t>
  </si>
  <si>
    <t>Downloaded Version</t>
  </si>
  <si>
    <t>Technology and Livelihood Education</t>
  </si>
  <si>
    <t>Music, Art, Physical Education, Health (MAPEH)</t>
  </si>
  <si>
    <t>Amount of Time Spent 
Using DepEd TV</t>
  </si>
  <si>
    <r>
      <t>Downloaded Version</t>
    </r>
    <r>
      <rPr>
        <sz val="11"/>
        <rFont val="Times New Roman"/>
        <family val="1"/>
      </rPr>
      <t xml:space="preserve"> - refers to the video-based lessons that are stored in a USB flashdrive to watch it readily as plug and play.</t>
    </r>
  </si>
  <si>
    <r>
      <t xml:space="preserve">DepEd TV - </t>
    </r>
    <r>
      <rPr>
        <sz val="11"/>
        <rFont val="Times New Roman"/>
        <family val="1"/>
      </rPr>
      <t>refers to the the blended learning modality of DepEd that is focused on video-based lessons to direct instruction using produced contents based in the Most Essential Learning Competencies (MELC) and self learning modules of the department.</t>
    </r>
  </si>
  <si>
    <r>
      <t>Instructional Strategy</t>
    </r>
    <r>
      <rPr>
        <sz val="11"/>
        <rFont val="Times New Roman"/>
        <family val="1"/>
      </rPr>
      <t xml:space="preserve"> - refers to approach that links and associates content-based material to real life situations to make teaching and learning effective, compelling, and engaging.</t>
    </r>
  </si>
  <si>
    <r>
      <t xml:space="preserve">Frequent - </t>
    </r>
    <r>
      <rPr>
        <sz val="11"/>
        <rFont val="Times New Roman"/>
        <family val="1"/>
      </rPr>
      <t>refers to the all week use of DepEd TV</t>
    </r>
    <r>
      <rPr>
        <b/>
        <i/>
        <sz val="11"/>
        <rFont val="Times New Roman"/>
        <family val="1"/>
      </rPr>
      <t>.</t>
    </r>
  </si>
  <si>
    <r>
      <t xml:space="preserve">Seldom - </t>
    </r>
    <r>
      <rPr>
        <sz val="11"/>
        <rFont val="Times New Roman"/>
        <family val="1"/>
      </rPr>
      <t>refers to at least three (3) times in a week use of DepEd TV</t>
    </r>
    <r>
      <rPr>
        <b/>
        <i/>
        <sz val="11"/>
        <rFont val="Times New Roman"/>
        <family val="1"/>
      </rPr>
      <t>.</t>
    </r>
  </si>
  <si>
    <r>
      <t xml:space="preserve">Never - </t>
    </r>
    <r>
      <rPr>
        <sz val="11"/>
        <rFont val="Times New Roman"/>
        <family val="1"/>
      </rPr>
      <t>refers to not using the DepEd TV as part of instructional plan.</t>
    </r>
  </si>
  <si>
    <t>Special Forest Landuse Agreement (FLAg)</t>
  </si>
  <si>
    <r>
      <t xml:space="preserve">Special Patent </t>
    </r>
    <r>
      <rPr>
        <sz val="11"/>
        <rFont val="Times New Roman"/>
        <family val="1"/>
      </rPr>
      <t>- refers to a public instrument issued by the government confirming the grant by the State of the ownership over a parcel of agricultural land (alienable and disposable) in favor of a grantee.</t>
    </r>
  </si>
  <si>
    <t>n.</t>
  </si>
  <si>
    <r>
      <t>Special Forest Landuse Agreement (FLAg)</t>
    </r>
    <r>
      <rPr>
        <sz val="11"/>
        <rFont val="Times New Roman"/>
        <family val="1"/>
      </rPr>
      <t xml:space="preserve"> - refers to contract between the government as first party represented by the Secretary or the Regional Director concerned, and a second party or a person, authorizing the latter to temporarily occupy, manage and develop in consideration of a government share, any forestland of the public domain for specific use for a period of 25 years.</t>
    </r>
  </si>
  <si>
    <t>(Continuation of definitions from previous page, Box 9)</t>
  </si>
  <si>
    <t>Table 32. MOOE ALLOCATION, UTILIZATION AND LIQUIDATION</t>
  </si>
  <si>
    <t>27-28</t>
  </si>
  <si>
    <r>
      <t xml:space="preserve">Edited Work - </t>
    </r>
    <r>
      <rPr>
        <sz val="11"/>
        <rFont val="Times New Roman"/>
        <family val="1"/>
      </rPr>
      <t>refers to the rewording and changing of basic concepts in the contents of the original material without violating the Creative Commons rule.</t>
    </r>
  </si>
  <si>
    <t>1st
Quarter</t>
  </si>
  <si>
    <t>2nd
Quarter</t>
  </si>
  <si>
    <t>3rd
Quarter</t>
  </si>
  <si>
    <t>4th
Quarter</t>
  </si>
  <si>
    <r>
      <t>Remix Work</t>
    </r>
    <r>
      <rPr>
        <sz val="11"/>
        <rFont val="Times New Roman"/>
        <family val="1"/>
      </rPr>
      <t xml:space="preserve"> - refers to the editing of a content as well as putting an original concepts and ideas to the material to enhance the resources without violating the Creative Commons rule.</t>
    </r>
  </si>
  <si>
    <r>
      <t xml:space="preserve">Reuse Work - </t>
    </r>
    <r>
      <rPr>
        <sz val="11"/>
        <rFont val="Times New Roman"/>
        <family val="1"/>
      </rPr>
      <t>refers to the use of old or existing resources without any modification or alteration in the contents.</t>
    </r>
  </si>
  <si>
    <r>
      <t>1st Quarter to 4th Quarter</t>
    </r>
    <r>
      <rPr>
        <sz val="11"/>
        <rFont val="Times New Roman"/>
        <family val="1"/>
      </rPr>
      <t xml:space="preserve"> - refers to the quarter or period of instruction.</t>
    </r>
  </si>
  <si>
    <t>C. Subject/s Identified by Teachers that needs more resources as supplemental guide in DepEd TV</t>
  </si>
  <si>
    <t>Tropical Cyclones</t>
  </si>
  <si>
    <t>Fire *</t>
  </si>
  <si>
    <t>Disasters</t>
  </si>
  <si>
    <r>
      <t xml:space="preserve">Hazardous Materials Incident
</t>
    </r>
    <r>
      <rPr>
        <i/>
        <sz val="13"/>
        <rFont val="Times New Roman"/>
        <family val="1"/>
      </rPr>
      <t>(e.g. chemical explosion, chemical spill, oil spill, exposure to radioactive substances)</t>
    </r>
  </si>
  <si>
    <r>
      <rPr>
        <b/>
        <i/>
        <sz val="12"/>
        <rFont val="Times New Roman"/>
        <family val="1"/>
      </rPr>
      <t>Disaster -</t>
    </r>
    <r>
      <rPr>
        <sz val="12"/>
        <rFont val="Times New Roman"/>
        <family val="1"/>
      </rPr>
      <t xml:space="preserve"> A serious disruption of the functioning of a community or a society involving widespread human, material, economic or environmental losses and impacts, which exceeds the ability of the affected community or society to cope using its own resources. 
</t>
    </r>
    <r>
      <rPr>
        <b/>
        <sz val="12"/>
        <rFont val="Times New Roman"/>
        <family val="1"/>
      </rPr>
      <t>Source of Definition: UNISDR Terminologies. https://www.unisdr.org/files/7817_UNISDRTerminologyEnglish.pdf</t>
    </r>
  </si>
  <si>
    <r>
      <rPr>
        <b/>
        <i/>
        <sz val="12"/>
        <rFont val="Times New Roman"/>
        <family val="1"/>
      </rPr>
      <t>Fire</t>
    </r>
    <r>
      <rPr>
        <i/>
        <sz val="12"/>
        <rFont val="Times New Roman"/>
        <family val="1"/>
      </rPr>
      <t xml:space="preserve"> -</t>
    </r>
    <r>
      <rPr>
        <sz val="12"/>
        <rFont val="Times New Roman"/>
        <family val="1"/>
      </rPr>
      <t xml:space="preserve"> A destructive burning (as of a building). Include in this category urban, industrial or rural fires, but not including wild (forest) fires. Limited to those induced or highly connected to natural phenomena, such as storms, earthquakes, droughts, etc.
</t>
    </r>
    <r>
      <rPr>
        <b/>
        <sz val="12"/>
        <rFont val="Times New Roman"/>
        <family val="1"/>
      </rPr>
      <t>*</t>
    </r>
    <r>
      <rPr>
        <sz val="12"/>
        <rFont val="Times New Roman"/>
        <family val="1"/>
      </rPr>
      <t xml:space="preserve"> Includes forest or bush fires, or burning as consequence of other natural hazard, such as earthquakes.
</t>
    </r>
    <r>
      <rPr>
        <b/>
        <sz val="12"/>
        <rFont val="Times New Roman"/>
        <family val="1"/>
      </rPr>
      <t>**</t>
    </r>
    <r>
      <rPr>
        <sz val="12"/>
        <rFont val="Times New Roman"/>
        <family val="1"/>
      </rPr>
      <t xml:space="preserve"> Includes fires due to human negligence, such as electrical wiring failure
</t>
    </r>
    <r>
      <rPr>
        <b/>
        <sz val="12"/>
        <rFont val="Times New Roman"/>
        <family val="1"/>
      </rPr>
      <t>Source of Definition: ReliefWeb Glossary of Humanitarian Terms. GLIDE Working Group, Global Identifier Number, 2006. https://www.who.int/hac/about/reliefweb-aug2008.pdf</t>
    </r>
  </si>
  <si>
    <r>
      <rPr>
        <b/>
        <i/>
        <sz val="12"/>
        <rFont val="Times New Roman"/>
        <family val="1"/>
      </rPr>
      <t>Flood</t>
    </r>
    <r>
      <rPr>
        <i/>
        <sz val="12"/>
        <rFont val="Times New Roman"/>
        <family val="1"/>
      </rPr>
      <t xml:space="preserve"> - </t>
    </r>
    <r>
      <rPr>
        <sz val="12"/>
        <rFont val="Times New Roman"/>
        <family val="1"/>
      </rPr>
      <t xml:space="preserve">A progressive abnormal increase in the elevation of the surface level of streamflow until it reaches a maximum height from which the level slowly drops to what is its normal level. The sequence described all takes place within a certain period of time.
</t>
    </r>
    <r>
      <rPr>
        <b/>
        <sz val="12"/>
        <rFont val="Times New Roman"/>
        <family val="1"/>
      </rPr>
      <t>Source of Definition: DOST-PAGASA Learning Tools: Floods. bagong.pagasa.dost.gov.ph/learning-tools/floods</t>
    </r>
  </si>
  <si>
    <r>
      <rPr>
        <b/>
        <i/>
        <sz val="12"/>
        <rFont val="Times New Roman"/>
        <family val="1"/>
      </rPr>
      <t>Crime against learners / personnel</t>
    </r>
    <r>
      <rPr>
        <sz val="12"/>
        <rFont val="Times New Roman"/>
        <family val="1"/>
      </rPr>
      <t xml:space="preserve"> - Murder / Homicide, Physical Injuries, etc.
</t>
    </r>
    <r>
      <rPr>
        <b/>
        <sz val="12"/>
        <rFont val="Times New Roman"/>
        <family val="1"/>
      </rPr>
      <t>Source of Definition</t>
    </r>
    <r>
      <rPr>
        <sz val="12"/>
        <rFont val="Times New Roman"/>
        <family val="1"/>
      </rPr>
      <t xml:space="preserve">: </t>
    </r>
    <r>
      <rPr>
        <b/>
        <sz val="12"/>
        <rFont val="Times New Roman"/>
        <family val="1"/>
      </rPr>
      <t>DO No. 23, s. 2014. http://www.deped.gov.ph/wp-content/uploads/2014/04/DO_s2014_023.pdf</t>
    </r>
  </si>
  <si>
    <r>
      <rPr>
        <b/>
        <i/>
        <sz val="12"/>
        <rFont val="Times New Roman"/>
        <family val="1"/>
      </rPr>
      <t xml:space="preserve">Drought </t>
    </r>
    <r>
      <rPr>
        <i/>
        <sz val="12"/>
        <rFont val="Times New Roman"/>
        <family val="1"/>
      </rPr>
      <t xml:space="preserve">- </t>
    </r>
    <r>
      <rPr>
        <sz val="12"/>
        <rFont val="Times New Roman"/>
        <family val="1"/>
      </rPr>
      <t xml:space="preserve">Pronounced absence or marked deficiency of precipitation. It is characterized by a deficiency in water supply that is the result of constantly below average precipitation. 
</t>
    </r>
    <r>
      <rPr>
        <b/>
        <sz val="12"/>
        <rFont val="Times New Roman"/>
        <family val="1"/>
      </rPr>
      <t>Source of Definition: DO No. 23, s. 2014. Enclosure No. 4: Definition of Terms. http://www.deped.gov.ph/wp-content/uploads/2014/04/DO_s2014_023.pdf;
ReliefWeb Glossary of Humanitarian Terms. GLIDE Working Group, Global Identifier Number, 2006. https://www.who.int/hac/about/reliefweb-aug2008.pdf</t>
    </r>
  </si>
  <si>
    <r>
      <rPr>
        <b/>
        <i/>
        <sz val="12"/>
        <rFont val="Times New Roman"/>
        <family val="1"/>
      </rPr>
      <t>Earthquake -</t>
    </r>
    <r>
      <rPr>
        <sz val="12"/>
        <rFont val="Times New Roman"/>
        <family val="1"/>
      </rPr>
      <t xml:space="preserve"> A weak to violent shaking of the ground produced by the sudden movement of rock materials below the earth’s surface that originate from the tectonic plate boundary. Tectonic earthquakes are produced by sudden movement along faults and plate boundaries. Earthquakes induced by rising lava or magma beneath active volcanoes is called volcanic earthquakes.
</t>
    </r>
    <r>
      <rPr>
        <b/>
        <sz val="12"/>
        <rFont val="Times New Roman"/>
        <family val="1"/>
      </rPr>
      <t>Source of Definition: DOST-PHIVOLCS: Introduction to Earthquake. https://www.phivolcs.dost.gov.ph/index.php/earthquake/introduction-to-earthquake</t>
    </r>
  </si>
  <si>
    <r>
      <rPr>
        <b/>
        <i/>
        <sz val="12"/>
        <rFont val="Times New Roman"/>
        <family val="1"/>
      </rPr>
      <t>Human-Induced Hazards -</t>
    </r>
    <r>
      <rPr>
        <sz val="12"/>
        <rFont val="Times New Roman"/>
        <family val="1"/>
      </rPr>
      <t xml:space="preserve">Are induced entirely or predominantly by human activities and choices that adversely affect other persons. The Sendai Framework for Disaster Risk Reduction 2015-2030 categorized these hazards as one of the following: (a) Environmental hazards may include chemical, natural and biological hazards. They can be created by environmental degradation or physical or chemical pollution in the air, water and soil. Examples include soil degradation, deforestation, loss of biodiversity, salinization and sea-level rise. (b) Technological hazards originate from technological or industrial conditions, dangerous procedures, infrastructure failures or specific human activities. Examples include industrial pollution, nuclear radiation, toxic wastes, dam failures, transport accidents, factory explosions, fires and chemical spills. While the UNISDR subjects armed conflicts and other situations of social instability to the International Humanitarian Law and National Legislation, the DRRMS classifies these violent incidents as human-induced. 
</t>
    </r>
    <r>
      <rPr>
        <b/>
        <sz val="12"/>
        <rFont val="Times New Roman"/>
        <family val="1"/>
      </rPr>
      <t>Source of Definition:</t>
    </r>
    <r>
      <rPr>
        <sz val="12"/>
        <rFont val="Times New Roman"/>
        <family val="1"/>
      </rPr>
      <t xml:space="preserve"> </t>
    </r>
    <r>
      <rPr>
        <b/>
        <sz val="12"/>
        <rFont val="Times New Roman"/>
        <family val="1"/>
      </rPr>
      <t>Sendai Framework for Disaster Risk Reduction 2015-2030. https://www.unisdr.org/files/43291_sendaiframeworkfordrren.pdf</t>
    </r>
  </si>
  <si>
    <r>
      <rPr>
        <b/>
        <i/>
        <sz val="12"/>
        <rFont val="Times New Roman"/>
        <family val="1"/>
      </rPr>
      <t xml:space="preserve">Tropical Cyclones </t>
    </r>
    <r>
      <rPr>
        <i/>
        <sz val="12"/>
        <rFont val="Times New Roman"/>
        <family val="1"/>
      </rPr>
      <t xml:space="preserve">- </t>
    </r>
    <r>
      <rPr>
        <sz val="12"/>
        <rFont val="Times New Roman"/>
        <family val="1"/>
      </rPr>
      <t xml:space="preserve">A non-frontal, synoptic-scale cyclone developing over tropical and sub-tropical waters at any level and having a definitely organized circulation. In other parts of the world, these are referred to as hurricanes, typhoons or simply tropical cyclones depending on the region. Includes Tropical Depression, Tropical Storm, Severe Tropical Storm, Typhoon, and Super Typhoon 
</t>
    </r>
    <r>
      <rPr>
        <b/>
        <sz val="12"/>
        <rFont val="Times New Roman"/>
        <family val="1"/>
      </rPr>
      <t>Source of Definition: DOST-PAGASA: About Tropical Cyclones. http://bagong.pagasa.dost.gov.ph/information/about-tropical-cyclone</t>
    </r>
  </si>
  <si>
    <t>Number of times armed conflict occurred in your school and its immediate surroundings.</t>
  </si>
  <si>
    <t>Number of times the following state/non-state actors were involved in the armed conflict incidents.</t>
  </si>
  <si>
    <t>Grave Child Rights Violations (GCRVs)</t>
  </si>
  <si>
    <t>Number of reports of GCRVs within the school and immediate surroundings that were filed through government channels.</t>
  </si>
  <si>
    <r>
      <rPr>
        <b/>
        <i/>
        <sz val="12"/>
        <rFont val="Times New Roman"/>
        <family val="1"/>
      </rPr>
      <t xml:space="preserve">Armed conflict </t>
    </r>
    <r>
      <rPr>
        <sz val="12"/>
        <rFont val="Times New Roman"/>
        <family val="1"/>
      </rPr>
      <t>- refers to armed confrontations occurring between government forces and one or more armed groups, or between such groups arising in the Philippine territory. These shall include activities which may lead to, or are undertaken in preparation of armed confrontation or armed violence that put children‘s lives at risk and their rights violated. (R.A. 11188).
                         -  Armed conflict incidents include armed encounters such as the All-Out-War in 2000, the September 2013 Zamboanga Siege, the 2017 Marawi Siege, among others.</t>
    </r>
    <r>
      <rPr>
        <i/>
        <sz val="12"/>
        <rFont val="Times New Roman"/>
        <family val="1"/>
      </rPr>
      <t xml:space="preserve">
</t>
    </r>
    <r>
      <rPr>
        <b/>
        <i/>
        <sz val="12"/>
        <rFont val="Times New Roman"/>
        <family val="1"/>
      </rPr>
      <t>Source of Definition: R.A. 11188, or the Special Protection of Children in Situations of Armed Conflict (2017)</t>
    </r>
  </si>
  <si>
    <r>
      <rPr>
        <b/>
        <i/>
        <sz val="12"/>
        <rFont val="Times New Roman"/>
        <family val="1"/>
      </rPr>
      <t>Grave Child Rights Violations</t>
    </r>
    <r>
      <rPr>
        <i/>
        <sz val="12"/>
        <rFont val="Times New Roman"/>
        <family val="1"/>
      </rPr>
      <t xml:space="preserve"> - </t>
    </r>
    <r>
      <rPr>
        <sz val="12"/>
        <rFont val="Times New Roman"/>
        <family val="1"/>
      </rPr>
      <t>refers to the offenses committed against children that constitute flagrant violations of their human rights and have severe consequences in their lives.</t>
    </r>
    <r>
      <rPr>
        <i/>
        <sz val="12"/>
        <rFont val="Times New Roman"/>
        <family val="1"/>
      </rPr>
      <t xml:space="preserve">
</t>
    </r>
    <r>
      <rPr>
        <b/>
        <i/>
        <sz val="12"/>
        <rFont val="Times New Roman"/>
        <family val="1"/>
      </rPr>
      <t>Source of Definition: DO No. 57, s. 2017 Policy on the Protection of Children in Armed Conflict, based on UN Security Council Resolution Nos. 1539, 1612, 1882, 1998 http://www.deped.gov.ph/wp-content/uploads/2017/11/DO_s2017_057.pdf</t>
    </r>
  </si>
  <si>
    <r>
      <rPr>
        <b/>
        <i/>
        <sz val="12"/>
        <rFont val="Times New Roman"/>
        <family val="1"/>
      </rPr>
      <t>State and/or Non-State Actors</t>
    </r>
    <r>
      <rPr>
        <i/>
        <sz val="12"/>
        <rFont val="Times New Roman"/>
        <family val="1"/>
      </rPr>
      <t xml:space="preserve"> -</t>
    </r>
    <r>
      <rPr>
        <sz val="12"/>
        <rFont val="Times New Roman"/>
        <family val="1"/>
      </rPr>
      <t xml:space="preserve"> refers to parties involved in non-international armed conflict in which hostilities occur between governmental (state) armed forces and non-governmental (non-state) armed groups or between such groups only.</t>
    </r>
    <r>
      <rPr>
        <i/>
        <sz val="12"/>
        <rFont val="Times New Roman"/>
        <family val="1"/>
      </rPr>
      <t xml:space="preserve">
</t>
    </r>
    <r>
      <rPr>
        <b/>
        <i/>
        <sz val="12"/>
        <rFont val="Times New Roman"/>
        <family val="1"/>
      </rPr>
      <t>Source of Definition: D. Schindler, The Different Types of Armed Conflicts According to the Geneva Conventions and Protocols, RCADI, Vol. 163, 1979-II, p. 147. as cited in International Committee of the Red Cross (ICRC): "How is the Term "Armed Conflict" Defined in International Humanitarian Law?". https://www.icrc.org/en/doc/assets/files/other/opinion-paper-armed-conflict.pdf</t>
    </r>
  </si>
  <si>
    <t>Number of School Days lost due to class suspensions resulting from human-induced hazards, except armed conflict</t>
  </si>
  <si>
    <t>Part 1. DRRM, CCAM, and Peacebuilding Policies</t>
  </si>
  <si>
    <t>School has adopted/ localized existing policies relating to DRRM, CCAM, and Peacebuilding</t>
  </si>
  <si>
    <t>Policy Number</t>
  </si>
  <si>
    <t>A. DRRM-CCAM Policies</t>
  </si>
  <si>
    <t>DO 24 s.2021</t>
  </si>
  <si>
    <t>Guidelines on the Coordination for Establishment of Schools in Resettlement Sites Due to Disasters and/or Emergencies</t>
  </si>
  <si>
    <t>DO 33 s.2021</t>
  </si>
  <si>
    <t>School-based Disaster Preparedness and Response Measures For Tropical Cyclones, Flooding, and Other Weather-related Disturbances and Calamities</t>
  </si>
  <si>
    <t>DM 084 s.2019</t>
  </si>
  <si>
    <t>Observance of the National Disaster Consciousness Month 2019</t>
  </si>
  <si>
    <t>B. Peacebuilding Policies</t>
  </si>
  <si>
    <t>National Policy Framework on Learners and Schools as Zones of Peace</t>
  </si>
  <si>
    <t>Number of learners consulted in the development or enhancement of DRRM, CCAM, and Peacebuilding school-level policies</t>
  </si>
  <si>
    <t>LGU or Barangay Officials</t>
  </si>
  <si>
    <t>NGOs</t>
  </si>
  <si>
    <r>
      <t xml:space="preserve">Number  of  </t>
    </r>
    <r>
      <rPr>
        <b/>
        <u/>
        <sz val="12"/>
        <rFont val="Times New Roman"/>
        <family val="1"/>
      </rPr>
      <t>school-level policies</t>
    </r>
    <r>
      <rPr>
        <sz val="12"/>
        <rFont val="Times New Roman"/>
        <family val="1"/>
      </rPr>
      <t xml:space="preserve">  on  DRRM,  CCAM,  and  Peacebuilding  developed  and  enhanced  in consultation with the following:</t>
    </r>
  </si>
  <si>
    <t>Part 2. DRRM, CCAM, and Peacebuilding Plans</t>
  </si>
  <si>
    <t>(Check the boxes or provide the correct numbers for all DRRM, CCAM, and Peacebuilding Policies)</t>
  </si>
  <si>
    <t>School has a comprehensive School DRRM, CCAM, and Peacebuilding Plan</t>
  </si>
  <si>
    <t>External Partners</t>
  </si>
  <si>
    <t>School DRRM, CCAM, and Peacebuilding Plans considered the needs of learners with disabilities</t>
  </si>
  <si>
    <t xml:space="preserve">School DRRM, CCAM, and Peacebuilding Plans considered Indigenous Knowledge Systems and Practices (IKSP) </t>
  </si>
  <si>
    <t xml:space="preserve">School DRRM, CCAM, and Peacebuilding Plans are gender-sensitive </t>
  </si>
  <si>
    <t>Number of learners who participated in the development of the School DRRM, CCAM, and Peacebuilding Plans</t>
  </si>
  <si>
    <t>Part 3. DRRM, CCAM, and Peacebuilding Organizational and Budget Support</t>
  </si>
  <si>
    <t xml:space="preserve">School has a functional DRRM Team with defined roles and responsibilities </t>
  </si>
  <si>
    <t>School has designated a School DRRM Coordinator</t>
  </si>
  <si>
    <t>Number, cost, and percentage of DRRM, CCAM, and Peacebuilding Programs, Projects, and Activities (PPAs) included in the school's budget</t>
  </si>
  <si>
    <t>Number of PPAs</t>
  </si>
  <si>
    <t>Cost of PPAs</t>
  </si>
  <si>
    <t>% in the School's Budget
(e.g. 99.54%)</t>
  </si>
  <si>
    <t>CCAM - Climate Change
Expenditure Tagging</t>
  </si>
  <si>
    <t>Cost of
PPAs</t>
  </si>
  <si>
    <t>Part 4. Data and Information Management</t>
  </si>
  <si>
    <t>Number of personnel trained on data management</t>
  </si>
  <si>
    <t>Number of trainings conducted for teaching and non-teaching personnel on data management</t>
  </si>
  <si>
    <t>Number of programs developed or enhanced by the school based on research</t>
  </si>
  <si>
    <t xml:space="preserve">School has used DRRMS-developed DRRM-, CCAM-, and Peacebuilding-related software for data collection and reporting </t>
  </si>
  <si>
    <t>Number of evidence-based DRRM-, CCAM-, and Peacebuilding-related research that the school has
undertaken</t>
  </si>
  <si>
    <t>Part 5. Monitoring and Evaluation</t>
  </si>
  <si>
    <t>School carries out monitoring and evaluation to assess sustainable implementation of DRRM, CCAM, and Peacebuilding initiatives</t>
  </si>
  <si>
    <t>School has used the Comprehensive School Safety (CSS) monitoring tool to keep track of their DRRM, CCAM and Peacebuilding initiatives</t>
  </si>
  <si>
    <t>Number of DRRM-, CCAM-, and Peacebuilding-related good practices documented by the school</t>
  </si>
  <si>
    <t>Documented Good Practices</t>
  </si>
  <si>
    <t>DRRM and CCAM</t>
  </si>
  <si>
    <t>Number of programs developed or enhanced by the school as a result of their monitoring and evaluation</t>
  </si>
  <si>
    <r>
      <t>CCAM (Climate Change Adaptation and Mitigation)</t>
    </r>
    <r>
      <rPr>
        <sz val="11"/>
        <rFont val="Times New Roman"/>
        <family val="1"/>
      </rPr>
      <t xml:space="preserve"> - Climate change refers to a change in the state of the climate that can be identified (e.g., by using statistical tests) by changes in the mean and/or the variability of its properties and that persists for an extended period, typically decades or longer. (Intergovernmental Panel on Climate Change). Change of climate which is attributed directly or indirectly to human activity that alters the composition of the global atmosphere and which is in addition to natural climate variability observed over comparable time periods. Adjustments in ecological, social, or economic systems in response to actual or expected climatic stimuli and their effects or impacts. It refers to changes in processes, practices, and structures to moderate potential damages or to benefit from opportunities associated with climate change (United Nations Framework Convention on Climate Change).</t>
    </r>
  </si>
  <si>
    <t>Source of Information: Joint Memorandum Circular No. 2015-01 (July 23, 2015). Revised Guidelines for Tagging / Tracking Climate Change Expenditures in the Local Budget. https://niccdies.climate.gov.ph/files/documents/Local%20CCET%20-DBM-DILG-CCC-.pdf</t>
  </si>
  <si>
    <r>
      <t>Climate Change Adaptation -</t>
    </r>
    <r>
      <rPr>
        <i/>
        <sz val="11"/>
        <rFont val="Times New Roman"/>
        <family val="1"/>
      </rPr>
      <t xml:space="preserve"> a climate change response that intends to reduce the vulnerability of human or natural systems to the impacts of climate change and climate-related risks, by maintaining or increasing adaptive capacity and resilience.</t>
    </r>
  </si>
  <si>
    <r>
      <t xml:space="preserve">Climate Change Mitigation - </t>
    </r>
    <r>
      <rPr>
        <i/>
        <sz val="11"/>
        <rFont val="Times New Roman"/>
        <family val="1"/>
      </rPr>
      <t>a climate change response that aims to reduce greenhouse gas emissions (GHG), directly or indirectly, by avoiding or capturing GHG before they are emitted to the atmosphere or sequestering those already in the atmosphere by enhancing "sinks" such as forests.</t>
    </r>
  </si>
  <si>
    <r>
      <t>EiE (Education in Emergencies)</t>
    </r>
    <r>
      <rPr>
        <sz val="11"/>
        <rFont val="Times New Roman"/>
        <family val="1"/>
      </rPr>
      <t xml:space="preserve"> - refers to the quality learning opportunities for all ages in situations of crisis, including early childhood development, primary, secondary, non-formal, technical, vocational, higher and adult education. Education in emergencies provides physical, psychosocial and cognitive protection that can sustain and save lives.</t>
    </r>
    <r>
      <rPr>
        <b/>
        <i/>
        <sz val="11"/>
        <rFont val="Times New Roman"/>
        <family val="1"/>
      </rPr>
      <t xml:space="preserve">
Source of Definition: International Network for Education in Emergencies Term Bank.
https://toolkit.ineesite.org/termbank/en/terms/education_in_emergencies</t>
    </r>
  </si>
  <si>
    <r>
      <t>DRRM (Disaster Risk Reduction and Management)</t>
    </r>
    <r>
      <rPr>
        <sz val="11"/>
        <rFont val="Times New Roman"/>
        <family val="1"/>
      </rPr>
      <t xml:space="preserve"> - is the systemic process of using administrative directives, organizations, and operational skills and capacities to implement strategies, policies, and improved coping capacities in order to lessen the adverse impacts of hazards and the possibility of a disaster.</t>
    </r>
    <r>
      <rPr>
        <b/>
        <i/>
        <sz val="11"/>
        <rFont val="Times New Roman"/>
        <family val="1"/>
      </rPr>
      <t xml:space="preserve">
Source of Definition: DO No. 37, s. 2015 The Comprehensive Disaster Risk Reduction and Management in Education Framework.
http://www.deped.gov.ph/wp-content/uploads/2015/08/DO_s2015_37.pdf</t>
    </r>
  </si>
  <si>
    <r>
      <t>Peacebuilding</t>
    </r>
    <r>
      <rPr>
        <sz val="11"/>
        <rFont val="Times New Roman"/>
        <family val="1"/>
      </rPr>
      <t xml:space="preserve"> - refers to a process that facilitates the establishment of durable peace and tries to prevent the recurrence of violence by addressing root causes and effects of conflict through reconciliation, institution building, and political as well as economic transformation. This consists of a set of physical, social, and structural initiatives that are often an integral part of post-conflict reconstruction and rehabilitation.
</t>
    </r>
    <r>
      <rPr>
        <b/>
        <i/>
        <sz val="11"/>
        <rFont val="Times New Roman"/>
        <family val="1"/>
      </rPr>
      <t>Source of Definition: UNICEF Technical Notes on Conflict Sensitivity and Peacebuilding.
http://www.unicefinemergencies.com/downloads/eresource/docs/KRR/UNICEF%20Technical%20Note%20on%20Conflict%20Sensitivity%20and%20Peacebuilding.pdf</t>
    </r>
  </si>
  <si>
    <r>
      <t>NGOs (Non-Government Organizations) and External Partners</t>
    </r>
    <r>
      <rPr>
        <sz val="11"/>
        <rFont val="Times New Roman"/>
        <family val="1"/>
      </rPr>
      <t xml:space="preserve"> - refers to organizations both public and private, for-profit and non-profit, and other funding sources (private foundations and federal, state, and local monies) that the schools have partnered with and were funded for research and conceptual development activities; includes organizations such as Save the Children and UNICEF, among others.</t>
    </r>
  </si>
  <si>
    <r>
      <t>Teaching Personnel</t>
    </r>
    <r>
      <rPr>
        <sz val="11"/>
        <rFont val="Times New Roman"/>
        <family val="1"/>
      </rPr>
      <t xml:space="preserve"> - refers to school personnel that includes Teacher I-III, Master Teacher I-IV, SPED Teacher I-V, Special Science Teacher, and Instructor I-III</t>
    </r>
    <r>
      <rPr>
        <b/>
        <i/>
        <sz val="11"/>
        <rFont val="Times New Roman"/>
        <family val="1"/>
      </rPr>
      <t>.</t>
    </r>
  </si>
  <si>
    <r>
      <t>Non-Teaching Personnel</t>
    </r>
    <r>
      <rPr>
        <sz val="11"/>
        <rFont val="Times New Roman"/>
        <family val="1"/>
      </rPr>
      <t xml:space="preserve"> - refers to school personnel that includes School Principal I-IV, Head Teacher I-VI, Guidance Coordinator I-III, Guidance Counselor I-III, Administrative Assistant II-III (Disbursing Officer and Senior Bookkeeper), Security Guard, and Utility Worker I</t>
    </r>
    <r>
      <rPr>
        <b/>
        <i/>
        <sz val="11"/>
        <rFont val="Times New Roman"/>
        <family val="1"/>
      </rPr>
      <t>.</t>
    </r>
  </si>
  <si>
    <t>(Check the boxes or provide the correct numbers for all DRRM, CCAM, and Peacebuilding initiatives conducted)</t>
  </si>
  <si>
    <t>Part 1. School Safety, and Disaster Prevention and Mitigation</t>
  </si>
  <si>
    <t>Number of identified safe and unsafe instructional and non-instructional spaces</t>
  </si>
  <si>
    <t>Learning Facilities</t>
  </si>
  <si>
    <t>Safe</t>
  </si>
  <si>
    <t>Unsafe</t>
  </si>
  <si>
    <t>Instructional Spaces</t>
  </si>
  <si>
    <t>Non-instructional Spaces</t>
  </si>
  <si>
    <t>Number of instructional spaces retroffited</t>
  </si>
  <si>
    <t>Number of non-instructional spaces retroffited</t>
  </si>
  <si>
    <t>Number of instructional spaces constructed using inclusive and resilient designs</t>
  </si>
  <si>
    <t>Number of non-instructional spaces constructed using inclusive and resilient designs</t>
  </si>
  <si>
    <t>Flood Wall</t>
  </si>
  <si>
    <t>Fire Wall</t>
  </si>
  <si>
    <t>Sea Wall</t>
  </si>
  <si>
    <t>Slope Protection</t>
  </si>
  <si>
    <t>Non- structural slope protection</t>
  </si>
  <si>
    <t>Vegetation (e.g. mangrove, shrubs, and trees)</t>
  </si>
  <si>
    <t>Porous Landscaping</t>
  </si>
  <si>
    <t>Pruning of trees</t>
  </si>
  <si>
    <t>School conducts regular inspection of instructional and non-instructional spaces</t>
  </si>
  <si>
    <t>School Head has allotted budget for routine maintenance of instructional and non-instructional spaces</t>
  </si>
  <si>
    <t>School has undertaken regular repair of damaged instructional and non-instructional spaces</t>
  </si>
  <si>
    <t>Part 2. Rehabilitation and Recovery</t>
  </si>
  <si>
    <t>School has placed safety precautions for all new and ongoing building construction (e.g. fencing, signages, access)</t>
  </si>
  <si>
    <t>Basic Education Facilities Fund</t>
  </si>
  <si>
    <t>Quick Response Fund</t>
  </si>
  <si>
    <t>National Disaster Risk Reduction and Management Fund</t>
  </si>
  <si>
    <r>
      <t>Basic Educational Facilities Fund</t>
    </r>
    <r>
      <rPr>
        <sz val="11"/>
        <rFont val="Times New Roman"/>
        <family val="1"/>
      </rPr>
      <t xml:space="preserve"> - is an annual budget of the Department for its School Building Program, which covers the improvement and maintenance of school facilities. </t>
    </r>
    <r>
      <rPr>
        <b/>
        <i/>
        <sz val="11"/>
        <rFont val="Times New Roman"/>
        <family val="1"/>
      </rPr>
      <t xml:space="preserve">
Source of Definition: DO No. 35, s. 2017 Revised Guidelines on the Implementation of the Basic Educational Facilities Fund</t>
    </r>
  </si>
  <si>
    <r>
      <t>Instructional Spaces</t>
    </r>
    <r>
      <rPr>
        <sz val="11"/>
        <rFont val="Times New Roman"/>
        <family val="1"/>
      </rPr>
      <t xml:space="preserve"> - these spaces are designed to directly accommodate the educational program. The basic instructional spaces for elementary schools are classrooms and work education shops or multi-purpose buildings for Home Economics and Industrial Arts Classes. However, for secondary schools offering general curriculum, the basic instructional spaces are classrooms, computer rooms, science laboratories, and Technology and Livelihood Education (TLE) shops. In secondary vocational schools, basic instructional spaces also include specialized shops. Other spaces such as libraries, learning centers, gymnasiums, and similar spaces are classified as instructional spaces when they are used directly in conjunction with the curriculum. In line with the changing curriculum, a modular type of school building has been designed to include components for home economics, industrial arts, agricultural arts, etc. in one building unit known as multipurpose workshop building.</t>
    </r>
    <r>
      <rPr>
        <b/>
        <i/>
        <sz val="11"/>
        <rFont val="Times New Roman"/>
        <family val="1"/>
      </rPr>
      <t xml:space="preserve">
Source of Definition: DepEd Educational Facilities Manual</t>
    </r>
  </si>
  <si>
    <r>
      <t>National Disaster Risk Reduction and Management Fund</t>
    </r>
    <r>
      <rPr>
        <sz val="11"/>
        <rFont val="Times New Roman"/>
        <family val="1"/>
      </rPr>
      <t xml:space="preserve"> - refers to the appropriation in the annual GAA which shall be used for disaster risk reduction or mitigation, prevention and preparedness activities such as but not limited to training of personnel, procurement of equipment, and capital expenditures as well as for relief, recovery, reconstruction and other work or services in connection with natural or human induced calamities which may occur during the budget year or those that occurred in the past two (2) years from the budget year.</t>
    </r>
    <r>
      <rPr>
        <b/>
        <i/>
        <sz val="11"/>
        <rFont val="Times New Roman"/>
        <family val="1"/>
      </rPr>
      <t xml:space="preserve">
Source of Definition: National Disaster RIsk Reduction and Management Council Memorandum Circular No. 45, s. 2017 
Guidelines on the Administration of the National Disaster Risk Reduction and Management (NDRRM) Fund
https://ndrrmc.gov.ph/attachments/article/3103/Memo_No-45_s-2017.pdf</t>
    </r>
  </si>
  <si>
    <r>
      <t>Non-instructional Spaces</t>
    </r>
    <r>
      <rPr>
        <sz val="11"/>
        <rFont val="Times New Roman"/>
        <family val="1"/>
      </rPr>
      <t xml:space="preserve"> - refers to administrative, non-programmed, and service spaces within the school, including ancillary facilities.
- The administrative and services spaces are those which serve to facilitate administrative and administration-related functions and services such as administrative offices, canteens, or lunch counters, medical-dental clinics, guidance room, dormitories, etc.
- Non-programmed spaces are those which are not directly related to the implementation of the educational program and administrative functions or services such as lobbies, corridors, stairs, etc.
- Ancillary facilities are one of a group of buildings having a secondary or dependent use, such as an annex.
</t>
    </r>
    <r>
      <rPr>
        <b/>
        <i/>
        <sz val="11"/>
        <rFont val="Times New Roman"/>
        <family val="1"/>
      </rPr>
      <t>Source of Definition: DepEd Educational Facilities Manual</t>
    </r>
  </si>
  <si>
    <r>
      <t>Quick Response Fund</t>
    </r>
    <r>
      <rPr>
        <sz val="11"/>
        <rFont val="Times New Roman"/>
        <family val="1"/>
      </rPr>
      <t xml:space="preserve"> - is a lump sum amount included in DepEd’s budget fully allocated for repair, reconstruction, or replacement of school building and facilities affected by calamities.</t>
    </r>
    <r>
      <rPr>
        <b/>
        <i/>
        <sz val="11"/>
        <rFont val="Times New Roman"/>
        <family val="1"/>
      </rPr>
      <t xml:space="preserve">
Source of Definition: https://www.officialgazette.gov.ph/2011/05/09/deped-issues-strict-guidelines-on-use-of-quick-response-fund/uick </t>
    </r>
  </si>
  <si>
    <r>
      <t>Rehabilitation</t>
    </r>
    <r>
      <rPr>
        <sz val="11"/>
        <rFont val="Times New Roman"/>
        <family val="1"/>
      </rPr>
      <t xml:space="preserve"> - measures that ensure the ability of affected communities/areas to restore their normal level of functioning by rebuilding livelihood and damaged nfrastructures and increasing the communities' organizational capacity.</t>
    </r>
    <r>
      <rPr>
        <b/>
        <i/>
        <sz val="11"/>
        <rFont val="Times New Roman"/>
        <family val="1"/>
      </rPr>
      <t xml:space="preserve">
Source of Definition: DO No. 65, s. 2017 Guidelines on the Conduct of Post Disaster Needs Assessment in the Education Sector</t>
    </r>
  </si>
  <si>
    <r>
      <t>Rehabilitation (of building)</t>
    </r>
    <r>
      <rPr>
        <sz val="11"/>
        <rFont val="Times New Roman"/>
        <family val="1"/>
      </rPr>
      <t xml:space="preserve"> - the general overhauling or the comprehensive repair of the whole building or a major section of it to restore its original or previous condition.</t>
    </r>
    <r>
      <rPr>
        <b/>
        <i/>
        <sz val="11"/>
        <rFont val="Times New Roman"/>
        <family val="1"/>
      </rPr>
      <t xml:space="preserve">
Source of Definition: DepEd Educational Facilities Manual</t>
    </r>
  </si>
  <si>
    <r>
      <t xml:space="preserve">Retrofit </t>
    </r>
    <r>
      <rPr>
        <sz val="11"/>
        <rFont val="Times New Roman"/>
        <family val="1"/>
      </rPr>
      <t xml:space="preserve">- the process of modifying an existing structure to render it more resilient to the hazard effects. </t>
    </r>
    <r>
      <rPr>
        <b/>
        <i/>
        <sz val="11"/>
        <rFont val="Times New Roman"/>
        <family val="1"/>
      </rPr>
      <t xml:space="preserve">
Source of Definition: DepEd Educational Facilities Manual</t>
    </r>
  </si>
  <si>
    <r>
      <t>Risk Assessmen</t>
    </r>
    <r>
      <rPr>
        <sz val="11"/>
        <rFont val="Times New Roman"/>
        <family val="1"/>
      </rPr>
      <t xml:space="preserve">t - this process includes identification of the hazards present in the location and an assessment of their potential impacts and effects on the built environment based on existing or anticipated vulnerabilities and potential losses. </t>
    </r>
    <r>
      <rPr>
        <b/>
        <i/>
        <sz val="11"/>
        <rFont val="Times New Roman"/>
        <family val="1"/>
      </rPr>
      <t xml:space="preserve">
Source of Definition: DepEd Educational Facilities Manual</t>
    </r>
  </si>
  <si>
    <r>
      <t>Unsafe Classroom</t>
    </r>
    <r>
      <rPr>
        <sz val="11"/>
        <rFont val="Times New Roman"/>
        <family val="1"/>
      </rPr>
      <t xml:space="preserve"> - refers to classrooms that have one or a combination of hazards listed in the School Watching Checklist.</t>
    </r>
    <r>
      <rPr>
        <b/>
        <i/>
        <sz val="11"/>
        <rFont val="Times New Roman"/>
        <family val="1"/>
      </rPr>
      <t xml:space="preserve">
Source of Definition: DO No. 23, s. 2015 Student-led School Watching and Hazard Mapping</t>
    </r>
  </si>
  <si>
    <t>Part 1. School-level Risk Assessment, Plans, and Partnerships</t>
  </si>
  <si>
    <t>School has conducted Student-led School Watching and Hazard Mapping</t>
  </si>
  <si>
    <t>School has incorporated results of Student-led School Watching and Hazard Mapping in the School DRRM, CCAM, and Peacebuilding Plans and SIP</t>
  </si>
  <si>
    <t>School Watching Team made use of available hazard maps in coordination with concerned agencies such as of PHIVOLCS, MGB, PAGASA and LGUs for the Student-led School Watching and Hazard Mapping</t>
  </si>
  <si>
    <t>School Watching Team presented and submitted the results of Student-led School Watching and Hazard Mapping to the School Planning Team</t>
  </si>
  <si>
    <t>School Planning Team has linked the results of the School Watching and Hazard Mapping with the school's education data to better understand its risk</t>
  </si>
  <si>
    <t>Human-induced Hazards:</t>
  </si>
  <si>
    <t>7a. Standard Contents:</t>
  </si>
  <si>
    <t>Hazard and Vulnerabilty Assessment with baseline data</t>
  </si>
  <si>
    <t>Evacuation Plan</t>
  </si>
  <si>
    <t>Student-Family Reunification Plan that is disseminated to learners, teachers and parents</t>
  </si>
  <si>
    <t>Established tracking system of learners and personnel in the event of a disaster</t>
  </si>
  <si>
    <t>Response and early recovery measures</t>
  </si>
  <si>
    <t>Pre-identified spaces for putting up of TLS and WASH facilities</t>
  </si>
  <si>
    <t>Pre-identified spaces for evacuation center</t>
  </si>
  <si>
    <t>Identified instructional and non-instructional spaces to be used as temporary evacuation centers for disasters/ emergencies, if applicable</t>
  </si>
  <si>
    <t>Class resumption strategies</t>
  </si>
  <si>
    <t>List of available safety and emergency supplies and equipment</t>
  </si>
  <si>
    <t>List of partners to be mobilized in the event of a disaster/ emergency</t>
  </si>
  <si>
    <t xml:space="preserve">Established DRRM Team with defined roles and responsibilities </t>
  </si>
  <si>
    <t>Lockdown Protocol in cases of armed conflict</t>
  </si>
  <si>
    <t>7b. COVID-19 Considerations:</t>
  </si>
  <si>
    <t>Pre-identified spaces to be used as quarantine or isolation facilities and other COVID-19 related activities</t>
  </si>
  <si>
    <t>Health and Safety Protocols</t>
  </si>
  <si>
    <t>List of available Personal Protective Equipment (PPE)</t>
  </si>
  <si>
    <t>Management of COVID-19 cases, including coordination with the LGU</t>
  </si>
  <si>
    <t>School has documented a Memorandum of Understanding or Memorandum of Agreement with the LGU and DSWD for the use of its facilities as evacuation centers following the JMC No. 1, s. 2013 and RA 10821</t>
  </si>
  <si>
    <t>School has documented Terms and Conditions for the use its facilities as quarantine or isolation areas for COVID-19, following DepEd Office Memorandum OM-OSEC-2020-02</t>
  </si>
  <si>
    <t>School has presented the results of the Family Earthquake Preparedness Plan to the PTA and LGU</t>
  </si>
  <si>
    <t>School has developed and implemented a DRRM Communication Plan</t>
  </si>
  <si>
    <t>School implemented DRRM, CCAM, and Peacebuilding PPAs with partners</t>
  </si>
  <si>
    <t>School has participated in the different DRRM, CCAM, and Peacebuilding activities of the LGUs and other partners</t>
  </si>
  <si>
    <t>Number of partners mobilized to support the school's DRRM and CCAM PPAs, including those after a disaster/ emergency</t>
  </si>
  <si>
    <t>Number of partners mobilized to support the school's Peacebuilding programs and activities, including those after an armed conflict</t>
  </si>
  <si>
    <t>Number of DRRM, CCAM, and Peacebuilding PPAs the school has implemented with partners</t>
  </si>
  <si>
    <t>Number of DRRM, CCAM, and Peacebuilding trainings conducted by partners for teaching and non-teaching personnel</t>
  </si>
  <si>
    <t>Part 2. Disaster Preparedness</t>
  </si>
  <si>
    <t>School has conducted Brigada Eskwela to ensure school safety and that disaster preparedness measures are in place</t>
  </si>
  <si>
    <t>School is provided with safety and emergency supplies and equipment from DepEd and partners</t>
  </si>
  <si>
    <t>School has a functional early warning system to inform learners and personnel of natural and human-induced hazards 
(e.g. protocol, warning signs, devices, IEC)</t>
  </si>
  <si>
    <t>Number of safety and emergency, response, and rescue supplies and equipment in the schools provided by DepEd and partners</t>
  </si>
  <si>
    <t>Hazard-specific Drills</t>
  </si>
  <si>
    <t>2-fold Aluminum Stretcher</t>
  </si>
  <si>
    <t>Cadaver bag</t>
  </si>
  <si>
    <t>Cot (Battlefield Bed)</t>
  </si>
  <si>
    <t>CPR board</t>
  </si>
  <si>
    <t>First Aid Kit for each learner</t>
  </si>
  <si>
    <t>Handheld / Base Radios</t>
  </si>
  <si>
    <t>LED flashlight rechargeable</t>
  </si>
  <si>
    <t>LED search light, 850 lumens</t>
  </si>
  <si>
    <t>Medical cushion</t>
  </si>
  <si>
    <t>Portable P.A. system</t>
  </si>
  <si>
    <t>Safety Helmet</t>
  </si>
  <si>
    <t>Steel boxes</t>
  </si>
  <si>
    <t xml:space="preserve">Steel cabinets </t>
  </si>
  <si>
    <t>Traffic Vest</t>
  </si>
  <si>
    <t>Transport bags, 45 L</t>
  </si>
  <si>
    <t>Universal head immobilizer</t>
  </si>
  <si>
    <t>Go bag with Multi-Tool for
each learner</t>
  </si>
  <si>
    <t>Go bag with Multi-Tool for
each personnel</t>
  </si>
  <si>
    <t>First Aid Kit for each
personnel</t>
  </si>
  <si>
    <t>Plastic Spine Board with
Safety Belts</t>
  </si>
  <si>
    <t>Trauma Bag with contents
for 20 - 25 persons</t>
  </si>
  <si>
    <t>Bicycle</t>
  </si>
  <si>
    <t>Fire Cabinet</t>
  </si>
  <si>
    <t>Fire Hose</t>
  </si>
  <si>
    <t>Life Vest (For coastal and island schools only)</t>
  </si>
  <si>
    <t>Motor Banca (For coastal and island schools only)</t>
  </si>
  <si>
    <t>Power Sprayer</t>
  </si>
  <si>
    <t>Emergency Supplies
and Equipment</t>
  </si>
  <si>
    <t xml:space="preserve">B.
</t>
  </si>
  <si>
    <t>Response and Rescue
Supplies and Equipment</t>
  </si>
  <si>
    <t xml:space="preserve">A.
</t>
  </si>
  <si>
    <t>Number of school personnel that participated in the hazard-specific drills</t>
  </si>
  <si>
    <t>Number of learners that participated in the hazard-specific drills</t>
  </si>
  <si>
    <t>IP Learners</t>
  </si>
  <si>
    <t>Muslim Learners</t>
  </si>
  <si>
    <t>Learners with
Disability</t>
  </si>
  <si>
    <t>School conducted Brigada Eskwela in the aftermath of a disaster/ emergency to ensure learning continuity</t>
  </si>
  <si>
    <t>School submitted Rapid Assessment of Damage Report (RADAR) to the DRRMS Central Office, within 72 hours after the onslaught of a hazard in the area, if affected by a disaster</t>
  </si>
  <si>
    <t>Number of response interventions received from the following:</t>
  </si>
  <si>
    <t>4a. From the DRRMS (through the Division Office)</t>
  </si>
  <si>
    <t>Number of response interventions received</t>
  </si>
  <si>
    <t>Date/s Received (mm/dd/yyyy)</t>
  </si>
  <si>
    <t>Fund Support for Clean-up and Minor Repairs</t>
  </si>
  <si>
    <t>Fund Support for Temporary Learning Spaces</t>
  </si>
  <si>
    <t>Fund Support for Temporary WASH</t>
  </si>
  <si>
    <t>Fund Support for Emergency School Feeding</t>
  </si>
  <si>
    <t>Hygiene Kits</t>
  </si>
  <si>
    <t>Learners' Kits</t>
  </si>
  <si>
    <t>Teachers' Kits</t>
  </si>
  <si>
    <t>Materials for Alternative Delivery Modes</t>
  </si>
  <si>
    <t>4b. From Partners</t>
  </si>
  <si>
    <t>Donations in cash or in-kind</t>
  </si>
  <si>
    <t>Emergency School Feeding</t>
  </si>
  <si>
    <t>Materials for MHPSS</t>
  </si>
  <si>
    <t>Temporary Learning Spaces or Tents</t>
  </si>
  <si>
    <t>Temporary WASH Facilities</t>
  </si>
  <si>
    <t>School has implemented resumption strategies and Alternative Delivery Modes to ensure education continuity due to a disaster resulting from natural hazards</t>
  </si>
  <si>
    <t>School has implemented resumption strategies and Alternative Delivery Modes to ensure education continuity due to emergencies resulting from armed conflict</t>
  </si>
  <si>
    <t>Class Shifting</t>
  </si>
  <si>
    <t>Make-up Classes</t>
  </si>
  <si>
    <t>Modular Learning</t>
  </si>
  <si>
    <t>Online Learning</t>
  </si>
  <si>
    <t>Peer Group Learning</t>
  </si>
  <si>
    <t>Programmed Teaching</t>
  </si>
  <si>
    <t>Resumption Strategies</t>
  </si>
  <si>
    <t>Number of Days</t>
  </si>
  <si>
    <t>Home School</t>
  </si>
  <si>
    <t>Night High School</t>
  </si>
  <si>
    <t>Open High School Program</t>
  </si>
  <si>
    <t>Part 3a. Disaster Response</t>
  </si>
  <si>
    <t>Part 3b. Disaster Response</t>
  </si>
  <si>
    <r>
      <t xml:space="preserve">Learners
 </t>
    </r>
    <r>
      <rPr>
        <b/>
        <u/>
        <sz val="12"/>
        <color theme="1"/>
        <rFont val="Times New Roman"/>
        <family val="1"/>
      </rPr>
      <t>EXCLUDING</t>
    </r>
    <r>
      <rPr>
        <b/>
        <sz val="10"/>
        <color theme="1"/>
        <rFont val="Times New Roman"/>
        <family val="1"/>
      </rPr>
      <t xml:space="preserve"> IP,
Muslim and Learners
with Disability</t>
    </r>
  </si>
  <si>
    <t>Number of MHPSS interventions for learners and personnel funded and conducted by partners</t>
  </si>
  <si>
    <t>Number of local groups/ stakeholders that are mobilized by the school for response, rehabilitation and recovery</t>
  </si>
  <si>
    <t>School has received replacement of damaged school furniture due to disasters/ emergencies</t>
  </si>
  <si>
    <t>School has received replacement of damaged DepEd Computerization Program (DCP) due to disasters/ emergencies</t>
  </si>
  <si>
    <t>School has received replacement of damaged learning resources due to disasters/ emergencies</t>
  </si>
  <si>
    <t>School has utilized established feedback and accountability mechanisms for learners to report issues and concerns, observations, and good practices on response, rehabilitation and recovery interventions</t>
  </si>
  <si>
    <r>
      <t>Bomb Threats / Bombing</t>
    </r>
    <r>
      <rPr>
        <sz val="12"/>
        <rFont val="Times New Roman"/>
        <family val="1"/>
      </rPr>
      <t xml:space="preserve"> - refers to a threat or actual detonation of an explosive or incendiary device to cause property damage, death, or injuries.</t>
    </r>
    <r>
      <rPr>
        <b/>
        <i/>
        <sz val="12"/>
        <rFont val="Times New Roman"/>
        <family val="1"/>
      </rPr>
      <t xml:space="preserve">
Indiana University: Emergency Planning
Source of Definition: https://protect.iu.edu/emergency-planning/procedures/bomb-threats.html</t>
    </r>
  </si>
  <si>
    <r>
      <t>Child-centred approach</t>
    </r>
    <r>
      <rPr>
        <sz val="12"/>
        <rFont val="Times New Roman"/>
        <family val="1"/>
      </rPr>
      <t xml:space="preserve"> - Placing the child at the notional centre of the learning process in which they are active participants. Involves giving children choices of learning activities, with the teacher acting as facilitator of learning. </t>
    </r>
    <r>
      <rPr>
        <b/>
        <i/>
        <sz val="12"/>
        <rFont val="Times New Roman"/>
        <family val="1"/>
      </rPr>
      <t xml:space="preserve">
Source of Definition: United Nations Educational, Scientific and Cultural Organization</t>
    </r>
  </si>
  <si>
    <r>
      <t>Civilian Violence</t>
    </r>
    <r>
      <rPr>
        <sz val="12"/>
        <rFont val="Times New Roman"/>
        <family val="1"/>
      </rPr>
      <t xml:space="preserve"> - refers to the use of physical force brought by a noncombatant person, so as to injure, abuse, damage, or destroy. This includes crimes against school heads, teachers, learners, and school property. </t>
    </r>
    <r>
      <rPr>
        <b/>
        <i/>
        <sz val="12"/>
        <rFont val="Times New Roman"/>
        <family val="1"/>
      </rPr>
      <t xml:space="preserve">
Merriam-Webster Dictionary
Source of Definition: https://www.merriam-webster.com/dictionary/violence</t>
    </r>
  </si>
  <si>
    <r>
      <t>Early Warning</t>
    </r>
    <r>
      <rPr>
        <sz val="12"/>
        <rFont val="Times New Roman"/>
        <family val="1"/>
      </rPr>
      <t xml:space="preserve"> - The provision of timely and effective information, through identified institutions, that allows individuals exposed to a hazard to take action to avoid or reduce their risk and prepare for effective response.</t>
    </r>
    <r>
      <rPr>
        <b/>
        <i/>
        <sz val="12"/>
        <rFont val="Times New Roman"/>
        <family val="1"/>
      </rPr>
      <t xml:space="preserve"> (International Strategy for Disaster Risk Reduction)</t>
    </r>
  </si>
  <si>
    <r>
      <t xml:space="preserve">Emergency </t>
    </r>
    <r>
      <rPr>
        <i/>
        <sz val="12"/>
        <rFont val="Times New Roman"/>
        <family val="1"/>
      </rPr>
      <t xml:space="preserve">- A sudden and usually unforeseen event that calls for immediate measures to minimize its adverse consequences. </t>
    </r>
    <r>
      <rPr>
        <b/>
        <i/>
        <sz val="12"/>
        <rFont val="Times New Roman"/>
        <family val="1"/>
      </rPr>
      <t xml:space="preserve">
Source of Definition:United Nations Department of Humanitarian Affairs </t>
    </r>
  </si>
  <si>
    <r>
      <t>Evacuation Center</t>
    </r>
    <r>
      <rPr>
        <sz val="12"/>
        <rFont val="Times New Roman"/>
        <family val="1"/>
      </rPr>
      <t xml:space="preserve"> - refers to a safe site, building or center  hosting internally displaced persons, which includes covered courts, barangay or community halls, camping areas, collective centers, multi-purpose centers, established “tent cities” or schools.</t>
    </r>
    <r>
      <rPr>
        <b/>
        <i/>
        <sz val="12"/>
        <rFont val="Times New Roman"/>
        <family val="1"/>
      </rPr>
      <t xml:space="preserve">
Source of Definition: DSWD-DILG-DOH-DepEd- Joint Memorandum No. 1, S. 2013 on the Guidelines on Evacuation Center Coordination and Management, Part III. </t>
    </r>
  </si>
  <si>
    <r>
      <t>Hazard Mapping</t>
    </r>
    <r>
      <rPr>
        <sz val="12"/>
        <rFont val="Times New Roman"/>
        <family val="1"/>
      </rPr>
      <t xml:space="preserve"> - The process of mapping hazard information within a study area of varying scale, coverage, and detail. </t>
    </r>
    <r>
      <rPr>
        <b/>
        <i/>
        <sz val="12"/>
        <rFont val="Times New Roman"/>
        <family val="1"/>
      </rPr>
      <t xml:space="preserve">
Source of Definition: United Nations Human Settlements Programme</t>
    </r>
  </si>
  <si>
    <r>
      <t xml:space="preserve">Modified In-School, Off-School Approach (MISOSA) </t>
    </r>
    <r>
      <rPr>
        <sz val="12"/>
        <rFont val="Times New Roman"/>
        <family val="1"/>
      </rPr>
      <t>aims to: (i) solve congestion in schools with big enrolment; (ii) address the need of children for adequate learning materials; (iii) mobilize and strengthen community support; and (iv) improve students’ performance.</t>
    </r>
    <r>
      <rPr>
        <b/>
        <i/>
        <sz val="12"/>
        <rFont val="Times New Roman"/>
        <family val="1"/>
      </rPr>
      <t xml:space="preserve">
Source of Definition: UNICEF Evaluation on Alternative Delivery Modes.
https://www.unicef.org/evaldatabase/files/Philippines_ADM_Evaluationl_Philippines-2012-001.pdf</t>
    </r>
  </si>
  <si>
    <r>
      <t>Open High School</t>
    </r>
    <r>
      <rPr>
        <sz val="12"/>
        <rFont val="Times New Roman"/>
        <family val="1"/>
      </rPr>
      <t xml:space="preserve"> - an alternative mode of delivering secondary education for both public and private schools. It puts premium on independent, self-pacing and flexible study to reach learners who are unable to start or complete secondary education due to problems of time, distance, physical impairment, financial difficulties, social or family problems.</t>
    </r>
    <r>
      <rPr>
        <b/>
        <i/>
        <sz val="12"/>
        <rFont val="Times New Roman"/>
        <family val="1"/>
      </rPr>
      <t xml:space="preserve">
Source of Definition: DepEd Order No. 46, s. 2006 Guidelines on the Implementation of the Open High School Program. http://www.deped.gov.ph/wp-content/uploads/2006/11/DO_s2006_46.pdf</t>
    </r>
  </si>
  <si>
    <r>
      <t xml:space="preserve">Preparedness </t>
    </r>
    <r>
      <rPr>
        <sz val="12"/>
        <rFont val="Times New Roman"/>
        <family val="1"/>
      </rPr>
      <t xml:space="preserve">- The capacities and knowledge developed by governments, professional response organizations, communities and individuals to anticipate and respond effectively to the impact of likely, imminent or current hazard events or conditions. </t>
    </r>
    <r>
      <rPr>
        <b/>
        <i/>
        <sz val="12"/>
        <rFont val="Times New Roman"/>
        <family val="1"/>
      </rPr>
      <t xml:space="preserve">
Source of Definition: International Strategy for Disaster Risk Reduction</t>
    </r>
  </si>
  <si>
    <r>
      <t>Referral</t>
    </r>
    <r>
      <rPr>
        <sz val="12"/>
        <rFont val="Times New Roman"/>
        <family val="1"/>
      </rPr>
      <t xml:space="preserve"> - is one of the guidance services where learners are facilitated to avail other assistance or services that address their mental health or other concerns. This requires a wide range of internal partners (i.e. counselors, teachers, nurses, and school administrators), external partners (i.e. government, nongovernment agencies, organizations), and individuals in different professions, fields and interest.</t>
    </r>
    <r>
      <rPr>
        <b/>
        <i/>
        <sz val="12"/>
        <rFont val="Times New Roman"/>
        <family val="1"/>
      </rPr>
      <t xml:space="preserve">
Source of Definition: DepEd Memorandum DM-OUCI-2021-055.</t>
    </r>
  </si>
  <si>
    <r>
      <t>Resilience</t>
    </r>
    <r>
      <rPr>
        <sz val="12"/>
        <rFont val="Times New Roman"/>
        <family val="1"/>
      </rPr>
      <t xml:space="preserve"> - The capacity of a system, community or society potentially exposed to hazards to resist, adapt, and recover from hazard events, and to restore an acceptable level of functioning and structure. </t>
    </r>
    <r>
      <rPr>
        <b/>
        <i/>
        <sz val="12"/>
        <rFont val="Times New Roman"/>
        <family val="1"/>
      </rPr>
      <t xml:space="preserve">
Source of Definition: International Strategy for Disaster Risk Reduction</t>
    </r>
  </si>
  <si>
    <r>
      <t>Temporary Learning Spaces</t>
    </r>
    <r>
      <rPr>
        <sz val="12"/>
        <rFont val="Times New Roman"/>
        <family val="1"/>
      </rPr>
      <t xml:space="preserve"> - refers to spaces or structures that is established in transitional sites, permanent relocation sites, or in damaged schools, which is intended for the immediate resumption of formal and non-formal education to ensure continuity of learning of children while awaiting the construction or repair  of permanent classrooms. This includes space for supervised neighborhood play services for preschoolers and learning activities for school-aged children.</t>
    </r>
    <r>
      <rPr>
        <b/>
        <i/>
        <sz val="12"/>
        <rFont val="Times New Roman"/>
        <family val="1"/>
      </rPr>
      <t xml:space="preserve">
Implementing Rules  and Regulation (IRR) of RA 10821 “Children’s Emergency Relief and Protection Act”. </t>
    </r>
  </si>
  <si>
    <r>
      <t>Temporary WASH</t>
    </r>
    <r>
      <rPr>
        <sz val="12"/>
        <rFont val="Times New Roman"/>
        <family val="1"/>
      </rPr>
      <t xml:space="preserve"> - refers to Water, Sanitation, and Hygiene Facilities built during the response phase</t>
    </r>
  </si>
  <si>
    <r>
      <t xml:space="preserve">Vulnerability </t>
    </r>
    <r>
      <rPr>
        <sz val="12"/>
        <rFont val="Times New Roman"/>
        <family val="1"/>
      </rPr>
      <t>- The conditions determined by physical, social, economic and environmental factors or processes, which increase the susceptibility of a community to the impact of hazards. For positive factors, which increase the ability of people to cope with hazards, see definition of 'capacity'.</t>
    </r>
    <r>
      <rPr>
        <b/>
        <i/>
        <sz val="12"/>
        <rFont val="Times New Roman"/>
        <family val="1"/>
      </rPr>
      <t xml:space="preserve"> 
Source of Definition: International Strategy for Disaster Risk Reduction</t>
    </r>
  </si>
  <si>
    <r>
      <t>Warning</t>
    </r>
    <r>
      <rPr>
        <sz val="12"/>
        <rFont val="Times New Roman"/>
        <family val="1"/>
      </rPr>
      <t xml:space="preserve"> - Dissemination of message signalling imminent hazard which may include advice on protective measures.</t>
    </r>
    <r>
      <rPr>
        <b/>
        <i/>
        <sz val="12"/>
        <rFont val="Times New Roman"/>
        <family val="1"/>
      </rPr>
      <t xml:space="preserve">
Source of Definition: United Nations Department of Humanitarian Affairs</t>
    </r>
  </si>
  <si>
    <r>
      <t>E-Impact</t>
    </r>
    <r>
      <rPr>
        <sz val="12"/>
        <rFont val="Times New Roman"/>
        <family val="1"/>
      </rPr>
      <t xml:space="preserve"> - the Enhanced Instructional Management by Parents, Community and Teachers (e-IMPACT) learning system is a technology-enhanced alternative delivery mode developed by the SEAMEO Regional Center for Educational Innovation and Technology (INNOTECH) to address issues in accessibility and quality of education in schools usually handled by a few teachers teaching multigrade classes.</t>
    </r>
    <r>
      <rPr>
        <b/>
        <i/>
        <sz val="12"/>
        <rFont val="Times New Roman"/>
        <family val="1"/>
      </rPr>
      <t xml:space="preserve">
Source of Definition: UNICEF Evaluation on Alternative Delivery Modes.
https://www.unicef.org/evaldatabase/files/Philippines_ADM_Evaluationl_Philippines-2012-001.pdf</t>
    </r>
  </si>
  <si>
    <r>
      <t xml:space="preserve">Lockdown Drill </t>
    </r>
    <r>
      <rPr>
        <sz val="12"/>
        <rFont val="Times New Roman"/>
        <family val="1"/>
      </rPr>
      <t>- An emergency procedure intended to secure and protect occupants who are in the proximity of an immediate threat. This procedure is used when it may be more dangerous to evacuate a building than stay inside. By controlling entry/ exit and movement within a facility, emergency personnel are better able to contain and handle any threats.</t>
    </r>
    <r>
      <rPr>
        <b/>
        <i/>
        <sz val="12"/>
        <rFont val="Times New Roman"/>
        <family val="1"/>
      </rPr>
      <t xml:space="preserve">
Source of Definition: University of British Columbia: Emergency Procedures.
https://emergency.ok.ubc.ca/procedures/lockdown/</t>
    </r>
  </si>
  <si>
    <r>
      <t>Learners with Disabilities (LWDs)</t>
    </r>
    <r>
      <rPr>
        <sz val="12"/>
        <rFont val="Times New Roman"/>
        <family val="1"/>
      </rPr>
      <t xml:space="preserve"> - refer to children, youth, and adult learners with substantial limitations in their functions, characterized by significantly sub-average intellectual capacity and/or existing concurrently with related limitedtaions in two or more adaptive skills areas. These learners may have any or a combination of the following: intellectual disabilities, learning disabilities, mental, emotional or behavioral disorders, sensory impairments, autism, long term physical or health disabilities, deaf blindness, and multiple handicapping conditions. These conditions may be a hindrance to the learners' full and effective participation in the society; thus, these conditions necesstiate the provision of special education services and other allied services that will enable LWDs to live functional lives.</t>
    </r>
    <r>
      <rPr>
        <b/>
        <i/>
        <sz val="12"/>
        <rFont val="Times New Roman"/>
        <family val="1"/>
      </rPr>
      <t xml:space="preserve">
Source of Definition: DepEd Order No. 21, s. 2020.
https://www.deped.gov.ph/wp-content/uploads/2020/08/DO_s2020_021.pdf</t>
    </r>
  </si>
  <si>
    <r>
      <t>Mental Health and Psychosocial Support (MHPSS)</t>
    </r>
    <r>
      <rPr>
        <sz val="12"/>
        <rFont val="Times New Roman"/>
        <family val="1"/>
      </rPr>
      <t xml:space="preserve"> - any type of local or outside support that aims to protect or promote psychosocial well-being and/or prevent or treat mental disorder. </t>
    </r>
    <r>
      <rPr>
        <b/>
        <i/>
        <sz val="12"/>
        <rFont val="Times New Roman"/>
        <family val="1"/>
      </rPr>
      <t xml:space="preserve">
Source of Definition: IASC Guidelines on Mental Health and Psychosocial Support in Emergency Settings.
https://www.who.int/mental_health/emergencies/guidelines_iasc_mental_health_psychosocial_june_2007.pdf</t>
    </r>
  </si>
  <si>
    <t>Note:   For the definitions, refer to Teaching Personnel Data (Table 10).</t>
  </si>
  <si>
    <t>Reminder:   Totals in column 12 shall tally with entries in column 2.</t>
  </si>
  <si>
    <r>
      <t>Contingency Plan</t>
    </r>
    <r>
      <rPr>
        <sz val="12"/>
        <rFont val="Times New Roman"/>
        <family val="1"/>
      </rPr>
      <t xml:space="preserve"> - a management process that analyses specific potential events or emerging situations that might threaten society or the environment and establishes arrangements in advance to enable timely, effective and appropriate responses to such events and situations.</t>
    </r>
    <r>
      <rPr>
        <b/>
        <i/>
        <sz val="12"/>
        <rFont val="Times New Roman"/>
        <family val="1"/>
      </rPr>
      <t xml:space="preserve">
Source of Definition: UNISDR Terminologies.
https://www.unisdr.org/files/7817_UNISDRTerminologyEnglish.pdf</t>
    </r>
  </si>
  <si>
    <r>
      <t>Specialized Psychosocial Support</t>
    </r>
    <r>
      <rPr>
        <sz val="12"/>
        <rFont val="Times New Roman"/>
        <family val="1"/>
      </rPr>
      <t xml:space="preserve">  - This  assistance  should  include psychological  or  psychiatric  supports  for  people  with  severe  mental  disorders whenever  their  needs  exceed  the  capacities  of  existing  primary/general  health services.  such  problems  require  either  (a)  referral  to  specialised  services  if  they exist,  or  (b)  initiation  of  longer-term  training  and  supervision  of  primary/general health  care  providers.  although  specialised  services  are  needed  only  for  a  small percentage  of  the  population,  in  most  large  emergencies  this  group  amounts  to thousands  of  individuals. </t>
    </r>
    <r>
      <rPr>
        <b/>
        <i/>
        <sz val="12"/>
        <rFont val="Times New Roman"/>
        <family val="1"/>
      </rPr>
      <t xml:space="preserve">
Source of Definition: IASC Guidelines on Mental Health and Psychosocial Support in Emergency Settings.
https://www.who.int/mental_health/emergencies/guidelines_iasc_mental_health_psychosocial_june_2007.pdf</t>
    </r>
  </si>
  <si>
    <t>Part 1. Curriculum Integration</t>
  </si>
  <si>
    <t>CCAM</t>
  </si>
  <si>
    <t>DRRM-related concepts</t>
  </si>
  <si>
    <t>CCAM-related concepts</t>
  </si>
  <si>
    <t>Topics</t>
  </si>
  <si>
    <t>SpEd</t>
  </si>
  <si>
    <t>IPEd</t>
  </si>
  <si>
    <t>ALS</t>
  </si>
  <si>
    <t>Validated by Division Education Program Supervisor for LRMDS:</t>
  </si>
  <si>
    <t>Topics/
Competencies</t>
  </si>
  <si>
    <t>School has assessed DRRM-, CCAM-, and Peacebuilding-related competencies through measurable learning outcomes</t>
  </si>
  <si>
    <t>Part 2. Information, Education, and Communication (IEC) and Advocacy</t>
  </si>
  <si>
    <t>School used DRRMS-developed DRRM, CCAM and Peacebuilding Information, Education and Communication Materials (IEC) materials</t>
  </si>
  <si>
    <t>School has DRRM, CCAM, and Peacebuilding corners, with updated IEC materials posted in it</t>
  </si>
  <si>
    <t>Number of school personnel who participated in the survey on the effectiveness of IEC materials developed by DRRMS and/ or contextualized by the region or division</t>
  </si>
  <si>
    <t xml:space="preserve">Contextualized Learning
Resources </t>
  </si>
  <si>
    <t>Number of school personnel trained by partners on DRRM, CCAM, and Peacebuilding</t>
  </si>
  <si>
    <t xml:space="preserve">Number of stakeholders that participated in DRRM, CCAM, and Peacebuilding activities </t>
  </si>
  <si>
    <t>Celebration and commemoration of special events related to DRRM</t>
  </si>
  <si>
    <t>DRRM Camp</t>
  </si>
  <si>
    <t>DRRM Youth Council</t>
  </si>
  <si>
    <t>DRRM Youth Action Campaigns</t>
  </si>
  <si>
    <t>DRRM-related Campus Journalism Activities (Photojournalism, Editorial Cartoons, Comic Script Writing, Broadcasting and News Writing)</t>
  </si>
  <si>
    <t>Other, (specify):</t>
  </si>
  <si>
    <t>Art, essay, slogan, etc. contests for climate change adaptation and mitigation</t>
  </si>
  <si>
    <t>Change the Current: A Climate Action Online Training for Adolescents</t>
  </si>
  <si>
    <t>Climate Change Adaptation and Mitigation Conferences or Camps</t>
  </si>
  <si>
    <t>Climate Changemakers Online Training for Teaching Personnel</t>
  </si>
  <si>
    <t>Environmental Jounalism Training</t>
  </si>
  <si>
    <t>Gulayan sa Paaralan</t>
  </si>
  <si>
    <t>Installation of a Material Recovery Facility</t>
  </si>
  <si>
    <t>KaLIKHAsan Climate Action Action Advocacy Show</t>
  </si>
  <si>
    <t>Solid Waste Management</t>
  </si>
  <si>
    <t>Recycling</t>
  </si>
  <si>
    <t>Tree Planting</t>
  </si>
  <si>
    <t>Youth Strike for Climate</t>
  </si>
  <si>
    <t>Celebration and commemoration of special events related to climate change</t>
  </si>
  <si>
    <t>Creation of youth networks or organizations for peace</t>
  </si>
  <si>
    <t>Celebration and commemoration of special events related to peace and 
human rights</t>
  </si>
  <si>
    <t>Part 3a. Resilience Education</t>
  </si>
  <si>
    <t>Part 3b. Resilience Education</t>
  </si>
  <si>
    <t>Number of learners that participated in DRRM, CCAM, and Peacebuilding activities</t>
  </si>
  <si>
    <t>Online MHPSS Activities</t>
  </si>
  <si>
    <t>Celebration and commemoration of special 
events related to DRRM</t>
  </si>
  <si>
    <t>Art, essay, slogan, etc. contests for climate
change adaptation and mitigation</t>
  </si>
  <si>
    <t>Change the Current: A Climate Action
Online Training for Adolescents</t>
  </si>
  <si>
    <t>Climate Change Adaptation and Mitigation
Conferences or Camps</t>
  </si>
  <si>
    <t>KaLIKHAsan Climate Action Action
Advocacy Show</t>
  </si>
  <si>
    <t>Celebration and commemoration of special
events related to climate change</t>
  </si>
  <si>
    <t>Celebration and commemoration of special
events related to peace and human rights</t>
  </si>
  <si>
    <t>School used DepEd developed learning resources on DRRM, CCAM, and Peacebuilding</t>
  </si>
  <si>
    <t>Number of DRRM, CCAM, and Peacebuilding trainings conducted for learners</t>
  </si>
  <si>
    <t>Trainings
Conducted</t>
  </si>
  <si>
    <r>
      <t xml:space="preserve">Original Work - </t>
    </r>
    <r>
      <rPr>
        <sz val="11"/>
        <rFont val="Times New Roman"/>
        <family val="1"/>
      </rPr>
      <t>refers to the resources which is based on the creative design, self concept, and contents of the respective teacher/author.</t>
    </r>
  </si>
  <si>
    <t>Part 3c. Resilience Education</t>
  </si>
  <si>
    <t>Number of DRRM, CCAM, Peacebuilding PPAs led by learners</t>
  </si>
  <si>
    <t>PPAs led by
learners</t>
  </si>
  <si>
    <t>School used DepEd developed and DepEd approved standardized training manuals on DRRM, CCAM, and Peacebuilding</t>
  </si>
  <si>
    <t>Number of teaching and non-teaching personnel trained on DRRMS Training Modules</t>
  </si>
  <si>
    <t>DRRMS Training Modules</t>
  </si>
  <si>
    <t>MHPSS / Psychological First Aid</t>
  </si>
  <si>
    <t>Part 3d. Resilience Education</t>
  </si>
  <si>
    <t xml:space="preserve">Number of teaching and non-teaching personnel who completed the accredited training courses on DRRM, CCAM, and Peacebuilding </t>
  </si>
  <si>
    <t>Number of teachers trained in integrating DRRM, CCAM and Peacebuilding in their daily learning log</t>
  </si>
  <si>
    <t>School has used DepEd developed MHPSS standardized training manuals</t>
  </si>
  <si>
    <t>Number of MHPSS trainings conducted for learners and personnel</t>
  </si>
  <si>
    <t>Number of school personnel trained in MHPSS and Psychological First Aid</t>
  </si>
  <si>
    <t>MHPSS Trainings</t>
  </si>
  <si>
    <t>Number of trained secondary learners to provide peer to peer MHPSS</t>
  </si>
  <si>
    <r>
      <t>Psychological First Aid</t>
    </r>
    <r>
      <rPr>
        <sz val="12"/>
        <rFont val="Times New Roman"/>
        <family val="1"/>
      </rPr>
      <t xml:space="preserve"> - An evidence-informed modular approach to help children, adolescents, adults, and families in the immediate aftermath of disaster and terrorism. Individuals affected by a disaster or traumatic incident, whether survivors, witnesses, or responders to such events, may struggle with or face new challenges following the event. PFA was developed by the National Child Traumatic Stress Network and the National Center for PTSD, with contributions from individuals involved in disaster research and response.</t>
    </r>
    <r>
      <rPr>
        <b/>
        <i/>
        <sz val="12"/>
        <rFont val="Times New Roman"/>
        <family val="1"/>
      </rPr>
      <t xml:space="preserve">
Source of Definition: National Child Traumatic Stress Network: Psychological First Aid
https://www.nctsn.org/treatments-and-practices/psychological-first-aid-and-skills-for-psychological-recovery/about-pfa</t>
    </r>
  </si>
  <si>
    <r>
      <t>Change the Current: Climate Action Online Training for Adolescents</t>
    </r>
    <r>
      <rPr>
        <sz val="12"/>
        <rFont val="Times New Roman"/>
        <family val="1"/>
      </rPr>
      <t xml:space="preserve"> aims to enhance adolescents' knowledge on the science of climate change and adaptation and mitigation strategies, and hone skills that they need to increase adaptation and mitigation awareness and practices in their communities. Project grants amounting to Php 15,000.00 will be awarded to selected adolescents. </t>
    </r>
  </si>
  <si>
    <t>Types of Intervention</t>
  </si>
  <si>
    <r>
      <t>YSEALI Climate Changemakers</t>
    </r>
    <r>
      <rPr>
        <sz val="12"/>
        <rFont val="Times New Roman"/>
        <family val="1"/>
      </rPr>
      <t xml:space="preserve"> is an online training course that aims to increase the competence of teachers in teaching climate change concepts and encouraging learners to act on climate. It consists of one core training subject on introduction to climate change and a specialized training subject on teaching climate change. Additionally, learning facilitators will receive supplementary training on online learning delivery. YSEALI Climate Changemakers aims to train 50 region and division as learning facilitators who will train a total of 2,000 teachers from their respective regions and divisions. </t>
    </r>
  </si>
  <si>
    <r>
      <t xml:space="preserve">The Green Beat Initiative (TGBI) </t>
    </r>
    <r>
      <rPr>
        <sz val="12"/>
        <rFont val="Times New Roman"/>
        <family val="1"/>
      </rPr>
      <t>An Environmental Journalism Training for Campus Journalists and School Paper Advisers is a 6-week pilot intensive online environmental journalism training. It aims to equip participants with the necessary skills and knowledge to pursue, develop, and report stories about the environment with a focus on climate change adaptation and mitigation.</t>
    </r>
  </si>
  <si>
    <r>
      <t>KaLIKHAsan Climate Action Action Advocacy Show</t>
    </r>
    <r>
      <rPr>
        <sz val="12"/>
        <rFont val="Times New Roman"/>
        <family val="1"/>
      </rPr>
      <t xml:space="preserve"> is a theater arts performance, ideation, and devising workshops based on the KaLIKHAsan! Likha at Lakas ng Kabataan para sa Kalikasan Creative Sourcebook. </t>
    </r>
  </si>
  <si>
    <r>
      <t>The KaLIKHAsan! Likha at Lakas ng Kabataan para sa Kalikasan:</t>
    </r>
    <r>
      <rPr>
        <sz val="12"/>
        <rFont val="Times New Roman"/>
        <family val="1"/>
      </rPr>
      <t xml:space="preserve"> A Creative Sourcebook on the Use of Theater for Climate Change Education and Action  is a resource intended for teachers, theater and performance practitioners, and workshop facilitators. It explains how to design and facilitate a collaborative performance-making process with youth that includes climate action and the environment as central themes. Teachers are encouraged to use the sourcebook as a guide in replicating the process in making the Climate Action Advocacy Show and empowering the learners toward climate change education and action. </t>
    </r>
  </si>
  <si>
    <r>
      <t xml:space="preserve">School has undertaken the maintenance of facilities within the following months: </t>
    </r>
    <r>
      <rPr>
        <i/>
        <sz val="12"/>
        <rFont val="Times New Roman"/>
        <family val="1"/>
      </rPr>
      <t>(check all applicable)</t>
    </r>
  </si>
  <si>
    <r>
      <t xml:space="preserve">School has a Contingency Plan for each natural and human-induced hazard that it is affected with: </t>
    </r>
    <r>
      <rPr>
        <i/>
        <sz val="12"/>
        <rFont val="Times New Roman"/>
        <family val="1"/>
      </rPr>
      <t>(check all applicable)</t>
    </r>
  </si>
  <si>
    <r>
      <t xml:space="preserve">School Contingency Plan has the following: </t>
    </r>
    <r>
      <rPr>
        <i/>
        <sz val="12"/>
        <rFont val="Times New Roman"/>
        <family val="1"/>
      </rPr>
      <t>(check all applicable)</t>
    </r>
  </si>
  <si>
    <r>
      <t xml:space="preserve">School Contingency Planning is conducted together with the following: </t>
    </r>
    <r>
      <rPr>
        <i/>
        <sz val="12"/>
        <rFont val="Times New Roman"/>
        <family val="1"/>
      </rPr>
      <t>(check all applicable)</t>
    </r>
  </si>
  <si>
    <r>
      <t xml:space="preserve">School has implemented the following resumption strategies:
</t>
    </r>
    <r>
      <rPr>
        <i/>
        <sz val="12"/>
        <rFont val="Times New Roman"/>
        <family val="1"/>
      </rPr>
      <t>(check all applicable)</t>
    </r>
  </si>
  <si>
    <r>
      <t xml:space="preserve">School has implemented the following alternative delivery modes: </t>
    </r>
    <r>
      <rPr>
        <i/>
        <sz val="12"/>
        <rFont val="Times New Roman"/>
        <family val="1"/>
      </rPr>
      <t>(check all applicable)</t>
    </r>
  </si>
  <si>
    <r>
      <t xml:space="preserve">School DRRM, CCAM, and Peacebuilding Plans are developed together with the following: </t>
    </r>
    <r>
      <rPr>
        <i/>
        <sz val="12"/>
        <rFont val="Times New Roman"/>
        <family val="1"/>
      </rPr>
      <t>(check all applicable)</t>
    </r>
  </si>
  <si>
    <r>
      <t xml:space="preserve">School has the following structural hazard mitigation measures: </t>
    </r>
    <r>
      <rPr>
        <i/>
        <sz val="12"/>
        <rFont val="Times New Roman"/>
        <family val="1"/>
      </rPr>
      <t>(check all applicable)</t>
    </r>
  </si>
  <si>
    <r>
      <t xml:space="preserve">School has the following non-structural hazard mitigation measures: </t>
    </r>
    <r>
      <rPr>
        <i/>
        <sz val="12"/>
        <rFont val="Times New Roman"/>
        <family val="1"/>
      </rPr>
      <t>(check all applicable)</t>
    </r>
  </si>
  <si>
    <t>Integrated to the following Program</t>
  </si>
  <si>
    <t>Number of teachers in the school who are IPs</t>
  </si>
  <si>
    <t>Is the school head an IP?</t>
  </si>
  <si>
    <t>Does the school celebrate IP Month?</t>
  </si>
  <si>
    <t xml:space="preserve">Does the school celebrate IP Day? </t>
  </si>
  <si>
    <t>Did  the  school  head  attended  the Orientation on IPEd provided by DepEd?</t>
  </si>
  <si>
    <t>Number of teachers who have attended the Orientation on IPEd provided by DepEd</t>
  </si>
  <si>
    <t>Number of teachers who have attended trainings on IPEd outside of DepEd</t>
  </si>
  <si>
    <t xml:space="preserve">  Measles Containing Vaccine</t>
  </si>
  <si>
    <t xml:space="preserve">  Tetanus Diphtheria</t>
  </si>
  <si>
    <r>
      <rPr>
        <b/>
        <i/>
        <sz val="12"/>
        <rFont val="Times New Roman"/>
        <family val="1"/>
      </rPr>
      <t>Within</t>
    </r>
    <r>
      <rPr>
        <sz val="12"/>
        <rFont val="Times New Roman"/>
        <family val="1"/>
      </rPr>
      <t xml:space="preserve"> the School Municipality</t>
    </r>
  </si>
  <si>
    <r>
      <rPr>
        <b/>
        <i/>
        <sz val="12"/>
        <rFont val="Times New Roman"/>
        <family val="1"/>
      </rPr>
      <t>Outside</t>
    </r>
    <r>
      <rPr>
        <sz val="12"/>
        <rFont val="Times New Roman"/>
        <family val="1"/>
      </rPr>
      <t xml:space="preserve"> the School Municipality</t>
    </r>
  </si>
  <si>
    <r>
      <t xml:space="preserve">If </t>
    </r>
    <r>
      <rPr>
        <b/>
        <sz val="12"/>
        <rFont val="Times New Roman"/>
        <family val="1"/>
      </rPr>
      <t>Yes</t>
    </r>
    <r>
      <rPr>
        <sz val="12"/>
        <rFont val="Times New Roman"/>
        <family val="1"/>
      </rPr>
      <t xml:space="preserve">, what ethnicity? </t>
    </r>
  </si>
  <si>
    <r>
      <rPr>
        <b/>
        <i/>
        <sz val="12"/>
        <rFont val="Times New Roman"/>
        <family val="1"/>
      </rPr>
      <t>Indigenous Cultural Communities/Indigenous Peoples</t>
    </r>
    <r>
      <rPr>
        <i/>
        <sz val="12"/>
        <rFont val="Times New Roman"/>
        <family val="1"/>
      </rPr>
      <t xml:space="preserve"> (ICCs/IPs) -</t>
    </r>
    <r>
      <rPr>
        <sz val="12"/>
        <rFont val="Times New Roman"/>
        <family val="1"/>
      </rPr>
      <t xml:space="preserve"> refers to a group of people or homogenous societies identified by self-ascription and ascription by others, who have continuously lived as an organized community on communally bounded and defined territory, and who have, under claims of ownership since time immemorial, occupied, possessed and utilized such territories, sharing common bonds of language, customs, traditions and other distinctive cultural traits, or who have, through resistance to political, social and cultural inroads of colonization, non-indigenous religions and cultures, became historically differentiated from the majority of Filipinos. ICCs/IPs shall likewise include peoples who are regarded as indigenous on account of their descent from the populations which inhabited the country, at the time of conquest or colonization, or at the time of inroads of non-indigenous religions and cultures, or the establishment of present state boundaries, who retain some or all of their own social, economic, cultural and political institutions, but who may have been displaced from their traditional domains or who may have resettled outside their ancestral domains;</t>
    </r>
    <r>
      <rPr>
        <b/>
        <sz val="12"/>
        <rFont val="Times New Roman"/>
        <family val="1"/>
      </rPr>
      <t xml:space="preserve">
</t>
    </r>
    <r>
      <rPr>
        <b/>
        <i/>
        <sz val="12"/>
        <rFont val="Times New Roman"/>
        <family val="1"/>
      </rPr>
      <t>Source: IPRA of 1997
Link: https://www.officialgazette.gov.ph/1997/10/29/republic-act-no-8371/</t>
    </r>
  </si>
  <si>
    <r>
      <rPr>
        <b/>
        <i/>
        <sz val="12"/>
        <rFont val="Times New Roman"/>
        <family val="1"/>
      </rPr>
      <t>Ethnicity -</t>
    </r>
    <r>
      <rPr>
        <sz val="12"/>
        <rFont val="Times New Roman"/>
        <family val="1"/>
      </rPr>
      <t xml:space="preserve"> is a primary sense of belonging to an ethnic group. Ethnic group is consanguine in nature, meaning, the ties are reckoned by blood and traced through the family tree. Thus, ethnicity refers to the household member's identity, by blood and not by choice nor by adoption/confirmation for any ethnic group, primarily the Indigenous Peoples (IPs).
Generally, ethnic grouping denotes genealogical and paternal lineage to any of the Philippines' group of native population. However, for the purpose of census, ethnic grouping also includes maternal lineage. As such, anybody whose consanguinity with either both parents or any one of them who is a member of an IP group, is an Indigenous Person.
The updated categories of ethnicity are provided by the National Commission on Indigenous Peoples and the National Commission on Muslim Filipinos.
</t>
    </r>
    <r>
      <rPr>
        <b/>
        <i/>
        <sz val="12"/>
        <rFont val="Times New Roman"/>
        <family val="1"/>
      </rPr>
      <t>Source: 2010 Census of Population and Housing (CPH) &amp; 2015 Population Census (POPCEN)
Link: https://psa.gov.ph/content/ethnicity-1</t>
    </r>
  </si>
  <si>
    <t>Table 23. TEACHERS' WHO PASSED THE PROFICIENCY EXAMINATION IN THE FOREIGN LANGUAGE TAUGHT</t>
  </si>
  <si>
    <t>Table 24. NUMBER OF OPEN EDUCATIONAL RESOURCES (OERs) USED AS DISTANCE LEARNING MODALITY DEVELOPED BY TEACHERS</t>
  </si>
  <si>
    <t>44-45</t>
  </si>
  <si>
    <t>46-47</t>
  </si>
  <si>
    <t>(Continuation from previous page, Table 39)</t>
  </si>
  <si>
    <t>(Continuation from previous page, Table 40)</t>
  </si>
  <si>
    <t>Table 41. RESULT OF DISASTER INCIDENCES, For the months of June 2020 to May 2021</t>
  </si>
  <si>
    <t>Box 28. ENABLING ENVIRONMENT, For the months of June 2020 to May 2021</t>
  </si>
  <si>
    <t>Note:  For the definitions, refer to Box 28 - Part 5. Monitoring and Evaluation.</t>
  </si>
  <si>
    <t>Box 29. PILLAR 1. SAFE LEARNING FACILITIES, For the months of June 2020 to May 2021</t>
  </si>
  <si>
    <t>Box 30. PILLAR 2. DISASTER RISK MANAGEMENT, For the months of June 2020 to May 2021</t>
  </si>
  <si>
    <t>Note:  For the definitions, refer to Box 30 - Part 3b. Disaster Response.</t>
  </si>
  <si>
    <t>(Continuation of definitions from previous page, Box 30 - Part 3b)</t>
  </si>
  <si>
    <t>Part 3a-3b. Disaster Response</t>
  </si>
  <si>
    <t>55-57</t>
  </si>
  <si>
    <t>Box 31. PILLAR 3. RISK REDUCTION AND RESILIENCE EDUCATION, For the months of June 2020 to May 2021</t>
  </si>
  <si>
    <t>Note:  For the definitions, refer to Box 31 - Part 3d. Resilience Education.</t>
  </si>
  <si>
    <t>Part 3a-3d. Resilience Education</t>
  </si>
  <si>
    <t>59-62</t>
  </si>
  <si>
    <t>A. DRRM</t>
  </si>
  <si>
    <t>Activities</t>
  </si>
  <si>
    <t>B. CCAM</t>
  </si>
  <si>
    <t>C. Peacebuilding</t>
  </si>
  <si>
    <t>Completed the training Courses</t>
  </si>
  <si>
    <t>Trained</t>
  </si>
  <si>
    <t>Number of learners in the following DRRM, CCAM, and Peacebuilding activities</t>
  </si>
  <si>
    <t>Co-led in PPAs</t>
  </si>
  <si>
    <t>Led in PPAs</t>
  </si>
  <si>
    <t>Science High School</t>
  </si>
  <si>
    <r>
      <t>Stand-Alone TechVoc High School (</t>
    </r>
    <r>
      <rPr>
        <b/>
        <i/>
        <sz val="9"/>
        <rFont val="Times New Roman"/>
        <family val="1"/>
      </rPr>
      <t>See definition in Table 2</t>
    </r>
    <r>
      <rPr>
        <b/>
        <sz val="12"/>
        <rFont val="Times New Roman"/>
        <family val="1"/>
      </rPr>
      <t>)</t>
    </r>
  </si>
  <si>
    <r>
      <t xml:space="preserve">Annex/Extension School </t>
    </r>
    <r>
      <rPr>
        <b/>
        <i/>
        <sz val="12"/>
        <rFont val="Times New Roman"/>
        <family val="1"/>
      </rPr>
      <t>(Indicate Mother School ID:</t>
    </r>
  </si>
  <si>
    <r>
      <t>Implementing Unit (</t>
    </r>
    <r>
      <rPr>
        <b/>
        <i/>
        <sz val="9"/>
        <rFont val="Times New Roman"/>
        <family val="1"/>
      </rPr>
      <t>with any of the following: finance positions, book of accounts or fiscal autonomy and agency code</t>
    </r>
    <r>
      <rPr>
        <b/>
        <sz val="12"/>
        <rFont val="Times New Roman"/>
        <family val="1"/>
      </rPr>
      <t xml:space="preserve">) </t>
    </r>
  </si>
  <si>
    <t>Farm School</t>
  </si>
  <si>
    <r>
      <t xml:space="preserve">B. Preferred Method of Teachers Using DepEd TV as a Medium </t>
    </r>
    <r>
      <rPr>
        <b/>
        <i/>
        <sz val="12"/>
        <rFont val="Times New Roman"/>
        <family val="1"/>
      </rPr>
      <t>(check all applicable)</t>
    </r>
  </si>
  <si>
    <t>(check all applicable)</t>
  </si>
  <si>
    <t>C. Number of learners who were dewormed (based on LGU health records)</t>
  </si>
  <si>
    <t>3a.</t>
  </si>
  <si>
    <t>Number of learners affected and provided by the following disasters/emergencies response</t>
  </si>
  <si>
    <t>Provided with learning sessions on disasters/ emergencies before returning
to the regular lessons upon class resumption</t>
  </si>
  <si>
    <t>Provided with Mental Health and Psychosocial Support (MHPSS)</t>
  </si>
  <si>
    <t>Affected by disasters/ emergencies and needing specialized psychosocial support (PSS)</t>
  </si>
  <si>
    <t>Number of school personnel affected and provided by the following disasters/emergencies response</t>
  </si>
  <si>
    <t>Trained as part of disaster/emergency response</t>
  </si>
  <si>
    <t>Mobilized for the implementation in aftermath of a disaster/emergency</t>
  </si>
  <si>
    <t>Maintenance of School Facilities
in Year 2020</t>
  </si>
  <si>
    <t>Repaired</t>
  </si>
  <si>
    <t>Reconstructed</t>
  </si>
  <si>
    <t>Number of repaired and reconstructed instructional and non-instructional spaces per fund source</t>
  </si>
  <si>
    <t>Number of personnel trained and mobilized for Alternative Delivery Mode</t>
  </si>
  <si>
    <t>Utilized the established referral mechanism</t>
  </si>
  <si>
    <r>
      <t>Creative Commons Rule</t>
    </r>
    <r>
      <rPr>
        <sz val="11"/>
        <rFont val="Times New Roman"/>
        <family val="1"/>
      </rPr>
      <t xml:space="preserve"> - refers to the rule that gives license issued by the copyright owner to allow anyone in the world to use his or her copyright work in any manner consistent with that license. This license allows reusers to distribute, remix, adapt, and build upon the material in any medium or format for commercial and noncommercial purposes only, and only so long as attribution is given to the creator. If you remix, adapt, or build upon the material, you must license the modified material under identical terms, and this license allows reusers to copy and distribute the material in any medium or format in unadapted form only, and only so long as attribution is given to the creator.</t>
    </r>
  </si>
  <si>
    <t>A learner can be counted more than once if he/she is  either an IP Learner,  Muslim Learner or Learner with Disability at the same time.</t>
  </si>
  <si>
    <t>For 3a, out of the total number of learners affected by disasters/emergencies and needing specialized psychosocial support (PSS), determine the number of learners who utilized the established referral mechanism.</t>
  </si>
  <si>
    <t>A learner can be counted more than once if he/she is either an IP Learner,  Muslim Learner or Learner with Disability at the same time.</t>
  </si>
  <si>
    <t>Introduced by School/Teachers</t>
  </si>
  <si>
    <t>Learning Competencies</t>
  </si>
  <si>
    <t>Contents</t>
  </si>
  <si>
    <t>School teaches DRRM-,CCAM-, and Peacebuilding-related concepts</t>
  </si>
  <si>
    <t>Peacebuilding-related concepts</t>
  </si>
  <si>
    <t>Number of DRRM-, CCAM-, and Peacebuilding-related topics integrated in SpEd/IPEd/ALS program, learning competencies and contents introduced by the school/teachers to supplement the Curriculum Guide, and learning competencies contextualized in learning resources</t>
  </si>
  <si>
    <t>Number of learners who have participation in the development of IEC Materials</t>
  </si>
  <si>
    <t>Consulted in the development of IEC materials</t>
  </si>
  <si>
    <t>Co-developed IEC materials</t>
  </si>
  <si>
    <t>Is the school located in an ancestral domain and affected by armed conflict?</t>
  </si>
  <si>
    <t>For 2a, out of the total number of school personnel affected by disasters/ emergencies and needing specialized psychosocial support (PSS), determine the number of school personnel who utilized the established referral mechanism.</t>
  </si>
  <si>
    <t>Participated in the survey on the effectiveness of IEC materials developed by DRRMS and/or contextualized by region or division</t>
  </si>
  <si>
    <r>
      <rPr>
        <b/>
        <i/>
        <sz val="11"/>
        <rFont val="Times New Roman"/>
        <family val="1"/>
      </rPr>
      <t>Ancestral Domain</t>
    </r>
    <r>
      <rPr>
        <sz val="11"/>
        <rFont val="Times New Roman"/>
        <family val="1"/>
      </rPr>
      <t xml:space="preserve"> - refers to all areas generally belonging to ICCs/IPs comprising lands, inland waters, coastal areas, and natural resources therein, held under a claim of ownership, occupied or possessed by ICCs/IPs, by themselves or through their ancestors, communally or individually since time immemorial, continuously to the present except when interrupted by war, force majeure or displacement by force, deceit, stealth or as a consequence of government projects or any other voluntary dealings entered into by government and private individuals/corporations, and which are necessary to ensure their economic, social and cultural welfare.
</t>
    </r>
    <r>
      <rPr>
        <b/>
        <i/>
        <sz val="11"/>
        <rFont val="Times New Roman"/>
        <family val="1"/>
      </rPr>
      <t xml:space="preserve">Source: IPRA of 1997 (REPUBLIC ACT NO. 8371) </t>
    </r>
  </si>
  <si>
    <r>
      <t>Check (</t>
    </r>
    <r>
      <rPr>
        <b/>
        <i/>
        <sz val="12"/>
        <rFont val="Webdings"/>
        <family val="1"/>
        <charset val="2"/>
      </rPr>
      <t>a</t>
    </r>
    <r>
      <rPr>
        <b/>
        <i/>
        <sz val="12"/>
        <rFont val="Times New Roman"/>
        <family val="1"/>
      </rPr>
      <t>) if the school is: (check all applicable)</t>
    </r>
  </si>
  <si>
    <t>A. Number of learners who were vaccinated by the Department of Health (based on LGU health records)</t>
  </si>
  <si>
    <t>Number of IP learners who were vaccinated by the Department of Health (based on LGU health records)</t>
  </si>
  <si>
    <t>Initiated and developed IEC materials</t>
  </si>
  <si>
    <t>Table 39. DISASTERS/CALAMITIES, For the months of June 2020 to May 2021</t>
  </si>
  <si>
    <t>I</t>
  </si>
  <si>
    <t>II</t>
  </si>
  <si>
    <t>III</t>
  </si>
  <si>
    <t>IVA</t>
  </si>
  <si>
    <t>IVB</t>
  </si>
  <si>
    <t>V</t>
  </si>
  <si>
    <t>VI</t>
  </si>
  <si>
    <t>VII</t>
  </si>
  <si>
    <t>VIII</t>
  </si>
  <si>
    <t>IX</t>
  </si>
  <si>
    <t>X</t>
  </si>
  <si>
    <t>XI</t>
  </si>
  <si>
    <t>XII</t>
  </si>
  <si>
    <t>CARAGA</t>
  </si>
  <si>
    <t>BARMM</t>
  </si>
  <si>
    <t>CAR</t>
  </si>
  <si>
    <t>NCR</t>
  </si>
  <si>
    <t>Alaminos City</t>
  </si>
  <si>
    <t>Batanes</t>
  </si>
  <si>
    <t>Angeles City</t>
  </si>
  <si>
    <t>Antipolo City</t>
  </si>
  <si>
    <t>Calapan City</t>
  </si>
  <si>
    <t>Albay</t>
  </si>
  <si>
    <t>Aklan</t>
  </si>
  <si>
    <t>Bais City</t>
  </si>
  <si>
    <t>Baybay City</t>
  </si>
  <si>
    <t>Dapitan City</t>
  </si>
  <si>
    <t>Bukidnon</t>
  </si>
  <si>
    <t>Davao City</t>
  </si>
  <si>
    <t>Cotabato City</t>
  </si>
  <si>
    <t>Agusan del Norte</t>
  </si>
  <si>
    <t>Basilan</t>
  </si>
  <si>
    <t>Abra</t>
  </si>
  <si>
    <t>Caloocan City</t>
  </si>
  <si>
    <t>Batac City</t>
  </si>
  <si>
    <t>Cagayan</t>
  </si>
  <si>
    <t>Aurora</t>
  </si>
  <si>
    <t>Bacoor City</t>
  </si>
  <si>
    <t>Marinduque</t>
  </si>
  <si>
    <t>Camarines Norte</t>
  </si>
  <si>
    <t>Antique</t>
  </si>
  <si>
    <t>Bayawan City</t>
  </si>
  <si>
    <t>Biliran</t>
  </si>
  <si>
    <t>Dipolog City</t>
  </si>
  <si>
    <t>Cagayan de Oro City</t>
  </si>
  <si>
    <t>Davao De Oro</t>
  </si>
  <si>
    <t>General Santos City</t>
  </si>
  <si>
    <t>Agusan del Sur</t>
  </si>
  <si>
    <t>Lamitan City</t>
  </si>
  <si>
    <t>Apayao</t>
  </si>
  <si>
    <t>City of San Juan</t>
  </si>
  <si>
    <t>Candon City</t>
  </si>
  <si>
    <t>Cauayan City</t>
  </si>
  <si>
    <t>Balanga City</t>
  </si>
  <si>
    <t>Batangas</t>
  </si>
  <si>
    <t>Occidental Mindoro</t>
  </si>
  <si>
    <t>Camarines Sur</t>
  </si>
  <si>
    <t>Bacolod City</t>
  </si>
  <si>
    <t>Bogo City</t>
  </si>
  <si>
    <t>Borongan City</t>
  </si>
  <si>
    <t>Isabela City</t>
  </si>
  <si>
    <t>Camiguin</t>
  </si>
  <si>
    <t>Davao del Norte</t>
  </si>
  <si>
    <t>Kidapawan City</t>
  </si>
  <si>
    <t>Bayugan City</t>
  </si>
  <si>
    <t>Lanao del Sur - I</t>
  </si>
  <si>
    <t>Baguio City</t>
  </si>
  <si>
    <t>Las Piñas City</t>
  </si>
  <si>
    <t>Dagupan City</t>
  </si>
  <si>
    <t>City of Ilagan</t>
  </si>
  <si>
    <t>Bataan</t>
  </si>
  <si>
    <t>Batangas City</t>
  </si>
  <si>
    <t>Oriental Mindoro</t>
  </si>
  <si>
    <t>Catanduanes</t>
  </si>
  <si>
    <t>Bago City</t>
  </si>
  <si>
    <t>Bohol</t>
  </si>
  <si>
    <t>Calbayog City</t>
  </si>
  <si>
    <t>Pagadian City</t>
  </si>
  <si>
    <t>El Salvador</t>
  </si>
  <si>
    <t>Davao del Sur</t>
  </si>
  <si>
    <t>Koronadal City</t>
  </si>
  <si>
    <t>Bislig City</t>
  </si>
  <si>
    <t>Lanao del Sur - IB</t>
  </si>
  <si>
    <t>Benguet</t>
  </si>
  <si>
    <t>Makati City</t>
  </si>
  <si>
    <t>Ilocos Norte</t>
  </si>
  <si>
    <t>Isabela</t>
  </si>
  <si>
    <t>Bulacan</t>
  </si>
  <si>
    <t>Binan City</t>
  </si>
  <si>
    <t>Palawan</t>
  </si>
  <si>
    <t>Iriga City</t>
  </si>
  <si>
    <t>Cadiz City</t>
  </si>
  <si>
    <t>Carcar City</t>
  </si>
  <si>
    <t>Catbalogan City</t>
  </si>
  <si>
    <t>Zamboanga City</t>
  </si>
  <si>
    <t>Gingoog City</t>
  </si>
  <si>
    <t>Davao Occidental</t>
  </si>
  <si>
    <t>North Cotabato</t>
  </si>
  <si>
    <t>Butuan City</t>
  </si>
  <si>
    <t>Lanao del Sur - II</t>
  </si>
  <si>
    <t>Ifugao</t>
  </si>
  <si>
    <t>Malabon City</t>
  </si>
  <si>
    <t>Ilocos Sur</t>
  </si>
  <si>
    <t>Nueva Vizcaya</t>
  </si>
  <si>
    <t>Cabanatuan City</t>
  </si>
  <si>
    <t>Cabuyao City</t>
  </si>
  <si>
    <t>Puerto Princesa City</t>
  </si>
  <si>
    <t>Legaspi City</t>
  </si>
  <si>
    <t>Capiz</t>
  </si>
  <si>
    <t>Cebu</t>
  </si>
  <si>
    <t>Eastern Samar</t>
  </si>
  <si>
    <t>Zamboanga del Norte</t>
  </si>
  <si>
    <t>Iligan City</t>
  </si>
  <si>
    <t>Davao Oriental</t>
  </si>
  <si>
    <t>Sarangani</t>
  </si>
  <si>
    <t>Cabadbaran City</t>
  </si>
  <si>
    <t>Lanao del Sur - IIB</t>
  </si>
  <si>
    <t>Kalinga</t>
  </si>
  <si>
    <t>Mandaluyong City</t>
  </si>
  <si>
    <t>La Union</t>
  </si>
  <si>
    <t>Quirino</t>
  </si>
  <si>
    <t>Gapan City</t>
  </si>
  <si>
    <t>Calamba City</t>
  </si>
  <si>
    <t>Romblon</t>
  </si>
  <si>
    <t>Ligao City</t>
  </si>
  <si>
    <t>Escalante City</t>
  </si>
  <si>
    <t>Cebu City</t>
  </si>
  <si>
    <t>Leyte</t>
  </si>
  <si>
    <t>Zamboanga del Sur</t>
  </si>
  <si>
    <t>Lanao del Norte</t>
  </si>
  <si>
    <t>Digos City</t>
  </si>
  <si>
    <t>South Cotabato</t>
  </si>
  <si>
    <t>Dinagat Island</t>
  </si>
  <si>
    <t>Maguindanao I</t>
  </si>
  <si>
    <t>Mt. Province</t>
  </si>
  <si>
    <t>Manila</t>
  </si>
  <si>
    <t>Laoag City</t>
  </si>
  <si>
    <t>Santiago City</t>
  </si>
  <si>
    <t>Mabalacat City</t>
  </si>
  <si>
    <t>Cavite</t>
  </si>
  <si>
    <t>Masbate</t>
  </si>
  <si>
    <t>Guimaras</t>
  </si>
  <si>
    <t>City of Naga, Cebu</t>
  </si>
  <si>
    <t>Maasin City</t>
  </si>
  <si>
    <t>Zamboanga Sibugay</t>
  </si>
  <si>
    <t>Malaybalay City</t>
  </si>
  <si>
    <t>Island Garden City of Samal</t>
  </si>
  <si>
    <t>Sultan Kudarat</t>
  </si>
  <si>
    <t>Siargao</t>
  </si>
  <si>
    <t>Maguindanao II</t>
  </si>
  <si>
    <t>Tabuk City</t>
  </si>
  <si>
    <t>Marikina City</t>
  </si>
  <si>
    <t>Pangasinan I, Lingayen</t>
  </si>
  <si>
    <t>Tuguegarao City</t>
  </si>
  <si>
    <t>Malolos City</t>
  </si>
  <si>
    <t>Cavite City</t>
  </si>
  <si>
    <t>Masbate City</t>
  </si>
  <si>
    <t>Himamaylan City</t>
  </si>
  <si>
    <t>Danao City</t>
  </si>
  <si>
    <t>Northern Samar</t>
  </si>
  <si>
    <t>Misamis Occidental</t>
  </si>
  <si>
    <t>Mati City</t>
  </si>
  <si>
    <t>Tacurong City</t>
  </si>
  <si>
    <t>Surigao City</t>
  </si>
  <si>
    <t>Marawi City</t>
  </si>
  <si>
    <t>Muntinlupa City</t>
  </si>
  <si>
    <t>Pangasinan II, Binalonan</t>
  </si>
  <si>
    <t>Meycauayan City</t>
  </si>
  <si>
    <t>Dasmarinas City</t>
  </si>
  <si>
    <t>Naga City</t>
  </si>
  <si>
    <t>Iloilo</t>
  </si>
  <si>
    <t>Dumaguete City</t>
  </si>
  <si>
    <t>Ormoc City</t>
  </si>
  <si>
    <t>Misamis Oriental</t>
  </si>
  <si>
    <t>Panabo City</t>
  </si>
  <si>
    <t>Surigao del Norte</t>
  </si>
  <si>
    <t>Shariff Kabunsuan</t>
  </si>
  <si>
    <t>Navotas</t>
  </si>
  <si>
    <t>San Carlos City</t>
  </si>
  <si>
    <t>Munoz Science City</t>
  </si>
  <si>
    <t>General Trias City</t>
  </si>
  <si>
    <t>Sorsogon</t>
  </si>
  <si>
    <t>Iloilo City</t>
  </si>
  <si>
    <t>Guihulngan City</t>
  </si>
  <si>
    <t>Samar (Western Samar)</t>
  </si>
  <si>
    <t>Oroquieta City</t>
  </si>
  <si>
    <t>Tagum City</t>
  </si>
  <si>
    <t>Surigao del Sur</t>
  </si>
  <si>
    <t>Sulu</t>
  </si>
  <si>
    <t>Paranaque City</t>
  </si>
  <si>
    <t>San Fernando City</t>
  </si>
  <si>
    <t>Nueva Ecija</t>
  </si>
  <si>
    <t>Imus City</t>
  </si>
  <si>
    <t>Sorsogon City</t>
  </si>
  <si>
    <t>Kabankalan City</t>
  </si>
  <si>
    <t>Lapu-Lapu City</t>
  </si>
  <si>
    <t>Southern Leyte</t>
  </si>
  <si>
    <t>Ozamis City</t>
  </si>
  <si>
    <t>Tandag City</t>
  </si>
  <si>
    <t>Sulu II</t>
  </si>
  <si>
    <t>Pasay City</t>
  </si>
  <si>
    <t>Urdaneta City</t>
  </si>
  <si>
    <t>Olongapo City</t>
  </si>
  <si>
    <t>Laguna</t>
  </si>
  <si>
    <t>Tabaco City</t>
  </si>
  <si>
    <t>La Carlota City</t>
  </si>
  <si>
    <t>Mandaue City</t>
  </si>
  <si>
    <t>Tacloban City</t>
  </si>
  <si>
    <t>Tangub City</t>
  </si>
  <si>
    <t>Tawi-Tawi</t>
  </si>
  <si>
    <t>Pasig City</t>
  </si>
  <si>
    <t>Vigan City</t>
  </si>
  <si>
    <t>Pampanga</t>
  </si>
  <si>
    <t>Lipa City</t>
  </si>
  <si>
    <t>Negros Occidental</t>
  </si>
  <si>
    <t>Negros Oriental</t>
  </si>
  <si>
    <t>Valencia City</t>
  </si>
  <si>
    <t>Quezon City</t>
  </si>
  <si>
    <t>Lucena City</t>
  </si>
  <si>
    <t>Passi City</t>
  </si>
  <si>
    <t>Siquijor</t>
  </si>
  <si>
    <t>Taguig</t>
  </si>
  <si>
    <t>San Jose City</t>
  </si>
  <si>
    <t>Quezon</t>
  </si>
  <si>
    <t>Roxas City</t>
  </si>
  <si>
    <t>Tagbilaran City</t>
  </si>
  <si>
    <t>Valenzuela City</t>
  </si>
  <si>
    <t>San Jose del Monte City</t>
  </si>
  <si>
    <t>Rizal</t>
  </si>
  <si>
    <t>Sagay City</t>
  </si>
  <si>
    <t>Talisay City</t>
  </si>
  <si>
    <t>Tarlac</t>
  </si>
  <si>
    <t>San Pablo City</t>
  </si>
  <si>
    <t>Tanjay City</t>
  </si>
  <si>
    <t>Tarlac City</t>
  </si>
  <si>
    <t>Sta. Rosa City</t>
  </si>
  <si>
    <t>Silay City</t>
  </si>
  <si>
    <t>Toledo City</t>
  </si>
  <si>
    <t>Zambales</t>
  </si>
  <si>
    <t>Tanauan City</t>
  </si>
  <si>
    <t>Sipalay City</t>
  </si>
  <si>
    <t>Tayabas City</t>
  </si>
  <si>
    <t>Fixed wireless</t>
  </si>
  <si>
    <t>Bayantel</t>
  </si>
  <si>
    <t>DepEd DICP</t>
  </si>
  <si>
    <t>Satellite</t>
  </si>
  <si>
    <t>Digitel</t>
  </si>
  <si>
    <t>USB modem</t>
  </si>
  <si>
    <t>Globe</t>
  </si>
  <si>
    <t>Wired</t>
  </si>
  <si>
    <t>Other Government Agencies</t>
  </si>
  <si>
    <t>Smart</t>
  </si>
  <si>
    <t>Sun</t>
  </si>
  <si>
    <t>School Funds</t>
  </si>
  <si>
    <t>1st District</t>
  </si>
  <si>
    <t>2nd District</t>
  </si>
  <si>
    <t>3rd District</t>
  </si>
  <si>
    <t>4th District</t>
  </si>
  <si>
    <t>5th District</t>
  </si>
  <si>
    <t>6th District</t>
  </si>
  <si>
    <t>7th District</t>
  </si>
  <si>
    <t>8th District</t>
  </si>
  <si>
    <t>Lone District</t>
  </si>
  <si>
    <t>activesheet_var</t>
  </si>
  <si>
    <t>tbl_to_insert</t>
  </si>
  <si>
    <t>var_column</t>
  </si>
  <si>
    <t>activesheet</t>
  </si>
  <si>
    <t>var_value</t>
  </si>
  <si>
    <t>validation</t>
  </si>
  <si>
    <t>sequence</t>
  </si>
  <si>
    <t>category</t>
  </si>
  <si>
    <t>rule</t>
  </si>
  <si>
    <t>Table</t>
  </si>
  <si>
    <t>VarType</t>
  </si>
  <si>
    <t>Sort</t>
  </si>
  <si>
    <t>Remarks</t>
  </si>
  <si>
    <t>template_version</t>
  </si>
  <si>
    <t>school_profiles</t>
  </si>
  <si>
    <t>school_profile_type</t>
  </si>
  <si>
    <t>SchInfo!$B$32</t>
  </si>
  <si>
    <t>sch_id</t>
  </si>
  <si>
    <t>jhs_school_profile</t>
  </si>
  <si>
    <t>SchInfo!$AQ$2</t>
  </si>
  <si>
    <t>sch_name</t>
  </si>
  <si>
    <t>SchInfo!$G$21</t>
  </si>
  <si>
    <t>sch_prev_name</t>
  </si>
  <si>
    <t>SchInfo!$G$23</t>
  </si>
  <si>
    <t>sch_add_no</t>
  </si>
  <si>
    <t>SchInfo!$G$25</t>
  </si>
  <si>
    <t>sch_add_street</t>
  </si>
  <si>
    <t>SchInfo!$I$25</t>
  </si>
  <si>
    <t>sch_add_brgy</t>
  </si>
  <si>
    <t>SchInfo!$N$25</t>
  </si>
  <si>
    <t>sch_add_mun_city</t>
  </si>
  <si>
    <t>SchInfo!$G$27</t>
  </si>
  <si>
    <t>sch_add_prov</t>
  </si>
  <si>
    <t>SchInfo!$N$27</t>
  </si>
  <si>
    <t>sch_add_zip</t>
  </si>
  <si>
    <t>SchInfo!$T$27</t>
  </si>
  <si>
    <t>sch_region</t>
  </si>
  <si>
    <t>SchInfo!$AH$21</t>
  </si>
  <si>
    <t>sch_division</t>
  </si>
  <si>
    <t>SchInfo!$AH$22</t>
  </si>
  <si>
    <t>sch_leg_dist</t>
  </si>
  <si>
    <t>SchInfo!$AH$23</t>
  </si>
  <si>
    <t>sch_tel_no</t>
  </si>
  <si>
    <t>SchInfo!$AH$24</t>
  </si>
  <si>
    <t>sch_mob_no</t>
  </si>
  <si>
    <t>SchInfo!$AH$25</t>
  </si>
  <si>
    <t>sch_fax_no</t>
  </si>
  <si>
    <t>SchInfo!$AH$26</t>
  </si>
  <si>
    <t>sch_web_add</t>
  </si>
  <si>
    <t>SchInfo!$AH$27</t>
  </si>
  <si>
    <t>sch_email_add</t>
  </si>
  <si>
    <t>SchInfo!$AH$28</t>
  </si>
  <si>
    <t>sch_date_est</t>
  </si>
  <si>
    <t>SchInfo!$AH$29</t>
  </si>
  <si>
    <t>sch_sci_hs</t>
  </si>
  <si>
    <t>SchInfo!$C$30</t>
  </si>
  <si>
    <t>sch_night_cl</t>
  </si>
  <si>
    <t>SchInfo!$C$31</t>
  </si>
  <si>
    <t>sch_standalone_tecvoc</t>
  </si>
  <si>
    <t>SchInfo!$C$32</t>
  </si>
  <si>
    <t>sch_annex_ext_sch</t>
  </si>
  <si>
    <t>SchInfo!$C$33</t>
  </si>
  <si>
    <t>mother_sch_id</t>
  </si>
  <si>
    <t>sch_iu</t>
  </si>
  <si>
    <t>SchInfo!$C$34</t>
  </si>
  <si>
    <t>sdo_head_name</t>
  </si>
  <si>
    <t>SchInfo!$AM$38</t>
  </si>
  <si>
    <t>sdo_pos_title</t>
  </si>
  <si>
    <t>SchInfo!$AM$40</t>
  </si>
  <si>
    <t>head_name</t>
  </si>
  <si>
    <t>SchInfo!$F$38</t>
  </si>
  <si>
    <t>head_pos_title</t>
  </si>
  <si>
    <t>SchInfo!$F$40</t>
  </si>
  <si>
    <t>sch_planning_officer</t>
  </si>
  <si>
    <t>SchInfo!$R$38</t>
  </si>
  <si>
    <t>learners_by_spa_creativewriting_f_g9</t>
  </si>
  <si>
    <t>jhs_learners_byspecialprogram</t>
  </si>
  <si>
    <t>learners_by_spa_mediaart_f_g9</t>
  </si>
  <si>
    <t>learners_by_spa_visualart_f_g9</t>
  </si>
  <si>
    <t>learners_by_spfl_jap_f_g9</t>
  </si>
  <si>
    <t>learners_by_spfl_spa_f_g9</t>
  </si>
  <si>
    <t>learners_by_spfl_fre_f_g9</t>
  </si>
  <si>
    <t>learners_by_spfl_ger_f_g9</t>
  </si>
  <si>
    <t>learners_by_spfl_kor_f_g9</t>
  </si>
  <si>
    <t>learners_by_spfl_chn_f_g9</t>
  </si>
  <si>
    <t>learners_by_spj_f_g9</t>
  </si>
  <si>
    <t>learners_by_spste_f_g9</t>
  </si>
  <si>
    <t>learners_by_sps_is_f_g9</t>
  </si>
  <si>
    <t>learners_by_sps_ds_f_g9</t>
  </si>
  <si>
    <t>learners_by_sps_ts_f_g9</t>
  </si>
  <si>
    <t>learners_by_spa_music_f_g9</t>
  </si>
  <si>
    <t>learners_by_spa_dance_f_g9</t>
  </si>
  <si>
    <t>learners_by_spa_theaterarts_f_g9</t>
  </si>
  <si>
    <t>learners_by_spa_creativewriting_m_g10</t>
  </si>
  <si>
    <t>learners_by_spa_mediaart_m_g10</t>
  </si>
  <si>
    <t>learners_by_spa_visualart_m_g10</t>
  </si>
  <si>
    <t>learners_by_spfl_jap_m_g10</t>
  </si>
  <si>
    <t>learners_by_spfl_spa_m_g10</t>
  </si>
  <si>
    <t>learners_by_spfl_fre_m_g10</t>
  </si>
  <si>
    <t>learners_by_spfl_ger_m_g10</t>
  </si>
  <si>
    <t>learners_by_spfl_kor_m_g10</t>
  </si>
  <si>
    <t>learners_by_spfl_chn_m_g10</t>
  </si>
  <si>
    <t>learners_by_spj_m_g10</t>
  </si>
  <si>
    <t>learners_by_spste_m_g10</t>
  </si>
  <si>
    <t>learners_by_sps_is_m_g10</t>
  </si>
  <si>
    <t>learners_by_sps_ds_m_g10</t>
  </si>
  <si>
    <t>learners_by_sps_ts_m_g10</t>
  </si>
  <si>
    <t>learners_by_spa_music_m_g10</t>
  </si>
  <si>
    <t>learners_by_spa_dance_m_g10</t>
  </si>
  <si>
    <t>learners_by_spa_theaterarts_m_g10</t>
  </si>
  <si>
    <t>learners_by_spa_creativewriting_f_g10</t>
  </si>
  <si>
    <t>learners_by_spa_mediaart_f_g10</t>
  </si>
  <si>
    <t>learners_by_spa_visualart_f_g10</t>
  </si>
  <si>
    <t>learners_by_spfl_jap_f_g10</t>
  </si>
  <si>
    <t>learners_by_spfl_spa_f_g10</t>
  </si>
  <si>
    <t>learners_by_spfl_fre_f_g10</t>
  </si>
  <si>
    <t>learners_by_spfl_ger_f_g10</t>
  </si>
  <si>
    <t>learners_by_spfl_kor_f_g10</t>
  </si>
  <si>
    <t>learners_by_spfl_chn_f_g10</t>
  </si>
  <si>
    <t>learners_by_spj_f_g10</t>
  </si>
  <si>
    <t>learners_by_spste_f_g10</t>
  </si>
  <si>
    <t>learners_by_sps_is_f_g10</t>
  </si>
  <si>
    <t>learners_by_sps_ds_f_g10</t>
  </si>
  <si>
    <t>learners_by_sps_ts_f_g10</t>
  </si>
  <si>
    <t>learners_by_spa_music_f_g10</t>
  </si>
  <si>
    <t>learners_by_spa_dance_f_g10</t>
  </si>
  <si>
    <t>learners_by_spa_theaterarts_f_g10</t>
  </si>
  <si>
    <t>learners_by_spa_creativewriting_m_g7</t>
  </si>
  <si>
    <t>learners_by_spa_mediaart_m_g7</t>
  </si>
  <si>
    <t>learners_by_spa_visualart_m_g7</t>
  </si>
  <si>
    <t>learners_by_spfl_jap_m_g7</t>
  </si>
  <si>
    <t>learners_by_spfl_spa_m_g7</t>
  </si>
  <si>
    <t>learners_by_spfl_fre_m_g7</t>
  </si>
  <si>
    <t>learners_by_spfl_ger_m_g7</t>
  </si>
  <si>
    <t>learners_by_spfl_kor_m_g7</t>
  </si>
  <si>
    <t>learners_by_spfl_chn_m_g7</t>
  </si>
  <si>
    <t>learners_by_spj_m_g7</t>
  </si>
  <si>
    <t>learners_by_spste_m_g7</t>
  </si>
  <si>
    <t>learners_by_sps_is_m_g7</t>
  </si>
  <si>
    <t>learners_by_sps_ds_m_g7</t>
  </si>
  <si>
    <t>learners_by_sps_ts_m_g7</t>
  </si>
  <si>
    <t>learners_by_spa_music_m_g7</t>
  </si>
  <si>
    <t>learners_by_spa_dance_m_g7</t>
  </si>
  <si>
    <t>learners_by_spa_theaterarts_m_g7</t>
  </si>
  <si>
    <t>learners_by_spa_creativewriting_f_g7</t>
  </si>
  <si>
    <t>learners_by_spa_mediaart_f_g7</t>
  </si>
  <si>
    <t>learners_by_spa_visualart_f_g7</t>
  </si>
  <si>
    <t>learners_by_spfl_jap_f_g7</t>
  </si>
  <si>
    <t>learners_by_spfl_spa_f_g7</t>
  </si>
  <si>
    <t>learners_by_spfl_fre_f_g7</t>
  </si>
  <si>
    <t>learners_by_spfl_ger_f_g7</t>
  </si>
  <si>
    <t>learners_by_spfl_kor_f_g7</t>
  </si>
  <si>
    <t>learners_by_spfl_chn_f_g7</t>
  </si>
  <si>
    <t>learners_by_spj_f_g7</t>
  </si>
  <si>
    <t>learners_by_spste_f_g7</t>
  </si>
  <si>
    <t>learners_by_sps_is_f_g7</t>
  </si>
  <si>
    <t>learners_by_sps_ds_f_g7</t>
  </si>
  <si>
    <t>learners_by_sps_ts_f_g7</t>
  </si>
  <si>
    <t>learners_by_spa_music_f_g7</t>
  </si>
  <si>
    <t>learners_by_spa_dance_f_g7</t>
  </si>
  <si>
    <t>learners_by_spa_theaterarts_f_g7</t>
  </si>
  <si>
    <t>learners_by_spa_creativewriting_m_g8</t>
  </si>
  <si>
    <t>learners_by_spa_mediaart_m_g8</t>
  </si>
  <si>
    <t>learners_by_spa_visualart_m_g8</t>
  </si>
  <si>
    <t>learners_by_spfl_jap_m_g8</t>
  </si>
  <si>
    <t>learners_by_spfl_spa_m_g8</t>
  </si>
  <si>
    <t>learners_by_spfl_fre_m_g8</t>
  </si>
  <si>
    <t>learners_by_spfl_ger_m_g8</t>
  </si>
  <si>
    <t>learners_by_spfl_kor_m_g8</t>
  </si>
  <si>
    <t>learners_by_spfl_chn_m_g8</t>
  </si>
  <si>
    <t>learners_by_spj_m_g8</t>
  </si>
  <si>
    <t>learners_by_spste_m_g8</t>
  </si>
  <si>
    <t>learners_by_sps_is_m_g8</t>
  </si>
  <si>
    <t>learners_by_sps_ds_m_g8</t>
  </si>
  <si>
    <t>learners_by_sps_ts_m_g8</t>
  </si>
  <si>
    <t>learners_by_spa_music_m_g8</t>
  </si>
  <si>
    <t>learners_by_spa_dance_m_g8</t>
  </si>
  <si>
    <t>learners_by_spa_theaterarts_m_g8</t>
  </si>
  <si>
    <t>learners_by_spa_creativewriting_f_g8</t>
  </si>
  <si>
    <t>learners_by_spa_mediaart_f_g8</t>
  </si>
  <si>
    <t>learners_by_spa_visualart_f_g8</t>
  </si>
  <si>
    <t>learners_by_spfl_jap_f_g8</t>
  </si>
  <si>
    <t>learners_by_spfl_spa_f_g8</t>
  </si>
  <si>
    <t>learners_by_spfl_fre_f_g8</t>
  </si>
  <si>
    <t>learners_by_spfl_ger_f_g8</t>
  </si>
  <si>
    <t>learners_by_spfl_kor_f_g8</t>
  </si>
  <si>
    <t>learners_by_spfl_chn_f_g8</t>
  </si>
  <si>
    <t>learners_by_spj_f_g8</t>
  </si>
  <si>
    <t>learners_by_spste_f_g8</t>
  </si>
  <si>
    <t>learners_by_sps_is_f_g8</t>
  </si>
  <si>
    <t>learners_by_sps_ds_f_g8</t>
  </si>
  <si>
    <t>learners_by_sps_ts_f_g8</t>
  </si>
  <si>
    <t>learners_by_spa_music_f_g8</t>
  </si>
  <si>
    <t>learners_by_spa_dance_f_g8</t>
  </si>
  <si>
    <t>learners_by_spa_theaterarts_f_g8</t>
  </si>
  <si>
    <t>learners_by_spa_creativewriting_m_g9</t>
  </si>
  <si>
    <t>learners_by_spa_mediaart_m_g9</t>
  </si>
  <si>
    <t>learners_by_spa_visualart_m_g9</t>
  </si>
  <si>
    <t>learners_by_spfl_jap_m_g9</t>
  </si>
  <si>
    <t>learners_by_spfl_spa_m_g9</t>
  </si>
  <si>
    <t>learners_by_spfl_fre_m_g9</t>
  </si>
  <si>
    <t>learners_by_spfl_ger_m_g9</t>
  </si>
  <si>
    <t>learners_by_spfl_kor_m_g9</t>
  </si>
  <si>
    <t>learners_by_spfl_chn_m_g9</t>
  </si>
  <si>
    <t>learners_by_spj_m_g9</t>
  </si>
  <si>
    <t>learners_by_spste_m_g9</t>
  </si>
  <si>
    <t>learners_by_sps_is_m_g9</t>
  </si>
  <si>
    <t>learners_by_sps_ds_m_g9</t>
  </si>
  <si>
    <t>learners_by_sps_ts_m_g9</t>
  </si>
  <si>
    <t>learners_by_spa_music_m_g9</t>
  </si>
  <si>
    <t>learners_by_spa_dance_m_g9</t>
  </si>
  <si>
    <t>learners_by_spa_theaterarts_m_g9</t>
  </si>
  <si>
    <t>learners_tle_he_dressmaking_m_g9</t>
  </si>
  <si>
    <t>jhs_learner_in_tle</t>
  </si>
  <si>
    <t>learners_tle_he_frontofficesrvc_m_g9</t>
  </si>
  <si>
    <t>learners_tle_he_handicraft_m_g9</t>
  </si>
  <si>
    <t>learners_tle_he_householdsrvc_m_g9</t>
  </si>
  <si>
    <t>learners_tle_he_travelservices_m_g9</t>
  </si>
  <si>
    <t>learners_tle_he_wellness_m_g9</t>
  </si>
  <si>
    <t>learners_tle_afa_agricrops_m_g9</t>
  </si>
  <si>
    <t>learners_tle_afa_animalprod_m_g9</t>
  </si>
  <si>
    <t>learners_tle_afa_aquaculture_m_g9</t>
  </si>
  <si>
    <t>learners_tle_afa_fishprocessing_m_g9</t>
  </si>
  <si>
    <t>learners_tle_ia_automotiveservicing_m_g9</t>
  </si>
  <si>
    <t>learners_tle_ia_carpentry_m_g9</t>
  </si>
  <si>
    <t>learners_tle_ia_elecinstallation_m_g9</t>
  </si>
  <si>
    <t>learners_tle_ia_elecproduction_m_g9</t>
  </si>
  <si>
    <t>learners_tle_ia_masonry_m_g9</t>
  </si>
  <si>
    <t>learners_tle_ia_plumbing_m_g9</t>
  </si>
  <si>
    <t>learners_tle_ia_refnairconditioning_m_g9</t>
  </si>
  <si>
    <t>learners_tle_ia_shieldedmetalwelding_m_g9</t>
  </si>
  <si>
    <t>learners_tle_ict_compsystemservicing_m_g9</t>
  </si>
  <si>
    <t>learners_tle_ict_contactcenterservices_m_g9</t>
  </si>
  <si>
    <t>learners_tle_ict_illustration_m_g9</t>
  </si>
  <si>
    <t>learners_tle_ict_techdrafting_m_g9</t>
  </si>
  <si>
    <t>learners_tle_he_beautycare_m_g9</t>
  </si>
  <si>
    <t>learners_tle_he_caregiving_m_g9</t>
  </si>
  <si>
    <t>learners_tle_he_cookery_m_g9</t>
  </si>
  <si>
    <t>learners_tle_he_dressmaking_f_g9</t>
  </si>
  <si>
    <t>learners_tle_he_frontofficesrvc_f_g9</t>
  </si>
  <si>
    <t>learners_tle_he_handicraft_f_g9</t>
  </si>
  <si>
    <t>learners_tle_he_householdsrvc_f_g9</t>
  </si>
  <si>
    <t>learners_tle_he_travelservices_f_g9</t>
  </si>
  <si>
    <t>learners_tle_he_wellness_f_g9</t>
  </si>
  <si>
    <t>learners_tle_afa_agricrops_f_g9</t>
  </si>
  <si>
    <t>learners_tle_afa_animalprod_f_g9</t>
  </si>
  <si>
    <t>learners_tle_afa_aquaculture_f_g9</t>
  </si>
  <si>
    <t>learners_tle_afa_fishprocessing_f_g9</t>
  </si>
  <si>
    <t>learners_tle_ia_automotiveservicing_f_g9</t>
  </si>
  <si>
    <t>learners_tle_ia_carpentry_f_g9</t>
  </si>
  <si>
    <t>learners_tle_ia_elecinstallation_f_g9</t>
  </si>
  <si>
    <t>learners_tle_ia_elecproduction_f_g9</t>
  </si>
  <si>
    <t>learners_tle_ia_masonry_f_g9</t>
  </si>
  <si>
    <t>learners_tle_ia_plumbing_f_g9</t>
  </si>
  <si>
    <t>learners_tle_ia_refnairconditioning_f_g9</t>
  </si>
  <si>
    <t>learners_tle_ia_shieldedmetalwelding_f_g9</t>
  </si>
  <si>
    <t>learners_tle_ict_compsystemservicing_f_g9</t>
  </si>
  <si>
    <t>learners_tle_ict_contactcenterservices_f_g9</t>
  </si>
  <si>
    <t>learners_tle_ict_illustration_f_g9</t>
  </si>
  <si>
    <t>learners_tle_ict_techdrafting_f_g9</t>
  </si>
  <si>
    <t>learners_tle_he_beautycare_f_g9</t>
  </si>
  <si>
    <t>learners_tle_he_caregiving_f_g9</t>
  </si>
  <si>
    <t>learners_tle_he_cookery_f_g9</t>
  </si>
  <si>
    <t>learners_tle_he_dressmaking_m_g10</t>
  </si>
  <si>
    <t>learners_tle_he_frontofficesrvc_m_g10</t>
  </si>
  <si>
    <t>learners_tle_he_handicraft_m_g10</t>
  </si>
  <si>
    <t>learners_tle_he_householdsrvc_m_g10</t>
  </si>
  <si>
    <t>learners_tle_he_travelservices_m_g10</t>
  </si>
  <si>
    <t>learners_tle_he_wellness_m_g10</t>
  </si>
  <si>
    <t>learners_tle_afa_agricrops_m_g10</t>
  </si>
  <si>
    <t>learners_tle_afa_animalprod_m_g10</t>
  </si>
  <si>
    <t>learners_tle_afa_aquaculture_m_g10</t>
  </si>
  <si>
    <t>learners_tle_afa_fishprocessing_m_g10</t>
  </si>
  <si>
    <t>learners_tle_ia_automotiveservicing_m_g10</t>
  </si>
  <si>
    <t>learners_tle_ia_carpentry_m_g10</t>
  </si>
  <si>
    <t>learners_tle_ia_elecinstallation_m_g10</t>
  </si>
  <si>
    <t>learners_tle_ia_elecproduction_m_g10</t>
  </si>
  <si>
    <t>learners_tle_ia_masonry_m_g10</t>
  </si>
  <si>
    <t>learners_tle_ia_plumbing_m_g10</t>
  </si>
  <si>
    <t>learners_tle_ia_refnairconditioning_m_g10</t>
  </si>
  <si>
    <t>learners_tle_ia_shieldedmetalwelding_m_g10</t>
  </si>
  <si>
    <t>learners_tle_ict_compsystemservicing_m_g10</t>
  </si>
  <si>
    <t>learners_tle_ict_contactcenterservices_m_g10</t>
  </si>
  <si>
    <t>learners_tle_ict_illustration_m_g10</t>
  </si>
  <si>
    <t>learners_tle_ict_techdrafting_m_g10</t>
  </si>
  <si>
    <t>learners_tle_he_beautycare_m_g10</t>
  </si>
  <si>
    <t>learners_tle_he_caregiving_m_g10</t>
  </si>
  <si>
    <t>learners_tle_he_cookery_m_g10</t>
  </si>
  <si>
    <t>learners_tle_he_dressmaking_f_g10</t>
  </si>
  <si>
    <t>learners_tle_he_frontofficesrvc_f_g10</t>
  </si>
  <si>
    <t>learners_tle_he_handicraft_f_g10</t>
  </si>
  <si>
    <t>learners_tle_he_householdsrvc_f_g10</t>
  </si>
  <si>
    <t>learners_tle_he_travelservices_f_g10</t>
  </si>
  <si>
    <t>learners_tle_he_wellness_f_g10</t>
  </si>
  <si>
    <t>learners_tle_afa_agricrops_f_g10</t>
  </si>
  <si>
    <t>learners_tle_afa_animalprod_f_g10</t>
  </si>
  <si>
    <t>learners_tle_afa_aquaculture_f_g10</t>
  </si>
  <si>
    <t>learners_tle_afa_fishprocessing_f_g10</t>
  </si>
  <si>
    <t>learners_tle_ia_automotiveservicing_f_g10</t>
  </si>
  <si>
    <t>learners_tle_ia_carpentry_f_g10</t>
  </si>
  <si>
    <t>learners_tle_ia_elecinstallation_f_g10</t>
  </si>
  <si>
    <t>learners_tle_ia_elecproduction_f_g10</t>
  </si>
  <si>
    <t>learners_tle_ia_masonry_f_g10</t>
  </si>
  <si>
    <t>learners_tle_ia_plumbing_f_g10</t>
  </si>
  <si>
    <t>learners_tle_ia_refnairconditioning_f_g10</t>
  </si>
  <si>
    <t>learners_tle_ia_shieldedmetalwelding_f_g10</t>
  </si>
  <si>
    <t>learners_tle_ict_compsystemservicing_f_g10</t>
  </si>
  <si>
    <t>learners_tle_ict_contactcenterservices_f_g10</t>
  </si>
  <si>
    <t>learners_tle_ict_illustration_f_g10</t>
  </si>
  <si>
    <t>learners_tle_ict_techdrafting_f_g10</t>
  </si>
  <si>
    <t>learners_tle_he_beautycare_f_g10</t>
  </si>
  <si>
    <t>learners_tle_he_caregiving_f_g10</t>
  </si>
  <si>
    <t>learners_tle_he_cookery_f_g10</t>
  </si>
  <si>
    <t>learners_tle_he_dressmaking_m_g7</t>
  </si>
  <si>
    <t>learners_tle_he_frontofficesrvc_m_g7</t>
  </si>
  <si>
    <t>learners_tle_he_handicraft_m_g7</t>
  </si>
  <si>
    <t>learners_tle_he_householdsrvc_m_g7</t>
  </si>
  <si>
    <t>learners_tle_he_travelservices_m_g7</t>
  </si>
  <si>
    <t>learners_tle_he_wellness_m_g7</t>
  </si>
  <si>
    <t>learners_tle_afa_agricrops_m_g7</t>
  </si>
  <si>
    <t>learners_tle_afa_animalprod_m_g7</t>
  </si>
  <si>
    <t>learners_tle_afa_aquaculture_m_g7</t>
  </si>
  <si>
    <t>learners_tle_afa_fishprocessing_m_g7</t>
  </si>
  <si>
    <t>learners_tle_ia_automotiveservicing_m_g7</t>
  </si>
  <si>
    <t>learners_tle_ia_carpentry_m_g7</t>
  </si>
  <si>
    <t>learners_tle_ia_elecinstallation_m_g7</t>
  </si>
  <si>
    <t>learners_tle_ia_elecproduction_m_g7</t>
  </si>
  <si>
    <t>learners_tle_ia_masonry_m_g7</t>
  </si>
  <si>
    <t>learners_tle_ia_plumbing_m_g7</t>
  </si>
  <si>
    <t>learners_tle_ia_refnairconditioning_m_g7</t>
  </si>
  <si>
    <t>learners_tle_ia_shieldedmetalwelding_m_g7</t>
  </si>
  <si>
    <t>learners_tle_ict_compsystemservicing_m_g7</t>
  </si>
  <si>
    <t>learners_tle_ict_contactcenterservices_m_g7</t>
  </si>
  <si>
    <t>learners_tle_ict_illustration_m_g7</t>
  </si>
  <si>
    <t>learners_tle_ict_techdrafting_m_g7</t>
  </si>
  <si>
    <t>learners_tle_he_beautycare_m_g7</t>
  </si>
  <si>
    <t>learners_tle_he_caregiving_m_g7</t>
  </si>
  <si>
    <t>learners_tle_he_cookery_m_g7</t>
  </si>
  <si>
    <t>learners_tle_he_dressmaking_f_g7</t>
  </si>
  <si>
    <t>learners_tle_he_frontofficesrvc_f_g7</t>
  </si>
  <si>
    <t>learners_tle_he_handicraft_f_g7</t>
  </si>
  <si>
    <t>learners_tle_he_householdsrvc_f_g7</t>
  </si>
  <si>
    <t>learners_tle_he_travelservices_f_g7</t>
  </si>
  <si>
    <t>learners_tle_he_wellness_f_g7</t>
  </si>
  <si>
    <t>learners_tle_afa_agricrops_f_g7</t>
  </si>
  <si>
    <t>learners_tle_afa_animalprod_f_g7</t>
  </si>
  <si>
    <t>learners_tle_afa_aquaculture_f_g7</t>
  </si>
  <si>
    <t>learners_tle_afa_fishprocessing_f_g7</t>
  </si>
  <si>
    <t>learners_tle_ia_automotiveservicing_f_g7</t>
  </si>
  <si>
    <t>learners_tle_ia_carpentry_f_g7</t>
  </si>
  <si>
    <t>learners_tle_ia_elecinstallation_f_g7</t>
  </si>
  <si>
    <t>learners_tle_ia_elecproduction_f_g7</t>
  </si>
  <si>
    <t>learners_tle_ia_masonry_f_g7</t>
  </si>
  <si>
    <t>learners_tle_ia_plumbing_f_g7</t>
  </si>
  <si>
    <t>learners_tle_ia_refnairconditioning_f_g7</t>
  </si>
  <si>
    <t>learners_tle_ia_shieldedmetalwelding_f_g7</t>
  </si>
  <si>
    <t>learners_tle_ict_compsystemservicing_f_g7</t>
  </si>
  <si>
    <t>learners_tle_ict_contactcenterservices_f_g7</t>
  </si>
  <si>
    <t>learners_tle_ict_illustration_f_g7</t>
  </si>
  <si>
    <t>learners_tle_ict_techdrafting_f_g7</t>
  </si>
  <si>
    <t>learners_tle_he_beautycare_f_g7</t>
  </si>
  <si>
    <t>learners_tle_he_caregiving_f_g7</t>
  </si>
  <si>
    <t>learners_tle_he_cookery_f_g7</t>
  </si>
  <si>
    <t>learners_tle_he_dressmaking_m_g8</t>
  </si>
  <si>
    <t>learners_tle_he_frontofficesrvc_m_g8</t>
  </si>
  <si>
    <t>learners_tle_he_handicraft_m_g8</t>
  </si>
  <si>
    <t>learners_tle_he_householdsrvc_m_g8</t>
  </si>
  <si>
    <t>learners_tle_he_travelservices_m_g8</t>
  </si>
  <si>
    <t>learners_tle_he_wellness_m_g8</t>
  </si>
  <si>
    <t>learners_tle_afa_agricrops_m_g8</t>
  </si>
  <si>
    <t>learners_tle_afa_animalprod_m_g8</t>
  </si>
  <si>
    <t>learners_tle_afa_aquaculture_m_g8</t>
  </si>
  <si>
    <t>learners_tle_afa_fishprocessing_m_g8</t>
  </si>
  <si>
    <t>learners_tle_ia_automotiveservicing_m_g8</t>
  </si>
  <si>
    <t>learners_tle_ia_carpentry_m_g8</t>
  </si>
  <si>
    <t>learners_tle_ia_elecinstallation_m_g8</t>
  </si>
  <si>
    <t>learners_tle_ia_elecproduction_m_g8</t>
  </si>
  <si>
    <t>learners_tle_ia_masonry_m_g8</t>
  </si>
  <si>
    <t>learners_tle_ia_plumbing_m_g8</t>
  </si>
  <si>
    <t>learners_tle_ia_refnairconditioning_m_g8</t>
  </si>
  <si>
    <t>learners_tle_ia_shieldedmetalwelding_m_g8</t>
  </si>
  <si>
    <t>learners_tle_ict_compsystemservicing_m_g8</t>
  </si>
  <si>
    <t>learners_tle_ict_contactcenterservices_m_g8</t>
  </si>
  <si>
    <t>learners_tle_ict_illustration_m_g8</t>
  </si>
  <si>
    <t>learners_tle_ict_techdrafting_m_g8</t>
  </si>
  <si>
    <t>learners_tle_he_beautycare_m_g8</t>
  </si>
  <si>
    <t>learners_tle_he_caregiving_m_g8</t>
  </si>
  <si>
    <t>learners_tle_he_cookery_m_g8</t>
  </si>
  <si>
    <t>learners_tle_he_dressmaking_f_g8</t>
  </si>
  <si>
    <t>learners_tle_he_frontofficesrvc_f_g8</t>
  </si>
  <si>
    <t>learners_tle_he_handicraft_f_g8</t>
  </si>
  <si>
    <t>learners_tle_he_householdsrvc_f_g8</t>
  </si>
  <si>
    <t>learners_tle_he_travelservices_f_g8</t>
  </si>
  <si>
    <t>learners_tle_he_wellness_f_g8</t>
  </si>
  <si>
    <t>learners_tle_afa_agricrops_f_g8</t>
  </si>
  <si>
    <t>learners_tle_afa_animalprod_f_g8</t>
  </si>
  <si>
    <t>learners_tle_afa_aquaculture_f_g8</t>
  </si>
  <si>
    <t>learners_tle_afa_fishprocessing_f_g8</t>
  </si>
  <si>
    <t>learners_tle_ia_automotiveservicing_f_g8</t>
  </si>
  <si>
    <t>learners_tle_ia_carpentry_f_g8</t>
  </si>
  <si>
    <t>learners_tle_ia_elecinstallation_f_g8</t>
  </si>
  <si>
    <t>learners_tle_ia_elecproduction_f_g8</t>
  </si>
  <si>
    <t>learners_tle_ia_masonry_f_g8</t>
  </si>
  <si>
    <t>learners_tle_ia_plumbing_f_g8</t>
  </si>
  <si>
    <t>learners_tle_ia_refnairconditioning_f_g8</t>
  </si>
  <si>
    <t>learners_tle_ia_shieldedmetalwelding_f_g8</t>
  </si>
  <si>
    <t>learners_wd_uhhbp_wdlms_home_id_tp</t>
  </si>
  <si>
    <t>jhs_learner_wd_uhhbp</t>
  </si>
  <si>
    <t>Table5!$AA$10</t>
  </si>
  <si>
    <t>learners_wd_uhhbp_wdlms_home_asd_tp</t>
  </si>
  <si>
    <t>Table5!$AA$11</t>
  </si>
  <si>
    <t>learners_wd_uhhbp_wdlms_home_ebd_tp</t>
  </si>
  <si>
    <t>Table5!$AA$12</t>
  </si>
  <si>
    <t>learners_wd_uhhbp_wdlms_home_oph_tp</t>
  </si>
  <si>
    <t>Table5!$AA$13</t>
  </si>
  <si>
    <t>learners_wd_uhhbp_wdlms_home_sld_tp</t>
  </si>
  <si>
    <t>Table5!$AA$14</t>
  </si>
  <si>
    <t>learners_wd_uhhbp_wdlms_home_cp_tp</t>
  </si>
  <si>
    <t>Table5!$AA$15</t>
  </si>
  <si>
    <t>learners_wd_uhhbp_wdlms_home_shpcd_tp</t>
  </si>
  <si>
    <t>Table5!$AA$16</t>
  </si>
  <si>
    <t>learners_wd_uhhbp_wdlms_home_ca_tp</t>
  </si>
  <si>
    <t>Table5!$AA$17</t>
  </si>
  <si>
    <t>learners_wd_uhhbp_wdlms_home_md_tp</t>
  </si>
  <si>
    <t>Table5!$AA$18</t>
  </si>
  <si>
    <t>learners_wd_uhhbp_wm_home_ds_tp</t>
  </si>
  <si>
    <t>Table5!$AA$20</t>
  </si>
  <si>
    <t>learners_wd_uhhbp_wm_home_dh_tp</t>
  </si>
  <si>
    <t>Table5!$AA$21</t>
  </si>
  <si>
    <t>learners_wd_uhhbp_wm_home_dak_tp</t>
  </si>
  <si>
    <t>Table5!$AA$22</t>
  </si>
  <si>
    <t>learners_wd_uhhbp_wm_home_drcpau_tp</t>
  </si>
  <si>
    <t>Table5!$AA$23</t>
  </si>
  <si>
    <t>learners_wd_uhhbp_wm_home_daas_tp</t>
  </si>
  <si>
    <t>Table5!$AA$24</t>
  </si>
  <si>
    <t>learners_wd_uhhbp_wm_home_ddipb_tp</t>
  </si>
  <si>
    <t>Table5!$AA$25</t>
  </si>
  <si>
    <t>learners_wd_uhhbp_wm_home_dm_tp</t>
  </si>
  <si>
    <t>Table5!$AA$26</t>
  </si>
  <si>
    <t>learners_wd_uhhbp_wm_home_dc_tp</t>
  </si>
  <si>
    <t>Table5!$AA$27</t>
  </si>
  <si>
    <t>learners_wd_uhhbp_wdlms_home_vi_tp</t>
  </si>
  <si>
    <t>Table5!$AA$7</t>
  </si>
  <si>
    <t>learners_wd_uhhbp_wdlms_home_hi_tp</t>
  </si>
  <si>
    <t>Table5!$AA$8</t>
  </si>
  <si>
    <t>learners_wd_uhhbp_wdlms_home_ld_tp</t>
  </si>
  <si>
    <t>Table5!$AA$9</t>
  </si>
  <si>
    <t>learners_wd_uhhbp_wdlms_home_id_g7tog10</t>
  </si>
  <si>
    <t>Table5!$AD$10</t>
  </si>
  <si>
    <t>learners_wd_uhhbp_wdlms_home_asd_g7tog10</t>
  </si>
  <si>
    <t>Table5!$AD$11</t>
  </si>
  <si>
    <t>learners_wd_uhhbp_wdlms_home_ebd_g7tog10</t>
  </si>
  <si>
    <t>Table5!$AD$12</t>
  </si>
  <si>
    <t>learners_wd_uhhbp_wdlms_home_oph_g7tog10</t>
  </si>
  <si>
    <t>Table5!$AD$13</t>
  </si>
  <si>
    <t>learners_wd_uhhbp_wdlms_home_sld_g7tog10</t>
  </si>
  <si>
    <t>Table5!$AD$14</t>
  </si>
  <si>
    <t>learners_wd_uhhbp_wdlms_home_cp_g7tog10</t>
  </si>
  <si>
    <t>Table5!$AD$15</t>
  </si>
  <si>
    <t>learners_wd_uhhbp_wdlms_home_shpcd_g7tog10</t>
  </si>
  <si>
    <t>Table5!$AD$16</t>
  </si>
  <si>
    <t>learners_wd_uhhbp_wdlms_home_ca_g7tog10</t>
  </si>
  <si>
    <t>Table5!$AD$17</t>
  </si>
  <si>
    <t>learners_wd_uhhbp_wdlms_home_md_g7tog10</t>
  </si>
  <si>
    <t>Table5!$AD$18</t>
  </si>
  <si>
    <t>learners_wd_uhhbp_wm_home_ds_g7tog10</t>
  </si>
  <si>
    <t>Table5!$AD$20</t>
  </si>
  <si>
    <t>learners_wd_uhhbp_wm_home_dh_g7tog10</t>
  </si>
  <si>
    <t>Table5!$AD$21</t>
  </si>
  <si>
    <t>learners_wd_uhhbp_wm_home_dak_g7tog10</t>
  </si>
  <si>
    <t>Table5!$AD$22</t>
  </si>
  <si>
    <t>learners_wd_uhhbp_wm_home_drcpau_g7tog10</t>
  </si>
  <si>
    <t>Table5!$AD$23</t>
  </si>
  <si>
    <t>learners_wd_uhhbp_wm_home_daas_g7tog10</t>
  </si>
  <si>
    <t>Table5!$AD$24</t>
  </si>
  <si>
    <t>learners_wd_uhhbp_wm_home_ddipb_g7tog10</t>
  </si>
  <si>
    <t>Table5!$AD$25</t>
  </si>
  <si>
    <t>learners_wd_uhhbp_wm_home_dm_g7tog10</t>
  </si>
  <si>
    <t>Table5!$AD$26</t>
  </si>
  <si>
    <t>learners_wd_uhhbp_wm_home_dc_g7tog10</t>
  </si>
  <si>
    <t>Table5!$AD$27</t>
  </si>
  <si>
    <t>learners_wd_uhhbp_wdlms_home_vi_g7tog10</t>
  </si>
  <si>
    <t>Table5!$AD$7</t>
  </si>
  <si>
    <t>learners_wd_uhhbp_wdlms_home_hi_g7tog10</t>
  </si>
  <si>
    <t>Table5!$AD$8</t>
  </si>
  <si>
    <t>learners_wd_uhhbp_wdlms_home_ld_g7tog10</t>
  </si>
  <si>
    <t>Table5!$AD$9</t>
  </si>
  <si>
    <t>learners_wd_uhhbp_wdlms_hosp_id_12to15</t>
  </si>
  <si>
    <t>Table5!$AJ$10</t>
  </si>
  <si>
    <t>learners_wd_uhhbp_wdlms_hosp_asd_12to15</t>
  </si>
  <si>
    <t>Table5!$AJ$11</t>
  </si>
  <si>
    <t>learners_wd_uhhbp_wdlms_hosp_ebd_12to15</t>
  </si>
  <si>
    <t>Table5!$AJ$12</t>
  </si>
  <si>
    <t>learners_wd_uhhbp_wdlms_hosp_oph_12to15</t>
  </si>
  <si>
    <t>Table5!$AJ$13</t>
  </si>
  <si>
    <t>learners_wd_uhhbp_wdlms_hosp_sld_12to15</t>
  </si>
  <si>
    <t>Table5!$AJ$14</t>
  </si>
  <si>
    <t>learners_wd_uhhbp_wdlms_hosp_cp_12to15</t>
  </si>
  <si>
    <t>Table5!$AJ$15</t>
  </si>
  <si>
    <t>learners_wd_uhhbp_wdlms_hosp_shpcd_12to15</t>
  </si>
  <si>
    <t>Table5!$AJ$16</t>
  </si>
  <si>
    <t>learners_wd_uhhbp_wdlms_hosp_ca_12to15</t>
  </si>
  <si>
    <t>Table5!$AJ$17</t>
  </si>
  <si>
    <t>learners_wd_uhhbp_wdlms_hosp_md_12to15</t>
  </si>
  <si>
    <t>Table5!$AJ$18</t>
  </si>
  <si>
    <t>learners_wd_uhhbp_wdlms_hosp_vi_12to15</t>
  </si>
  <si>
    <t>Table5!$AJ$7</t>
  </si>
  <si>
    <t>learners_wd_uhhbp_wdlms_hosp_hi_12to15</t>
  </si>
  <si>
    <t>Table5!$AJ$8</t>
  </si>
  <si>
    <t>learners_wd_uhhbp_wdlms_hosp_ld_12to15</t>
  </si>
  <si>
    <t>Table5!$AJ$9</t>
  </si>
  <si>
    <t>learners_wd_uhhbp_wdlms_hosp_id_16to20</t>
  </si>
  <si>
    <t>Table5!$AM$10</t>
  </si>
  <si>
    <t>learners_wd_uhhbp_wdlms_hosp_asd_16to20</t>
  </si>
  <si>
    <t>Table5!$AM$11</t>
  </si>
  <si>
    <t>learners_wd_uhhbp_wdlms_hosp_ebd_16to20</t>
  </si>
  <si>
    <t>Table5!$AM$12</t>
  </si>
  <si>
    <t>learners_wd_uhhbp_wdlms_hosp_oph_16to20</t>
  </si>
  <si>
    <t>Table5!$AM$13</t>
  </si>
  <si>
    <t>learners_wd_uhhbp_wdlms_hosp_sld_16to20</t>
  </si>
  <si>
    <t>Table5!$AM$14</t>
  </si>
  <si>
    <t>learners_wd_uhhbp_wdlms_hosp_cp_16to20</t>
  </si>
  <si>
    <t>Table5!$AM$15</t>
  </si>
  <si>
    <t>learners_wd_uhhbp_wdlms_hosp_shpcd_16to20</t>
  </si>
  <si>
    <t>Table5!$AM$16</t>
  </si>
  <si>
    <t>learners_wd_uhhbp_wdlms_hosp_ca_16to20</t>
  </si>
  <si>
    <t>Table5!$AM$17</t>
  </si>
  <si>
    <t>learners_wd_uhhbp_wdlms_hosp_md_16to20</t>
  </si>
  <si>
    <t>Table5!$AM$18</t>
  </si>
  <si>
    <t>learners_wd_uhhbp_wdlms_hosp_vi_16to20</t>
  </si>
  <si>
    <t>Table5!$AM$7</t>
  </si>
  <si>
    <t>learners_wd_uhhbp_wdlms_hosp_hi_16to20</t>
  </si>
  <si>
    <t>Table5!$AM$8</t>
  </si>
  <si>
    <t>learners_wd_uhhbp_wdlms_hosp_ld_16to20</t>
  </si>
  <si>
    <t>Table5!$AM$9</t>
  </si>
  <si>
    <t>learners_wd_uhhbp_wdlms_hosp_id_21to25</t>
  </si>
  <si>
    <t>Table5!$AP$10</t>
  </si>
  <si>
    <t>learners_wd_uhhbp_wdlms_hosp_asd_21to25</t>
  </si>
  <si>
    <t>Table5!$AP$11</t>
  </si>
  <si>
    <t>learners_wd_uhhbp_wdlms_hosp_ebd_21to25</t>
  </si>
  <si>
    <t>Table5!$AP$12</t>
  </si>
  <si>
    <t>learners_wd_uhhbp_wdlms_hosp_oph_21to25</t>
  </si>
  <si>
    <t>Table5!$AP$13</t>
  </si>
  <si>
    <t>learners_wd_uhhbp_wdlms_hosp_sld_21to25</t>
  </si>
  <si>
    <t>Table5!$AP$14</t>
  </si>
  <si>
    <t>learners_wd_uhhbp_wdlms_hosp_cp_21to25</t>
  </si>
  <si>
    <t>Table5!$AP$15</t>
  </si>
  <si>
    <t>learners_wd_uhhbp_wdlms_hosp_shpcd_21to25</t>
  </si>
  <si>
    <t>Table5!$AP$16</t>
  </si>
  <si>
    <t>learners_wd_uhhbp_wdlms_hosp_ca_21to25</t>
  </si>
  <si>
    <t>Table5!$AP$17</t>
  </si>
  <si>
    <t>learners_wd_uhhbp_wdlms_hosp_md_21to25</t>
  </si>
  <si>
    <t>Table5!$AP$18</t>
  </si>
  <si>
    <t>learners_wd_uhhbp_wdlms_hosp_vi_21to25</t>
  </si>
  <si>
    <t>Table5!$AP$7</t>
  </si>
  <si>
    <t>learners_wd_uhhbp_wdlms_hosp_hi_21to25</t>
  </si>
  <si>
    <t>Table5!$AP$8</t>
  </si>
  <si>
    <t>learners_wd_uhhbp_wdlms_hosp_ld_21to25</t>
  </si>
  <si>
    <t>Table5!$AP$9</t>
  </si>
  <si>
    <t>learners_wd_uhhbp_wdlms_hosp_id_tp</t>
  </si>
  <si>
    <t>Table5!$AV$10</t>
  </si>
  <si>
    <t>learners_wd_uhhbp_wdlms_hosp_asd_tp</t>
  </si>
  <si>
    <t>Table5!$AV$11</t>
  </si>
  <si>
    <t>learners_wd_uhhbp_wdlms_hosp_ebd_tp</t>
  </si>
  <si>
    <t>Table5!$AV$12</t>
  </si>
  <si>
    <t>learners_wd_uhhbp_wdlms_hosp_oph_tp</t>
  </si>
  <si>
    <t>Table5!$AV$13</t>
  </si>
  <si>
    <t>learners_wd_uhhbp_wdlms_hosp_sld_tp</t>
  </si>
  <si>
    <t>Table5!$AV$14</t>
  </si>
  <si>
    <t>learners_wd_uhhbp_wdlms_hosp_cp_tp</t>
  </si>
  <si>
    <t>Table5!$AV$15</t>
  </si>
  <si>
    <t>learners_wd_uhhbp_wdlms_hosp_shpcd_tp</t>
  </si>
  <si>
    <t>Table5!$AV$16</t>
  </si>
  <si>
    <t>learners_wd_uhhbp_wdlms_hosp_ca_tp</t>
  </si>
  <si>
    <t>Table5!$AV$17</t>
  </si>
  <si>
    <t>learners_wd_uhhbp_wdlms_hosp_md_tp</t>
  </si>
  <si>
    <t>Table5!$AV$18</t>
  </si>
  <si>
    <t>learners_wd_uhhbp_wdlms_hosp_vi_tp</t>
  </si>
  <si>
    <t>Table5!$AV$7</t>
  </si>
  <si>
    <t>learners_wd_uhhbp_wdlms_hosp_hi_tp</t>
  </si>
  <si>
    <t>Table5!$AV$8</t>
  </si>
  <si>
    <t>learners_wd_uhhbp_wdlms_hosp_ld_tp</t>
  </si>
  <si>
    <t>Table5!$AV$9</t>
  </si>
  <si>
    <t>learners_wd_uhhbp_wdlms_hosp_id_g7tog10</t>
  </si>
  <si>
    <t>Table5!$AY$10</t>
  </si>
  <si>
    <t>learners_wd_uhhbp_wdlms_hosp_asd_g7tog10</t>
  </si>
  <si>
    <t>Table5!$AY$11</t>
  </si>
  <si>
    <t>learners_wd_uhhbp_wdlms_hosp_ebd_g7tog10</t>
  </si>
  <si>
    <t>Table5!$AY$12</t>
  </si>
  <si>
    <t>learners_wd_uhhbp_wdlms_hosp_oph_g7tog10</t>
  </si>
  <si>
    <t>Table5!$AY$13</t>
  </si>
  <si>
    <t>learners_wd_uhhbp_wdlms_hosp_sld_g7tog10</t>
  </si>
  <si>
    <t>Table5!$AY$14</t>
  </si>
  <si>
    <t>learners_wd_uhhbp_wdlms_hosp_cp_g7tog10</t>
  </si>
  <si>
    <t>Table5!$AY$15</t>
  </si>
  <si>
    <t>learners_wd_uhhbp_wdlms_hosp_shpcd_g7tog10</t>
  </si>
  <si>
    <t>Table5!$AY$16</t>
  </si>
  <si>
    <t>learners_wd_uhhbp_wdlms_hosp_ca_g7tog10</t>
  </si>
  <si>
    <t>Table5!$AY$17</t>
  </si>
  <si>
    <t>learners_wd_uhhbp_wdlms_hosp_md_g7tog10</t>
  </si>
  <si>
    <t>Table5!$AY$18</t>
  </si>
  <si>
    <t>learners_wd_uhhbp_wdlms_hosp_vi_g7tog10</t>
  </si>
  <si>
    <t>Table5!$AY$7</t>
  </si>
  <si>
    <t>learners_wd_uhhbp_wdlms_hosp_hi_g7tog10</t>
  </si>
  <si>
    <t>Table5!$AY$8</t>
  </si>
  <si>
    <t>learners_wd_uhhbp_wdlms_hosp_ld_g7tog10</t>
  </si>
  <si>
    <t>Table5!$AY$9</t>
  </si>
  <si>
    <t>learners_wd_uhhbp_wdlms_home_id_12to15</t>
  </si>
  <si>
    <t>Table5!$O$10</t>
  </si>
  <si>
    <t>learners_wd_uhhbp_wdlms_home_asd_12to15</t>
  </si>
  <si>
    <t>Table5!$O$11</t>
  </si>
  <si>
    <t>learners_wd_uhhbp_wdlms_home_ebd_12to15</t>
  </si>
  <si>
    <t>Table5!$O$12</t>
  </si>
  <si>
    <t>learners_wd_uhhbp_wdlms_home_oph_12to15</t>
  </si>
  <si>
    <t>Table5!$O$13</t>
  </si>
  <si>
    <t>learners_wd_uhhbp_wdlms_home_sld_12to15</t>
  </si>
  <si>
    <t>Table5!$O$14</t>
  </si>
  <si>
    <t>learners_wd_uhhbp_wdlms_home_cp_12to15</t>
  </si>
  <si>
    <t>Table5!$O$15</t>
  </si>
  <si>
    <t>learners_wd_uhhbp_wdlms_home_shpcd_12to15</t>
  </si>
  <si>
    <t>Table5!$O$16</t>
  </si>
  <si>
    <t>learners_wd_uhhbp_wdlms_home_ca_12to15</t>
  </si>
  <si>
    <t>Table5!$O$17</t>
  </si>
  <si>
    <t>learners_wd_uhhbp_wdlms_home_md_12to15</t>
  </si>
  <si>
    <t>Table5!$O$18</t>
  </si>
  <si>
    <t>learners_wd_uhhbp_wm_home_ds_12to15</t>
  </si>
  <si>
    <t>Table5!$O$20</t>
  </si>
  <si>
    <t>learners_wd_uhhbp_wm_home_dh_12to15</t>
  </si>
  <si>
    <t>Table5!$O$21</t>
  </si>
  <si>
    <t>learners_wd_uhhbp_wm_home_dak_12to15</t>
  </si>
  <si>
    <t>Table5!$O$22</t>
  </si>
  <si>
    <t>learners_wd_uhhbp_wm_home_drcpau_12to15</t>
  </si>
  <si>
    <t>Table5!$O$23</t>
  </si>
  <si>
    <t>learners_wd_uhhbp_wm_home_daas_12to15</t>
  </si>
  <si>
    <t>Table5!$O$24</t>
  </si>
  <si>
    <t>learners_wd_uhhbp_wm_home_ddipb_12to15</t>
  </si>
  <si>
    <t>Table5!$O$25</t>
  </si>
  <si>
    <t>learners_wd_uhhbp_wm_home_dm_12to15</t>
  </si>
  <si>
    <t>Table5!$O$26</t>
  </si>
  <si>
    <t>learners_wd_uhhbp_wm_home_dc_12to15</t>
  </si>
  <si>
    <t>Table5!$O$27</t>
  </si>
  <si>
    <t>learners_wd_uhhbp_wdlms_home_vi_12to15</t>
  </si>
  <si>
    <t>Table5!$O$7</t>
  </si>
  <si>
    <t>learners_wd_uhhbp_wdlms_home_hi_12to15</t>
  </si>
  <si>
    <t>Table5!$O$8</t>
  </si>
  <si>
    <t>learners_wd_uhhbp_wdlms_home_ld_12to15</t>
  </si>
  <si>
    <t>Table5!$O$9</t>
  </si>
  <si>
    <t>learners_wd_uhhbp_wdlms_home_id_16to20</t>
  </si>
  <si>
    <t>Table5!$R$10</t>
  </si>
  <si>
    <t>learners_wd_uhhbp_wdlms_home_asd_16to20</t>
  </si>
  <si>
    <t>Table5!$R$11</t>
  </si>
  <si>
    <t>learners_wd_uhhbp_wdlms_home_ebd_16to20</t>
  </si>
  <si>
    <t>Table5!$R$12</t>
  </si>
  <si>
    <t>learners_wd_uhhbp_wdlms_home_oph_16to20</t>
  </si>
  <si>
    <t>Table5!$R$13</t>
  </si>
  <si>
    <t>learners_wd_uhhbp_wdlms_home_sld_16to20</t>
  </si>
  <si>
    <t>Table5!$R$14</t>
  </si>
  <si>
    <t>learners_wd_uhhbp_wdlms_home_cp_16to20</t>
  </si>
  <si>
    <t>Table5!$R$15</t>
  </si>
  <si>
    <t>learners_wd_uhhbp_wdlms_home_shpcd_16to20</t>
  </si>
  <si>
    <t>Table5!$R$16</t>
  </si>
  <si>
    <t>learners_wd_uhhbp_wdlms_home_ca_16to20</t>
  </si>
  <si>
    <t>Table5!$R$17</t>
  </si>
  <si>
    <t>learners_wd_uhhbp_wdlms_home_md_16to20</t>
  </si>
  <si>
    <t>Table5!$R$18</t>
  </si>
  <si>
    <t>learners_wd_uhhbp_wm_home_ds_16to20</t>
  </si>
  <si>
    <t>Table5!$R$20</t>
  </si>
  <si>
    <t>learners_wd_uhhbp_wm_home_dh_16to20</t>
  </si>
  <si>
    <t>Table5!$R$21</t>
  </si>
  <si>
    <t>learners_wd_uhhbp_wm_home_dak_16to20</t>
  </si>
  <si>
    <t>Table5!$R$22</t>
  </si>
  <si>
    <t>learners_wd_uhhbp_wm_home_drcpau_16to20</t>
  </si>
  <si>
    <t>Table5!$R$23</t>
  </si>
  <si>
    <t>learners_wd_uhhbp_wm_home_daas_16to20</t>
  </si>
  <si>
    <t>Table5!$R$24</t>
  </si>
  <si>
    <t>learners_wd_uhhbp_wm_home_ddipb_16to20</t>
  </si>
  <si>
    <t>Table5!$R$25</t>
  </si>
  <si>
    <t>learners_wd_uhhbp_wm_home_dm_16to20</t>
  </si>
  <si>
    <t>Table5!$R$26</t>
  </si>
  <si>
    <t>learners_wd_uhhbp_wm_home_dc_16to20</t>
  </si>
  <si>
    <t>Table5!$R$27</t>
  </si>
  <si>
    <t>learners_wd_uhhbp_wdlms_home_vi_16to20</t>
  </si>
  <si>
    <t>Table5!$R$7</t>
  </si>
  <si>
    <t>learners_wd_uhhbp_wdlms_home_hi_16to20</t>
  </si>
  <si>
    <t>Table5!$R$8</t>
  </si>
  <si>
    <t>learners_wd_uhhbp_wdlms_home_ld_16to20</t>
  </si>
  <si>
    <t>Table5!$R$9</t>
  </si>
  <si>
    <t>learners_wd_uhhbp_wdlms_home_id_21to25</t>
  </si>
  <si>
    <t>Table5!$U$10</t>
  </si>
  <si>
    <t>learners_wd_uhhbp_wdlms_home_asd_21to25</t>
  </si>
  <si>
    <t>Table5!$U$11</t>
  </si>
  <si>
    <t>learners_wd_uhhbp_wdlms_home_ebd_21to25</t>
  </si>
  <si>
    <t>Table5!$U$12</t>
  </si>
  <si>
    <t>learners_wd_uhhbp_wdlms_home_oph_21to25</t>
  </si>
  <si>
    <t>Table5!$U$13</t>
  </si>
  <si>
    <t>learners_wd_uhhbp_wdlms_home_sld_21to25</t>
  </si>
  <si>
    <t>Table5!$U$14</t>
  </si>
  <si>
    <t>learners_wd_uhhbp_wdlms_home_cp_21to25</t>
  </si>
  <si>
    <t>Table5!$U$15</t>
  </si>
  <si>
    <t>learners_wd_uhhbp_wdlms_home_shpcd_21to25</t>
  </si>
  <si>
    <t>Table5!$U$16</t>
  </si>
  <si>
    <t>learners_wd_uhhbp_wdlms_home_ca_21to25</t>
  </si>
  <si>
    <t>Table5!$U$17</t>
  </si>
  <si>
    <t>learners_wd_uhhbp_wdlms_home_md_21to25</t>
  </si>
  <si>
    <t>Table5!$U$18</t>
  </si>
  <si>
    <t>learners_wd_uhhbp_wm_home_ds_21to25</t>
  </si>
  <si>
    <t>Table5!$U$20</t>
  </si>
  <si>
    <t>learners_wd_uhhbp_wm_home_dh_21to25</t>
  </si>
  <si>
    <t>Table5!$U$21</t>
  </si>
  <si>
    <t>learners_wd_uhhbp_wm_home_dak_21to25</t>
  </si>
  <si>
    <t>Table5!$U$22</t>
  </si>
  <si>
    <t>learners_wd_uhhbp_wm_home_drcpau_21to25</t>
  </si>
  <si>
    <t>Table5!$U$23</t>
  </si>
  <si>
    <t>learners_wd_uhhbp_wm_home_daas_21to25</t>
  </si>
  <si>
    <t>Table5!$U$24</t>
  </si>
  <si>
    <t>learners_wd_uhhbp_wm_home_ddipb_21to25</t>
  </si>
  <si>
    <t>Table5!$U$25</t>
  </si>
  <si>
    <t>learners_wd_uhhbp_wm_home_dm_21to25</t>
  </si>
  <si>
    <t>Table5!$U$26</t>
  </si>
  <si>
    <t>learners_wd_uhhbp_wm_home_dc_21to25</t>
  </si>
  <si>
    <t>Table5!$U$27</t>
  </si>
  <si>
    <t>learners_wd_uhhbp_wdlms_home_vi_21to25</t>
  </si>
  <si>
    <t>Table5!$U$7</t>
  </si>
  <si>
    <t>learners_wd_uhhbp_wdlms_home_hi_21to25</t>
  </si>
  <si>
    <t>Table5!$U$8</t>
  </si>
  <si>
    <t>learners_wd_uhhbp_wdlms_home_ld_21to25</t>
  </si>
  <si>
    <t>Table5!$U$9</t>
  </si>
  <si>
    <t>do_sped_coor_name</t>
  </si>
  <si>
    <t>do_sped_coor_pos</t>
  </si>
  <si>
    <t>learners_wd_fataad_atd</t>
  </si>
  <si>
    <t>jhs_learner_wd_fataad</t>
  </si>
  <si>
    <t>learners_wd_fataad_ad</t>
  </si>
  <si>
    <t>Table6!$L$42</t>
  </si>
  <si>
    <t>locfundteach_sef_prov</t>
  </si>
  <si>
    <t>jhs_locfundteacher_byfundsource</t>
  </si>
  <si>
    <t>Tables7-8!$B$7</t>
  </si>
  <si>
    <t>locfundteach_sef_muni</t>
  </si>
  <si>
    <t>Tables7-8!$H$7</t>
  </si>
  <si>
    <t>locfundteach_lgu</t>
  </si>
  <si>
    <t>Tables7-8!$N$7</t>
  </si>
  <si>
    <t>locfundteach_others</t>
  </si>
  <si>
    <t>Tables7-8!$T$7</t>
  </si>
  <si>
    <t>do_hr_name</t>
  </si>
  <si>
    <t>do_hr_post</t>
  </si>
  <si>
    <t>jhs_locfundteacher_m_q</t>
  </si>
  <si>
    <t>jhs_locfundteacher_qat</t>
  </si>
  <si>
    <t>Tables7-8'!$B$24</t>
  </si>
  <si>
    <t>jhs_locfundteacher_f_q</t>
  </si>
  <si>
    <t>Tables7-8'!$G$24</t>
  </si>
  <si>
    <t>jhs_locfundteacher_m_t</t>
  </si>
  <si>
    <t>Tables7-8'!$Q$24</t>
  </si>
  <si>
    <t>jhs_locfundteacher_f_t</t>
  </si>
  <si>
    <t>Tables7-8'!$V$24</t>
  </si>
  <si>
    <t>do_seps_hrtd_name</t>
  </si>
  <si>
    <t>Table7-8'!$AI$23</t>
  </si>
  <si>
    <t>personnel_nonteach_vsa2_vacant</t>
  </si>
  <si>
    <t>jhs_nonteaching_plantilla</t>
  </si>
  <si>
    <t>Table9!$AB$10</t>
  </si>
  <si>
    <t>personnel_nonteach_vsa1_vacant</t>
  </si>
  <si>
    <t>Table9!$AB$11</t>
  </si>
  <si>
    <t>personnel_nonteach_sp4_vacant</t>
  </si>
  <si>
    <t>Table9!$AB$12</t>
  </si>
  <si>
    <t>personnel_nonteach_sp3_vacant</t>
  </si>
  <si>
    <t>Table9!$AB$13</t>
  </si>
  <si>
    <t>personnel_nonteach_sp2_vacant</t>
  </si>
  <si>
    <t>Table9!$AB$14</t>
  </si>
  <si>
    <t>personnel_nonteach_sp1_vacant</t>
  </si>
  <si>
    <t>Table9!$AB$15</t>
  </si>
  <si>
    <t>personnel_nonteach_ap3_vacant</t>
  </si>
  <si>
    <t>Table9!$AB$16</t>
  </si>
  <si>
    <t>personnel_nonteach_ap2_vacant</t>
  </si>
  <si>
    <t>Table9!$AB$17</t>
  </si>
  <si>
    <t>personnel_nonteach_ap1_vacant</t>
  </si>
  <si>
    <t>Table9!$AB$18</t>
  </si>
  <si>
    <t>personnel_nonteach_ht6_vacant</t>
  </si>
  <si>
    <t>Table9!$AB$19</t>
  </si>
  <si>
    <t>personnel_nonteach_ht5_vacant</t>
  </si>
  <si>
    <t>Table9!$AB$20</t>
  </si>
  <si>
    <t>personnel_nonteach_ht4_vacant</t>
  </si>
  <si>
    <t>Table9!$AB$21</t>
  </si>
  <si>
    <t>personnel_nonteach_ht3_vacant</t>
  </si>
  <si>
    <t>Table9!$AB$22</t>
  </si>
  <si>
    <t>personnel_nonteach_ht2_vacant</t>
  </si>
  <si>
    <t>Table9!$AB$23</t>
  </si>
  <si>
    <t>personnel_nonteach_ht1_vacant</t>
  </si>
  <si>
    <t>Table9!$AB$24</t>
  </si>
  <si>
    <t>personnel_nonteach_guidancecoor3_vacant</t>
  </si>
  <si>
    <t>Table9!$AB$25</t>
  </si>
  <si>
    <t>personnel_nonteach_guidancecoor2_vacant</t>
  </si>
  <si>
    <t>Table9!$AB$26</t>
  </si>
  <si>
    <t>personnel_nonteach_guidancecoor1_vacant</t>
  </si>
  <si>
    <t>Table9!$AB$27</t>
  </si>
  <si>
    <t>personnel_nonteach_guidancecounsel3_vacant</t>
  </si>
  <si>
    <t>Table9!$AB$28</t>
  </si>
  <si>
    <t>personnel_nonteach_guidancecounsel2_vacant</t>
  </si>
  <si>
    <t>Table9!$AB$29</t>
  </si>
  <si>
    <t>personnel_nonteach_guidancecounsel1_vacant</t>
  </si>
  <si>
    <t>Table9!$AB$30</t>
  </si>
  <si>
    <t>personnel_nonteach_adminofcr4_vacant</t>
  </si>
  <si>
    <t>Table9!$AB$31</t>
  </si>
  <si>
    <t>personnel_nonteach_schlibrarian3_vacant</t>
  </si>
  <si>
    <t>Table9!$AB$32</t>
  </si>
  <si>
    <t>personnel_nonteach_schlibrarian2_vacant</t>
  </si>
  <si>
    <t>Table9!$AB$33</t>
  </si>
  <si>
    <t>personnel_nonteach_schlibrarian1_vacant</t>
  </si>
  <si>
    <t>Table9!$AB$34</t>
  </si>
  <si>
    <t>personnel_nonteach_accountant1_vacant</t>
  </si>
  <si>
    <t>Table9!$AB$35</t>
  </si>
  <si>
    <t>personnel_nonteach_cashier1_vacant</t>
  </si>
  <si>
    <t>Table9!$AB$36</t>
  </si>
  <si>
    <t>personnel_nonteach_supplyofcr1_vacant</t>
  </si>
  <si>
    <t>Table9!$AB$37</t>
  </si>
  <si>
    <t>personnel_nonteach_seniorbk_vacant</t>
  </si>
  <si>
    <t>Table9!$AB$38</t>
  </si>
  <si>
    <t>personnel_nonteach_bkkeeper_vacant</t>
  </si>
  <si>
    <t>Table9!$AB$39</t>
  </si>
  <si>
    <t>personnel_nonteach_disbursingofcr2_vacant</t>
  </si>
  <si>
    <t>Table9!$AB$40</t>
  </si>
  <si>
    <t>personnel_nonteach_disbursingofcr1_vacant</t>
  </si>
  <si>
    <t>Table9!$AB$41</t>
  </si>
  <si>
    <t>personnel_nonteach_adminaide6_vacant</t>
  </si>
  <si>
    <t>Table9!$AB$42</t>
  </si>
  <si>
    <t>personnel_nonteach_heavyequipment_vacant</t>
  </si>
  <si>
    <t>Table9!$AB$43</t>
  </si>
  <si>
    <t>personnel_nonteach_driver_vacant</t>
  </si>
  <si>
    <t>Table9!$AB$44</t>
  </si>
  <si>
    <t>personnel_nonteach_security_guard_vacant</t>
  </si>
  <si>
    <t>Table9!$AB$45</t>
  </si>
  <si>
    <t>personnel_nonteach_lightequip_operator_vacant</t>
  </si>
  <si>
    <t>Table9!$AB$46</t>
  </si>
  <si>
    <t>personnel_nonteach_utility_worker_vacant</t>
  </si>
  <si>
    <t>Table9!$AB$47</t>
  </si>
  <si>
    <t>personnel_nonteach_vsa3_vacant</t>
  </si>
  <si>
    <t>Table9!$AB$9</t>
  </si>
  <si>
    <t>personnel_nonteach_vsa2_detailed_hs</t>
  </si>
  <si>
    <t>Table9!$AE$10</t>
  </si>
  <si>
    <t>personnel_nonteach_vsa1_detailed_hs</t>
  </si>
  <si>
    <t>Table9!$AE$11</t>
  </si>
  <si>
    <t>personnel_nonteach_sp4_detailed_hs</t>
  </si>
  <si>
    <t>Table9!$AE$12</t>
  </si>
  <si>
    <t>personnel_nonteach_sp3_detailed_hs</t>
  </si>
  <si>
    <t>Table9!$AE$13</t>
  </si>
  <si>
    <t>personnel_nonteach_sp2_detailed_hs</t>
  </si>
  <si>
    <t>Table9!$AE$14</t>
  </si>
  <si>
    <t>personnel_nonteach_sp1_detailed_hs</t>
  </si>
  <si>
    <t>Table9!$AE$15</t>
  </si>
  <si>
    <t>personnel_nonteach_ap3_detailed_hs</t>
  </si>
  <si>
    <t>Table9!$AE$16</t>
  </si>
  <si>
    <t>personnel_nonteach_ap2_detailed_hs</t>
  </si>
  <si>
    <t>Table9!$AE$17</t>
  </si>
  <si>
    <t>personnel_nonteach_ap1_detailed_hs</t>
  </si>
  <si>
    <t>Table9!$AE$18</t>
  </si>
  <si>
    <t>personnel_nonteach_ht6_detailed_hs</t>
  </si>
  <si>
    <t>Table9!$AE$19</t>
  </si>
  <si>
    <t>personnel_nonteach_ht5_detailed_hs</t>
  </si>
  <si>
    <t>Table9!$AE$20</t>
  </si>
  <si>
    <t>personnel_nonteach_ht4_detailed_hs</t>
  </si>
  <si>
    <t>Table9!$AE$21</t>
  </si>
  <si>
    <t>personnel_nonteach_ht3_detailed_hs</t>
  </si>
  <si>
    <t>Table9!$AE$22</t>
  </si>
  <si>
    <t>personnel_nonteach_ht2_detailed_hs</t>
  </si>
  <si>
    <t>Table9!$AE$23</t>
  </si>
  <si>
    <t>personnel_nonteach_ht1_detailed_hs</t>
  </si>
  <si>
    <t>Table9!$AE$24</t>
  </si>
  <si>
    <t>personnel_nonteach_guidancecoor3_detailed_hs</t>
  </si>
  <si>
    <t>Table9!$AE$25</t>
  </si>
  <si>
    <t>personnel_nonteach_guidancecoor2_detailed_hs</t>
  </si>
  <si>
    <t>Table9!$AE$26</t>
  </si>
  <si>
    <t>personnel_nonteach_guidancecoor1_detailed_hs</t>
  </si>
  <si>
    <t>Table9!$AE$27</t>
  </si>
  <si>
    <t>personnel_nonteach_guidancecounsel3_detailed_hs</t>
  </si>
  <si>
    <t>Table9!$AE$28</t>
  </si>
  <si>
    <t>personnel_nonteach_guidancecounsel2_detailed_hs</t>
  </si>
  <si>
    <t>Table9!$AE$29</t>
  </si>
  <si>
    <t>personnel_nonteach_guidancecounsel1_detailed_hs</t>
  </si>
  <si>
    <t>Table9!$AE$30</t>
  </si>
  <si>
    <t>personnel_nonteach_adminofcr4_detailed_hs</t>
  </si>
  <si>
    <t>Table9!$AE$31</t>
  </si>
  <si>
    <t>personnel_nonteach_schlibrarian3_detailed_hs</t>
  </si>
  <si>
    <t>Table9!$AE$32</t>
  </si>
  <si>
    <t>personnel_nonteach_schlibrarian2_detailed_hs</t>
  </si>
  <si>
    <t>Table9!$AE$33</t>
  </si>
  <si>
    <t>personnel_nonteach_schlibrarian1_detailed_hs</t>
  </si>
  <si>
    <t>Table9!$AE$34</t>
  </si>
  <si>
    <t>personnel_nonteach_accountant1_detailed_hs</t>
  </si>
  <si>
    <t>Table9!$AE$35</t>
  </si>
  <si>
    <t>personnel_nonteach_cashier1_detailed_hs</t>
  </si>
  <si>
    <t>Table9!$AE$36</t>
  </si>
  <si>
    <t>personnel_nonteach_supplyofcr1_detailed_hs</t>
  </si>
  <si>
    <t>Table9!$AE$37</t>
  </si>
  <si>
    <t>personnel_nonteach_seniorbk_detailed_hs</t>
  </si>
  <si>
    <t>Table9!$AE$38</t>
  </si>
  <si>
    <t>personnel_nonteach_bkkeeper_detailed_hs</t>
  </si>
  <si>
    <t>Table9!$AE$39</t>
  </si>
  <si>
    <t>personnel_nonteach_disbursingofcr2_detailed_hs</t>
  </si>
  <si>
    <t>Table9!$AE$40</t>
  </si>
  <si>
    <t>personnel_nonteach_disbursingofcr1_detailed_hs</t>
  </si>
  <si>
    <t>Table9!$AE$41</t>
  </si>
  <si>
    <t>personnel_nonteach_adminaide6_detailed_hs</t>
  </si>
  <si>
    <t>Table9!$AE$42</t>
  </si>
  <si>
    <t>personnel_nonteach_heavyequipment_detailed_hs</t>
  </si>
  <si>
    <t>Table9!$AE$43</t>
  </si>
  <si>
    <t>personnel_nonteach_driver_detailed_hs</t>
  </si>
  <si>
    <t>Table9!$AE$44</t>
  </si>
  <si>
    <t>personnel_nonteach_security_guard_detailed_hs</t>
  </si>
  <si>
    <t>Table9!$AE$45</t>
  </si>
  <si>
    <t>personnel_nonteach_lightequip_operator_detailed_hs</t>
  </si>
  <si>
    <t>Table9!$AE$46</t>
  </si>
  <si>
    <t>personnel_nonteach_utility_worker_detailed_hs</t>
  </si>
  <si>
    <t>Table9!$AE$47</t>
  </si>
  <si>
    <t>personnel_nonteach_vsa3_detailed_hs</t>
  </si>
  <si>
    <t>Table9!$AE$9</t>
  </si>
  <si>
    <t>personnel_nonteach_vsa2_detailed_es</t>
  </si>
  <si>
    <t>Table9!$AH$10</t>
  </si>
  <si>
    <t>personnel_nonteach_vsa1_detailed_es</t>
  </si>
  <si>
    <t>Table9!$AH$11</t>
  </si>
  <si>
    <t>personnel_nonteach_sp4_detailed_es</t>
  </si>
  <si>
    <t>Table9!$AH$12</t>
  </si>
  <si>
    <t>personnel_nonteach_sp3_detailed_es</t>
  </si>
  <si>
    <t>Table9!$AH$13</t>
  </si>
  <si>
    <t>personnel_nonteach_sp2_detailed_es</t>
  </si>
  <si>
    <t>Table9!$AH$14</t>
  </si>
  <si>
    <t>personnel_nonteach_sp1_detailed_es</t>
  </si>
  <si>
    <t>Table9!$AH$15</t>
  </si>
  <si>
    <t>personnel_nonteach_ap3_detailed_es</t>
  </si>
  <si>
    <t>Table9!$AH$16</t>
  </si>
  <si>
    <t>personnel_nonteach_ap2_detailed_es</t>
  </si>
  <si>
    <t>Table9!$AH$17</t>
  </si>
  <si>
    <t>personnel_nonteach_ap1_detailed_es</t>
  </si>
  <si>
    <t>Table9!$AH$18</t>
  </si>
  <si>
    <t>personnel_nonteach_ht6_detailed_es</t>
  </si>
  <si>
    <t>Table9!$AH$19</t>
  </si>
  <si>
    <t>personnel_nonteach_ht5_detailed_es</t>
  </si>
  <si>
    <t>Table9!$AH$20</t>
  </si>
  <si>
    <t>personnel_nonteach_ht4_detailed_es</t>
  </si>
  <si>
    <t>Table9!$AH$21</t>
  </si>
  <si>
    <t>personnel_nonteach_ht3_detailed_es</t>
  </si>
  <si>
    <t>Table9!$AH$22</t>
  </si>
  <si>
    <t>personnel_nonteach_ht2_detailed_es</t>
  </si>
  <si>
    <t>Table9!$AH$23</t>
  </si>
  <si>
    <t>personnel_nonteach_ht1_detailed_es</t>
  </si>
  <si>
    <t>Table9!$AH$24</t>
  </si>
  <si>
    <t>personnel_nonteach_guidancecoor3_detailed_es</t>
  </si>
  <si>
    <t>Table9!$AH$25</t>
  </si>
  <si>
    <t>personnel_nonteach_guidancecoor2_detailed_es</t>
  </si>
  <si>
    <t>Table9!$AH$26</t>
  </si>
  <si>
    <t>personnel_nonteach_guidancecoor1_detailed_es</t>
  </si>
  <si>
    <t>Table9!$AH$27</t>
  </si>
  <si>
    <t>personnel_nonteach_guidancecounsel3_detailed_es</t>
  </si>
  <si>
    <t>Table9!$AH$28</t>
  </si>
  <si>
    <t>personnel_nonteach_guidancecounsel2_detailed_es</t>
  </si>
  <si>
    <t>Table9!$AH$29</t>
  </si>
  <si>
    <t>personnel_nonteach_guidancecounsel1_detailed_es</t>
  </si>
  <si>
    <t>Table9!$AH$30</t>
  </si>
  <si>
    <t>personnel_nonteach_adminofcr4_detailed_es</t>
  </si>
  <si>
    <t>Table9!$AH$31</t>
  </si>
  <si>
    <t>personnel_nonteach_schlibrarian3_detailed_es</t>
  </si>
  <si>
    <t>Table9!$AH$32</t>
  </si>
  <si>
    <t>personnel_nonteach_schlibrarian2_detailed_es</t>
  </si>
  <si>
    <t>Table9!$AH$33</t>
  </si>
  <si>
    <t>personnel_nonteach_schlibrarian1_detailed_es</t>
  </si>
  <si>
    <t>Table9!$AH$34</t>
  </si>
  <si>
    <t>personnel_nonteach_accountant1_detailed_es</t>
  </si>
  <si>
    <t>Table9!$AH$35</t>
  </si>
  <si>
    <t>personnel_nonteach_cashier1_detailed_es</t>
  </si>
  <si>
    <t>Table9!$AH$36</t>
  </si>
  <si>
    <t>personnel_nonteach_supplyofcr1_detailed_es</t>
  </si>
  <si>
    <t>Table9!$AH$37</t>
  </si>
  <si>
    <t>personnel_nonteach_seniorbk_detailed_es</t>
  </si>
  <si>
    <t>Table9!$AH$38</t>
  </si>
  <si>
    <t>personnel_nonteach_bkkeeper_detailed_es</t>
  </si>
  <si>
    <t>Table9!$AH$39</t>
  </si>
  <si>
    <t>personnel_nonteach_disbursingofcr2_detailed_es</t>
  </si>
  <si>
    <t>Table9!$AH$40</t>
  </si>
  <si>
    <t>personnel_nonteach_disbursingofcr1_detailed_es</t>
  </si>
  <si>
    <t>Table9!$AH$41</t>
  </si>
  <si>
    <t>personnel_nonteach_adminaide6_detailed_es</t>
  </si>
  <si>
    <t>Table9!$AH$42</t>
  </si>
  <si>
    <t>personnel_nonteach_heavyequipment_detailed_es</t>
  </si>
  <si>
    <t>Table9!$AH$43</t>
  </si>
  <si>
    <t>personnel_nonteach_driver_detailed_es</t>
  </si>
  <si>
    <t>Table9!$AH$44</t>
  </si>
  <si>
    <t>personnel_nonteach_security_guard_detailed_es</t>
  </si>
  <si>
    <t>Table9!$AH$45</t>
  </si>
  <si>
    <t>personnel_nonteach_lightequip_operator_detailed_es</t>
  </si>
  <si>
    <t>Table9!$AH$46</t>
  </si>
  <si>
    <t>personnel_nonteach_utility_worker_detailed_es</t>
  </si>
  <si>
    <t>Table9!$AH$47</t>
  </si>
  <si>
    <t>personnel_nonteach_vsa3_detailed_es</t>
  </si>
  <si>
    <t>Table9!$AH$9</t>
  </si>
  <si>
    <t>personnel_nonteach_vsa2_detailed_outdiv</t>
  </si>
  <si>
    <t>Table9!$AK$10</t>
  </si>
  <si>
    <t>personnel_nonteach_vsa1_detailed_outdiv</t>
  </si>
  <si>
    <t>Table9!$AK$11</t>
  </si>
  <si>
    <t>personnel_nonteach_sp4_detailed_outdiv</t>
  </si>
  <si>
    <t>Table9!$AK$12</t>
  </si>
  <si>
    <t>personnel_nonteach_sp3_detailed_outdiv</t>
  </si>
  <si>
    <t>Table9!$AK$13</t>
  </si>
  <si>
    <t>personnel_nonteach_sp2_detailed_outdiv</t>
  </si>
  <si>
    <t>Table9!$AK$14</t>
  </si>
  <si>
    <t>personnel_nonteach_sp1_detailed_outdiv</t>
  </si>
  <si>
    <t>Table9!$AK$15</t>
  </si>
  <si>
    <t>personnel_nonteach_ap3_detailed_outdiv</t>
  </si>
  <si>
    <t>Table9!$AK$16</t>
  </si>
  <si>
    <t>personnel_nonteach_ap2_detailed_outdiv</t>
  </si>
  <si>
    <t>Table9!$AK$17</t>
  </si>
  <si>
    <t>personnel_nonteach_ap1_detailed_outdiv</t>
  </si>
  <si>
    <t>Table9!$AK$18</t>
  </si>
  <si>
    <t>personnel_nonteach_ht6_detailed_outdiv</t>
  </si>
  <si>
    <t>Table9!$AK$19</t>
  </si>
  <si>
    <t>personnel_nonteach_ht5_detailed_outdiv</t>
  </si>
  <si>
    <t>Table9!$AK$20</t>
  </si>
  <si>
    <t>personnel_nonteach_ht4_detailed_outdiv</t>
  </si>
  <si>
    <t>Table9!$AK$21</t>
  </si>
  <si>
    <t>personnel_nonteach_ht3_detailed_outdiv</t>
  </si>
  <si>
    <t>Table9!$AK$22</t>
  </si>
  <si>
    <t>personnel_nonteach_ht2_detailed_outdiv</t>
  </si>
  <si>
    <t>Table9!$AK$23</t>
  </si>
  <si>
    <t>personnel_nonteach_ht1_detailed_outdiv</t>
  </si>
  <si>
    <t>Table9!$AK$24</t>
  </si>
  <si>
    <t>personnel_nonteach_guidancecoor3_detailed_outdiv</t>
  </si>
  <si>
    <t>Table9!$AK$25</t>
  </si>
  <si>
    <t>personnel_nonteach_guidancecoor2_detailed_outdiv</t>
  </si>
  <si>
    <t>Table9!$AK$26</t>
  </si>
  <si>
    <t>personnel_nonteach_guidancecoor1_detailed_outdiv</t>
  </si>
  <si>
    <t>Table9!$AK$27</t>
  </si>
  <si>
    <t>personnel_nonteach_guidancecounsel3_detailed_outdiv</t>
  </si>
  <si>
    <t>Table9!$AK$28</t>
  </si>
  <si>
    <t>personnel_nonteach_guidancecounsel2_detailed_outdiv</t>
  </si>
  <si>
    <t>Table9!$AK$29</t>
  </si>
  <si>
    <t>personnel_nonteach_guidancecounsel1_detailed_outdiv</t>
  </si>
  <si>
    <t>Table9!$AK$30</t>
  </si>
  <si>
    <t>personnel_nonteach_adminofcr4_detailed_outdiv</t>
  </si>
  <si>
    <t>Table9!$AK$31</t>
  </si>
  <si>
    <t>personnel_nonteach_schlibrarian3_detailed_outdiv</t>
  </si>
  <si>
    <t>Table9!$AK$32</t>
  </si>
  <si>
    <t>personnel_nonteach_schlibrarian2_detailed_outdiv</t>
  </si>
  <si>
    <t>Table9!$AK$33</t>
  </si>
  <si>
    <t>personnel_nonteach_schlibrarian1_detailed_outdiv</t>
  </si>
  <si>
    <t>Table9!$AK$34</t>
  </si>
  <si>
    <t>personnel_nonteach_accountant1_detailed_outdiv</t>
  </si>
  <si>
    <t>Table9!$AK$35</t>
  </si>
  <si>
    <t>personnel_nonteach_cashier1_detailed_outdiv</t>
  </si>
  <si>
    <t>Table9!$AK$36</t>
  </si>
  <si>
    <t>personnel_nonteach_supplyofcr1_detailed_outdiv</t>
  </si>
  <si>
    <t>Table9!$AK$37</t>
  </si>
  <si>
    <t>personnel_nonteach_seniorbk_detailed_outdiv</t>
  </si>
  <si>
    <t>Table9!$AK$38</t>
  </si>
  <si>
    <t>personnel_nonteach_bkkeeper_detailed_outdiv</t>
  </si>
  <si>
    <t>Table9!$AK$39</t>
  </si>
  <si>
    <t>personnel_nonteach_disbursingofcr2_detailed_outdiv</t>
  </si>
  <si>
    <t>Table9!$AK$40</t>
  </si>
  <si>
    <t>personnel_nonteach_disbursingofcr1_detailed_outdiv</t>
  </si>
  <si>
    <t>Table9!$AK$41</t>
  </si>
  <si>
    <t>personnel_nonteach_adminaide6_detailed_outdiv</t>
  </si>
  <si>
    <t>Table9!$AK$42</t>
  </si>
  <si>
    <t>personnel_nonteach_heavyequipment_detailed_outdiv</t>
  </si>
  <si>
    <t>Table9!$AK$43</t>
  </si>
  <si>
    <t>personnel_nonteach_driver_detailed_outdiv</t>
  </si>
  <si>
    <t>Table9!$AK$44</t>
  </si>
  <si>
    <t>personnel_nonteach_security_guard_detailed_outdiv</t>
  </si>
  <si>
    <t>Table9!$AK$45</t>
  </si>
  <si>
    <t>personnel_nonteach_lightequip_operator_detailed_outdiv</t>
  </si>
  <si>
    <t>Table9!$AK$46</t>
  </si>
  <si>
    <t>personnel_nonteach_utility_worker_detailed_outdiv</t>
  </si>
  <si>
    <t>Table9!$AK$47</t>
  </si>
  <si>
    <t>personnel_nonteach_vsa3_detailed_outdiv</t>
  </si>
  <si>
    <t>Table9!$AK$9</t>
  </si>
  <si>
    <t>personnel_nonteach_vsa2_borrowed_m</t>
  </si>
  <si>
    <t>Table9!$AU$10</t>
  </si>
  <si>
    <t>personnel_nonteach_vsa1_borrowed_m</t>
  </si>
  <si>
    <t>Table9!$AU$11</t>
  </si>
  <si>
    <t>personnel_nonteach_sp4_borrowed_m</t>
  </si>
  <si>
    <t>Table9!$AU$12</t>
  </si>
  <si>
    <t>personnel_nonteach_sp3_borrowed_m</t>
  </si>
  <si>
    <t>Table9!$AU$13</t>
  </si>
  <si>
    <t>personnel_nonteach_sp2_borrowed_m</t>
  </si>
  <si>
    <t>Table9!$AU$14</t>
  </si>
  <si>
    <t>personnel_nonteach_sp1_borrowed_m</t>
  </si>
  <si>
    <t>Table9!$AU$15</t>
  </si>
  <si>
    <t>personnel_nonteach_ap3_borrowed_m</t>
  </si>
  <si>
    <t>Table9!$AU$16</t>
  </si>
  <si>
    <t>personnel_nonteach_ap2_borrowed_m</t>
  </si>
  <si>
    <t>Table9!$AU$17</t>
  </si>
  <si>
    <t>personnel_nonteach_ap1_borrowed_m</t>
  </si>
  <si>
    <t>Table9!$AU$18</t>
  </si>
  <si>
    <t>personnel_nonteach_ht6_borrowed_m</t>
  </si>
  <si>
    <t>Table9!$AU$19</t>
  </si>
  <si>
    <t>personnel_nonteach_ht5_borrowed_m</t>
  </si>
  <si>
    <t>Table9!$AU$20</t>
  </si>
  <si>
    <t>personnel_nonteach_ht4_borrowed_m</t>
  </si>
  <si>
    <t>Table9!$AU$21</t>
  </si>
  <si>
    <t>personnel_nonteach_ht3_borrowed_m</t>
  </si>
  <si>
    <t>Table9!$AU$22</t>
  </si>
  <si>
    <t>personnel_nonteach_ht2_borrowed_m</t>
  </si>
  <si>
    <t>Table9!$AU$23</t>
  </si>
  <si>
    <t>personnel_nonteach_ht1_borrowed_m</t>
  </si>
  <si>
    <t>Table9!$AU$24</t>
  </si>
  <si>
    <t>personnel_nonteach_guidancecoor3_borrowed_m</t>
  </si>
  <si>
    <t>Table9!$AU$25</t>
  </si>
  <si>
    <t>personnel_nonteach_guidancecoor2_borrowed_m</t>
  </si>
  <si>
    <t>Table9!$AU$26</t>
  </si>
  <si>
    <t>personnel_nonteach_guidancecoor1_borrowed_m</t>
  </si>
  <si>
    <t>Table9!$AU$27</t>
  </si>
  <si>
    <t>personnel_nonteach_guidancecounsel3_borrowed_m</t>
  </si>
  <si>
    <t>Table9!$AU$28</t>
  </si>
  <si>
    <t>personnel_nonteach_guidancecounsel2_borrowed_m</t>
  </si>
  <si>
    <t>Table9!$AU$29</t>
  </si>
  <si>
    <t>personnel_nonteach_guidancecounsel1_borrowed_m</t>
  </si>
  <si>
    <t>Table9!$AU$30</t>
  </si>
  <si>
    <t>personnel_nonteach_adminofcr4_borrowed_m</t>
  </si>
  <si>
    <t>Table9!$AU$31</t>
  </si>
  <si>
    <t>personnel_nonteach_schlibrarian3_borrowed_m</t>
  </si>
  <si>
    <t>Table9!$AU$32</t>
  </si>
  <si>
    <t>personnel_nonteach_schlibrarian2_borrowed_m</t>
  </si>
  <si>
    <t>Table9!$AU$33</t>
  </si>
  <si>
    <t>personnel_nonteach_schlibrarian1_borrowed_m</t>
  </si>
  <si>
    <t>Table9!$AU$34</t>
  </si>
  <si>
    <t>personnel_nonteach_accountant1_borrowed_m</t>
  </si>
  <si>
    <t>Table9!$AU$35</t>
  </si>
  <si>
    <t>personnel_nonteach_cashier1_borrowed_m</t>
  </si>
  <si>
    <t>Table9!$AU$36</t>
  </si>
  <si>
    <t>personnel_nonteach_supplyofcr1_borrowed_m</t>
  </si>
  <si>
    <t>Table9!$AU$37</t>
  </si>
  <si>
    <t>personnel_nonteach_seniorbk_borrowed_m</t>
  </si>
  <si>
    <t>Table9!$AU$38</t>
  </si>
  <si>
    <t>personnel_nonteach_bkkeeper_borrowed_m</t>
  </si>
  <si>
    <t>Table9!$AU$39</t>
  </si>
  <si>
    <t>personnel_nonteach_disbursingofcr2_borrowed_m</t>
  </si>
  <si>
    <t>Table9!$AU$40</t>
  </si>
  <si>
    <t>personnel_nonteach_disbursingofcr1_borrowed_m</t>
  </si>
  <si>
    <t>Table9!$AU$41</t>
  </si>
  <si>
    <t>personnel_nonteach_adminaide6_borrowed_m</t>
  </si>
  <si>
    <t>Table9!$AU$42</t>
  </si>
  <si>
    <t>personnel_nonteach_heavyequipment_borrowed_m</t>
  </si>
  <si>
    <t>Table9!$AU$43</t>
  </si>
  <si>
    <t>personnel_nonteach_driver_borrowed_m</t>
  </si>
  <si>
    <t>Table9!$AU$44</t>
  </si>
  <si>
    <t>personnel_nonteach_security_guard_borrowed_m</t>
  </si>
  <si>
    <t>Table9!$AU$45</t>
  </si>
  <si>
    <t>personnel_nonteach_lightequip_operator_borrowed_m</t>
  </si>
  <si>
    <t>Table9!$AU$46</t>
  </si>
  <si>
    <t>personnel_nonteach_utility_worker_borrowed_m</t>
  </si>
  <si>
    <t>Table9!$AU$47</t>
  </si>
  <si>
    <t>personnel_nonteach_vsa3_borrowed_m</t>
  </si>
  <si>
    <t>Table9!$AU$9</t>
  </si>
  <si>
    <t>personnel_nonteach_vsa2_borrowed_f</t>
  </si>
  <si>
    <t>Table9!$AX$10</t>
  </si>
  <si>
    <t>personnel_nonteach_vsa1_borrowed_f</t>
  </si>
  <si>
    <t>Table9!$AX$11</t>
  </si>
  <si>
    <t>personnel_nonteach_sp4_borrowed_f</t>
  </si>
  <si>
    <t>Table9!$AX$12</t>
  </si>
  <si>
    <t>personnel_nonteach_sp3_borrowed_f</t>
  </si>
  <si>
    <t>Table9!$AX$13</t>
  </si>
  <si>
    <t>personnel_nonteach_sp2_borrowed_f</t>
  </si>
  <si>
    <t>Table9!$AX$14</t>
  </si>
  <si>
    <t>personnel_nonteach_sp1_borrowed_f</t>
  </si>
  <si>
    <t>Table9!$AX$15</t>
  </si>
  <si>
    <t>personnel_nonteach_ap3_borrowed_f</t>
  </si>
  <si>
    <t>Table9!$AX$16</t>
  </si>
  <si>
    <t>personnel_nonteach_ap2_borrowed_f</t>
  </si>
  <si>
    <t>Table9!$AX$17</t>
  </si>
  <si>
    <t>personnel_nonteach_ap1_borrowed_f</t>
  </si>
  <si>
    <t>Table9!$AX$18</t>
  </si>
  <si>
    <t>personnel_nonteach_ht6_borrowed_f</t>
  </si>
  <si>
    <t>Table9!$AX$19</t>
  </si>
  <si>
    <t>personnel_nonteach_ht5_borrowed_f</t>
  </si>
  <si>
    <t>Table9!$AX$20</t>
  </si>
  <si>
    <t>personnel_nonteach_ht4_borrowed_f</t>
  </si>
  <si>
    <t>Table9!$AX$21</t>
  </si>
  <si>
    <t>personnel_nonteach_ht3_borrowed_f</t>
  </si>
  <si>
    <t>Table9!$AX$22</t>
  </si>
  <si>
    <t>personnel_nonteach_ht2_borrowed_f</t>
  </si>
  <si>
    <t>Table9!$AX$23</t>
  </si>
  <si>
    <t>personnel_nonteach_ht1_borrowed_f</t>
  </si>
  <si>
    <t>Table9!$AX$24</t>
  </si>
  <si>
    <t>personnel_nonteach_guidancecoor3_borrowed_f</t>
  </si>
  <si>
    <t>Table9!$AX$25</t>
  </si>
  <si>
    <t>personnel_nonteach_guidancecoor2_borrowed_f</t>
  </si>
  <si>
    <t>Table9!$AX$26</t>
  </si>
  <si>
    <t>personnel_nonteach_guidancecoor1_borrowed_f</t>
  </si>
  <si>
    <t>Table9!$AX$27</t>
  </si>
  <si>
    <t>personnel_nonteach_guidancecounsel3_borrowed_f</t>
  </si>
  <si>
    <t>Table9!$AX$28</t>
  </si>
  <si>
    <t>personnel_nonteach_guidancecounsel2_borrowed_f</t>
  </si>
  <si>
    <t>Table9!$AX$29</t>
  </si>
  <si>
    <t>personnel_nonteach_guidancecounsel1_borrowed_f</t>
  </si>
  <si>
    <t>Table9!$AX$30</t>
  </si>
  <si>
    <t>personnel_nonteach_adminofcr4_borrowed_f</t>
  </si>
  <si>
    <t>Table9!$AX$31</t>
  </si>
  <si>
    <t>personnel_nonteach_schlibrarian3_borrowed_f</t>
  </si>
  <si>
    <t>Table9!$AX$32</t>
  </si>
  <si>
    <t>personnel_nonteach_schlibrarian2_borrowed_f</t>
  </si>
  <si>
    <t>Table9!$AX$33</t>
  </si>
  <si>
    <t>personnel_nonteach_schlibrarian1_borrowed_f</t>
  </si>
  <si>
    <t>Table9!$AX$34</t>
  </si>
  <si>
    <t>personnel_nonteach_accountant1_borrowed_f</t>
  </si>
  <si>
    <t>Table9!$AX$35</t>
  </si>
  <si>
    <t>personnel_nonteach_cashier1_borrowed_f</t>
  </si>
  <si>
    <t>Table9!$AX$36</t>
  </si>
  <si>
    <t>personnel_nonteach_supplyofcr1_borrowed_f</t>
  </si>
  <si>
    <t>Table9!$AX$37</t>
  </si>
  <si>
    <t>personnel_nonteach_seniorbk_borrowed_f</t>
  </si>
  <si>
    <t>Table9!$AX$38</t>
  </si>
  <si>
    <t>personnel_nonteach_bkkeeper_borrowed_f</t>
  </si>
  <si>
    <t>Table9!$AX$39</t>
  </si>
  <si>
    <t>personnel_nonteach_disbursingofcr2_borrowed_f</t>
  </si>
  <si>
    <t>Table9!$AX$40</t>
  </si>
  <si>
    <t>personnel_nonteach_disbursingofcr1_borrowed_f</t>
  </si>
  <si>
    <t>Table9!$AX$41</t>
  </si>
  <si>
    <t>personnel_nonteach_adminaide6_borrowed_f</t>
  </si>
  <si>
    <t>Table9!$AX$42</t>
  </si>
  <si>
    <t>personnel_nonteach_heavyequipment_borrowed_f</t>
  </si>
  <si>
    <t>Table9!$AX$43</t>
  </si>
  <si>
    <t>personnel_nonteach_driver_borrowed_f</t>
  </si>
  <si>
    <t>Table9!$AX$44</t>
  </si>
  <si>
    <t>personnel_nonteach_security_guard_borrowed_f</t>
  </si>
  <si>
    <t>Table9!$AX$45</t>
  </si>
  <si>
    <t>personnel_nonteach_lightequip_operator_borrowed_f</t>
  </si>
  <si>
    <t>Table9!$AX$46</t>
  </si>
  <si>
    <t>personnel_nonteach_utility_worker_borrowed_f</t>
  </si>
  <si>
    <t>Table9!$AX$47</t>
  </si>
  <si>
    <t>personnel_nonteach_vsa3_borrowed_f</t>
  </si>
  <si>
    <t>Table9!$AX$9</t>
  </si>
  <si>
    <t>personnel_nonteach_vsa2_psipop</t>
  </si>
  <si>
    <t>Table9!$M$10</t>
  </si>
  <si>
    <t>personnel_nonteach_vsa1_psipop</t>
  </si>
  <si>
    <t>Table9!$M$11</t>
  </si>
  <si>
    <t>personnel_nonteach_sp4_psipop</t>
  </si>
  <si>
    <t>Table9!$M$12</t>
  </si>
  <si>
    <t>personnel_nonteach_sp3_psipop</t>
  </si>
  <si>
    <t>Table9!$M$13</t>
  </si>
  <si>
    <t>personnel_nonteach_sp2_psipop</t>
  </si>
  <si>
    <t>Table9!$M$14</t>
  </si>
  <si>
    <t>personnel_nonteach_sp1_psipop</t>
  </si>
  <si>
    <t>Table9!$M$15</t>
  </si>
  <si>
    <t>personnel_nonteach_ap3_psipop</t>
  </si>
  <si>
    <t>Table9!$M$16</t>
  </si>
  <si>
    <t>personnel_nonteach_ap2_psipop</t>
  </si>
  <si>
    <t>Table9!$M$17</t>
  </si>
  <si>
    <t>personnel_nonteach_ap1_psipop</t>
  </si>
  <si>
    <t>Table9!$M$18</t>
  </si>
  <si>
    <t>personnel_nonteach_ht6_psipop</t>
  </si>
  <si>
    <t>Table9!$M$19</t>
  </si>
  <si>
    <t>personnel_nonteach_ht5_psipop</t>
  </si>
  <si>
    <t>Table9!$M$20</t>
  </si>
  <si>
    <t>personnel_nonteach_ht4_psipop</t>
  </si>
  <si>
    <t>Table9!$M$21</t>
  </si>
  <si>
    <t>personnel_nonteach_ht3_psipop</t>
  </si>
  <si>
    <t>Table9!$M$22</t>
  </si>
  <si>
    <t>personnel_nonteach_ht2_psipop</t>
  </si>
  <si>
    <t>Table9!$M$23</t>
  </si>
  <si>
    <t>personnel_nonteach_ht1_psipop</t>
  </si>
  <si>
    <t>Table9!$M$24</t>
  </si>
  <si>
    <t>personnel_nonteach_guidancecoor3_psipop</t>
  </si>
  <si>
    <t>Table9!$M$25</t>
  </si>
  <si>
    <t>personnel_nonteach_guidancecoor2_psipop</t>
  </si>
  <si>
    <t>Table9!$M$26</t>
  </si>
  <si>
    <t>personnel_nonteach_guidancecoor1_psipop</t>
  </si>
  <si>
    <t>Table9!$M$27</t>
  </si>
  <si>
    <t>personnel_nonteach_guidancecounsel3_psipop</t>
  </si>
  <si>
    <t>Table9!$M$28</t>
  </si>
  <si>
    <t>personnel_nonteach_guidancecounsel2_psipop</t>
  </si>
  <si>
    <t>Table9!$M$29</t>
  </si>
  <si>
    <t>personnel_nonteach_guidancecounsel1_psipop</t>
  </si>
  <si>
    <t>Table9!$M$30</t>
  </si>
  <si>
    <t>personnel_nonteach_adminofcr4_psipop</t>
  </si>
  <si>
    <t>Table9!$M$31</t>
  </si>
  <si>
    <t>personnel_nonteach_schlibrarian3_psipop</t>
  </si>
  <si>
    <t>Table9!$M$32</t>
  </si>
  <si>
    <t>personnel_nonteach_schlibrarian2_psipop</t>
  </si>
  <si>
    <t>Table9!$M$33</t>
  </si>
  <si>
    <t>personnel_nonteach_schlibrarian1_psipop</t>
  </si>
  <si>
    <t>Table9!$M$34</t>
  </si>
  <si>
    <t>personnel_nonteach_accountant1_psipop</t>
  </si>
  <si>
    <t>Table9!$M$35</t>
  </si>
  <si>
    <t>personnel_nonteach_cashier1_psipop</t>
  </si>
  <si>
    <t>Table9!$M$36</t>
  </si>
  <si>
    <t>personnel_nonteach_supplyofcr1_psipop</t>
  </si>
  <si>
    <t>Table9!$M$37</t>
  </si>
  <si>
    <t>personnel_nonteach_seniorbk_psipop</t>
  </si>
  <si>
    <t>Table9!$M$38</t>
  </si>
  <si>
    <t>personnel_nonteach_bkkeeper_psipop</t>
  </si>
  <si>
    <t>Table9!$M$39</t>
  </si>
  <si>
    <t>personnel_nonteach_disbursingofcr2_psipop</t>
  </si>
  <si>
    <t>Table9!$M$40</t>
  </si>
  <si>
    <t>personnel_nonteach_disbursingofcr1_psipop</t>
  </si>
  <si>
    <t>Table9!$M$41</t>
  </si>
  <si>
    <t>personnel_nonteach_adminaide6_psipop</t>
  </si>
  <si>
    <t>Table9!$M$42</t>
  </si>
  <si>
    <t>personnel_nonteach_heavyequipment_psipop</t>
  </si>
  <si>
    <t>Table9!$M$43</t>
  </si>
  <si>
    <t>personnel_nonteach_driver_psipop</t>
  </si>
  <si>
    <t>Table9!$M$44</t>
  </si>
  <si>
    <t>personnel_nonteach_security_guard_psipop</t>
  </si>
  <si>
    <t>Table9!$M$45</t>
  </si>
  <si>
    <t>personnel_nonteach_lightequip_operator_psipop</t>
  </si>
  <si>
    <t>Table9!$M$46</t>
  </si>
  <si>
    <t>personnel_nonteach_utility_worker_psipop</t>
  </si>
  <si>
    <t>Table9!$M$47</t>
  </si>
  <si>
    <t>personnel_nonteach_vsa3_psipop</t>
  </si>
  <si>
    <t>Table9!$M$9</t>
  </si>
  <si>
    <t>personnel_nonteach_vsa3_actual_m</t>
  </si>
  <si>
    <t>Table9!$P$10</t>
  </si>
  <si>
    <t>personnel_nonteach_vsa2_actual_m</t>
  </si>
  <si>
    <t>Table9!$P$10.5</t>
  </si>
  <si>
    <t>personnel_nonteach_vsa1_actual_m</t>
  </si>
  <si>
    <t>Table9!$P$11</t>
  </si>
  <si>
    <t>personnel_nonteach_sp4_actual_m</t>
  </si>
  <si>
    <t>Table9!$P$12</t>
  </si>
  <si>
    <t>personnel_nonteach_sp3_actual_m</t>
  </si>
  <si>
    <t>Table9!$P$13</t>
  </si>
  <si>
    <t>personnel_nonteach_sp2_actual_m</t>
  </si>
  <si>
    <t>Table9!$P$14</t>
  </si>
  <si>
    <t>personnel_nonteach_sp1_actual_m</t>
  </si>
  <si>
    <t>Table9!$P$15</t>
  </si>
  <si>
    <t>personnel_nonteach_ap3_actual_m</t>
  </si>
  <si>
    <t>Table9!$P$16</t>
  </si>
  <si>
    <t>personnel_nonteach_ap2_actual_m</t>
  </si>
  <si>
    <t>Table9!$P$17</t>
  </si>
  <si>
    <t>personnel_nonteach_ap1_actual_m</t>
  </si>
  <si>
    <t>Table9!$P$18</t>
  </si>
  <si>
    <t>personnel_nonteach_ht6_actual_m</t>
  </si>
  <si>
    <t>Table9!$P$19</t>
  </si>
  <si>
    <t>personnel_nonteach_ht5_actual_m</t>
  </si>
  <si>
    <t>Table9!$P$20</t>
  </si>
  <si>
    <t>personnel_nonteach_ht4_actual_m</t>
  </si>
  <si>
    <t>Table9!$P$21</t>
  </si>
  <si>
    <t>personnel_nonteach_ht3_actual_m</t>
  </si>
  <si>
    <t>Table9!$P$22</t>
  </si>
  <si>
    <t>personnel_nonteach_ht2_actual_m</t>
  </si>
  <si>
    <t>Table9!$P$23</t>
  </si>
  <si>
    <t>personnel_nonteach_ht1_actual_m</t>
  </si>
  <si>
    <t>Table9!$P$24</t>
  </si>
  <si>
    <t>personnel_nonteach_guidancecoor3_actual_m</t>
  </si>
  <si>
    <t>Table9!$P$25</t>
  </si>
  <si>
    <t>personnel_nonteach_guidancecoor2_actual_m</t>
  </si>
  <si>
    <t>Table9!$P$26</t>
  </si>
  <si>
    <t>personnel_nonteach_guidancecoor1_actual_m</t>
  </si>
  <si>
    <t>Table9!$P$27</t>
  </si>
  <si>
    <t>personnel_nonteach_guidancecounsel3_actual_m</t>
  </si>
  <si>
    <t>Table9!$P$28</t>
  </si>
  <si>
    <t>personnel_nonteach_guidancecounsel2_actual_m</t>
  </si>
  <si>
    <t>Table9!$P$29</t>
  </si>
  <si>
    <t>personnel_nonteach_guidancecounsel1_actual_m</t>
  </si>
  <si>
    <t>Table9!$P$30</t>
  </si>
  <si>
    <t>personnel_nonteach_adminofcr4_actual_m</t>
  </si>
  <si>
    <t>Table9!$P$31</t>
  </si>
  <si>
    <t>personnel_nonteach_schlibrarian3_actual_m</t>
  </si>
  <si>
    <t>Table9!$P$32</t>
  </si>
  <si>
    <t>personnel_nonteach_schlibrarian2_actual_m</t>
  </si>
  <si>
    <t>Table9!$P$33</t>
  </si>
  <si>
    <t>personnel_nonteach_schlibrarian1_actual_m</t>
  </si>
  <si>
    <t>Table9!$P$34</t>
  </si>
  <si>
    <t>personnel_nonteach_accountant1_actual_m</t>
  </si>
  <si>
    <t>Table9!$P$35</t>
  </si>
  <si>
    <t>personnel_nonteach_cashier1_actual_m</t>
  </si>
  <si>
    <t>Table9!$P$36</t>
  </si>
  <si>
    <t>personnel_nonteach_supplyofcr1_actual_m</t>
  </si>
  <si>
    <t>Table9!$P$37</t>
  </si>
  <si>
    <t>personnel_nonteach_seniorbk_actual_m</t>
  </si>
  <si>
    <t>Table9!$P$38</t>
  </si>
  <si>
    <t>personnel_nonteach_bkkeeper_actual_m</t>
  </si>
  <si>
    <t>Table9!$P$39</t>
  </si>
  <si>
    <t>personnel_nonteach_disbursingofcr2_actual_m</t>
  </si>
  <si>
    <t>Table9!$P$40</t>
  </si>
  <si>
    <t>personnel_nonteach_disbursingofcr1_actual_m</t>
  </si>
  <si>
    <t>Table9!$P$41</t>
  </si>
  <si>
    <t>personnel_nonteach_adminaide6_actual_m</t>
  </si>
  <si>
    <t>Table9!$P$42</t>
  </si>
  <si>
    <t>personnel_nonteach_heavyequipment_actual_m</t>
  </si>
  <si>
    <t>Table9!$P$43</t>
  </si>
  <si>
    <t>personnel_nonteach_driver_actual_m</t>
  </si>
  <si>
    <t>Table9!$P$44</t>
  </si>
  <si>
    <t>personnel_nonteach_security_guard_actual_m</t>
  </si>
  <si>
    <t>Table9!$P$45</t>
  </si>
  <si>
    <t>personnel_nonteach_lightequip_operator_actual_m</t>
  </si>
  <si>
    <t>Table9!$P$46</t>
  </si>
  <si>
    <t>personnel_nonteach_utility_worker_actual_m</t>
  </si>
  <si>
    <t>Table9!$P$47</t>
  </si>
  <si>
    <t>personnel_nonteach_vsa2_actual_f</t>
  </si>
  <si>
    <t>Table9!$S$10</t>
  </si>
  <si>
    <t>personnel_nonteach_vsa1_actual_f</t>
  </si>
  <si>
    <t>Table9!$S$11</t>
  </si>
  <si>
    <t>personnel_nonteach_sp4_actual_f</t>
  </si>
  <si>
    <t>Table9!$S$12</t>
  </si>
  <si>
    <t>personnel_nonteach_sp3_actual_f</t>
  </si>
  <si>
    <t>Table9!$S$13</t>
  </si>
  <si>
    <t>personnel_nonteach_sp2_actual_f</t>
  </si>
  <si>
    <t>Table9!$S$14</t>
  </si>
  <si>
    <t>personnel_nonteach_sp1_actual_f</t>
  </si>
  <si>
    <t>Table9!$S$15</t>
  </si>
  <si>
    <t>personnel_nonteach_ap3_actual_f</t>
  </si>
  <si>
    <t>Table9!$S$16</t>
  </si>
  <si>
    <t>personnel_nonteach_ap2_actual_f</t>
  </si>
  <si>
    <t>Table9!$S$17</t>
  </si>
  <si>
    <t>personnel_nonteach_ap1_actual_f</t>
  </si>
  <si>
    <t>Table9!$S$18</t>
  </si>
  <si>
    <t>personnel_nonteach_ht6_actual_f</t>
  </si>
  <si>
    <t>Table9!$S$19</t>
  </si>
  <si>
    <t>personnel_nonteach_ht5_actual_f</t>
  </si>
  <si>
    <t>Table9!$S$20</t>
  </si>
  <si>
    <t>personnel_nonteach_ht4_actual_f</t>
  </si>
  <si>
    <t>Table9!$S$21</t>
  </si>
  <si>
    <t>personnel_nonteach_ht3_actual_f</t>
  </si>
  <si>
    <t>Table9!$S$22</t>
  </si>
  <si>
    <t>personnel_nonteach_ht2_actual_f</t>
  </si>
  <si>
    <t>Table9!$S$23</t>
  </si>
  <si>
    <t>personnel_nonteach_ht1_actual_f</t>
  </si>
  <si>
    <t>Table9!$S$24</t>
  </si>
  <si>
    <t>personnel_nonteach_guidancecoor3_actual_f</t>
  </si>
  <si>
    <t>Table9!$S$25</t>
  </si>
  <si>
    <t>personnel_nonteach_guidancecoor2_actual_f</t>
  </si>
  <si>
    <t>Table9!$S$26</t>
  </si>
  <si>
    <t>personnel_nonteach_guidancecoor1_actual_f</t>
  </si>
  <si>
    <t>Table9!$S$27</t>
  </si>
  <si>
    <t>personnel_nonteach_guidancecounsel3_actual_f</t>
  </si>
  <si>
    <t>Table9!$S$28</t>
  </si>
  <si>
    <t>personnel_nonteach_guidancecounsel2_actual_f</t>
  </si>
  <si>
    <t>Table9!$S$29</t>
  </si>
  <si>
    <t>personnel_nonteach_guidancecounsel1_actual_f</t>
  </si>
  <si>
    <t>Table9!$S$30</t>
  </si>
  <si>
    <t>personnel_nonteach_adminofcr4_actual_f</t>
  </si>
  <si>
    <t>Table9!$S$31</t>
  </si>
  <si>
    <t>personnel_nonteach_schlibrarian3_actual_f</t>
  </si>
  <si>
    <t>Table9!$S$32</t>
  </si>
  <si>
    <t>personnel_nonteach_schlibrarian2_actual_f</t>
  </si>
  <si>
    <t>Table9!$S$33</t>
  </si>
  <si>
    <t>personnel_nonteach_schlibrarian1_actual_f</t>
  </si>
  <si>
    <t>Table9!$S$34</t>
  </si>
  <si>
    <t>personnel_nonteach_accountant1_actual_f</t>
  </si>
  <si>
    <t>Table9!$S$35</t>
  </si>
  <si>
    <t>personnel_nonteach_cashier1_actual_f</t>
  </si>
  <si>
    <t>Table9!$S$36</t>
  </si>
  <si>
    <t>personnel_nonteach_supplyofcr1_actual_f</t>
  </si>
  <si>
    <t>Table9!$S$37</t>
  </si>
  <si>
    <t>personnel_nonteach_seniorbk_actual_f</t>
  </si>
  <si>
    <t>Table9!$S$38</t>
  </si>
  <si>
    <t>personnel_nonteach_bkkeeper_actual_f</t>
  </si>
  <si>
    <t>Table9!$S$39</t>
  </si>
  <si>
    <t>personnel_nonteach_disbursingofcr2_actual_f</t>
  </si>
  <si>
    <t>Table9!$S$40</t>
  </si>
  <si>
    <t>personnel_nonteach_disbursingofcr1_actual_f</t>
  </si>
  <si>
    <t>Table9!$S$41</t>
  </si>
  <si>
    <t>personnel_nonteach_adminaide6_actual_f</t>
  </si>
  <si>
    <t>Table9!$S$42</t>
  </si>
  <si>
    <t>personnel_nonteach_heavyequipment_actual_f</t>
  </si>
  <si>
    <t>Table9!$S$43</t>
  </si>
  <si>
    <t>personnel_nonteach_driver_actual_f</t>
  </si>
  <si>
    <t>Table9!$S$44</t>
  </si>
  <si>
    <t>personnel_nonteach_security_guard_actual_f</t>
  </si>
  <si>
    <t>Table9!$S$45</t>
  </si>
  <si>
    <t>personnel_nonteach_lightequip_operator_actual_f</t>
  </si>
  <si>
    <t>Table9!$S$46</t>
  </si>
  <si>
    <t>personnel_nonteach_utility_worker_actual_f</t>
  </si>
  <si>
    <t>Table9!$S$47</t>
  </si>
  <si>
    <t>personnel_nonteach_vsa3_actual_f</t>
  </si>
  <si>
    <t>Table9!$S$9</t>
  </si>
  <si>
    <t>personnel_nonteach_vsa2_onleave</t>
  </si>
  <si>
    <t>Table9!$Y$10</t>
  </si>
  <si>
    <t>personnel_nonteach_vsa1_onleave</t>
  </si>
  <si>
    <t>Table9!$Y$11</t>
  </si>
  <si>
    <t>personnel_nonteach_sp4_onleave</t>
  </si>
  <si>
    <t>Table9!$Y$12</t>
  </si>
  <si>
    <t>personnel_nonteach_sp3_onleave</t>
  </si>
  <si>
    <t>Table9!$Y$13</t>
  </si>
  <si>
    <t>personnel_nonteach_sp2_onleave</t>
  </si>
  <si>
    <t>Table9!$Y$14</t>
  </si>
  <si>
    <t>personnel_nonteach_sp1_onleave</t>
  </si>
  <si>
    <t>Table9!$Y$15</t>
  </si>
  <si>
    <t>personnel_nonteach_ap3_onleave</t>
  </si>
  <si>
    <t>Table9!$Y$16</t>
  </si>
  <si>
    <t>personnel_nonteach_ap2_onleave</t>
  </si>
  <si>
    <t>Table9!$Y$17</t>
  </si>
  <si>
    <t>personnel_nonteach_ap1_onleave</t>
  </si>
  <si>
    <t>Table9!$Y$18</t>
  </si>
  <si>
    <t>personnel_nonteach_ht6_onleave</t>
  </si>
  <si>
    <t>Table9!$Y$19</t>
  </si>
  <si>
    <t>personnel_nonteach_ht5_onleave</t>
  </si>
  <si>
    <t>Table9!$Y$20</t>
  </si>
  <si>
    <t>personnel_nonteach_ht4_onleave</t>
  </si>
  <si>
    <t>Table9!$Y$21</t>
  </si>
  <si>
    <t>personnel_nonteach_ht3_onleave</t>
  </si>
  <si>
    <t>Table9!$Y$22</t>
  </si>
  <si>
    <t>personnel_nonteach_ht2_onleave</t>
  </si>
  <si>
    <t>Table9!$Y$23</t>
  </si>
  <si>
    <t>personnel_nonteach_ht1_onleave</t>
  </si>
  <si>
    <t>Table9!$Y$24</t>
  </si>
  <si>
    <t>personnel_nonteach_guidancecoor3_onleave</t>
  </si>
  <si>
    <t>Table9!$Y$25</t>
  </si>
  <si>
    <t>personnel_nonteach_guidancecoor2_onleave</t>
  </si>
  <si>
    <t>Table9!$Y$26</t>
  </si>
  <si>
    <t>personnel_nonteach_guidancecoor1_onleave</t>
  </si>
  <si>
    <t>Table9!$Y$27</t>
  </si>
  <si>
    <t>personnel_nonteach_guidancecounsel3_onleave</t>
  </si>
  <si>
    <t>Table9!$Y$28</t>
  </si>
  <si>
    <t>personnel_nonteach_guidancecounsel2_onleave</t>
  </si>
  <si>
    <t>Table9!$Y$29</t>
  </si>
  <si>
    <t>personnel_nonteach_guidancecounsel1_onleave</t>
  </si>
  <si>
    <t>Table9!$Y$30</t>
  </si>
  <si>
    <t>personnel_nonteach_adminofcr4_onleave</t>
  </si>
  <si>
    <t>Table9!$Y$31</t>
  </si>
  <si>
    <t>personnel_nonteach_schlibrarian3_onleave</t>
  </si>
  <si>
    <t>Table9!$Y$32</t>
  </si>
  <si>
    <t>personnel_nonteach_schlibrarian2_onleave</t>
  </si>
  <si>
    <t>Table9!$Y$33</t>
  </si>
  <si>
    <t>personnel_nonteach_schlibrarian1_onleave</t>
  </si>
  <si>
    <t>Table9!$Y$34</t>
  </si>
  <si>
    <t>personnel_nonteach_accountant1_onleave</t>
  </si>
  <si>
    <t>Table9!$Y$35</t>
  </si>
  <si>
    <t>personnel_nonteach_cashier1_onleave</t>
  </si>
  <si>
    <t>Table9!$Y$36</t>
  </si>
  <si>
    <t>personnel_nonteach_supplyofcr1_onleave</t>
  </si>
  <si>
    <t>Table9!$Y$37</t>
  </si>
  <si>
    <t>personnel_nonteach_seniorbk_onleave</t>
  </si>
  <si>
    <t>Table9!$Y$38</t>
  </si>
  <si>
    <t>personnel_nonteach_bkkeeper_onleave</t>
  </si>
  <si>
    <t>Table9!$Y$39</t>
  </si>
  <si>
    <t>personnel_nonteach_disbursingofcr2_onleave</t>
  </si>
  <si>
    <t>Table9!$Y$40</t>
  </si>
  <si>
    <t>personnel_nonteach_disbursingofcr1_onleave</t>
  </si>
  <si>
    <t>Table9!$Y$41</t>
  </si>
  <si>
    <t>personnel_nonteach_adminaide6_onleave</t>
  </si>
  <si>
    <t>Table9!$Y$42</t>
  </si>
  <si>
    <t>personnel_nonteach_heavyequipment_onleave</t>
  </si>
  <si>
    <t>Table9!$Y$43</t>
  </si>
  <si>
    <t>personnel_nonteach_driver_onleave</t>
  </si>
  <si>
    <t>Table9!$Y$44</t>
  </si>
  <si>
    <t>personnel_nonteach_security_guard_onleave</t>
  </si>
  <si>
    <t>Table9!$Y$45</t>
  </si>
  <si>
    <t>personnel_nonteach_lightequip_operator_onleave</t>
  </si>
  <si>
    <t>Table9!$Y$46</t>
  </si>
  <si>
    <t>personnel_nonteach_utility_worker_onleave</t>
  </si>
  <si>
    <t>Table9!$Y$47</t>
  </si>
  <si>
    <t>personnel_nonteach_vsa3_onleave</t>
  </si>
  <si>
    <t>Table9!$Y$9</t>
  </si>
  <si>
    <t>personnel_teach_instructor3_onleave</t>
  </si>
  <si>
    <t>jhs_teacher_plantilla</t>
  </si>
  <si>
    <t>Table10!$AE$10</t>
  </si>
  <si>
    <t>personnel_teach_instructor2_onleave</t>
  </si>
  <si>
    <t>Table10!$AE$11</t>
  </si>
  <si>
    <t>personnel_teach_instructor1_onleave</t>
  </si>
  <si>
    <t>Table10!$AE$12</t>
  </si>
  <si>
    <t>personnel_teach_mt4_onleave</t>
  </si>
  <si>
    <t>Table10!$AE$13</t>
  </si>
  <si>
    <t>personnel_teach_mt3_onleave</t>
  </si>
  <si>
    <t>Table10!$AE$14</t>
  </si>
  <si>
    <t>personnel_teach_mt2_onleave</t>
  </si>
  <si>
    <t>Table10!$AE$15</t>
  </si>
  <si>
    <t>personnel_teach_mt1_onleave</t>
  </si>
  <si>
    <t>Table10!$AE$16</t>
  </si>
  <si>
    <t>personnel_teach_t3_onleave</t>
  </si>
  <si>
    <t>Table10!$AE$17</t>
  </si>
  <si>
    <t>personnel_teach_t2_onleave</t>
  </si>
  <si>
    <t>Table10!$AE$18</t>
  </si>
  <si>
    <t>personnel_teach_t1_onleave</t>
  </si>
  <si>
    <t>Table10!$AE$19</t>
  </si>
  <si>
    <t>personnel_teach_sst1_onleave</t>
  </si>
  <si>
    <t>Table10!$AE$20</t>
  </si>
  <si>
    <t>personnel_teach_spedt5_onleave</t>
  </si>
  <si>
    <t>Table10!$AE$21</t>
  </si>
  <si>
    <t>personnel_teach_spedt4_onleave</t>
  </si>
  <si>
    <t>Table10!$AE$22</t>
  </si>
  <si>
    <t>personnel_teach_spedt3_onleave</t>
  </si>
  <si>
    <t>Table10!$AE$23</t>
  </si>
  <si>
    <t>personnel_teach_spedt2_onleave</t>
  </si>
  <si>
    <t>Table10!$AE$24</t>
  </si>
  <si>
    <t>personnel_teach_spedt1_onleave</t>
  </si>
  <si>
    <t>Table10!$AE$25</t>
  </si>
  <si>
    <t>personnel_teach_instructor3_vacant</t>
  </si>
  <si>
    <t>Table10!$AH$10</t>
  </si>
  <si>
    <t>personnel_teach_instructor2_vacant</t>
  </si>
  <si>
    <t>Table10!$AH$11</t>
  </si>
  <si>
    <t>personnel_teach_instructor1_vacant</t>
  </si>
  <si>
    <t>Table10!$AH$12</t>
  </si>
  <si>
    <t>personnel_teach_mt4_vacant</t>
  </si>
  <si>
    <t>Table10!$AH$13</t>
  </si>
  <si>
    <t>personnel_teach_mt3_vacant</t>
  </si>
  <si>
    <t>Table10!$AH$14</t>
  </si>
  <si>
    <t>personnel_teach_mt2_vacant</t>
  </si>
  <si>
    <t>Table10!$AH$15</t>
  </si>
  <si>
    <t>personnel_teach_mt1_vacant</t>
  </si>
  <si>
    <t>Table10!$AH$16</t>
  </si>
  <si>
    <t>personnel_teach_t3_vacant</t>
  </si>
  <si>
    <t>Table10!$AH$17</t>
  </si>
  <si>
    <t>personnel_teach_t2_vacant</t>
  </si>
  <si>
    <t>Table10!$AH$18</t>
  </si>
  <si>
    <t>personnel_teach_t1_vacant</t>
  </si>
  <si>
    <t>Table10!$AH$19</t>
  </si>
  <si>
    <t>personnel_teach_sst1_vacant</t>
  </si>
  <si>
    <t>Table10!$AH$20</t>
  </si>
  <si>
    <t>personnel_teach_spedt5_vacant</t>
  </si>
  <si>
    <t>Table10!$AH$21</t>
  </si>
  <si>
    <t>personnel_teach_spedt4_vacant</t>
  </si>
  <si>
    <t>Table10!$AH$22</t>
  </si>
  <si>
    <t>personnel_teach_spedt3_vacant</t>
  </si>
  <si>
    <t>Table10!$AH$23</t>
  </si>
  <si>
    <t>personnel_teach_spedt2_vacant</t>
  </si>
  <si>
    <t>Table10!$AH$24</t>
  </si>
  <si>
    <t>personnel_teach_spedt1_vacant</t>
  </si>
  <si>
    <t>Table10!$AH$25</t>
  </si>
  <si>
    <t>personnel_teach_instructor3_detailed_hs</t>
  </si>
  <si>
    <t>Table10!$AK$10</t>
  </si>
  <si>
    <t>personnel_teach_instructor2_detailed_hs</t>
  </si>
  <si>
    <t>Table10!$AK$11</t>
  </si>
  <si>
    <t>personnel_teach_instructor1_detailed_hs</t>
  </si>
  <si>
    <t>Table10!$AK$12</t>
  </si>
  <si>
    <t>personnel_teach_mt4_detailed_hs</t>
  </si>
  <si>
    <t>Table10!$AK$13</t>
  </si>
  <si>
    <t>personnel_teach_mt3_detailed_hs</t>
  </si>
  <si>
    <t>Table10!$AK$14</t>
  </si>
  <si>
    <t>personnel_teach_mt2_detailed_hs</t>
  </si>
  <si>
    <t>Table10!$AK$15</t>
  </si>
  <si>
    <t>personnel_teach_mt1_detailed_hs</t>
  </si>
  <si>
    <t>Table10!$AK$16</t>
  </si>
  <si>
    <t>personnel_teach_t3_detailed_hs</t>
  </si>
  <si>
    <t>Table10!$AK$17</t>
  </si>
  <si>
    <t>personnel_teach_t2_detailed_hs</t>
  </si>
  <si>
    <t>Table10!$AK$18</t>
  </si>
  <si>
    <t>personnel_teach_t1_detailed_hs</t>
  </si>
  <si>
    <t>Table10!$AK$19</t>
  </si>
  <si>
    <t>personnel_teach_sst1_detailed_hs</t>
  </si>
  <si>
    <t>Table10!$AK$20</t>
  </si>
  <si>
    <t>personnel_teach_spedt5_detailed_hs</t>
  </si>
  <si>
    <t>Table10!$AK$21</t>
  </si>
  <si>
    <t>personnel_teach_spedt4_detailed_hs</t>
  </si>
  <si>
    <t>Table10!$AK$22</t>
  </si>
  <si>
    <t>personnel_teach_spedt3_detailed_hs</t>
  </si>
  <si>
    <t>Table10!$AK$23</t>
  </si>
  <si>
    <t>personnel_teach_spedt2_detailed_hs</t>
  </si>
  <si>
    <t>Table10!$AK$24</t>
  </si>
  <si>
    <t>personnel_teach_spedt1_detailed_hs</t>
  </si>
  <si>
    <t>Table10!$AK$25</t>
  </si>
  <si>
    <t>personnel_teach_instructor3_detailed_es</t>
  </si>
  <si>
    <t>Table10!$AN$10</t>
  </si>
  <si>
    <t>personnel_teach_instructor2_detailed_es</t>
  </si>
  <si>
    <t>Table10!$AN$11</t>
  </si>
  <si>
    <t>personnel_teach_instructor1_detailed_es</t>
  </si>
  <si>
    <t>Table10!$AN$12</t>
  </si>
  <si>
    <t>personnel_teach_mt4_detailed_es</t>
  </si>
  <si>
    <t>Table10!$AN$13</t>
  </si>
  <si>
    <t>personnel_teach_mt3_detailed_es</t>
  </si>
  <si>
    <t>Table10!$AN$14</t>
  </si>
  <si>
    <t>personnel_teach_mt2_detailed_es</t>
  </si>
  <si>
    <t>Table10!$AN$15</t>
  </si>
  <si>
    <t>personnel_teach_mt1_detailed_es</t>
  </si>
  <si>
    <t>Table10!$AN$16</t>
  </si>
  <si>
    <t>personnel_teach_t3_detailed_es</t>
  </si>
  <si>
    <t>Table10!$AN$17</t>
  </si>
  <si>
    <t>personnel_teach_t2_detailed_es</t>
  </si>
  <si>
    <t>Table10!$AN$18</t>
  </si>
  <si>
    <t>personnel_teach_t1_detailed_es</t>
  </si>
  <si>
    <t>Table10!$AN$19</t>
  </si>
  <si>
    <t>personnel_teach_sst1_detailed_es</t>
  </si>
  <si>
    <t>Table10!$AN$20</t>
  </si>
  <si>
    <t>personnel_teach_spedt5_detailed_es</t>
  </si>
  <si>
    <t>Table10!$AN$21</t>
  </si>
  <si>
    <t>personnel_teach_spedt4_detailed_es</t>
  </si>
  <si>
    <t>Table10!$AN$22</t>
  </si>
  <si>
    <t>personnel_teach_spedt3_detailed_es</t>
  </si>
  <si>
    <t>Table10!$AN$23</t>
  </si>
  <si>
    <t>personnel_teach_spedt2_detailed_es</t>
  </si>
  <si>
    <t>Table10!$AN$24</t>
  </si>
  <si>
    <t>personnel_teach_spedt1_detailed_es</t>
  </si>
  <si>
    <t>Table10!$AN$25</t>
  </si>
  <si>
    <t>personnel_teach_instructor3_detailed_outdiv</t>
  </si>
  <si>
    <t>Table10!$AQ$10</t>
  </si>
  <si>
    <t>personnel_teach_instructor2_detailed_outdiv</t>
  </si>
  <si>
    <t>Table10!$AQ$11</t>
  </si>
  <si>
    <t>personnel_teach_instructor1_detailed_outdiv</t>
  </si>
  <si>
    <t>Table10!$AQ$12</t>
  </si>
  <si>
    <t>personnel_teach_mt4_detailed_outdiv</t>
  </si>
  <si>
    <t>Table10!$AQ$13</t>
  </si>
  <si>
    <t>personnel_teach_mt3_detailed_outdiv</t>
  </si>
  <si>
    <t>Table10!$AQ$14</t>
  </si>
  <si>
    <t>personnel_teach_mt2_detailed_outdiv</t>
  </si>
  <si>
    <t>Table10!$AQ$15</t>
  </si>
  <si>
    <t>personnel_teach_mt1_detailed_outdiv</t>
  </si>
  <si>
    <t>Table10!$AQ$16</t>
  </si>
  <si>
    <t>personnel_teach_t3_detailed_outdiv</t>
  </si>
  <si>
    <t>Table10!$AQ$17</t>
  </si>
  <si>
    <t>personnel_teach_t2_detailed_outdiv</t>
  </si>
  <si>
    <t>Table10!$AQ$18</t>
  </si>
  <si>
    <t>personnel_teach_t1_detailed_outdiv</t>
  </si>
  <si>
    <t>Table10!$AQ$19</t>
  </si>
  <si>
    <t>personnel_teach_sst1_detailed_outdiv</t>
  </si>
  <si>
    <t>Table10!$AQ$20</t>
  </si>
  <si>
    <t>personnel_teach_spedt5_detailed_outdiv</t>
  </si>
  <si>
    <t>Table10!$AQ$21</t>
  </si>
  <si>
    <t>personnel_teach_spedt4_detailed_outdiv</t>
  </si>
  <si>
    <t>Table10!$AQ$22</t>
  </si>
  <si>
    <t>personnel_teach_spedt3_detailed_outdiv</t>
  </si>
  <si>
    <t>Table10!$AQ$23</t>
  </si>
  <si>
    <t>personnel_teach_spedt2_detailed_outdiv</t>
  </si>
  <si>
    <t>Table10!$AQ$24</t>
  </si>
  <si>
    <t>personnel_teach_spedt1_detailed_outdiv</t>
  </si>
  <si>
    <t>Table10!$AQ$25</t>
  </si>
  <si>
    <t>personnel_teach_instructor3_borrowed_m</t>
  </si>
  <si>
    <t>Table10!$BA$10</t>
  </si>
  <si>
    <t>personnel_teach_instructor2_borrowed_m</t>
  </si>
  <si>
    <t>Table10!$BA$11</t>
  </si>
  <si>
    <t>personnel_teach_instructor1_borrowed_m</t>
  </si>
  <si>
    <t>Table10!$BA$12</t>
  </si>
  <si>
    <t>personnel_teach_mt4_borrowed_m</t>
  </si>
  <si>
    <t>Table10!$BA$13</t>
  </si>
  <si>
    <t>personnel_teach_mt3_borrowed_m</t>
  </si>
  <si>
    <t>Table10!$BA$14</t>
  </si>
  <si>
    <t>personnel_teach_mt2_borrowed_m</t>
  </si>
  <si>
    <t>Table10!$BA$15</t>
  </si>
  <si>
    <t>personnel_teach_mt1_borrowed_m</t>
  </si>
  <si>
    <t>Table10!$BA$16</t>
  </si>
  <si>
    <t>personnel_teach_t3_borrowed_m</t>
  </si>
  <si>
    <t>Table10!$BA$17</t>
  </si>
  <si>
    <t>personnel_teach_t2_borrowed_m</t>
  </si>
  <si>
    <t>Table10!$BA$18</t>
  </si>
  <si>
    <t>personnel_teach_t1_borrowed_m</t>
  </si>
  <si>
    <t>Table10!$BA$19</t>
  </si>
  <si>
    <t>personnel_teach_sst1_borrowed_m</t>
  </si>
  <si>
    <t>Table10!$BA$20</t>
  </si>
  <si>
    <t>personnel_teach_spedt5_borrowed_m</t>
  </si>
  <si>
    <t>Table10!$BA$21</t>
  </si>
  <si>
    <t>personnel_teach_spedt4_borrowed_m</t>
  </si>
  <si>
    <t>Table10!$BA$22</t>
  </si>
  <si>
    <t>personnel_teach_spedt3_borrowed_m</t>
  </si>
  <si>
    <t>Table10!$BA$23</t>
  </si>
  <si>
    <t>personnel_teach_spedt2_borrowed_m</t>
  </si>
  <si>
    <t>Table10!$BA$24</t>
  </si>
  <si>
    <t>personnel_teach_spedt1_borrowed_m</t>
  </si>
  <si>
    <t>Table10!$BA$25</t>
  </si>
  <si>
    <t>personnel_teach_handling_g7to10_borrowed_m</t>
  </si>
  <si>
    <t>Table10!$BA$28</t>
  </si>
  <si>
    <t>personnel_teach_handling_g11to12_borrowed_m</t>
  </si>
  <si>
    <t>Table10!$BA$29</t>
  </si>
  <si>
    <t>personnel_teach_handling_alivecl_borrowed_m</t>
  </si>
  <si>
    <t>Table10!$BA$30</t>
  </si>
  <si>
    <t>personnel_teach_handling_spedcl_borrowed_m</t>
  </si>
  <si>
    <t>Table10!$BA$31</t>
  </si>
  <si>
    <t>personnel_teach_handling_fullt_ancillary_borrowed_m</t>
  </si>
  <si>
    <t>Table10!$BA$32</t>
  </si>
  <si>
    <t>personnel_teach_instructor3_borrowed_f</t>
  </si>
  <si>
    <t>Table10!$BD$10</t>
  </si>
  <si>
    <t>personnel_teach_instructor2_borrowed_f</t>
  </si>
  <si>
    <t>Table10!$BD$11</t>
  </si>
  <si>
    <t>personnel_teach_instructor1_borrowed_f</t>
  </si>
  <si>
    <t>Table10!$BD$12</t>
  </si>
  <si>
    <t>personnel_teach_mt4_borrowed_f</t>
  </si>
  <si>
    <t>Table10!$BD$13</t>
  </si>
  <si>
    <t>personnel_teach_mt3_borrowed_f</t>
  </si>
  <si>
    <t>Table10!$BD$14</t>
  </si>
  <si>
    <t>personnel_teach_mt2_borrowed_f</t>
  </si>
  <si>
    <t>Table10!$BD$15</t>
  </si>
  <si>
    <t>personnel_teach_mt1_borrowed_f</t>
  </si>
  <si>
    <t>Table10!$BD$16</t>
  </si>
  <si>
    <t>personnel_teach_t3_borrowed_f</t>
  </si>
  <si>
    <t>Table10!$BD$17</t>
  </si>
  <si>
    <t>personnel_teach_t2_borrowed_f</t>
  </si>
  <si>
    <t>Table10!$BD$18</t>
  </si>
  <si>
    <t>personnel_teach_t1_borrowed_f</t>
  </si>
  <si>
    <t>Table10!$BD$19</t>
  </si>
  <si>
    <t>personnel_teach_sst1_borrowed_f</t>
  </si>
  <si>
    <t>Table10!$BD$20</t>
  </si>
  <si>
    <t>personnel_teach_spedt5_borrowed_f</t>
  </si>
  <si>
    <t>Table10!$BD$21</t>
  </si>
  <si>
    <t>personnel_teach_spedt4_borrowed_f</t>
  </si>
  <si>
    <t>Table10!$BD$22</t>
  </si>
  <si>
    <t>personnel_teach_spedt3_borrowed_f</t>
  </si>
  <si>
    <t>Table10!$BD$23</t>
  </si>
  <si>
    <t>personnel_teach_spedt2_borrowed_f</t>
  </si>
  <si>
    <t>Table10!$BD$24</t>
  </si>
  <si>
    <t>personnel_teach_spedt1_borrowed_f</t>
  </si>
  <si>
    <t>Table10!$BD$25</t>
  </si>
  <si>
    <t>personnel_teach_handling_g7to10_borrowed_f</t>
  </si>
  <si>
    <t>Table10!$BD$28</t>
  </si>
  <si>
    <t>personnel_teach_handling_g11to12_borrowed_f</t>
  </si>
  <si>
    <t>Table10!$BD$29</t>
  </si>
  <si>
    <t>personnel_teach_handling_alivecl_borrowed_f</t>
  </si>
  <si>
    <t>Table10!$BD$30</t>
  </si>
  <si>
    <t>personnel_teach_handling_spedcl_borrowed_f</t>
  </si>
  <si>
    <t>Table10!$BD$31</t>
  </si>
  <si>
    <t>personnel_teach_handling_fullt_ancillary_borrowed_f</t>
  </si>
  <si>
    <t>Table10!$BD$32</t>
  </si>
  <si>
    <t>Table10!$M$10</t>
  </si>
  <si>
    <t>Table10!$M$11</t>
  </si>
  <si>
    <t>Table10!$M$12</t>
  </si>
  <si>
    <t>Table10!$M$13</t>
  </si>
  <si>
    <t>Table10!$M$14</t>
  </si>
  <si>
    <t>Table10!$M$15</t>
  </si>
  <si>
    <t>Table10!$M$16</t>
  </si>
  <si>
    <t>Table10!$M$17</t>
  </si>
  <si>
    <t>Table10!$M$18</t>
  </si>
  <si>
    <t>Table10!$M$19</t>
  </si>
  <si>
    <t>Table10!$M$20</t>
  </si>
  <si>
    <t>Table10!$M$21</t>
  </si>
  <si>
    <t>Table10!$M$22</t>
  </si>
  <si>
    <t>Table10!$M$23</t>
  </si>
  <si>
    <t>Table10!$M$24</t>
  </si>
  <si>
    <t>Table10!$M$25</t>
  </si>
  <si>
    <t>personnel_teach_instructor3_actual_m</t>
  </si>
  <si>
    <t>Table10!$V$10</t>
  </si>
  <si>
    <t>personnel_teach_instructor2_actual_m</t>
  </si>
  <si>
    <t>Table10!$V$11</t>
  </si>
  <si>
    <t>personnel_teach_instructor1_actual_m</t>
  </si>
  <si>
    <t>Table10!$V$12</t>
  </si>
  <si>
    <t>personnel_teach_mt4_actual_m</t>
  </si>
  <si>
    <t>Table10!$V$13</t>
  </si>
  <si>
    <t>personnel_teach_mt3_actual_m</t>
  </si>
  <si>
    <t>Table10!$V$14</t>
  </si>
  <si>
    <t>personnel_teach_mt2_actual_m</t>
  </si>
  <si>
    <t>Table10!$V$15</t>
  </si>
  <si>
    <t>personnel_teach_mt1_actual_m</t>
  </si>
  <si>
    <t>Table10!$V$16</t>
  </si>
  <si>
    <t>personnel_teach_t3_actual_m</t>
  </si>
  <si>
    <t>Table10!$V$17</t>
  </si>
  <si>
    <t>personnel_teach_t2_actual_m</t>
  </si>
  <si>
    <t>Table10!$V$18</t>
  </si>
  <si>
    <t>personnel_teach_t1_actual_m</t>
  </si>
  <si>
    <t>Table10!$V$19</t>
  </si>
  <si>
    <t>personnel_teach_sst1_actual_m</t>
  </si>
  <si>
    <t>Table10!$V$20</t>
  </si>
  <si>
    <t>personnel_teach_spedt5_actual_m</t>
  </si>
  <si>
    <t>Table10!$V$21</t>
  </si>
  <si>
    <t>personnel_teach_spedt4_actual_m</t>
  </si>
  <si>
    <t>Table10!$V$22</t>
  </si>
  <si>
    <t>personnel_teach_spedt3_actual_m</t>
  </si>
  <si>
    <t>Table10!$V$23</t>
  </si>
  <si>
    <t>personnel_teach_spedt2_actual_m</t>
  </si>
  <si>
    <t>Table10!$V$24</t>
  </si>
  <si>
    <t>personnel_teach_spedt1_actual_m</t>
  </si>
  <si>
    <t>Table10!$V$25</t>
  </si>
  <si>
    <t>personnel_teach_handling_g7to10_m</t>
  </si>
  <si>
    <t>Table10!$V$28</t>
  </si>
  <si>
    <t>personnel_teach_handling_g11to12_m</t>
  </si>
  <si>
    <t>Table10!$V$29</t>
  </si>
  <si>
    <t>personnel_teach_handling_alivecl_m</t>
  </si>
  <si>
    <t>Table10!$V$30</t>
  </si>
  <si>
    <t>personnel_teach_handling_spedcl_m</t>
  </si>
  <si>
    <t>Table10!$V$31</t>
  </si>
  <si>
    <t>personnel_teach_handling_fullt_ancillary_m</t>
  </si>
  <si>
    <t>Table10!$V$32</t>
  </si>
  <si>
    <t>personnel_teach_instructor3_actual_f</t>
  </si>
  <si>
    <t>Table10!$Y$10</t>
  </si>
  <si>
    <t>personnel_teach_instructor2_actual_f</t>
  </si>
  <si>
    <t>Table10!$Y$11</t>
  </si>
  <si>
    <t>personnel_teach_instructor1_actual_f</t>
  </si>
  <si>
    <t>Table10!$Y$12</t>
  </si>
  <si>
    <t>personnel_teach_mt4_actual_f</t>
  </si>
  <si>
    <t>Table10!$Y$13</t>
  </si>
  <si>
    <t>personnel_teach_mt3_actual_f</t>
  </si>
  <si>
    <t>Table10!$Y$14</t>
  </si>
  <si>
    <t>personnel_teach_mt2_actual_f</t>
  </si>
  <si>
    <t>Table10!$Y$15</t>
  </si>
  <si>
    <t>personnel_teach_mt1_actual_f</t>
  </si>
  <si>
    <t>Table10!$Y$16</t>
  </si>
  <si>
    <t>personnel_teach_t3_actual_f</t>
  </si>
  <si>
    <t>Table10!$Y$17</t>
  </si>
  <si>
    <t>personnel_teach_t2_actual_f</t>
  </si>
  <si>
    <t>Table10!$Y$18</t>
  </si>
  <si>
    <t>personnel_teach_t1_actual_f</t>
  </si>
  <si>
    <t>Table10!$Y$19</t>
  </si>
  <si>
    <t>personnel_teach_sst1_actual_f</t>
  </si>
  <si>
    <t>Table10!$Y$20</t>
  </si>
  <si>
    <t>personnel_teach_spedt5_actual_f</t>
  </si>
  <si>
    <t>Table10!$Y$21</t>
  </si>
  <si>
    <t>personnel_teach_spedt4_actual_f</t>
  </si>
  <si>
    <t>Table10!$Y$22</t>
  </si>
  <si>
    <t>personnel_teach_spedt3_actual_f</t>
  </si>
  <si>
    <t>Table10!$Y$23</t>
  </si>
  <si>
    <t>personnel_teach_spedt2_actual_f</t>
  </si>
  <si>
    <t>Table10!$Y$24</t>
  </si>
  <si>
    <t>personnel_teach_spedt1_actual_f</t>
  </si>
  <si>
    <t>Table10!$Y$25</t>
  </si>
  <si>
    <t>personnel_teach_handling_g7to10_f</t>
  </si>
  <si>
    <t>Table10!$Y$28</t>
  </si>
  <si>
    <t>personnel_teach_handling_g11to12_f</t>
  </si>
  <si>
    <t>Table10!$Y$29</t>
  </si>
  <si>
    <t>personnel_teach_handling_alivecl_f</t>
  </si>
  <si>
    <t>Table10!$Y$30</t>
  </si>
  <si>
    <t>personnel_teach_handling_spedcl_f</t>
  </si>
  <si>
    <t>Table10!$Y$31</t>
  </si>
  <si>
    <t>personnel_teach_handling_fullt_ancillary_f</t>
  </si>
  <si>
    <t>Table10!$Y$32</t>
  </si>
  <si>
    <t>teach_assign_mt3_part_ancilliary_less200min</t>
  </si>
  <si>
    <t>jhs_teacher_assignment</t>
  </si>
  <si>
    <t>Table11!$AB$10</t>
  </si>
  <si>
    <t>teach_assign_mt2_part_ancilliary_less200min</t>
  </si>
  <si>
    <t>Table11!$AB$11</t>
  </si>
  <si>
    <t>teach_assign_mt1_part_ancilliary_less200min</t>
  </si>
  <si>
    <t>Table11!$AB$12</t>
  </si>
  <si>
    <t>teach_assign_t3_part_ancilliary_less200min</t>
  </si>
  <si>
    <t>Table11!$AB$13</t>
  </si>
  <si>
    <t>teach_assign_t2_part_ancilliary_less200min</t>
  </si>
  <si>
    <t>Table11!$AB$14</t>
  </si>
  <si>
    <t>teach_assign_t1_part_ancilliary_less200min</t>
  </si>
  <si>
    <t>Table11!$AB$15</t>
  </si>
  <si>
    <t>teach_assign_sst1_part_ancilliary_less200min</t>
  </si>
  <si>
    <t>Table11!$AB$16</t>
  </si>
  <si>
    <t>teach_assign_spedt5_part_ancilliary_less200min</t>
  </si>
  <si>
    <t>Table11!$AB$17</t>
  </si>
  <si>
    <t>teach_assign_spedt4_part_ancilliary_less200min</t>
  </si>
  <si>
    <t>Table11!$AB$18</t>
  </si>
  <si>
    <t>teach_assign_spedt3_part_ancilliary_less200min</t>
  </si>
  <si>
    <t>Table11!$AB$19</t>
  </si>
  <si>
    <t>teach_assign_spedt2_part_ancilliary_less200min</t>
  </si>
  <si>
    <t>Table11!$AB$20</t>
  </si>
  <si>
    <t>teach_assign_spedt1_part_ancilliary_less200min</t>
  </si>
  <si>
    <t>Table11!$AB$21</t>
  </si>
  <si>
    <t>teach_assign_instructor3_part_ancilliary_less200min</t>
  </si>
  <si>
    <t>Table11!$AB$6</t>
  </si>
  <si>
    <t>teach_assign_instructor2_part_ancilliary_less200min</t>
  </si>
  <si>
    <t>Table11!$AB$7</t>
  </si>
  <si>
    <t>teach_assign_instructor1_part_ancilliary_less200min</t>
  </si>
  <si>
    <t>Table11!$AB$8</t>
  </si>
  <si>
    <t>teach_assign_mt4_part_ancilliary_less200min</t>
  </si>
  <si>
    <t>Table11!$AB$9</t>
  </si>
  <si>
    <t>teach_assign_mt3_fullt_ancilliary</t>
  </si>
  <si>
    <t>Table11!$AH$10</t>
  </si>
  <si>
    <t>teach_assign_mt2_fullt_ancilliary</t>
  </si>
  <si>
    <t>Table11!$AH$11</t>
  </si>
  <si>
    <t>teach_assign_mt1_fullt_ancilliary</t>
  </si>
  <si>
    <t>Table11!$AH$12</t>
  </si>
  <si>
    <t>teach_assign_t3_fullt_ancilliary</t>
  </si>
  <si>
    <t>Table11!$AH$13</t>
  </si>
  <si>
    <t>teach_assign_t2_fullt_ancilliary</t>
  </si>
  <si>
    <t>Table11!$AH$14</t>
  </si>
  <si>
    <t>teach_assign_t1_fullt_ancilliary</t>
  </si>
  <si>
    <t>Table11!$AH$15</t>
  </si>
  <si>
    <t>teach_assign_sst1_fullt_ancilliary</t>
  </si>
  <si>
    <t>Table11!$AH$16</t>
  </si>
  <si>
    <t>teach_assign_spedt5_fullt_ancilliary</t>
  </si>
  <si>
    <t>Table11!$AH$17</t>
  </si>
  <si>
    <t>teach_assign_spedt4_fullt_ancilliary</t>
  </si>
  <si>
    <t>Table11!$AH$18</t>
  </si>
  <si>
    <t>teach_assign_spedt3_fullt_ancilliary</t>
  </si>
  <si>
    <t>Table11!$AH$19</t>
  </si>
  <si>
    <t>teach_assign_spedt2_fullt_ancilliary</t>
  </si>
  <si>
    <t>Table11!$AH$20</t>
  </si>
  <si>
    <t>teach_assign_spedt1_fullt_ancilliary</t>
  </si>
  <si>
    <t>Table11!$AH$21</t>
  </si>
  <si>
    <t>teach_assign_instructor3_fullt_ancilliary</t>
  </si>
  <si>
    <t>Table11!$AH$6</t>
  </si>
  <si>
    <t>teach_assign_instructor2_fullt_ancilliary</t>
  </si>
  <si>
    <t>Table11!$AH$7</t>
  </si>
  <si>
    <t>teach_assign_instructor1_fullt_ancilliary</t>
  </si>
  <si>
    <t>Table11!$AH$8</t>
  </si>
  <si>
    <t>teach_assign_mt4_fullt_ancilliary</t>
  </si>
  <si>
    <t>Table11!$AH$9</t>
  </si>
  <si>
    <t>teach_assign_mt3_fullt_noancilliary</t>
  </si>
  <si>
    <t>Table11!$J$10</t>
  </si>
  <si>
    <t>teach_assign_mt2_fullt_noancilliary</t>
  </si>
  <si>
    <t>Table11!$J$11</t>
  </si>
  <si>
    <t>teach_assign_mt1_fullt_noancilliary</t>
  </si>
  <si>
    <t>Table11!$J$12</t>
  </si>
  <si>
    <t>teach_assign_t3_fullt_noancilliary</t>
  </si>
  <si>
    <t>Table11!$J$13</t>
  </si>
  <si>
    <t>teach_assign_t2_fullt_noancilliary</t>
  </si>
  <si>
    <t>Table11!$J$14</t>
  </si>
  <si>
    <t>teach_assign_t1_fullt_noancilliary</t>
  </si>
  <si>
    <t>Table11!$J$15</t>
  </si>
  <si>
    <t>teach_assign_sst1_fullt_noancilliary</t>
  </si>
  <si>
    <t>Table11!$J$16</t>
  </si>
  <si>
    <t>teach_assign_spedt5_fullt_noancilliary</t>
  </si>
  <si>
    <t>Table11!$J$17</t>
  </si>
  <si>
    <t>teach_assign_spedt4_fullt_noancilliary</t>
  </si>
  <si>
    <t>Table11!$J$18</t>
  </si>
  <si>
    <t>teach_assign_spedt3_fullt_noancilliary</t>
  </si>
  <si>
    <t>Table11!$J$19</t>
  </si>
  <si>
    <t>teach_assign_spedt2_fullt_noancilliary</t>
  </si>
  <si>
    <t>Table11!$J$20</t>
  </si>
  <si>
    <t>teach_assign_spedt1_fullt_noancilliary</t>
  </si>
  <si>
    <t>Table11!$J$21</t>
  </si>
  <si>
    <t>teach_assign_instructor3_fullt_noancilliary</t>
  </si>
  <si>
    <t>Table11!$J$6</t>
  </si>
  <si>
    <t>teach_assign_instructor2_fullt_noancilliary</t>
  </si>
  <si>
    <t>Table11!$J$7</t>
  </si>
  <si>
    <t>teach_assign_instructor1_fullt_noancilliary</t>
  </si>
  <si>
    <t>Table11!$J$8</t>
  </si>
  <si>
    <t>teach_assign_mt4_fullt_noancilliary</t>
  </si>
  <si>
    <t>Table11!$J$9</t>
  </si>
  <si>
    <t>teach_assign_mt3_fullt_ancilliary_addload</t>
  </si>
  <si>
    <t>Table11!$P$10</t>
  </si>
  <si>
    <t>teach_assign_mt2_fullt_ancilliary_addload</t>
  </si>
  <si>
    <t>Table11!$P$11</t>
  </si>
  <si>
    <t>teach_assign_mt1_fullt_ancilliary_addload</t>
  </si>
  <si>
    <t>Table11!$P$12</t>
  </si>
  <si>
    <t>teach_assign_t3_fullt_ancilliary_addload</t>
  </si>
  <si>
    <t>Table11!$P$13</t>
  </si>
  <si>
    <t>teach_assign_t2_fullt_ancilliary_addload</t>
  </si>
  <si>
    <t>Table11!$P$14</t>
  </si>
  <si>
    <t>teach_assign_t1_fullt_ancilliary_addload</t>
  </si>
  <si>
    <t>Table11!$P$15</t>
  </si>
  <si>
    <t>teach_assign_sst1_fullt_ancilliary_addload</t>
  </si>
  <si>
    <t>Table11!$P$16</t>
  </si>
  <si>
    <t>teach_assign_spedt5_fullt_ancilliary_addload</t>
  </si>
  <si>
    <t>Table11!$P$17</t>
  </si>
  <si>
    <t>teach_assign_spedt4_fullt_ancilliary_addload</t>
  </si>
  <si>
    <t>Table11!$P$18</t>
  </si>
  <si>
    <t>teach_assign_spedt3_fullt_ancilliary_addload</t>
  </si>
  <si>
    <t>Table11!$P$19</t>
  </si>
  <si>
    <t>teach_assign_spedt2_fullt_ancilliary_addload</t>
  </si>
  <si>
    <t>Table11!$P$20</t>
  </si>
  <si>
    <t>teach_assign_spedt1_fullt_ancilliary_addload</t>
  </si>
  <si>
    <t>Table11!$P$21</t>
  </si>
  <si>
    <t>teach_assign_instructor3_fullt_ancilliary_addload</t>
  </si>
  <si>
    <t>Table11!$P$6</t>
  </si>
  <si>
    <t>teach_assign_instructor2_fullt_ancilliary_addload</t>
  </si>
  <si>
    <t>Table11!$P$7</t>
  </si>
  <si>
    <t>teach_assign_instructor1_fullt_ancilliary_addload</t>
  </si>
  <si>
    <t>Table11!$P$8</t>
  </si>
  <si>
    <t>teach_assign_mt4_fullt_ancilliary_addload</t>
  </si>
  <si>
    <t>Table11!$P$9</t>
  </si>
  <si>
    <t>teach_assign_mt3_part_ancilliary_200min</t>
  </si>
  <si>
    <t>Table11!$V$10</t>
  </si>
  <si>
    <t>teach_assign_mt2_part_ancilliary_200min</t>
  </si>
  <si>
    <t>Table11!$V$11</t>
  </si>
  <si>
    <t>teach_assign_mt1_part_ancilliary_200min</t>
  </si>
  <si>
    <t>Table11!$V$12</t>
  </si>
  <si>
    <t>teach_assign_t3_part_ancilliary_200min</t>
  </si>
  <si>
    <t>Table11!$V$13</t>
  </si>
  <si>
    <t>teach_assign_t2_part_ancilliary_200min</t>
  </si>
  <si>
    <t>Table11!$V$14</t>
  </si>
  <si>
    <t>teach_assign_t1_part_ancilliary_200min</t>
  </si>
  <si>
    <t>Table11!$V$15</t>
  </si>
  <si>
    <t>teach_assign_sst1_part_ancilliary_200min</t>
  </si>
  <si>
    <t>Table11!$V$16</t>
  </si>
  <si>
    <t>teach_assign_spedt5_part_ancilliary_200min</t>
  </si>
  <si>
    <t>Table11!$V$17</t>
  </si>
  <si>
    <t>teach_assign_spedt4_part_ancilliary_200min</t>
  </si>
  <si>
    <t>Table11!$V$18</t>
  </si>
  <si>
    <t>teach_assign_spedt3_part_ancilliary_200min</t>
  </si>
  <si>
    <t>Table11!$V$19</t>
  </si>
  <si>
    <t>teach_assign_spedt2_part_ancilliary_200min</t>
  </si>
  <si>
    <t>Table11!$V$20</t>
  </si>
  <si>
    <t>teach_assign_spedt1_part_ancilliary_200min</t>
  </si>
  <si>
    <t>Table11!$V$21</t>
  </si>
  <si>
    <t>teach_assign_instructor3_part_ancilliary_200min</t>
  </si>
  <si>
    <t>Table11!$V$6</t>
  </si>
  <si>
    <t>teach_assign_instructor2_part_ancilliary_200min</t>
  </si>
  <si>
    <t>Table11!$V$7</t>
  </si>
  <si>
    <t>teach_assign_instructor1_part_ancilliary_200min</t>
  </si>
  <si>
    <t>Table11!$V$8</t>
  </si>
  <si>
    <t>teach_assign_mt4_part_ancilliary_200min</t>
  </si>
  <si>
    <t>Table11!$V$9</t>
  </si>
  <si>
    <t>traininginservice_mteacher4_male</t>
  </si>
  <si>
    <t>jhs_teacher_inservice</t>
  </si>
  <si>
    <t>traininginservice_mteacher3_male</t>
  </si>
  <si>
    <t>traininginservice_mteacher2_male</t>
  </si>
  <si>
    <t>traininginservice_mteacher1_male</t>
  </si>
  <si>
    <t>traininginservice_teacher3_male</t>
  </si>
  <si>
    <t>traininginservice_teacher2_male</t>
  </si>
  <si>
    <t>traininginservice_teacher1_male</t>
  </si>
  <si>
    <t>traininginservice_sst1_male</t>
  </si>
  <si>
    <t>traininginservice_spedt5_male</t>
  </si>
  <si>
    <t>traininginservice_spedt4_male</t>
  </si>
  <si>
    <t>traininginservice_spedt3_male</t>
  </si>
  <si>
    <t>traininginservice_spedt2_male</t>
  </si>
  <si>
    <t>traininginservice_spedt1_male</t>
  </si>
  <si>
    <t>traininginservice_instructor3_male</t>
  </si>
  <si>
    <t>traininginservice_instructor2_male</t>
  </si>
  <si>
    <t>traininginservice_instructor1_male</t>
  </si>
  <si>
    <t>traininginservice_mteacher4_female</t>
  </si>
  <si>
    <t>traininginservice_mteacher3_female</t>
  </si>
  <si>
    <t>traininginservice_mteacher2_female</t>
  </si>
  <si>
    <t>traininginservice_mteacher1_female</t>
  </si>
  <si>
    <t>traininginservice_teacher3_female</t>
  </si>
  <si>
    <t>traininginservice_teacher2_female</t>
  </si>
  <si>
    <t>traininginservice_teacher1_female</t>
  </si>
  <si>
    <t>traininginservice_sst1_female</t>
  </si>
  <si>
    <t>traininginservice_spedt5_female</t>
  </si>
  <si>
    <t>traininginservice_spedt4_female</t>
  </si>
  <si>
    <t>traininginservice_spedt3_female</t>
  </si>
  <si>
    <t>traininginservice_spedt2_female</t>
  </si>
  <si>
    <t>traininginservice_spedt1_female</t>
  </si>
  <si>
    <t>traininginservice_instructor3_female</t>
  </si>
  <si>
    <t>traininginservice_instructor2_female</t>
  </si>
  <si>
    <t>traininginservice_instructor1_female</t>
  </si>
  <si>
    <t>teachers_trained_software_male</t>
  </si>
  <si>
    <t>jhs_teachers_trained_ict</t>
  </si>
  <si>
    <t>teachers_trained_hardware_male</t>
  </si>
  <si>
    <t>teachers_trained_others_male</t>
  </si>
  <si>
    <t>teachers_trained_ictintegration_male</t>
  </si>
  <si>
    <t>teachers_trained_ictliteracy_male</t>
  </si>
  <si>
    <t>teachers_trained_software_female</t>
  </si>
  <si>
    <t>teachers_trained_hardware_female</t>
  </si>
  <si>
    <t>teachers_trained_others_female</t>
  </si>
  <si>
    <t>teachers_trained_ictintegration_female</t>
  </si>
  <si>
    <t>teachers_trained_ictliteracy_female</t>
  </si>
  <si>
    <t>teachers_trained_collaborative_male</t>
  </si>
  <si>
    <t>jhs_teachers_trained_pedagogy</t>
  </si>
  <si>
    <t>teachers_trained_integrative_male</t>
  </si>
  <si>
    <t>teachers_trained_inclusiveeduc_male</t>
  </si>
  <si>
    <t>teachers_trained_pedagogy_others_male</t>
  </si>
  <si>
    <t>teachers_trained_constructivist_male</t>
  </si>
  <si>
    <t>teachers_trained_inquirybased_male</t>
  </si>
  <si>
    <t>teachers_trained_reflective_male</t>
  </si>
  <si>
    <t>sch_intercon_isp_yes_witg</t>
  </si>
  <si>
    <t>jhs_internet</t>
  </si>
  <si>
    <t>sch_intercon_isp_yes_otherspec</t>
  </si>
  <si>
    <t>sch_intercon_isp_yes_other_specify</t>
  </si>
  <si>
    <t>combo_avemonthlyexpense_fundingsource1</t>
  </si>
  <si>
    <t>combo_avemonthlyexpense_fundingsource2</t>
  </si>
  <si>
    <t>combo_avemonthlyexpense_fundingsource3</t>
  </si>
  <si>
    <t>combo_avemonthlyexpense_fundingsource4</t>
  </si>
  <si>
    <t>combo_avemonthlyexpense_fundingsource5</t>
  </si>
  <si>
    <t>sch_intercon_speedtest_upload_mbps</t>
  </si>
  <si>
    <t>sch_intercon_isp_yes_bayantel</t>
  </si>
  <si>
    <t>sch_intercon_isp_yes_digitel</t>
  </si>
  <si>
    <t>sch_intercon_isp_subscribe_adminuse_yes</t>
  </si>
  <si>
    <t>sch_intercon_isp_subscribe_clinstructionuse_yes</t>
  </si>
  <si>
    <t>sch_intercon_speedtest_datetested</t>
  </si>
  <si>
    <t>sch_intercon_speedtest_timetested</t>
  </si>
  <si>
    <t>combo_avemonthlyexpense_internetserviceprovider1</t>
  </si>
  <si>
    <t>combo_avemonthlyexpense_internetserviceprovider2</t>
  </si>
  <si>
    <t>combo_avemonthlyexpense_internetserviceprovider3</t>
  </si>
  <si>
    <t>combo_avemonthlyexpense_internetserviceprovider4</t>
  </si>
  <si>
    <t>combo_avemonthlyexpense_internetserviceprovider5</t>
  </si>
  <si>
    <t>sch_intercon_isp_yes_globe</t>
  </si>
  <si>
    <t>sch_intercon_isp_yes_pldt</t>
  </si>
  <si>
    <t>sch_intercon_isp_yes</t>
  </si>
  <si>
    <t>sch_intercon_isp_yes_smart</t>
  </si>
  <si>
    <t>sch_intercon_isp_yes_sun</t>
  </si>
  <si>
    <t>sch_intercon_speedtest_ping_ms</t>
  </si>
  <si>
    <t>sch_intercon_speedtest_download_mbps</t>
  </si>
  <si>
    <t>sch_avemonthlyexpense_others1</t>
  </si>
  <si>
    <t>sch_avemonthlyexpense_others2</t>
  </si>
  <si>
    <t>sch_avemonthlyexpense_others3</t>
  </si>
  <si>
    <t>sch_avemonthlyexpense_others4</t>
  </si>
  <si>
    <t>sch_avemonthlyexpense_others5</t>
  </si>
  <si>
    <t>ssg_part_learner_brigada_eskwela_yes</t>
  </si>
  <si>
    <t>jhs_school_government</t>
  </si>
  <si>
    <t>ssg_schlead_natl_green_prog_yes</t>
  </si>
  <si>
    <t>ssg_prevent_learners_dropout_yes</t>
  </si>
  <si>
    <t>ssg_engspeakcamp_readtutorsrvc_yes</t>
  </si>
  <si>
    <t>ssg_support_antidrug_abuse_educ_camp_yes</t>
  </si>
  <si>
    <t>ssg_sch_smoke_tobacoo_free_yes</t>
  </si>
  <si>
    <t>ssg_lead_learners_tchrmon_worldtchrday_yes</t>
  </si>
  <si>
    <t>ssg_part_learners_cocurr_actvty_yes</t>
  </si>
  <si>
    <t>sch_ssgadviser_subjhandle_others_specify</t>
  </si>
  <si>
    <t>ssgadviser_hiacaddegree_bachelor_degree</t>
  </si>
  <si>
    <t>ssgadviser_hiacaddegree_wmaster_degree_units</t>
  </si>
  <si>
    <t>ssgadviser_subjhandle_sci</t>
  </si>
  <si>
    <t>ssgadviser_subjhandle_fil</t>
  </si>
  <si>
    <t>ssgadviser_hiacaddegree_master_degree</t>
  </si>
  <si>
    <t>ssgadviser_hiacaddegree_wdoctorate_degree_units</t>
  </si>
  <si>
    <t>ssgadviser_subjhandle_math</t>
  </si>
  <si>
    <t>ssgadviser_subjhandle_ap</t>
  </si>
  <si>
    <t>ssgadviser_hiacaddegree_doctorate_degree</t>
  </si>
  <si>
    <t>ssgadviser_deload_yes</t>
  </si>
  <si>
    <t>ssg_sch_collect_fees_yes</t>
  </si>
  <si>
    <t>ssg_budget_sipapp_inc_yes</t>
  </si>
  <si>
    <t>ssg_dedicated_rm_yes</t>
  </si>
  <si>
    <t>ssg_joinsearch_best_ssgcoun_yes</t>
  </si>
  <si>
    <t>ssg_won_natlaward_yes</t>
  </si>
  <si>
    <t>sch_yfcpdo_num_sch_visit</t>
  </si>
  <si>
    <t>ssg_ssgadviser_cto_sat_yes</t>
  </si>
  <si>
    <t>sgp_ssgcouncil_yes</t>
  </si>
  <si>
    <t>do_yfc_coor_name</t>
  </si>
  <si>
    <t>do_yfc_coor_post</t>
  </si>
  <si>
    <t>cgp_sch_gc_yes</t>
  </si>
  <si>
    <t>jhs_career_guidance</t>
  </si>
  <si>
    <t>sch_cgp_gc_yrs_assigned</t>
  </si>
  <si>
    <t>cgp_guid_adv_yes</t>
  </si>
  <si>
    <t>sch_cgp_guid_adv_yrs_assigned</t>
  </si>
  <si>
    <t>cgp_conducted_career_guid_actvty_yes</t>
  </si>
  <si>
    <t>cgp_schfunded_career_guid_actvty_yes</t>
  </si>
  <si>
    <t>cgp_guid_ofc_yes</t>
  </si>
  <si>
    <t>sgp_ssgadviser_yes</t>
  </si>
  <si>
    <t>sch_sgp_ssgadviser_yes_yrs_advisers</t>
  </si>
  <si>
    <t>ssgadviser_subjhandle_others</t>
  </si>
  <si>
    <t>tchr_he_dressmaking_m_g9</t>
  </si>
  <si>
    <t>jhs_teacher_specialization_tle</t>
  </si>
  <si>
    <t>tchr_he_frontoffice_m_g9</t>
  </si>
  <si>
    <t>tchr_he_handicraft_m_g9</t>
  </si>
  <si>
    <t>tchr_he_householdsrvc_m_g9</t>
  </si>
  <si>
    <t>tchr_he_wellness_m_g9</t>
  </si>
  <si>
    <t>tchr_afa_agricrops_m_g9</t>
  </si>
  <si>
    <t>tchr_afa_animalprod_m_g9</t>
  </si>
  <si>
    <t>tchr_afa_aquaculture_m_g9</t>
  </si>
  <si>
    <t>tchr_afa_fishprocessing_m_g9</t>
  </si>
  <si>
    <t>tchr_ia_automotiveservicing_m_g9</t>
  </si>
  <si>
    <t>tchr_ia_carpentry_m_g9</t>
  </si>
  <si>
    <t>tchr_ia_elecinstallation_m_g9</t>
  </si>
  <si>
    <t>tchr_ia_elecproduction_m_g9</t>
  </si>
  <si>
    <t>tchr_ia_masonry_m_g9</t>
  </si>
  <si>
    <t>tchr_ia_plumbing_m_g9</t>
  </si>
  <si>
    <t>tchr_ia_refnairconditioning_m_g9</t>
  </si>
  <si>
    <t>tchr_ia_shieldedmetalwelding_m_g9</t>
  </si>
  <si>
    <t>tchr_ict_compsystemservicing_m_g9</t>
  </si>
  <si>
    <t>tchr_ict_contactcenterservices_m_g9</t>
  </si>
  <si>
    <t>tchr_ict_illustration_m_g9</t>
  </si>
  <si>
    <t>tchr_ict_techdrafting_m_g9</t>
  </si>
  <si>
    <t>tchr_he_beautycare_m_g9</t>
  </si>
  <si>
    <t>tchr_he_caregiving_m_g9</t>
  </si>
  <si>
    <t>tchr_he_cookery_m_g9</t>
  </si>
  <si>
    <t>tchr_he_travelservices_m_g9</t>
  </si>
  <si>
    <t>tchr_he_dressmaking_f_g9</t>
  </si>
  <si>
    <t>tchr_he_frontoffice_f_g9</t>
  </si>
  <si>
    <t>tchr_he_handicraft_f_g9</t>
  </si>
  <si>
    <t>tchr_he_householdsrvc_f_g9</t>
  </si>
  <si>
    <t>tchr_he_travelservices_f_g9</t>
  </si>
  <si>
    <t>tchr_he_wellness_f_g9</t>
  </si>
  <si>
    <t>tchr_afa_agricrops_f_g9</t>
  </si>
  <si>
    <t>tchr_afa_animalprod_f_g9</t>
  </si>
  <si>
    <t>tchr_afa_aquaculture_f_g9</t>
  </si>
  <si>
    <t>tchr_afa_fishprocessing_f_g9</t>
  </si>
  <si>
    <t>tchr_ia_automotiveservicing_f_g9</t>
  </si>
  <si>
    <t>tchr_ia_carpentry_f_g9</t>
  </si>
  <si>
    <t>tchr_ia_elecinstallation_f_g9</t>
  </si>
  <si>
    <t>tchr_ia_elecproduction_f_g9</t>
  </si>
  <si>
    <t>tchr_ia_masonry_f_g9</t>
  </si>
  <si>
    <t>tchr_ia_plumbing_f_g9</t>
  </si>
  <si>
    <t>tchr_ia_refnairconditioning_f_g9</t>
  </si>
  <si>
    <t>tchr_ia_shieldedmetalwelding_f_g9</t>
  </si>
  <si>
    <t>tchr_ict_compsystemservicing_f_g9</t>
  </si>
  <si>
    <t>tchr_ict_contactcenterservices_f_g9</t>
  </si>
  <si>
    <t>tchr_ict_illustration_f_g9</t>
  </si>
  <si>
    <t>tchr_ict_techdrafting_f_g9</t>
  </si>
  <si>
    <t>tchr_he_beautycare_f_g9</t>
  </si>
  <si>
    <t>tchr_he_caregiving_f_g9</t>
  </si>
  <si>
    <t>tchr_he_cookery_f_g9</t>
  </si>
  <si>
    <t>tchr_he_dressmaking_m_g10</t>
  </si>
  <si>
    <t>tchr_he_frontoffice_m_g10</t>
  </si>
  <si>
    <t>tchr_he_handicraft_m_g10</t>
  </si>
  <si>
    <t>tchr_he_householdsrvc_m_g10</t>
  </si>
  <si>
    <t>tchr_he_travelservices_m_g10</t>
  </si>
  <si>
    <t>tchr_he_wellness_m_g10</t>
  </si>
  <si>
    <t>tchr_afa_agricrops_m_g10</t>
  </si>
  <si>
    <t>tchr_afa_animalprod_m_g10</t>
  </si>
  <si>
    <t>tchr_afa_aquaculture_m_g10</t>
  </si>
  <si>
    <t>tchr_afa_fishprocessing_m_g10</t>
  </si>
  <si>
    <t>tchr_ia_automotiveservicing_m_g10</t>
  </si>
  <si>
    <t>tchr_ia_carpentry_m_g10</t>
  </si>
  <si>
    <t>tchr_ia_elecinstallation_m_g10</t>
  </si>
  <si>
    <t>tchr_ia_elecproduction_m_g10</t>
  </si>
  <si>
    <t>tchr_ia_masonry_m_g10</t>
  </si>
  <si>
    <t>tchr_ia_plumbing_m_g10</t>
  </si>
  <si>
    <t>tchr_ia_refnairconditioning_m_g10</t>
  </si>
  <si>
    <t>tchr_ia_shieldedmetalwelding_m_g10</t>
  </si>
  <si>
    <t>tchr_ict_compsystemservicing_m_g10</t>
  </si>
  <si>
    <t>tchr_ict_contactcenterservices_m_g10</t>
  </si>
  <si>
    <t>tchr_ict_illustration_m_g10</t>
  </si>
  <si>
    <t>tchr_ict_techdrafting_m_g10</t>
  </si>
  <si>
    <t>tchr_he_beautycare_m_g10</t>
  </si>
  <si>
    <t>tchr_he_caregiving_m_g10</t>
  </si>
  <si>
    <t>tchr_he_cookery_m_g10</t>
  </si>
  <si>
    <t>tchr_he_dressmaking_f_g10</t>
  </si>
  <si>
    <t>tchr_he_frontoffice_f_g10</t>
  </si>
  <si>
    <t>tchr_he_handicraft_f_g10</t>
  </si>
  <si>
    <t>tchr_he_householdsrvc_f_g10</t>
  </si>
  <si>
    <t>tchr_he_travelservices_f_g10</t>
  </si>
  <si>
    <t>tchr_he_wellness_f_g10</t>
  </si>
  <si>
    <t>tchr_afa_agricrops_f_g10</t>
  </si>
  <si>
    <t>tchr_afa_animalprod_f_g10</t>
  </si>
  <si>
    <t>tchr_afa_aquaculture_f_g10</t>
  </si>
  <si>
    <t>tchr_afa_fishprocessing_f_g10</t>
  </si>
  <si>
    <t>tchr_ia_automotiveservicing_f_g10</t>
  </si>
  <si>
    <t>tchr_ia_carpentry_f_g10</t>
  </si>
  <si>
    <t>tchr_ia_elecinstallation_f_g10</t>
  </si>
  <si>
    <t>tchr_ia_elecproduction_f_g10</t>
  </si>
  <si>
    <t>tchr_ia_masonry_f_g10</t>
  </si>
  <si>
    <t>tchr_ia_plumbing_f_g10</t>
  </si>
  <si>
    <t>tchr_ia_refnairconditioning_f_g10</t>
  </si>
  <si>
    <t>tchr_ia_shieldedmetalwelding_f_g10</t>
  </si>
  <si>
    <t>tchr_ict_compsystemservicing_f_g10</t>
  </si>
  <si>
    <t>tchr_ict_contactcenterservices_f_g10</t>
  </si>
  <si>
    <t>tchr_ict_illustration_f_g10</t>
  </si>
  <si>
    <t>tchr_ict_techdrafting_f_g10</t>
  </si>
  <si>
    <t>tchr_he_beautycare_f_g10</t>
  </si>
  <si>
    <t>tchr_he_caregiving_f_g10</t>
  </si>
  <si>
    <t>tchr_he_cookery_f_g10</t>
  </si>
  <si>
    <t>tchr_he_dressmaking_m_g7</t>
  </si>
  <si>
    <t>tchr_he_frontoffice_m_g7</t>
  </si>
  <si>
    <t>tchr_he_handicraft_m_g7</t>
  </si>
  <si>
    <t>tchr_he_householdsrvc_m_g7</t>
  </si>
  <si>
    <t>tchr_he_travelservices_m_g7</t>
  </si>
  <si>
    <t>tchr_he_wellness_m_g7</t>
  </si>
  <si>
    <t>tchr_afa_agricrops_m_g7</t>
  </si>
  <si>
    <t>tchr_afa_animalprod_m_g7</t>
  </si>
  <si>
    <t>tchr_afa_aquaculture_m_g7</t>
  </si>
  <si>
    <t>tchr_afa_fishprocessing_m_g7</t>
  </si>
  <si>
    <t>tchr_ia_automotiveservicing_m_g7</t>
  </si>
  <si>
    <t>tchr_ia_carpentry_m_g7</t>
  </si>
  <si>
    <t>tchr_ia_elecinstallation_m_g7</t>
  </si>
  <si>
    <t>tchr_ia_elecproduction_m_g7</t>
  </si>
  <si>
    <t>tchr_ia_masonry_m_g7</t>
  </si>
  <si>
    <t>tchr_ia_plumbing_m_g7</t>
  </si>
  <si>
    <t>tchr_ia_refnairconditioning_m_g7</t>
  </si>
  <si>
    <t>tchr_ia_shieldedmetalwelding_m_g7</t>
  </si>
  <si>
    <t>tchr_ict_compsystemservicing_m_g7</t>
  </si>
  <si>
    <t>tchr_ict_contactcenterservices_m_g7</t>
  </si>
  <si>
    <t>tchr_ict_illustration_m_g7</t>
  </si>
  <si>
    <t>tchr_ict_techdrafting_m_g7</t>
  </si>
  <si>
    <t>tchr_he_beautycare_m_g7</t>
  </si>
  <si>
    <t>tchr_he_caregiving_m_g7</t>
  </si>
  <si>
    <t>tchr_he_cookery_m_g7</t>
  </si>
  <si>
    <t>tchr_he_dressmaking_f_g7</t>
  </si>
  <si>
    <t>tchr_he_frontoffice_f_g7</t>
  </si>
  <si>
    <t>tchr_he_handicraft_f_g7</t>
  </si>
  <si>
    <t>tchr_he_householdsrvc_f_g7</t>
  </si>
  <si>
    <t>tchr_he_travelservices_f_g7</t>
  </si>
  <si>
    <t>tchr_he_wellness_f_g7</t>
  </si>
  <si>
    <t>tchr_afa_agricrops_f_g7</t>
  </si>
  <si>
    <t>tchr_afa_animalprod_f_g7</t>
  </si>
  <si>
    <t>tchr_afa_aquaculture_f_g7</t>
  </si>
  <si>
    <t>tchr_afa_fishprocessing_f_g7</t>
  </si>
  <si>
    <t>tchr_ia_automotiveservicing_f_g7</t>
  </si>
  <si>
    <t>tchr_ia_carpentry_f_g7</t>
  </si>
  <si>
    <t>tchr_ia_elecinstallation_f_g7</t>
  </si>
  <si>
    <t>tchr_ia_elecproduction_f_g7</t>
  </si>
  <si>
    <t>tchr_ia_masonry_f_g7</t>
  </si>
  <si>
    <t>tchr_ia_plumbing_f_g7</t>
  </si>
  <si>
    <t>tchr_ia_refnairconditioning_f_g7</t>
  </si>
  <si>
    <t>tchr_ia_shieldedmetalwelding_f_g7</t>
  </si>
  <si>
    <t>tchr_ict_compsystemservicing_f_g7</t>
  </si>
  <si>
    <t>tchr_ict_contactcenterservices_f_g7</t>
  </si>
  <si>
    <t>tchr_ict_illustration_f_g7</t>
  </si>
  <si>
    <t>tchr_ict_techdrafting_f_g7</t>
  </si>
  <si>
    <t>tchr_he_beautycare_f_g7</t>
  </si>
  <si>
    <t>tchr_he_caregiving_f_g7</t>
  </si>
  <si>
    <t>tchr_he_cookery_f_g7</t>
  </si>
  <si>
    <t>tchr_he_dressmaking_m_g8</t>
  </si>
  <si>
    <t>tchr_he_frontoffice_m_g8</t>
  </si>
  <si>
    <t>tchr_he_handicraft_m_g8</t>
  </si>
  <si>
    <t>tchr_he_householdsrvc_m_g8</t>
  </si>
  <si>
    <t>tchr_he_travelservices_m_g8</t>
  </si>
  <si>
    <t>tchr_he_wellness_m_g8</t>
  </si>
  <si>
    <t>tchr_afa_agricrops_m_g8</t>
  </si>
  <si>
    <t>tchr_afa_animalprod_m_g8</t>
  </si>
  <si>
    <t>tchr_afa_aquaculture_m_g8</t>
  </si>
  <si>
    <t>tchr_afa_fishprocessing_m_g8</t>
  </si>
  <si>
    <t>tchr_ia_automotiveservicing_m_g8</t>
  </si>
  <si>
    <t>tchr_ia_carpentry_m_g8</t>
  </si>
  <si>
    <t>tchr_ia_elecinstallation_m_g8</t>
  </si>
  <si>
    <t>tchr_ia_elecproduction_m_g8</t>
  </si>
  <si>
    <t>tchr_ia_masonry_m_g8</t>
  </si>
  <si>
    <t>tchr_ia_plumbing_m_g8</t>
  </si>
  <si>
    <t>tchr_ia_refnairconditioning_m_g8</t>
  </si>
  <si>
    <t>tchr_ia_shieldedmetalwelding_m_g8</t>
  </si>
  <si>
    <t>tchr_ict_compsystemservicing_m_g8</t>
  </si>
  <si>
    <t>tchr_ict_contactcenterservices_m_g8</t>
  </si>
  <si>
    <t>tchr_ict_illustration_m_g8</t>
  </si>
  <si>
    <t>tchr_ict_techdrafting_m_g8</t>
  </si>
  <si>
    <t>tchr_he_beautycare_m_g8</t>
  </si>
  <si>
    <t>tchr_he_caregiving_m_g8</t>
  </si>
  <si>
    <t>tchr_he_cookery_m_g8</t>
  </si>
  <si>
    <t>tchr_he_dressmaking_f_g8</t>
  </si>
  <si>
    <t>tchr_he_frontoffice_f_g8</t>
  </si>
  <si>
    <t>tchr_he_handicraft_f_g8</t>
  </si>
  <si>
    <t>tchr_he_householdsrvc_f_g8</t>
  </si>
  <si>
    <t>tchr_he_travelservices_f_g8</t>
  </si>
  <si>
    <t>tchr_he_wellness_f_g8</t>
  </si>
  <si>
    <t>tchr_afa_agricrops_f_g8</t>
  </si>
  <si>
    <t>tchr_afa_animalprod_f_g8</t>
  </si>
  <si>
    <t>tchr_afa_aquaculture_f_g8</t>
  </si>
  <si>
    <t>tchr_afa_fishprocessing_f_g8</t>
  </si>
  <si>
    <t>tchr_ia_automotiveservicing_f_g8</t>
  </si>
  <si>
    <t>tchr_ia_carpentry_f_g8</t>
  </si>
  <si>
    <t>tchr_ia_elecinstallation_f_g8</t>
  </si>
  <si>
    <t>tchr_ia_elecproduction_f_g8</t>
  </si>
  <si>
    <t>tchr_ia_masonry_f_g8</t>
  </si>
  <si>
    <t>tchr_ia_plumbing_f_g8</t>
  </si>
  <si>
    <t>tchr_ia_refnairconditioning_f_g8</t>
  </si>
  <si>
    <t>tchr_ia_shieldedmetalwelding_f_g8</t>
  </si>
  <si>
    <t>tchr_ict_compsystemservicing_f_g8</t>
  </si>
  <si>
    <t>tchr_ict_contactcenterservices_f_g8</t>
  </si>
  <si>
    <t>tchr_ict_illustration_f_g8</t>
  </si>
  <si>
    <t>tchr_ict_techdrafting_f_g8</t>
  </si>
  <si>
    <t>tchr_he_beautycare_f_g8</t>
  </si>
  <si>
    <t>tchr_he_caregiving_f_g8</t>
  </si>
  <si>
    <t>tchr_he_cookery_f_g8</t>
  </si>
  <si>
    <t>jhs_action_research</t>
  </si>
  <si>
    <t>Table23-Box2!$AM$20</t>
  </si>
  <si>
    <t>action_research_ongoing</t>
  </si>
  <si>
    <t>Table23-Box2!$AM$21</t>
  </si>
  <si>
    <t>action_research_tobe_conducted</t>
  </si>
  <si>
    <t>Table23-Box2!$AM$22</t>
  </si>
  <si>
    <t>action_research_yes</t>
  </si>
  <si>
    <t>Table23-Box2!$AP$18</t>
  </si>
  <si>
    <t>do_seps_prs_sgod_name</t>
  </si>
  <si>
    <t>Table23-Box2'!$AI$27</t>
  </si>
  <si>
    <t>lac_session_yes</t>
  </si>
  <si>
    <t>jhs_lac_session</t>
  </si>
  <si>
    <t>Table23-Box2!$Q$20</t>
  </si>
  <si>
    <t>Table23-Box2!$Q$21</t>
  </si>
  <si>
    <t>do_cid_pers_name</t>
  </si>
  <si>
    <t>Table23-Box2'!$B$27</t>
  </si>
  <si>
    <t>do_cid_pers_post</t>
  </si>
  <si>
    <t>Table23-Box2'!$F$29</t>
  </si>
  <si>
    <t>teacher_foreignlang_ger_m</t>
  </si>
  <si>
    <t>jhs_teacher_proex_foreignlang</t>
  </si>
  <si>
    <t>Table23-Box2!$P$10</t>
  </si>
  <si>
    <t>teacher_foreignlang_kor_m</t>
  </si>
  <si>
    <t>Table23-Box2!$P$11</t>
  </si>
  <si>
    <t>teacher_foreignlang_chn_m</t>
  </si>
  <si>
    <t>Table23-Box2!$P$12</t>
  </si>
  <si>
    <t>teacher_foreignlang_jap_m</t>
  </si>
  <si>
    <t>Table23-Box2!$P$7</t>
  </si>
  <si>
    <t>teacher_foreignlang_spa_m</t>
  </si>
  <si>
    <t>Table23-Box2!$P$8</t>
  </si>
  <si>
    <t>teacher_foreignlang_fre_m</t>
  </si>
  <si>
    <t>Table23-Box2!$P$9</t>
  </si>
  <si>
    <t>teacher_foreignlang_ger_f</t>
  </si>
  <si>
    <t>Table23-Box2!$U$10</t>
  </si>
  <si>
    <t>teacher_foreignlang_kor_f</t>
  </si>
  <si>
    <t>Table23-Box2!$U$11</t>
  </si>
  <si>
    <t>teacher_foreignlang_chn_f</t>
  </si>
  <si>
    <t>Table23-Box2!$U$12</t>
  </si>
  <si>
    <t>teacher_foreignlang_jap_f</t>
  </si>
  <si>
    <t>Table23-Box2!$U$7</t>
  </si>
  <si>
    <t>teacher_foreignlang_spa_f</t>
  </si>
  <si>
    <t>Table23-Box2!$U$8</t>
  </si>
  <si>
    <t>teacher_foreignlang_fre_f</t>
  </si>
  <si>
    <t>Table23-Box2!$U$9</t>
  </si>
  <si>
    <t>sch_num_funct_computers_admin_desktop_privatedon</t>
  </si>
  <si>
    <t>jhs_computer</t>
  </si>
  <si>
    <t>sch_num_funct_computers_admin_notnetbook_privatedon</t>
  </si>
  <si>
    <t>sch_num_funct_computers_admin_tablet_privatedon</t>
  </si>
  <si>
    <t>sch_num_funct_computers_admin_dvt_privatedon</t>
  </si>
  <si>
    <t>sch_num_funct_computers_acad_desktop_privatedon</t>
  </si>
  <si>
    <t>sch_num_funct_computers_acad_notnetbook_privatedon</t>
  </si>
  <si>
    <t>sch_num_funct_computers_acad_tablet_privatedon</t>
  </si>
  <si>
    <t>sch_num_funct_computers_acad_dvt_privatedon</t>
  </si>
  <si>
    <t>sch_num_funct_computers_admin_desktop_othergov</t>
  </si>
  <si>
    <t>sch_num_funct_computers_admin_notnetbook_othergov</t>
  </si>
  <si>
    <t>sch_num_funct_computers_admin_tablet_othergov</t>
  </si>
  <si>
    <t>sch_num_funct_computers_admin_dvt_othergov</t>
  </si>
  <si>
    <t>sch_num_funct_computers_acad_desktop_othergov</t>
  </si>
  <si>
    <t>sch_num_funct_computers_acad_notnetbook_othergov</t>
  </si>
  <si>
    <t>sch_num_funct_computers_acad_tablet_othergov</t>
  </si>
  <si>
    <t>sch_num_funct_computers_acad_dvt_othergov</t>
  </si>
  <si>
    <t>sch_num_funct_computers_admin_desktop_others</t>
  </si>
  <si>
    <t>sch_num_funct_computers_admin_notnetbook_others</t>
  </si>
  <si>
    <t>sch_num_funct_computers_admin_tablet_others</t>
  </si>
  <si>
    <t>sch_num_funct_computers_admin_dvt_others</t>
  </si>
  <si>
    <t>sch_num_funct_computers_acad_desktop_others</t>
  </si>
  <si>
    <t>sch_num_funct_computers_acad_notnetbook_others</t>
  </si>
  <si>
    <t>sch_num_funct_computers_acad_tablet_others</t>
  </si>
  <si>
    <t>sch_num_funct_computers_acad_dvt_others</t>
  </si>
  <si>
    <t>sch_num_funct_computers_admin_desktop_depeddcp</t>
  </si>
  <si>
    <t>sch_num_funct_computers_admin_notnetbook_depeddcp</t>
  </si>
  <si>
    <t>sch_num_funct_computers_admin_tablet_depeddcp</t>
  </si>
  <si>
    <t>sch_num_funct_computers_admin_dvt_depeddcp</t>
  </si>
  <si>
    <t>sch_num_funct_computers_acad_desktop_depeddcp</t>
  </si>
  <si>
    <t>sch_num_funct_computers_acad_notnetbook_depeddcp</t>
  </si>
  <si>
    <t>sch_num_funct_computers_acad_tablet_depeddcp</t>
  </si>
  <si>
    <t>sch_num_funct_computers_acad_dvt_depeddcp</t>
  </si>
  <si>
    <t>sch_num_funct_computers_admin_desktop_depednondcp</t>
  </si>
  <si>
    <t>sch_num_funct_computers_admin_notnetbook_depednondcp</t>
  </si>
  <si>
    <t>sch_num_funct_computers_admin_tablet_depednondcp</t>
  </si>
  <si>
    <t>sch_num_funct_computers_admin_dvt_depednondcp</t>
  </si>
  <si>
    <t>sch_num_funct_computers_acad_desktop_depednondcp</t>
  </si>
  <si>
    <t>sch_num_funct_computers_acad_notnetbook_depednondcp</t>
  </si>
  <si>
    <t>sch_num_funct_computers_acad_tablet_depednondcp</t>
  </si>
  <si>
    <t>sch_num_funct_computers_acad_dvt_depednondcp</t>
  </si>
  <si>
    <t>sch_num_funct_computers_admin_desktop_lgusef</t>
  </si>
  <si>
    <t>sch_num_funct_computers_admin_notnetbook_lgusef</t>
  </si>
  <si>
    <t>sch_num_funct_computers_admin_tablet_lgusef</t>
  </si>
  <si>
    <t>sch_num_funct_computers_admin_dvt_lgusef</t>
  </si>
  <si>
    <t>sch_num_funct_computers_acad_desktop_lgusef</t>
  </si>
  <si>
    <t>sch_num_funct_computers_acad_notnetbook_lgusef</t>
  </si>
  <si>
    <t>sch_num_funct_computers_acad_tablet_lgusef</t>
  </si>
  <si>
    <t>sch_num_funct_computers_acad_dvt_lgusef</t>
  </si>
  <si>
    <t>sch_num_funct_computers_admin_desktop_pta</t>
  </si>
  <si>
    <t>sch_num_funct_computers_admin_notnetbook_pta</t>
  </si>
  <si>
    <t>sch_num_funct_computers_admin_tablet_pta</t>
  </si>
  <si>
    <t>sch_num_funct_computers_admin_dvt_pta</t>
  </si>
  <si>
    <t>sch_num_funct_computers_acad_desktop_pta</t>
  </si>
  <si>
    <t>sch_num_funct_computers_acad_notnetbook_pta</t>
  </si>
  <si>
    <t>sch_num_funct_computers_acad_tablet_pta</t>
  </si>
  <si>
    <t>sch_num_funct_computers_acad_dvt_pta</t>
  </si>
  <si>
    <t>do_ito_name</t>
  </si>
  <si>
    <t>sch_num_funct_computers_acad_ups_privatedon</t>
  </si>
  <si>
    <t>jhs_ict_funding</t>
  </si>
  <si>
    <t>sch_num_funct_computers_acad_router_privatedon</t>
  </si>
  <si>
    <t>sch_num_funct_computers_admin_ledtv_privatedon</t>
  </si>
  <si>
    <t>sch_num_funct_computers_admin_netswitch_privatedon</t>
  </si>
  <si>
    <t>sch_num_funct_computers_admin_printer_privatedon</t>
  </si>
  <si>
    <t>sch_num_funct_computers_admin_projector_privatedon</t>
  </si>
  <si>
    <t>sch_num_funct_computers_admin_ups_privatedon</t>
  </si>
  <si>
    <t>sch_num_funct_computers_admin_router_privatedon</t>
  </si>
  <si>
    <t>sch_num_funct_computers_acad_ledtv_privatedon</t>
  </si>
  <si>
    <t>sch_num_funct_computers_acad_netswitch_privatedon</t>
  </si>
  <si>
    <t>sch_num_funct_computers_acad_printer_privatedon</t>
  </si>
  <si>
    <t>sch_num_funct_computers_acad_projector_privatedon</t>
  </si>
  <si>
    <t>sch_num_funct_computers_acad_ups_othergov</t>
  </si>
  <si>
    <t>sch_num_funct_computers_acad_router_othergov</t>
  </si>
  <si>
    <t>sch_num_funct_computers_admin_ledtv_othergov</t>
  </si>
  <si>
    <t>sch_num_funct_computers_admin_netswitch_othergov</t>
  </si>
  <si>
    <t>sch_num_funct_computers_admin_printer_othergov</t>
  </si>
  <si>
    <t>sch_num_funct_computers_admin_projector_othergov</t>
  </si>
  <si>
    <t>sch_num_funct_computers_admin_ups_othergov</t>
  </si>
  <si>
    <t>sch_num_funct_computers_admin_router_othergov</t>
  </si>
  <si>
    <t>sch_num_funct_computers_acad_ledtv_othergov</t>
  </si>
  <si>
    <t>sch_num_funct_computers_acad_netswitch_othergov</t>
  </si>
  <si>
    <t>sch_num_funct_computers_acad_printer_othergov</t>
  </si>
  <si>
    <t>sch_num_funct_computers_acad_projector_othergov</t>
  </si>
  <si>
    <t>sch_num_funct_computers_acad_ups_others</t>
  </si>
  <si>
    <t>sch_num_funct_computers_acad_router_others</t>
  </si>
  <si>
    <t>sch_num_funct_computers_admin_ledtv_others</t>
  </si>
  <si>
    <t>sch_num_funct_computers_admin_netswitch_others</t>
  </si>
  <si>
    <t>sch_num_funct_computers_admin_printer_others</t>
  </si>
  <si>
    <t>sch_num_funct_computers_admin_projector_others</t>
  </si>
  <si>
    <t>sch_num_funct_computers_admin_ups_others</t>
  </si>
  <si>
    <t>sch_num_funct_computers_admin_router_others</t>
  </si>
  <si>
    <t>sch_num_funct_computers_acad_ledtv_others</t>
  </si>
  <si>
    <t>sch_num_funct_computers_acad_netswitch_others</t>
  </si>
  <si>
    <t>sch_num_funct_computers_acad_printer_others</t>
  </si>
  <si>
    <t>sch_num_funct_computers_acad_projector_others</t>
  </si>
  <si>
    <t>sch_num_funct_computers_acad_projector_depeddcp</t>
  </si>
  <si>
    <t>sch_num_funct_computers_acad_ups_depeddcp</t>
  </si>
  <si>
    <t>sch_num_funct_computers_acad_router_depeddcp</t>
  </si>
  <si>
    <t>sch_num_funct_computers_admin_ledtv_depeddcp</t>
  </si>
  <si>
    <t>sch_num_funct_computers_admin_netswitch_depeddcp</t>
  </si>
  <si>
    <t>sch_num_funct_computers_admin_printer_depeddcp</t>
  </si>
  <si>
    <t>sch_num_funct_computers_admin_projector_depeddcp</t>
  </si>
  <si>
    <t>sch_num_funct_computers_admin_ups_depeddcp</t>
  </si>
  <si>
    <t>sch_num_funct_computers_admin_router_depeddcp</t>
  </si>
  <si>
    <t>sch_num_funct_computers_acad_ledtv_depeddcp</t>
  </si>
  <si>
    <t>sch_num_funct_computers_acad_netswitch_depeddcp</t>
  </si>
  <si>
    <t>sch_num_funct_computers_acad_printer_depeddcp</t>
  </si>
  <si>
    <t>sch_num_funct_computers_acad_projector_depednondcp</t>
  </si>
  <si>
    <t>sch_num_funct_computers_acad_ups_depednondcp</t>
  </si>
  <si>
    <t>sch_num_funct_computers_acad_router_depednondcp</t>
  </si>
  <si>
    <t>sch_num_funct_computers_admin_ledtv_depednondcp</t>
  </si>
  <si>
    <t>sch_num_funct_computers_admin_netswitch_depednondcp</t>
  </si>
  <si>
    <t>sch_num_funct_computers_admin_printer_depednondcp</t>
  </si>
  <si>
    <t>sch_num_funct_computers_admin_projector_depednondcp</t>
  </si>
  <si>
    <t>sch_num_funct_computers_admin_ups_depednondcp</t>
  </si>
  <si>
    <t>sch_num_funct_computers_admin_router_depednondcp</t>
  </si>
  <si>
    <t>sch_num_funct_computers_acad_ledtv_depednondcp</t>
  </si>
  <si>
    <t>sch_num_funct_computers_acad_netswitch_depednondcp</t>
  </si>
  <si>
    <t>sch_num_funct_computers_acad_printer_depednondcp</t>
  </si>
  <si>
    <t>sch_num_funct_computers_acad_projector_lgusef</t>
  </si>
  <si>
    <t>sch_num_funct_computers_acad_ups_lgusef</t>
  </si>
  <si>
    <t>sch_num_funct_computers_acad_router_lgusef</t>
  </si>
  <si>
    <t>sch_num_funct_computers_admin_ledtv_lgusef</t>
  </si>
  <si>
    <t>sch_num_funct_computers_admin_netswitch_lgusef</t>
  </si>
  <si>
    <t>sch_num_funct_computers_admin_printer_lgusef</t>
  </si>
  <si>
    <t>sch_num_funct_computers_admin_projector_lgusef</t>
  </si>
  <si>
    <t>sch_num_funct_computers_admin_ups_lgusef</t>
  </si>
  <si>
    <t>sch_num_funct_computers_admin_router_lgusef</t>
  </si>
  <si>
    <t>sch_num_funct_computers_acad_ledtv_lgusef</t>
  </si>
  <si>
    <t>sch_num_funct_computers_acad_netswitch_lgusef</t>
  </si>
  <si>
    <t>sch_num_funct_computers_acad_printer_lgusef</t>
  </si>
  <si>
    <t>sch_num_funct_computers_acad_projector_pta</t>
  </si>
  <si>
    <t>sch_num_funct_computers_acad_ups_pta</t>
  </si>
  <si>
    <t>sch_num_funct_computers_acad_router_pta</t>
  </si>
  <si>
    <t>sch_num_funct_computers_admin_ledtv_pta</t>
  </si>
  <si>
    <t>sch_num_funct_computers_admin_netswitch_pta</t>
  </si>
  <si>
    <t>sch_num_funct_computers_admin_printer_pta</t>
  </si>
  <si>
    <t>sch_num_funct_computers_admin_projector_pta</t>
  </si>
  <si>
    <t>sch_num_funct_computers_admin_ups_pta</t>
  </si>
  <si>
    <t>sch_num_funct_computers_admin_router_pta</t>
  </si>
  <si>
    <t>sch_num_funct_computers_acad_ledtv_pta</t>
  </si>
  <si>
    <t>sch_num_funct_computers_acad_netswitch_pta</t>
  </si>
  <si>
    <t>sch_num_funct_computers_acad_printer_pta</t>
  </si>
  <si>
    <t>teachers_trained_specialcpnondeped_spa_m</t>
  </si>
  <si>
    <t>jhs_teachers_trained_spec_curr</t>
  </si>
  <si>
    <t>Tables12-15'!$AA$33</t>
  </si>
  <si>
    <t>teachers_trained_specialcpnondeped_spfl_m</t>
  </si>
  <si>
    <t>Tables12-15'!$AA$34</t>
  </si>
  <si>
    <t>teachers_trained_specialcpnondeped_spj_m</t>
  </si>
  <si>
    <t>Tables12-15'!$AA$35</t>
  </si>
  <si>
    <t>teachers_trained_specialcpnondeped_spste_m</t>
  </si>
  <si>
    <t>Tables12-15'!$AA$36</t>
  </si>
  <si>
    <t>teachers_trained_specialcpnondeped_sps_m</t>
  </si>
  <si>
    <t>Tables12-15'!$AA$37</t>
  </si>
  <si>
    <t>teachers_trained_specialcpnondeped_sptve_m</t>
  </si>
  <si>
    <t>Tables12-15'!$AA$38</t>
  </si>
  <si>
    <t>teachers_trained_specialcpnondeped_spa_f</t>
  </si>
  <si>
    <t>Tables12-15'!$AE$33</t>
  </si>
  <si>
    <t>teachers_trained_specialcpnondeped_spfl_f</t>
  </si>
  <si>
    <t>Tables12-15'!$AE$34</t>
  </si>
  <si>
    <t>teachers_trained_specialcpnondeped_spj_f</t>
  </si>
  <si>
    <t>Tables12-15'!$AE$35</t>
  </si>
  <si>
    <t>teachers_trained_specialcpnondeped_spste_f</t>
  </si>
  <si>
    <t>Tables12-15'!$AE$36</t>
  </si>
  <si>
    <t>teachers_trained_specialcpnondeped_sps_f</t>
  </si>
  <si>
    <t>Tables12-15'!$AE$37</t>
  </si>
  <si>
    <t>teachers_trained_specialcpnondeped_sptve_f</t>
  </si>
  <si>
    <t>Tables12-15'!$AE$38</t>
  </si>
  <si>
    <t>teachers_trained_collaborative_female</t>
  </si>
  <si>
    <t>teachers_trained_integrative_female</t>
  </si>
  <si>
    <t>teachers_trained_inclusiveeduc_female</t>
  </si>
  <si>
    <t>teachers_trained_pedagogy_others_female</t>
  </si>
  <si>
    <t>teachers_trained_constructivist_female</t>
  </si>
  <si>
    <t>teachers_trained_inquirybased_female</t>
  </si>
  <si>
    <t>teachers_trained_reflective_female</t>
  </si>
  <si>
    <t>teachers_trained_specialcpdeped_spa_m</t>
  </si>
  <si>
    <t>Tables12-15'!$O$33</t>
  </si>
  <si>
    <t>teachers_trained_specialcpdeped_spfl_m</t>
  </si>
  <si>
    <t>Tables12-15'!$O$34</t>
  </si>
  <si>
    <t>teachers_trained_specialcpdeped_spj_m</t>
  </si>
  <si>
    <t>Tables12-15'!$O$35</t>
  </si>
  <si>
    <t>teachers_trained_specialcpdeped_spste_m</t>
  </si>
  <si>
    <t>Tables12-15'!$O$36</t>
  </si>
  <si>
    <t>teachers_trained_specialcpdeped_sps_m</t>
  </si>
  <si>
    <t>Tables12-15'!$O$37</t>
  </si>
  <si>
    <t>teachers_trained_specialcpdeped_sptve_m</t>
  </si>
  <si>
    <t>Tables12-15'!$O$38</t>
  </si>
  <si>
    <t>teachers_trained_specialcpdeped_spa_f</t>
  </si>
  <si>
    <t>Tables12-15'!$S$33</t>
  </si>
  <si>
    <t>teachers_trained_specialcpdeped_spfl_f</t>
  </si>
  <si>
    <t>Tables12-15'!$S$34</t>
  </si>
  <si>
    <t>teachers_trained_specialcpdeped_spj_f</t>
  </si>
  <si>
    <t>Tables12-15'!$S$35</t>
  </si>
  <si>
    <t>teachers_trained_specialcpdeped_spste_f</t>
  </si>
  <si>
    <t>Tables12-15'!$S$36</t>
  </si>
  <si>
    <t>teachers_trained_specialcpdeped_sps_f</t>
  </si>
  <si>
    <t>Tables12-15'!$S$37</t>
  </si>
  <si>
    <t>teachers_trained_specialcpdeped_sptve_f</t>
  </si>
  <si>
    <t>Tables12-15'!$S$38</t>
  </si>
  <si>
    <t>numteach_assign_eng_g9_m</t>
  </si>
  <si>
    <t>jhs_teachers_subject</t>
  </si>
  <si>
    <t>Tables16-17'!$AC$17</t>
  </si>
  <si>
    <t>numteach_assign_math_g9_m</t>
  </si>
  <si>
    <t>Tables16-17'!$AC$18</t>
  </si>
  <si>
    <t>numteach_assign_fil_g9_m</t>
  </si>
  <si>
    <t>Tables16-17'!$AC$19</t>
  </si>
  <si>
    <t>numteach_assign_sci_g9_m</t>
  </si>
  <si>
    <t>Tables16-17'!$AC$20</t>
  </si>
  <si>
    <t>numteach_assign_ap_g9_m</t>
  </si>
  <si>
    <t>Tables16-17'!$AC$21</t>
  </si>
  <si>
    <t>numteach_assign_esp_g9_m</t>
  </si>
  <si>
    <t>Tables16-17'!$AC$22</t>
  </si>
  <si>
    <t>numteach_assign_tle_g9_m</t>
  </si>
  <si>
    <t>Tables16-17'!$AC$23</t>
  </si>
  <si>
    <t>numteach_assign_mapeh_g9_m</t>
  </si>
  <si>
    <t>Tables16-17'!$AC$24</t>
  </si>
  <si>
    <t>numteach_assign_eng_g9_f</t>
  </si>
  <si>
    <t>Tables16-17'!$AF$17</t>
  </si>
  <si>
    <t>numteach_assign_math_g9_f</t>
  </si>
  <si>
    <t>Tables16-17'!$AF$18</t>
  </si>
  <si>
    <t>numteach_assign_fil_g9_f</t>
  </si>
  <si>
    <t>Tables16-17'!$AF$19</t>
  </si>
  <si>
    <t>numteach_assign_sci_g9_f</t>
  </si>
  <si>
    <t>Tables16-17'!$AF$20</t>
  </si>
  <si>
    <t>numteach_assign_ap_g9_f</t>
  </si>
  <si>
    <t>Tables16-17'!$AF$21</t>
  </si>
  <si>
    <t>numteach_assign_esp_g9_f</t>
  </si>
  <si>
    <t>Tables16-17'!$AF$22</t>
  </si>
  <si>
    <t>numteach_assign_tle_g9_f</t>
  </si>
  <si>
    <t>Tables16-17'!$AF$23</t>
  </si>
  <si>
    <t>numteach_assign_mapeh_g9_f</t>
  </si>
  <si>
    <t>Tables16-17'!$AF$24</t>
  </si>
  <si>
    <t>numteach_assign_eng_g10_m</t>
  </si>
  <si>
    <t>Tables16-17'!$AI$17</t>
  </si>
  <si>
    <t>numteach_assign_math_g10_m</t>
  </si>
  <si>
    <t>Tables16-17'!$AI$18</t>
  </si>
  <si>
    <t>numteach_assign_fil_g10_m</t>
  </si>
  <si>
    <t>Tables16-17'!$AI$19</t>
  </si>
  <si>
    <t>numteach_assign_sci_g10_m</t>
  </si>
  <si>
    <t>Tables16-17'!$AI$20</t>
  </si>
  <si>
    <t>numteach_assign_ap_g10_m</t>
  </si>
  <si>
    <t>Tables16-17'!$AI$21</t>
  </si>
  <si>
    <t>numteach_assign_esp_g10_m</t>
  </si>
  <si>
    <t>Tables16-17'!$AI$22</t>
  </si>
  <si>
    <t>numteach_assign_tle_g10_m</t>
  </si>
  <si>
    <t>Tables16-17'!$AI$23</t>
  </si>
  <si>
    <t>numteach_assign_mapeh_g10_m</t>
  </si>
  <si>
    <t>Tables16-17'!$AI$24</t>
  </si>
  <si>
    <t>numteach_assign_eng_g10_f</t>
  </si>
  <si>
    <t>Tables16-17'!$AL$17</t>
  </si>
  <si>
    <t>numteach_assign_math_g10_f</t>
  </si>
  <si>
    <t>Tables16-17'!$AL$18</t>
  </si>
  <si>
    <t>numteach_assign_fil_g10_f</t>
  </si>
  <si>
    <t>Tables16-17'!$AL$19</t>
  </si>
  <si>
    <t>numteach_assign_sci_g10_f</t>
  </si>
  <si>
    <t>Tables16-17'!$AL$20</t>
  </si>
  <si>
    <t>numteach_assign_ap_g10_f</t>
  </si>
  <si>
    <t>Tables16-17'!$AL$21</t>
  </si>
  <si>
    <t>numteach_assign_esp_g10_f</t>
  </si>
  <si>
    <t>Tables16-17'!$AL$22</t>
  </si>
  <si>
    <t>numteach_assign_tle_g10_f</t>
  </si>
  <si>
    <t>Tables16-17'!$AL$23</t>
  </si>
  <si>
    <t>numteach_assign_mapeh_g10_f</t>
  </si>
  <si>
    <t>Tables16-17'!$AL$24</t>
  </si>
  <si>
    <t>numteach_assign_shs_subj_g11_m</t>
  </si>
  <si>
    <t>Tables16-17'!$AO$25</t>
  </si>
  <si>
    <t>numteach_assign_shs_subj_g11_f</t>
  </si>
  <si>
    <t>Tables16-17'!$AR$25</t>
  </si>
  <si>
    <t>numteach_assign_shs_subj_g12_m</t>
  </si>
  <si>
    <t>Tables16-17'!$AU$25</t>
  </si>
  <si>
    <t>numteach_assign_shs_subj_g12_f</t>
  </si>
  <si>
    <t>Tables16-17'!$AX$25</t>
  </si>
  <si>
    <t>jhs_teachers_cbgs_coo_g10_m</t>
  </si>
  <si>
    <t>jhs_teachers_count_gradeandsex</t>
  </si>
  <si>
    <t>Tables16-17'!$I$10</t>
  </si>
  <si>
    <t>jhs_teachers_cbgs_coo_g7_m</t>
  </si>
  <si>
    <t>Tables16-17'!$I$7</t>
  </si>
  <si>
    <t>jhs_teachers_cbgs_coo_g8_m</t>
  </si>
  <si>
    <t>Tables16-17'!$I$8</t>
  </si>
  <si>
    <t>jhs_teachers_cbgs_coo_g9_m</t>
  </si>
  <si>
    <t>Tables16-17'!$I$9</t>
  </si>
  <si>
    <t>jhs_teachers_cbgs_coo_g10_f</t>
  </si>
  <si>
    <t>Tables16-17'!$L$10</t>
  </si>
  <si>
    <t>jhs_teachers_cbgs_coo_g7_f</t>
  </si>
  <si>
    <t>Tables16-17'!$L$7</t>
  </si>
  <si>
    <t>jhs_teachers_cbgs_coo_g8_f</t>
  </si>
  <si>
    <t>Tables16-17'!$L$8</t>
  </si>
  <si>
    <t>jhs_teachers_cbgs_coo_g9_f</t>
  </si>
  <si>
    <t>Tables16-17'!$L$9</t>
  </si>
  <si>
    <t>numteach_assign_eng_g7_m</t>
  </si>
  <si>
    <t>Tables16-17'!$Q$28</t>
  </si>
  <si>
    <t>numteach_assign_math_g7_m</t>
  </si>
  <si>
    <t>Tables16-17'!$Q$29</t>
  </si>
  <si>
    <t>numteach_assign_fil_g7_m</t>
  </si>
  <si>
    <t>Tables16-17'!$Q$30</t>
  </si>
  <si>
    <t>numteach_assign_sci_g7_m</t>
  </si>
  <si>
    <t>Tables16-17'!$Q$31</t>
  </si>
  <si>
    <t>numteach_assign_ap_g7_m</t>
  </si>
  <si>
    <t>Tables16-17'!$Q$32</t>
  </si>
  <si>
    <t>numteach_assign_esp_g7_m</t>
  </si>
  <si>
    <t>Tables16-17'!$Q$33</t>
  </si>
  <si>
    <t>numteach_assign_tle_g7_m</t>
  </si>
  <si>
    <t>Tables16-17'!$Q$34</t>
  </si>
  <si>
    <t>numteach_assign_mapeh_g7_m</t>
  </si>
  <si>
    <t>Tables16-17'!$Q$35</t>
  </si>
  <si>
    <t>jhs_teachers_cbgs_cmo_g10_m</t>
  </si>
  <si>
    <t>Tables16-17'!$R$10</t>
  </si>
  <si>
    <t>jhs_teachers_cbgs_cmo_g7_m</t>
  </si>
  <si>
    <t>Tables16-17'!$R$7</t>
  </si>
  <si>
    <t>jhs_teachers_cbgs_cmo_g8_m</t>
  </si>
  <si>
    <t>Tables16-17'!$R$8</t>
  </si>
  <si>
    <t>jhs_teachers_cbgs_cmo_g9_m</t>
  </si>
  <si>
    <t>Tables16-17'!$R$9</t>
  </si>
  <si>
    <t>numteach_assign_eng_g7_f</t>
  </si>
  <si>
    <t>Tables16-17'!$T$28</t>
  </si>
  <si>
    <t>numteach_assign_math_g7_f</t>
  </si>
  <si>
    <t>Tables16-17'!$T$29</t>
  </si>
  <si>
    <t>numteach_assign_fil_g7_f</t>
  </si>
  <si>
    <t>Tables16-17'!$T$30</t>
  </si>
  <si>
    <t>numteach_assign_sci_g7_f</t>
  </si>
  <si>
    <t>Tables16-17'!$T$31</t>
  </si>
  <si>
    <t>numteach_assign_ap_g7_f</t>
  </si>
  <si>
    <t>Tables16-17'!$T$32</t>
  </si>
  <si>
    <t>numteach_assign_esp_g7_f</t>
  </si>
  <si>
    <t>Tables16-17'!$T$33</t>
  </si>
  <si>
    <t>numteach_assign_tle_g7_f</t>
  </si>
  <si>
    <t>Tables16-17'!$T$34</t>
  </si>
  <si>
    <t>numteach_assign_mapeh_g7_f</t>
  </si>
  <si>
    <t>Tables16-17'!$T$35</t>
  </si>
  <si>
    <t>jhs_teachers_cbgs_cmo_g10_f</t>
  </si>
  <si>
    <t>Tables16-17'!$U$10</t>
  </si>
  <si>
    <t>numteach_assign_eng_g8_m</t>
  </si>
  <si>
    <t>Tables16-17'!$U$28</t>
  </si>
  <si>
    <t>numteach_assign_math_g8_m</t>
  </si>
  <si>
    <t>Tables16-17'!$U$29</t>
  </si>
  <si>
    <t>numteach_assign_fil_g8_m</t>
  </si>
  <si>
    <t>Tables16-17'!$U$30</t>
  </si>
  <si>
    <t>numteach_assign_sci_g8_m</t>
  </si>
  <si>
    <t>Tables16-17'!$U$31</t>
  </si>
  <si>
    <t>numteach_assign_ap_g8_m</t>
  </si>
  <si>
    <t>Tables16-17'!$U$32</t>
  </si>
  <si>
    <t>numteach_assign_esp_g8_m</t>
  </si>
  <si>
    <t>Tables16-17'!$U$33</t>
  </si>
  <si>
    <t>numteach_assign_tle_g8_m</t>
  </si>
  <si>
    <t>Tables16-17'!$U$34</t>
  </si>
  <si>
    <t>numteach_assign_mapeh_g8_m</t>
  </si>
  <si>
    <t>Tables16-17'!$U$35</t>
  </si>
  <si>
    <t>jhs_teachers_cbgs_cmo_g7_f</t>
  </si>
  <si>
    <t>Tables16-17'!$U$7</t>
  </si>
  <si>
    <t>jhs_teachers_cbgs_cmo_g8_f</t>
  </si>
  <si>
    <t>Tables16-17'!$U$8</t>
  </si>
  <si>
    <t>jhs_teachers_cbgs_cmo_g9_f</t>
  </si>
  <si>
    <t>Tables16-17'!$U$9</t>
  </si>
  <si>
    <t>numteach_assign_eng_g8_f</t>
  </si>
  <si>
    <t>Tables16-17'!$Z$17</t>
  </si>
  <si>
    <t>numteach_assign_math_g8_f</t>
  </si>
  <si>
    <t>Tables16-17'!$Z$18</t>
  </si>
  <si>
    <t>numteach_assign_fil_g8_f</t>
  </si>
  <si>
    <t>Tables16-17'!$Z$19</t>
  </si>
  <si>
    <t>numteach_assign_sci_g8_f</t>
  </si>
  <si>
    <t>Tables16-17'!$Z$20</t>
  </si>
  <si>
    <t>numteach_assign_ap_g8_f</t>
  </si>
  <si>
    <t>Tables16-17'!$Z$21</t>
  </si>
  <si>
    <t>numteach_assign_esp_g8_f</t>
  </si>
  <si>
    <t>Tables16-17'!$Z$22</t>
  </si>
  <si>
    <t>numteach_assign_tle_g8_f</t>
  </si>
  <si>
    <t>Tables16-17'!$Z$23</t>
  </si>
  <si>
    <t>numteach_assign_mapeh_g8_f</t>
  </si>
  <si>
    <t>Tables16-17'!$Z$24</t>
  </si>
  <si>
    <t>jhs_teacher_specialization</t>
  </si>
  <si>
    <t>mathnsciteach_eng_scimin_fulltime</t>
  </si>
  <si>
    <t>jhs_teacher_science_math</t>
  </si>
  <si>
    <t>mathnsciteach_fil_scimin_fulltime</t>
  </si>
  <si>
    <t>mathnsciteach_math_scimin_fulltime</t>
  </si>
  <si>
    <t>mathnsciteach_sci_scimin_fulltime</t>
  </si>
  <si>
    <t>mathnsciteach_eng_engmaj_parttime</t>
  </si>
  <si>
    <t>mathnsciteach_fil_engmaj_parttime</t>
  </si>
  <si>
    <t>mathnsciteach_math_engmaj_parttime</t>
  </si>
  <si>
    <t>mathnsciteach_sci_engmaj_parttime</t>
  </si>
  <si>
    <t>mathnsciteach_eng_filmaj_parttime</t>
  </si>
  <si>
    <t>mathnsciteach_fil_filmaj_parttime</t>
  </si>
  <si>
    <t>mathnsciteach_math_filmaj_parttime</t>
  </si>
  <si>
    <t>mathnsciteach_sci_filmaj_parttime</t>
  </si>
  <si>
    <t>mathnsciteach_eng_mathmaj_parttime</t>
  </si>
  <si>
    <t>mathnsciteach_fil_mathmaj_parttime</t>
  </si>
  <si>
    <t>mathnsciteach_math_mathmaj_parttime</t>
  </si>
  <si>
    <t>mathnsciteach_sci_mathmaj_parttime</t>
  </si>
  <si>
    <t>mathnsciteach_eng_scimaj_parttime</t>
  </si>
  <si>
    <t>mathnsciteach_fil_scimaj_parttime</t>
  </si>
  <si>
    <t>mathnsciteach_math_scimaj_parttime</t>
  </si>
  <si>
    <t>mathnsciteach_sci_scimaj_parttime</t>
  </si>
  <si>
    <t>mathnsciteach_eng_engmin_parttime</t>
  </si>
  <si>
    <t>mathnsciteach_fil_engmin_parttime</t>
  </si>
  <si>
    <t>mathnsciteach_math_engmin_parttime</t>
  </si>
  <si>
    <t>mathnsciteach_sci_engmin_parttime</t>
  </si>
  <si>
    <t>sciteach_others_m</t>
  </si>
  <si>
    <t>jhs_teachers_science_major</t>
  </si>
  <si>
    <t>Tables18-21'!$AW$10</t>
  </si>
  <si>
    <t>mathnsciteach_eng_filmin_parttime</t>
  </si>
  <si>
    <t>mathnsciteach_fil_filmin_parttime</t>
  </si>
  <si>
    <t>mathnsciteach_math_filmin_parttime</t>
  </si>
  <si>
    <t>mathnsciteach_sci_filmin_parttime</t>
  </si>
  <si>
    <t>sciteach_gensci_m</t>
  </si>
  <si>
    <t>Tables18-21'!$AW$6</t>
  </si>
  <si>
    <t>sciteach_bio_m</t>
  </si>
  <si>
    <t>Tables18-21'!$AW$7</t>
  </si>
  <si>
    <t>sciteach_chem_m</t>
  </si>
  <si>
    <t>Tables18-21'!$AW$8</t>
  </si>
  <si>
    <t>sciteach_phys_m</t>
  </si>
  <si>
    <t>Tables18-21'!$AW$9</t>
  </si>
  <si>
    <t>mathnsciteach_eng_mathmin_parttime</t>
  </si>
  <si>
    <t>mathnsciteach_fil_mathmin_parttime</t>
  </si>
  <si>
    <t>mathnsciteach_math_mathmin_parttime</t>
  </si>
  <si>
    <t>mathnsciteach_sci_mathmin_parttime</t>
  </si>
  <si>
    <t>sciteach_others_f</t>
  </si>
  <si>
    <t>Tables18-21'!$BA$10</t>
  </si>
  <si>
    <t>sciteach_gensci_f</t>
  </si>
  <si>
    <t>Tables18-21'!$BA$6</t>
  </si>
  <si>
    <t>sciteach_bio_f</t>
  </si>
  <si>
    <t>Tables18-21'!$BA$7</t>
  </si>
  <si>
    <t>sciteach_chem_f</t>
  </si>
  <si>
    <t>Tables18-21'!$BA$8</t>
  </si>
  <si>
    <t>sciteach_phys_f</t>
  </si>
  <si>
    <t>Tables18-21'!$BA$9</t>
  </si>
  <si>
    <t>mathnsciteach_eng_scimin_parttime</t>
  </si>
  <si>
    <t>mathnsciteach_fil_scimin_parttime</t>
  </si>
  <si>
    <t>mathnsciteach_math_scimin_parttime</t>
  </si>
  <si>
    <t>mathnsciteach_sci_scimin_parttime</t>
  </si>
  <si>
    <t>mathnsciteach_eng_othermajmin_parttime</t>
  </si>
  <si>
    <t>mathnsciteach_fil_othermajmin_parttime</t>
  </si>
  <si>
    <t>mathnsciteach_math_othermajmin_parttime</t>
  </si>
  <si>
    <t>mathnsciteach_sci_othermajmin_parttime</t>
  </si>
  <si>
    <t>mathnsciteach_eng_engmaj_fulltime</t>
  </si>
  <si>
    <t>mathnsciteach_fil_engmaj_fulltime</t>
  </si>
  <si>
    <t>mathnsciteach_math_engmaj_fulltime</t>
  </si>
  <si>
    <t>mathnsciteach_sci_engmaj_fulltime</t>
  </si>
  <si>
    <t>mathnsciteach_eng_filmaj_fulltime</t>
  </si>
  <si>
    <t>mathnsciteach_fil_filmaj_fulltime</t>
  </si>
  <si>
    <t>mathnsciteach_math_filmaj_fulltime</t>
  </si>
  <si>
    <t>mathnsciteach_sci_filmaj_fulltime</t>
  </si>
  <si>
    <t>numteach_highest_educ_attainment_doctor_m</t>
  </si>
  <si>
    <t>jhs_teachers_highest_education</t>
  </si>
  <si>
    <t>Tables18-21'!$M$10</t>
  </si>
  <si>
    <t>mathnsciteach_eng_mathmaj_fulltime</t>
  </si>
  <si>
    <t>mathnsciteach_fil_mathmaj_fulltime</t>
  </si>
  <si>
    <t>mathnsciteach_math_mathmaj_fulltime</t>
  </si>
  <si>
    <t>mathnsciteach_sci_mathmaj_fulltime</t>
  </si>
  <si>
    <t>numteach_highest_educ_attainment_bachelor_m</t>
  </si>
  <si>
    <t>Tables18-21'!$M$6</t>
  </si>
  <si>
    <t>numteach_highest_educ_attainment_master_units_m</t>
  </si>
  <si>
    <t>Tables18-21'!$M$7</t>
  </si>
  <si>
    <t>numteach_highest_educ_attainment_master_m</t>
  </si>
  <si>
    <t>Tables18-21'!$M$8</t>
  </si>
  <si>
    <t>numteach_highest_educ_attainment_doctor_units_m</t>
  </si>
  <si>
    <t>Tables18-21'!$M$9</t>
  </si>
  <si>
    <t>Tables18-21'!$P$21</t>
  </si>
  <si>
    <t>Tables18-21'!$P$22</t>
  </si>
  <si>
    <t>Tables18-21'!$P$23</t>
  </si>
  <si>
    <t>Tables18-21'!$P$24</t>
  </si>
  <si>
    <t>Tables18-21'!$P$25</t>
  </si>
  <si>
    <t>Tables18-21'!$P$26</t>
  </si>
  <si>
    <t>Tables18-21'!$P$27</t>
  </si>
  <si>
    <t>Tables18-21'!$P$28</t>
  </si>
  <si>
    <t>mathnsciteach_eng_scimaj_fulltime</t>
  </si>
  <si>
    <t>mathnsciteach_fil_scimaj_fulltime</t>
  </si>
  <si>
    <t>mathnsciteach_math_scimaj_fulltime</t>
  </si>
  <si>
    <t>mathnsciteach_sci_scimaj_fulltime</t>
  </si>
  <si>
    <t>numteach_highest_educ_attainment_doctor_f</t>
  </si>
  <si>
    <t>Tables18-21'!$Q$10</t>
  </si>
  <si>
    <t>numteach_highest_educ_attainment_bachelor_f</t>
  </si>
  <si>
    <t>Tables18-21'!$Q$6</t>
  </si>
  <si>
    <t>numteach_highest_educ_attainment_master_units_f</t>
  </si>
  <si>
    <t>Tables18-21'!$Q$7</t>
  </si>
  <si>
    <t>numteach_highest_educ_attainment_master_f</t>
  </si>
  <si>
    <t>Tables18-21'!$Q$8</t>
  </si>
  <si>
    <t>numteach_highest_educ_attainment_doctor_units_f</t>
  </si>
  <si>
    <t>Tables18-21'!$Q$9</t>
  </si>
  <si>
    <t>mathnsciteach_eng_engmin_fulltime</t>
  </si>
  <si>
    <t>mathnsciteach_fil_engmin_fulltime</t>
  </si>
  <si>
    <t>mathnsciteach_math_engmin_fulltime</t>
  </si>
  <si>
    <t>mathnsciteach_sci_engmin_fulltime</t>
  </si>
  <si>
    <t>mathnsciteach_eng_filmin_fulltime</t>
  </si>
  <si>
    <t>mathnsciteach_fil_filmin_fulltime</t>
  </si>
  <si>
    <t>mathnsciteach_math_filmin_fulltime</t>
  </si>
  <si>
    <t>mathnsciteach_sci_filmin_fulltime</t>
  </si>
  <si>
    <t>mathnsciteach_eng_mathmin_fulltime</t>
  </si>
  <si>
    <t>mathnsciteach_fil_mathmin_fulltime</t>
  </si>
  <si>
    <t>mathnsciteach_math_mathmin_fulltime</t>
  </si>
  <si>
    <t>mathnsciteach_sci_mathmin_fulltime</t>
  </si>
  <si>
    <t>combo_avemontlyexpense_typesofinternet1</t>
  </si>
  <si>
    <t>combo_avemontlyexpense_typesofinternet2</t>
  </si>
  <si>
    <t>combo_avemontlyexpense_typesofinternet3</t>
  </si>
  <si>
    <t>combo_avemontlyexpense_typesofinternet4</t>
  </si>
  <si>
    <t>combo_avemontlyexpense_typesofinternet5</t>
  </si>
  <si>
    <t>mooe_alloc_jantodec_amount</t>
  </si>
  <si>
    <t>jhs_mooe</t>
  </si>
  <si>
    <t>mooe_utili_jantodec_amount</t>
  </si>
  <si>
    <t>mooe_liqui_jantodec_amount</t>
  </si>
  <si>
    <t>do_acct_name</t>
  </si>
  <si>
    <t>do_acct_post</t>
  </si>
  <si>
    <t>electrical_supply_sources_grid</t>
  </si>
  <si>
    <t>jhs_electricity</t>
  </si>
  <si>
    <t>electrical_supply_sources_offgrid</t>
  </si>
  <si>
    <t>electrical_nosource</t>
  </si>
  <si>
    <t>electrical_funding_sources_mooe</t>
  </si>
  <si>
    <t>electrical_funding_sources_lgu</t>
  </si>
  <si>
    <t>electrical_funding_sources_pta</t>
  </si>
  <si>
    <t>electrical_offgrid_solar_power</t>
  </si>
  <si>
    <t>electrical_offgrid_generator</t>
  </si>
  <si>
    <t>electrical_offgrid_others</t>
  </si>
  <si>
    <t>electrical_funding_sources_canteen</t>
  </si>
  <si>
    <t>electrical_funding_sources_private</t>
  </si>
  <si>
    <t>electrical_funding_sources_others</t>
  </si>
  <si>
    <t>electrical_offgrid_others_specify</t>
  </si>
  <si>
    <t>electrical_funding_source_others_specify</t>
  </si>
  <si>
    <t>electricity_available_inaday_hours</t>
  </si>
  <si>
    <t>ave_cost_monthly_bills_amount</t>
  </si>
  <si>
    <t>do_engr_name</t>
  </si>
  <si>
    <t>do_engr_post</t>
  </si>
  <si>
    <t>schsite_land_area</t>
  </si>
  <si>
    <t>jhs_site_ownership</t>
  </si>
  <si>
    <t>schsite_modeyr_usufruct_agree</t>
  </si>
  <si>
    <t>schsite_modeyr_expropriation</t>
  </si>
  <si>
    <t>schsite_modeyr_exchange_swapping</t>
  </si>
  <si>
    <t>schsite_modeyr_pres_proc</t>
  </si>
  <si>
    <t>schsite_modeyr_spl_patent</t>
  </si>
  <si>
    <t>schsite_modeyr_cloa</t>
  </si>
  <si>
    <t>schsite_modeyr_slup</t>
  </si>
  <si>
    <t>schsite_modeyr_others</t>
  </si>
  <si>
    <t>schsite_modeyr_donation</t>
  </si>
  <si>
    <t>schsite_modeyr_purchase</t>
  </si>
  <si>
    <t>schsite_ancesland_usu_yes</t>
  </si>
  <si>
    <t>schsite_ancesland_calt_yes</t>
  </si>
  <si>
    <t>schsite_leg_own_adverseclaim</t>
  </si>
  <si>
    <t>schsite_leg_own_encroach</t>
  </si>
  <si>
    <t>schsite_leg_own_willegalsetler</t>
  </si>
  <si>
    <t>schsite_leg_own_others</t>
  </si>
  <si>
    <t>schsite_protect_area</t>
  </si>
  <si>
    <t>schsite_timber_forest</t>
  </si>
  <si>
    <t>schsite_ancesdom_usu_yes</t>
  </si>
  <si>
    <t>schsite_ancesdom_cadt_yes</t>
  </si>
  <si>
    <t>schsite_leg_own_others_specify</t>
  </si>
  <si>
    <t>schsite_ownership_wdocu_yes_oct</t>
  </si>
  <si>
    <t>schsite_ownership_wdocu_yes_tct</t>
  </si>
  <si>
    <t>schsite_ownership_wdocu_yes_cloa</t>
  </si>
  <si>
    <t>schsite_ownership_wdocu_yes_spl_patent</t>
  </si>
  <si>
    <t>schsite_ownership_wdocu_yes_pres_proc</t>
  </si>
  <si>
    <t>schsite_ownership_wdocu_yes_tax_dec</t>
  </si>
  <si>
    <t>schsite_ownership_wdocu_yes_deed_abso</t>
  </si>
  <si>
    <t>schsite_ownership_wdocu_yes_deed_donation</t>
  </si>
  <si>
    <t>schsite_ownership_wdocu_yes_cert_stew</t>
  </si>
  <si>
    <t>schsite_ownership_wdocu_yes_slup</t>
  </si>
  <si>
    <t>schsite_ownership_wdocu_yes_usufruct</t>
  </si>
  <si>
    <t>schsite_ownership_wdocu_yes_moa</t>
  </si>
  <si>
    <t>schsite_ownership_wdocu_yes_lease</t>
  </si>
  <si>
    <t>schsite_ownership_wdocu_yes_others</t>
  </si>
  <si>
    <t>schsite_ownership_deped</t>
  </si>
  <si>
    <t>schsite_ownership_lgu</t>
  </si>
  <si>
    <t>schsite_ownership_othergov</t>
  </si>
  <si>
    <t>schsite_ownership_prvt_ind</t>
  </si>
  <si>
    <t>schsite_ownership_wdocu_yes</t>
  </si>
  <si>
    <t>schsite_ownership_wdocu_others_specify</t>
  </si>
  <si>
    <t>schsite_mode_usufruct_agree</t>
  </si>
  <si>
    <t>schsite_mode_expropriation</t>
  </si>
  <si>
    <t>schsite_mode_exchange_swapping</t>
  </si>
  <si>
    <t>schsite_mode_pres_proc</t>
  </si>
  <si>
    <t>schsite_mode_spl_patent</t>
  </si>
  <si>
    <t>schsite_mode_cloa</t>
  </si>
  <si>
    <t>schsite_mode_slup</t>
  </si>
  <si>
    <t>schsite_mode_others</t>
  </si>
  <si>
    <t>schsite_mode_donation</t>
  </si>
  <si>
    <t>schsite_mode_purchase</t>
  </si>
  <si>
    <t>schsite_mode_others_specify</t>
  </si>
  <si>
    <t>sch_loc_alongdhway</t>
  </si>
  <si>
    <t>jhs_school_location</t>
  </si>
  <si>
    <t>sch_loc_bydhillside</t>
  </si>
  <si>
    <t>sch_loc_nearcoastline</t>
  </si>
  <si>
    <t>sch_loc_nearfaultline</t>
  </si>
  <si>
    <t>sch_loc_nearriverwaterway</t>
  </si>
  <si>
    <t>sch_loc_onsmallisland</t>
  </si>
  <si>
    <t>sch_loc_ontopmountain</t>
  </si>
  <si>
    <t>sch_loc_others</t>
  </si>
  <si>
    <t>sch_loc_others_specify</t>
  </si>
  <si>
    <t>sch_health_vacc_measles_g7_f</t>
  </si>
  <si>
    <t>jhs_vaccinated</t>
  </si>
  <si>
    <t>sch_health_vacc_measles_g7_m</t>
  </si>
  <si>
    <t>sch_health_vacc_tetanus_g7_f</t>
  </si>
  <si>
    <t>sch_health_vacc_tetanus_g7_m</t>
  </si>
  <si>
    <t>do_sch_health_coor_name</t>
  </si>
  <si>
    <t>do_sch_health_coor_post</t>
  </si>
  <si>
    <t>sch_health_wifa_learners_consent_g9</t>
  </si>
  <si>
    <t>jhs_supplementation</t>
  </si>
  <si>
    <t>sch_health_wifa_learners_given_jultosep2019_g9</t>
  </si>
  <si>
    <t>sch_health_wifa_learners_given_jantomar2020_g9</t>
  </si>
  <si>
    <t>sch_health_wifa_learners_consent_g10</t>
  </si>
  <si>
    <t>sch_health_wifa_learners_given_jultosep2019_g10</t>
  </si>
  <si>
    <t>sch_health_wifa_learners_given_jantomar2020_g10</t>
  </si>
  <si>
    <t>sch_health_wifa_learners_consent_g7</t>
  </si>
  <si>
    <t>sch_health_wifa_learners_given_jultosep2019_g7</t>
  </si>
  <si>
    <t>sch_health_wifa_learners_given_jantomar2020_g7</t>
  </si>
  <si>
    <t>sch_health_wifa_learners_consent_g8</t>
  </si>
  <si>
    <t>sch_health_wifa_learners_given_jultosep2019_g8</t>
  </si>
  <si>
    <t>sch_health_wifa_learners_given_jantomar2020_g8</t>
  </si>
  <si>
    <t>sch_health_learners_dewormed_g9_m</t>
  </si>
  <si>
    <t>jhs_dewormed</t>
  </si>
  <si>
    <t>sch_health_learners_dewormed_g9_f</t>
  </si>
  <si>
    <t>sch_health_learners_dewormed_g10_m</t>
  </si>
  <si>
    <t>sch_health_learners_dewormed_g10_f</t>
  </si>
  <si>
    <t>sch_health_learners_dewormed_g7_m</t>
  </si>
  <si>
    <t>sch_health_learners_dewormed_g7_f</t>
  </si>
  <si>
    <t>sch_health_learners_dewormed_g8_m</t>
  </si>
  <si>
    <t>sch_health_learners_dewormed_g8_f</t>
  </si>
  <si>
    <t>clinic_designated_yes</t>
  </si>
  <si>
    <t>jhs_clinic_data</t>
  </si>
  <si>
    <t>clinic_tools_height_tapemeasure</t>
  </si>
  <si>
    <t>clinic_tools_height_steeltape</t>
  </si>
  <si>
    <t>clinic_tools_height_microtoise</t>
  </si>
  <si>
    <t>clinic_tools_height_stadiometer</t>
  </si>
  <si>
    <t>clinic_tools_height_others</t>
  </si>
  <si>
    <t>sch_clinic_tools_height_others_specify</t>
  </si>
  <si>
    <t>sch_clinic_scale_bathroom_unit</t>
  </si>
  <si>
    <t>sch_clinic_scale_beambalance_unit</t>
  </si>
  <si>
    <t>sch_clinic_scale_others_unit</t>
  </si>
  <si>
    <t>sch_clinic_scale_others_specify</t>
  </si>
  <si>
    <t>sch_clinic_bpa</t>
  </si>
  <si>
    <t>sch_clinic_first_aids</t>
  </si>
  <si>
    <t>sch_clinic_personnel_trained</t>
  </si>
  <si>
    <t>sch_clinic_thermometers</t>
  </si>
  <si>
    <t>sch_clinic_teacher</t>
  </si>
  <si>
    <t>ws_wsource_yes</t>
  </si>
  <si>
    <t>jhs_water</t>
  </si>
  <si>
    <t>ws_ifyes_pipe</t>
  </si>
  <si>
    <t>ws_ifyes_well</t>
  </si>
  <si>
    <t>ws_ifyes_natural</t>
  </si>
  <si>
    <t>ws_ifyes_rainwater</t>
  </si>
  <si>
    <t>ws_ifyes_others</t>
  </si>
  <si>
    <t>ws_ifyes_fundsource_lgu</t>
  </si>
  <si>
    <t>ws_ifyes_fundsource_pta</t>
  </si>
  <si>
    <t>ws_ifyes_fundsource_private</t>
  </si>
  <si>
    <t>ws_ifyes_fundsource_others</t>
  </si>
  <si>
    <t>ws_drinking_yes</t>
  </si>
  <si>
    <t>ws_water_tested_yes</t>
  </si>
  <si>
    <t>ws_water_iftested_safetodrink_yes</t>
  </si>
  <si>
    <t>ws_water_test_frequency_monthly</t>
  </si>
  <si>
    <t>ws_water_test_frequency_quarterly</t>
  </si>
  <si>
    <t>ws_water_test_frequency_annually</t>
  </si>
  <si>
    <t>ws_water_test_frequency_others</t>
  </si>
  <si>
    <t>ws_water_unavailable_yes</t>
  </si>
  <si>
    <t>ws_mechanism_safetodrink_yes</t>
  </si>
  <si>
    <t>ws_mechanism_safetodrink_yes_bring_water</t>
  </si>
  <si>
    <t>ws_mechanism_safetodrink_yes_refillable_containers</t>
  </si>
  <si>
    <t>ws_mechanism_safetodrink_yes_accessible_water</t>
  </si>
  <si>
    <t>ws_mechanism_safetodrink_yes_others</t>
  </si>
  <si>
    <t>ws_mechanism_safetodrink_yes_others_specify</t>
  </si>
  <si>
    <t>ws_water_test_frequency_others_specify</t>
  </si>
  <si>
    <t>ws_ifyes_fundsource_others_specify</t>
  </si>
  <si>
    <t>ws_wsource_avg_cost</t>
  </si>
  <si>
    <t>ws_ifyes_others_specify</t>
  </si>
  <si>
    <t>ws_water_tested_lastime</t>
  </si>
  <si>
    <t>sch_wf_group_hw_no_water_outlets</t>
  </si>
  <si>
    <t>jhs_wash_facilities</t>
  </si>
  <si>
    <t>sch_wf_group_hw_nonfunctional</t>
  </si>
  <si>
    <t>sch_wf_group_hw_wosoap</t>
  </si>
  <si>
    <t>sch_wf_group_hw_wsoap</t>
  </si>
  <si>
    <t>sch_wf_individual_hw_no_water_outlets</t>
  </si>
  <si>
    <t>sch_wf_individual_hw_nonfunctional</t>
  </si>
  <si>
    <t>sch_wf_individual_hw_wosoap</t>
  </si>
  <si>
    <t>sch_wf_individual_hw_wsoap</t>
  </si>
  <si>
    <t>sch_oral_health_num_dmft_temporary_g9</t>
  </si>
  <si>
    <t>jhs_oral_health</t>
  </si>
  <si>
    <t>sch_oral_health_learners_wgum_disease_g9</t>
  </si>
  <si>
    <t>sch_oral_health_learners_wdental_anomalies_g9</t>
  </si>
  <si>
    <t>sch_oral_health_learners_examined_g9</t>
  </si>
  <si>
    <t>sch_oral_health_learners_wdmft_permanent_g9</t>
  </si>
  <si>
    <t>sch_oral_health_num_dmft_permanent_g9</t>
  </si>
  <si>
    <t>sch_oral_health_learners_wdmft_temporary_g9</t>
  </si>
  <si>
    <t>sch_oral_health_num_dmft_temporary_g10</t>
  </si>
  <si>
    <t>sch_oral_health_learners_wgum_disease_g10</t>
  </si>
  <si>
    <t>sch_oral_health_learners_wdental_anomalies_g10</t>
  </si>
  <si>
    <t>sch_oral_health_learners_examined_g10</t>
  </si>
  <si>
    <t>sch_oral_health_learners_wdmft_permanent_g10</t>
  </si>
  <si>
    <t>sch_oral_health_num_dmft_permanent_g10</t>
  </si>
  <si>
    <t>sch_oral_health_learners_wdmft_temporary_g10</t>
  </si>
  <si>
    <t>sch_oral_health_num_dmft_temporary_g7</t>
  </si>
  <si>
    <t>sch_oral_health_learners_wgum_disease_g7</t>
  </si>
  <si>
    <t>sch_oral_health_learners_wdental_anomalies_g7</t>
  </si>
  <si>
    <t>sch_oral_health_learners_examined_g7</t>
  </si>
  <si>
    <t>sch_oral_health_learners_wdmft_permanent_g7</t>
  </si>
  <si>
    <t>sch_oral_health_num_dmft_permanent_g7</t>
  </si>
  <si>
    <t>sch_oral_health_learners_wdmft_temporary_g7</t>
  </si>
  <si>
    <t>sch_oral_health_num_dmft_temporary_g8</t>
  </si>
  <si>
    <t>sch_oral_health_learners_wgum_disease_g8</t>
  </si>
  <si>
    <t>sch_oral_health_learners_wdental_anomalies_g8</t>
  </si>
  <si>
    <t>sch_oral_health_learners_examined_g8</t>
  </si>
  <si>
    <t>sch_oral_health_learners_wdmft_permanent_g8</t>
  </si>
  <si>
    <t>sch_oral_health_num_dmft_permanent_g8</t>
  </si>
  <si>
    <t>sch_oral_health_learners_wdmft_temporary_g8</t>
  </si>
  <si>
    <t>sch_mednurservc_learners_examined_g9</t>
  </si>
  <si>
    <t>jhs_medical_services</t>
  </si>
  <si>
    <t>sch_mednurservc_learners_wfindings_g9</t>
  </si>
  <si>
    <t>sch_mednurservc_learners_given_internventions_g9</t>
  </si>
  <si>
    <t>sch_mednurservc_learners_referred_health_unitsnprofessionals_g9</t>
  </si>
  <si>
    <t>sch_mednurservc_learners_examined_g10</t>
  </si>
  <si>
    <t>sch_mednurservc_learners_wfindings_g10</t>
  </si>
  <si>
    <t>sch_mednurservc_learners_given_internventions_g10</t>
  </si>
  <si>
    <t>sch_mednurservc_learners_referred_health_unitsnprofessionals_g10</t>
  </si>
  <si>
    <t>sch_mednurservc_learners_examined_g7</t>
  </si>
  <si>
    <t>sch_mednurservc_learners_wfindings_g7</t>
  </si>
  <si>
    <t>sch_mednurservc_learners_given_internventions_g7</t>
  </si>
  <si>
    <t>sch_mednurservc_learners_referred_health_unitsnprofessionals_g7</t>
  </si>
  <si>
    <t>sch_mednurservc_learners_examined_g8</t>
  </si>
  <si>
    <t>sch_mednurservc_learners_wfindings_g8</t>
  </si>
  <si>
    <t>sch_mednurservc_learners_given_internventions_g8</t>
  </si>
  <si>
    <t>sch_mednurservc_learners_referred_health_unitsnprofessionals_g8</t>
  </si>
  <si>
    <t>jhs_mental_health</t>
  </si>
  <si>
    <t>sch_mh_haveguidance_office</t>
  </si>
  <si>
    <t>jhs_mental_health_prevsy</t>
  </si>
  <si>
    <t>sch_mh_regguidancecouncilor_incharge</t>
  </si>
  <si>
    <t>sch_mh_learners_sought_counseling_g7</t>
  </si>
  <si>
    <t>sch_mh_learners_sought_counseling_g8</t>
  </si>
  <si>
    <t>sch_mh_learners_sought_counseling_g9</t>
  </si>
  <si>
    <t>sch_mh_learners_sought_counseling_g10</t>
  </si>
  <si>
    <t>sch_mh_screeningtool_counseling</t>
  </si>
  <si>
    <t>sch_mh_celebrated_nmhw</t>
  </si>
  <si>
    <t>sch_conduct_menttraining_learners_ifyes</t>
  </si>
  <si>
    <t>sch_mh_learners_trainings_apb_g7</t>
  </si>
  <si>
    <t>sch_mh_learners_trainings_apb_g8</t>
  </si>
  <si>
    <t>sch_mh_learners_trainings_apb_g9</t>
  </si>
  <si>
    <t>sch_mh_learners_trainings_apb_g10</t>
  </si>
  <si>
    <t>sch_mh_learners_trainings_sild_g7</t>
  </si>
  <si>
    <t>sch_mh_learners_trainings_sild_g8</t>
  </si>
  <si>
    <t>sch_mh_learners_trainings_sild_g9</t>
  </si>
  <si>
    <t>sch_mh_learners_trainings_sild_g10</t>
  </si>
  <si>
    <t>sch_mh_learners_trainings_sp_g7</t>
  </si>
  <si>
    <t>sch_mh_learners_trainings_sp_g8</t>
  </si>
  <si>
    <t>sch_mh_learners_trainings_sp_g9</t>
  </si>
  <si>
    <t>sch_mh_learners_trainings_sp_g10</t>
  </si>
  <si>
    <t>sch_mh_learners_trainings_sc_g7</t>
  </si>
  <si>
    <t>sch_mh_learners_trainings_sc_g8</t>
  </si>
  <si>
    <t>sch_mh_learners_trainings_sc_g9</t>
  </si>
  <si>
    <t>sch_mh_learners_trainings_sc_g10</t>
  </si>
  <si>
    <t>sch_mh_learners_trainings_pfa_g7</t>
  </si>
  <si>
    <t>sch_mh_learners_trainings_pfa_g8</t>
  </si>
  <si>
    <t>sch_mh_learners_trainings_pfa_g9</t>
  </si>
  <si>
    <t>sch_mh_learners_trainings_pfa_g10</t>
  </si>
  <si>
    <t>sch_mh_learners_trainings_others_g7</t>
  </si>
  <si>
    <t>sch_mh_learners_trainings_others_g8</t>
  </si>
  <si>
    <t>sch_mh_learners_trainings_others_g9</t>
  </si>
  <si>
    <t>sch_mh_learners_trainings_others_g10</t>
  </si>
  <si>
    <t>sch_conduct_menttraining_teachers_ifyes</t>
  </si>
  <si>
    <t>sch_mh_teachers_trainings_apb_g7</t>
  </si>
  <si>
    <t>sch_mh_teachers_trainings_apb_g8</t>
  </si>
  <si>
    <t>sch_mh_teachers_trainings_apb_g9</t>
  </si>
  <si>
    <t>sch_mh_teachers_trainings_apb_g10</t>
  </si>
  <si>
    <t>sch_mh_teachers_trainings_sild_g7</t>
  </si>
  <si>
    <t>sch_mh_teachers_trainings_sild_g8</t>
  </si>
  <si>
    <t>sch_mh_teachers_trainings_sild_g9</t>
  </si>
  <si>
    <t>sch_mh_teachers_trainings_sild_g10</t>
  </si>
  <si>
    <t>sch_mh_teachers_trainings_sp_g7</t>
  </si>
  <si>
    <t>sch_mh_teachers_trainings_sp_g8</t>
  </si>
  <si>
    <t>sch_mh_teachers_trainings_sp_g9</t>
  </si>
  <si>
    <t>sch_mh_teachers_trainings_sp_g10</t>
  </si>
  <si>
    <t>sch_mh_teachers_trainings_sc_g7</t>
  </si>
  <si>
    <t>sch_mh_teachers_trainings_sc_g8</t>
  </si>
  <si>
    <t>sch_mh_teachers_trainings_sc_g9</t>
  </si>
  <si>
    <t>sch_mh_teachers_trainings_sc_g10</t>
  </si>
  <si>
    <t>sch_mh_teachers_trainings_pfa_g7</t>
  </si>
  <si>
    <t>sch_mh_teachers_trainings_pfa_g8</t>
  </si>
  <si>
    <t>sch_mh_teachers_trainings_pfa_g9</t>
  </si>
  <si>
    <t>sch_mh_teachers_trainings_pfa_g10</t>
  </si>
  <si>
    <t>sch_mh_teachers_trainings_others_g7</t>
  </si>
  <si>
    <t>sch_mh_teachers_trainings_others_g8</t>
  </si>
  <si>
    <t>sch_mh_teachers_trainings_others_g9</t>
  </si>
  <si>
    <t>sch_mh_teachers_trainings_others_g10</t>
  </si>
  <si>
    <t>sch_learners_cancercases_cp_leuk</t>
  </si>
  <si>
    <t>jhs_cancer_cases</t>
  </si>
  <si>
    <t>sch_learners_cancercases_cp_bnsc</t>
  </si>
  <si>
    <t>sch_learners_cancercases_cp_othertypes</t>
  </si>
  <si>
    <t>sch_learners_cancercases_lc_leuk</t>
  </si>
  <si>
    <t>sch_learners_cancercases_lc_bnsc</t>
  </si>
  <si>
    <t>sch_learners_cancercases_lc_othertypes</t>
  </si>
  <si>
    <t>sch_learners_cancercases_cs_leuk</t>
  </si>
  <si>
    <t>sch_learners_cancercases_cs_bnsc</t>
  </si>
  <si>
    <t>sch_learners_cancercases_cs_othertypes</t>
  </si>
  <si>
    <t>sch_learners_cancercases_ddc_leuk</t>
  </si>
  <si>
    <t>sch_learners_cancercases_ddc_bnsc</t>
  </si>
  <si>
    <t>sch_learners_cancercases_ddc_othertypes</t>
  </si>
  <si>
    <t>sch_personnel_cancercases_cp_breast</t>
  </si>
  <si>
    <t>sch_personnel_cancercases_cp_lung</t>
  </si>
  <si>
    <t>sch_personnel_cancercases_cp_othertypes</t>
  </si>
  <si>
    <t>sch_personnel_cancercases_lc_breast</t>
  </si>
  <si>
    <t>sch_personnel_cancercases_lc_lung</t>
  </si>
  <si>
    <t>sch_personnel_cancercases_lc_othertypes</t>
  </si>
  <si>
    <t>sch_personnel_cancercases_cs_breast</t>
  </si>
  <si>
    <t>sch_personnel_cancercases_cs_lung</t>
  </si>
  <si>
    <t>sch_personnel_cancercases_cs_othertypes</t>
  </si>
  <si>
    <t>sch_personnel_cancercases_ddc_breast</t>
  </si>
  <si>
    <t>sch_personnel_cancercases_ddc_lung</t>
  </si>
  <si>
    <t>sch_personnel_cancercases_ddc_othertypes</t>
  </si>
  <si>
    <t>sch_learners_pregnant_inschool_g7</t>
  </si>
  <si>
    <t>jhs_adolecent_repro_health</t>
  </si>
  <si>
    <t>sch_learners_pregnant_inschool_g8</t>
  </si>
  <si>
    <t>sch_learners_pregnant_inschool_g9</t>
  </si>
  <si>
    <t>sch_learners_pregnant_inschool_g10</t>
  </si>
  <si>
    <t>sch_learners_pregnant_adm_g7</t>
  </si>
  <si>
    <t>sch_learners_pregnant_adm_g8</t>
  </si>
  <si>
    <t>sch_learners_pregnant_adm_g9</t>
  </si>
  <si>
    <t>sch_learners_pregnant_adm_g10</t>
  </si>
  <si>
    <t>sch_learners_pregnant_transferredin_g7</t>
  </si>
  <si>
    <t>sch_learners_pregnant_transferredin_g8</t>
  </si>
  <si>
    <t>sch_learners_pregnant_transferredin_g9</t>
  </si>
  <si>
    <t>sch_learners_pregnant_transferredin_g10</t>
  </si>
  <si>
    <t>sch_learners_pregnant_transferredout_g7</t>
  </si>
  <si>
    <t>sch_learners_pregnant_transferredout_g8</t>
  </si>
  <si>
    <t>sch_learners_pregnant_transferredout_g9</t>
  </si>
  <si>
    <t>sch_learners_pregnant_transferredout_g10</t>
  </si>
  <si>
    <t>sch_learners_pregnant_dropped_g7</t>
  </si>
  <si>
    <t>sch_learners_pregnant_dropped_g8</t>
  </si>
  <si>
    <t>sch_learners_pregnant_dropped_g9</t>
  </si>
  <si>
    <t>sch_learners_pregnant_dropped_g10</t>
  </si>
  <si>
    <t>sch_learners_impregnator_inschool_g7</t>
  </si>
  <si>
    <t>sch_learners_impregnator_inschool_g8</t>
  </si>
  <si>
    <t>sch_learners_impregnator_inschool_g9</t>
  </si>
  <si>
    <t>sch_learners_impregnator_inschool_g10</t>
  </si>
  <si>
    <t>sch_learners_impregnator_adm_g7</t>
  </si>
  <si>
    <t>sch_learners_impregnator_adm_g8</t>
  </si>
  <si>
    <t>sch_learners_impregnator_adm_g9</t>
  </si>
  <si>
    <t>sch_learners_impregnator_adm_g10</t>
  </si>
  <si>
    <t>sch_learners_impregnator_transferredin_g7</t>
  </si>
  <si>
    <t>sch_learners_impregnator_transferredin_g8</t>
  </si>
  <si>
    <t>sch_learners_impregnator_transferredin_g9</t>
  </si>
  <si>
    <t>sch_learners_impregnator_transferredin_g10</t>
  </si>
  <si>
    <t>sch_learners_impregnator_transferredout_g7</t>
  </si>
  <si>
    <t>sch_learners_impregnator_transferredout_g8</t>
  </si>
  <si>
    <t>sch_learners_impregnator_transferredout_g9</t>
  </si>
  <si>
    <t>sch_learners_impregnator_transferredout_g10</t>
  </si>
  <si>
    <t>sch_learners_impregnator_dropped_g7</t>
  </si>
  <si>
    <t>sch_learners_impregnator_dropped_g8</t>
  </si>
  <si>
    <t>sch_learners_impregnator_dropped_g9</t>
  </si>
  <si>
    <t>sch_learners_impregnator_dropped_g10</t>
  </si>
  <si>
    <t>sch_teencenter_operational</t>
  </si>
  <si>
    <t>sch_learners_repoductivehealth_training_hivaids_g7</t>
  </si>
  <si>
    <t>sch_learners_repoductivehealth_training_hivaids_g8</t>
  </si>
  <si>
    <t>sch_learners_repoductivehealth_training_hivaids_g9</t>
  </si>
  <si>
    <t>sch_learners_repoductivehealth_training_hivaids_g10</t>
  </si>
  <si>
    <t>sch_learners_repoductivehealth_training_asrh_g7</t>
  </si>
  <si>
    <t>sch_learners_repoductivehealth_training_asrh_g8</t>
  </si>
  <si>
    <t>sch_learners_repoductivehealth_training_asrh_g9</t>
  </si>
  <si>
    <t>sch_learners_repoductivehealth_training_asrh_g10</t>
  </si>
  <si>
    <t>sch_learners_repoductivehealth_training_arhc_g7</t>
  </si>
  <si>
    <t>sch_learners_repoductivehealth_training_arhc_g8</t>
  </si>
  <si>
    <t>sch_learners_repoductivehealth_training_arhc_g9</t>
  </si>
  <si>
    <t>sch_learners_repoductivehealth_training_arhc_g10</t>
  </si>
  <si>
    <t>sch_learners_repoductivehealth_training_ctc_g7</t>
  </si>
  <si>
    <t>sch_learners_repoductivehealth_training_ctc_g8</t>
  </si>
  <si>
    <t>sch_learners_repoductivehealth_training_ctc_g9</t>
  </si>
  <si>
    <t>sch_learners_repoductivehealth_training_ctc_g10</t>
  </si>
  <si>
    <t>sch_learners_repoductivehealth_training_rcy_g7</t>
  </si>
  <si>
    <t>sch_learners_repoductivehealth_training_rcy_g8</t>
  </si>
  <si>
    <t>sch_learners_repoductivehealth_training_rcy_g9</t>
  </si>
  <si>
    <t>sch_learners_repoductivehealth_training_rcy_g10</t>
  </si>
  <si>
    <t>sch_teachers_repoductivehealth_training_aja_g7</t>
  </si>
  <si>
    <t>sch_teachers_repoductivehealth_training_aja_g8</t>
  </si>
  <si>
    <t>sch_teachers_repoductivehealth_training_aja_g9</t>
  </si>
  <si>
    <t>sch_teachers_repoductivehealth_training_aja_g10</t>
  </si>
  <si>
    <t>sch_teachers_repoductivehealth_training_adept_g7</t>
  </si>
  <si>
    <t>sch_teachers_repoductivehealth_training_adept_g8</t>
  </si>
  <si>
    <t>sch_teachers_repoductivehealth_training_adept_g9</t>
  </si>
  <si>
    <t>sch_teachers_repoductivehealth_training_adept_g10</t>
  </si>
  <si>
    <t>sch_teachers_repoductivehealth_training_hivaids_g7</t>
  </si>
  <si>
    <t>sch_teachers_repoductivehealth_training_hivaids_g8</t>
  </si>
  <si>
    <t>sch_teachers_repoductivehealth_training_hivaids_g9</t>
  </si>
  <si>
    <t>sch_teachers_repoductivehealth_training_hivaids_g10</t>
  </si>
  <si>
    <t>tobaccoctrl_signages</t>
  </si>
  <si>
    <t>jhs_tobacco_control</t>
  </si>
  <si>
    <t>tobaccoctrl_posters</t>
  </si>
  <si>
    <t>tobaccoctrl_sellcigshop</t>
  </si>
  <si>
    <t>tobaccoctrl_sellvapeshop</t>
  </si>
  <si>
    <t>tobaccoctrl_matii_partnership</t>
  </si>
  <si>
    <t>tobaccoctrl_matii_partnership_ppi</t>
  </si>
  <si>
    <t>tobaccoctrl_matii_partnership_moa</t>
  </si>
  <si>
    <t>tobaccoctrl_sh_tobacco_noends</t>
  </si>
  <si>
    <t>tobaccoctrl_sh_notobacco_ends</t>
  </si>
  <si>
    <t>tobaccoctrl_sh_tobacco_ends</t>
  </si>
  <si>
    <t>tobaccoctrl_sh_notobacco_noends</t>
  </si>
  <si>
    <t>tobaccoctrl_teachers_tobacco_noends_g7</t>
  </si>
  <si>
    <t>tobaccoctrl_teachers_tobacco_noends_g8</t>
  </si>
  <si>
    <t>tobaccoctrl_teachers_tobacco_noends_g9</t>
  </si>
  <si>
    <t>tobaccoctrl_teachers_tobacco_noends_g10</t>
  </si>
  <si>
    <t>tobaccoctrl_teachers_notobacco_ends_g7</t>
  </si>
  <si>
    <t>tobaccoctrl_teachers_notobacco_ends_g8</t>
  </si>
  <si>
    <t>tobaccoctrl_teachers_notobacco_ends_g9</t>
  </si>
  <si>
    <t>tobaccoctrl_teachers_notobacco_ends_g10</t>
  </si>
  <si>
    <t>tobaccoctrl_teachers_tobacco_ends_g7</t>
  </si>
  <si>
    <t>tobaccoctrl_teachers_tobacco_ends_g8</t>
  </si>
  <si>
    <t>tobaccoctrl_teachers_tobacco_ends_g9</t>
  </si>
  <si>
    <t>tobaccoctrl_teachers_tobacco_ends_g10</t>
  </si>
  <si>
    <t>tobaccoctrl_learners_tobacco_noends_g7</t>
  </si>
  <si>
    <t>tobaccoctrl_learners_tobacco_noends_g8</t>
  </si>
  <si>
    <t>tobaccoctrl_learners_tobacco_noends_g9</t>
  </si>
  <si>
    <t>tobaccoctrl_learners_tobacco_noends_g10</t>
  </si>
  <si>
    <t>tobaccoctrl_learners_notobacco_ends_g7</t>
  </si>
  <si>
    <t>tobaccoctrl_learners_notobacco_ends_g8</t>
  </si>
  <si>
    <t>tobaccoctrl_learners_notobacco_ends_g9</t>
  </si>
  <si>
    <t>tobaccoctrl_learners_notobacco_ends_g10</t>
  </si>
  <si>
    <t>tobaccoctrl_learners_tobacco_ends_g7</t>
  </si>
  <si>
    <t>tobaccoctrl_learners_tobacco_ends_g8</t>
  </si>
  <si>
    <t>tobaccoctrl_learners_tobacco_ends_g9</t>
  </si>
  <si>
    <t>tobaccoctrl_learners_tobacco_ends_g10</t>
  </si>
  <si>
    <t>sch_drugprevention_implementation</t>
  </si>
  <si>
    <t>jhs_drugprevention</t>
  </si>
  <si>
    <t>sch_drugprevention_educprog_currintegration</t>
  </si>
  <si>
    <t>sch_drugprevention_educprog_extracurri</t>
  </si>
  <si>
    <t>sch_drugprevention_educprog_partnerbrgy</t>
  </si>
  <si>
    <t>sch_drugprevention_educprog_other</t>
  </si>
  <si>
    <t>sch_drugprevention_educprog_otherspecify</t>
  </si>
  <si>
    <t>sch_drugprevention_ndep</t>
  </si>
  <si>
    <t>sch_drugprevention_ndep_corners</t>
  </si>
  <si>
    <t>sch_drugprevention_bkd</t>
  </si>
  <si>
    <t>sch_drugprevention_learners_bkdmembers_g7</t>
  </si>
  <si>
    <t>sch_drugprevention_learners_bkdmembers_g8</t>
  </si>
  <si>
    <t>sch_drugprevention_learners_bkdmembers_g9</t>
  </si>
  <si>
    <t>sch_drugprevention_learners_bkdmembers_g10</t>
  </si>
  <si>
    <t>sch_drugprevention_learners_trained_g7</t>
  </si>
  <si>
    <t>Boxes16-17'!$S$22</t>
  </si>
  <si>
    <t>sch_drugprevention_learners_trained_g8</t>
  </si>
  <si>
    <t>Boxes16-17'!$S$23</t>
  </si>
  <si>
    <t>sch_drugprevention_learners_trained_g9</t>
  </si>
  <si>
    <t>Boxes16-17'!$S$24</t>
  </si>
  <si>
    <t>sch_drugprevention_learners_trained_g10</t>
  </si>
  <si>
    <t>Boxes16-17'!$S$25</t>
  </si>
  <si>
    <t>sch_oksadeped_yes</t>
  </si>
  <si>
    <t>jhs_oksadeped_program</t>
  </si>
  <si>
    <t>sch_oksadeped_prevsy</t>
  </si>
  <si>
    <t>sch_oksadeped_fbpage_yes</t>
  </si>
  <si>
    <t>sch_oksadeped_fbpage_specify</t>
  </si>
  <si>
    <t>feed_prog_yes</t>
  </si>
  <si>
    <t>jhs_feeding</t>
  </si>
  <si>
    <t>feed_prog_yes_fundsource_schmooe</t>
  </si>
  <si>
    <t>feed_prog_yes_fundsource_canteen</t>
  </si>
  <si>
    <t>feed_prog_yes_fundsource_lgu</t>
  </si>
  <si>
    <t>feed_prog_yes_fundsource_pta</t>
  </si>
  <si>
    <t>feed_prog_yes_fundsource_brgy</t>
  </si>
  <si>
    <t>feed_prog_yes_fundsource_private</t>
  </si>
  <si>
    <t>feed_prog_yes_fundsource_sbfp</t>
  </si>
  <si>
    <t>feed_prog_yes_fundsource_others</t>
  </si>
  <si>
    <t>sch_feed_prog_yes_fundsource_others_specify</t>
  </si>
  <si>
    <t>feed_prog_agri_fishery_gulayan</t>
  </si>
  <si>
    <t>feed_prog_agri_fishery_gulayan_fruit</t>
  </si>
  <si>
    <t>feed_prog_agri_fishery_gulayan_leafy</t>
  </si>
  <si>
    <t>feed_prog_agri_fishery_gulayan_legumes</t>
  </si>
  <si>
    <t>feed_prog_agri_fishery_gulayan_rootcrops</t>
  </si>
  <si>
    <t>feed_prog_agri_fishery_fishpond</t>
  </si>
  <si>
    <t>feed_prog_agri_fishery_crops</t>
  </si>
  <si>
    <t>feed_prog_agri_fishery_livestock</t>
  </si>
  <si>
    <t>feed_prog_agri_fishery_others</t>
  </si>
  <si>
    <t>sch_feed_prog_agri_fishery_others_specify</t>
  </si>
  <si>
    <t>feed_prog_agri_fishery_usedfp_yes</t>
  </si>
  <si>
    <t>feed_prog_agri_fishery_usedfp_yes_fundsource_schmooe</t>
  </si>
  <si>
    <t>feed_prog_agri_fishery_usedfp_yes_fundsource_canteen</t>
  </si>
  <si>
    <t>feed_prog_agri_fishery_usedfp_yes_fundsource_pta</t>
  </si>
  <si>
    <t>feed_prog_agri_fishery_usedfp_yes_fundsource_lgu</t>
  </si>
  <si>
    <t>feed_prog_agri_fishery_usedfp_yes_fundsource_brgy</t>
  </si>
  <si>
    <t>feed_prog_agri_fishery_usedfp_yes_fundsource_private</t>
  </si>
  <si>
    <t>feed_prog_agri_fishery_usedfp_yes_fundsource_others</t>
  </si>
  <si>
    <t>sch_feed_prog_agri_fishery_usedfp_yes_fundsource_others_specify</t>
  </si>
  <si>
    <t>food_hndlg_canteen_yes</t>
  </si>
  <si>
    <t>jhs_food_handling</t>
  </si>
  <si>
    <t>food_hndlg_canteen_mngd_sch</t>
  </si>
  <si>
    <t>food_hndlg_canteen_mngd_tchcoop</t>
  </si>
  <si>
    <t>food_hndlg_canteen_mngd_others</t>
  </si>
  <si>
    <t>sch_food_hndlg_canteen_mngd_others_specify</t>
  </si>
  <si>
    <t>sch_food_hndlg_canteen_mngd_sch_sanitary</t>
  </si>
  <si>
    <t>sch_food_hndlg_canteen_mngd_sch_validity</t>
  </si>
  <si>
    <t>sch_food_hndlg_canteen_mngd_tchcoop_sanitary</t>
  </si>
  <si>
    <t>sch_food_hndlg_canteen_mngd_tchcoop_validity</t>
  </si>
  <si>
    <t>sch_food_hndlg_canteen_mngd_others_sanitary</t>
  </si>
  <si>
    <t>sch_food_hndlg_canteen_mngd_others_validity</t>
  </si>
  <si>
    <t>food_hndlg_canteen_mngd_sch_personnel_health_cert_yes</t>
  </si>
  <si>
    <t>food_hndlg_canteen_mngd_tchcoop_personnel_health_cert_yes</t>
  </si>
  <si>
    <t>food_hndlg_canteen_mngd_others_personnel_health_cert_yes</t>
  </si>
  <si>
    <t>solidwm_compliant_eswma_yes</t>
  </si>
  <si>
    <t>jhs_solid_waste</t>
  </si>
  <si>
    <t>solidwm_impl_swm_composting</t>
  </si>
  <si>
    <t>solidwm_impl_swm_des_trash_collect_pt</t>
  </si>
  <si>
    <t>solidwm_impl_swm_poster_slogan_contest</t>
  </si>
  <si>
    <t>solidwm_impl_swm_postsign</t>
  </si>
  <si>
    <t>solidwm_impl_swm_recycling_proj</t>
  </si>
  <si>
    <t>solidwm_impl_swm_schrep_brgy_swmc</t>
  </si>
  <si>
    <t>solidwm_impl_swm_use_paper_platesncups</t>
  </si>
  <si>
    <t>solidwm_impl_swm_use_recycled_mtrl</t>
  </si>
  <si>
    <t>Boxes20-22'!$AH$9</t>
  </si>
  <si>
    <t>solidwm_impl_swm_use_reusable_food_container</t>
  </si>
  <si>
    <t>solidwm_impl_swm_waste_seg</t>
  </si>
  <si>
    <t>stakeholder_impl_swm_brgy</t>
  </si>
  <si>
    <t>stakeholder_impl_swm_comm_lead</t>
  </si>
  <si>
    <t>stakeholder_impl_swm_loc_business_partners</t>
  </si>
  <si>
    <t>stakeholder_impl_swm_mun_city</t>
  </si>
  <si>
    <t>stakeholder_impl_swm_parents</t>
  </si>
  <si>
    <t>opmaintsanitfac_sanitfacclean_daily</t>
  </si>
  <si>
    <t>jhs_operation_sanitation</t>
  </si>
  <si>
    <t>opmaintsanitfac_sanitfacclean_atleast_twice_wk</t>
  </si>
  <si>
    <t>opmaintsanitfac_sanitfacclean_once_wk</t>
  </si>
  <si>
    <t>opmaintsanitfac_sanitfacclean_less_once_wk</t>
  </si>
  <si>
    <t>sch_opmaintsanitfac_sanitfacclean_avg_mthly_bills</t>
  </si>
  <si>
    <t>opmaintsanitfac_sanitfacclean_pay_mthly_bills_schmooe</t>
  </si>
  <si>
    <t>opmaintsanitfac_sanitfacclean_pay_mthly_bills_canteen</t>
  </si>
  <si>
    <t>opmaintsanitfac_sanitfacclean_pay_mthly_bills_lgu</t>
  </si>
  <si>
    <t>opmaintsanitfac_sanitfacclean_pay_mthly_bills_pta</t>
  </si>
  <si>
    <t>opmaintsanitfac_sanitfacclean_pay_mthly_bills_private</t>
  </si>
  <si>
    <t>opmaintsanitfac_sanitfacclean_pay_mthly_bills_others</t>
  </si>
  <si>
    <t>sch_opmaintsanitfac_sanitfacclean_pay_mthly_bills_others_specify</t>
  </si>
  <si>
    <t>menshygiene_avail_sanpads_yes</t>
  </si>
  <si>
    <t>jhs_menstrual_hygiene</t>
  </si>
  <si>
    <t>menshygiene_avail_sanpads_yes_canteen</t>
  </si>
  <si>
    <t>menshygiene_avail_sanpads_yes_clinic</t>
  </si>
  <si>
    <t>menshygiene_avail_sanpads_yes_guidance_ofc</t>
  </si>
  <si>
    <t>menshygiene_avail_sanpads_yes_others</t>
  </si>
  <si>
    <t>sch_menshygiene_avail_sanpads_yes_others_specify</t>
  </si>
  <si>
    <t>sch_childprotect_yes</t>
  </si>
  <si>
    <t>jhs_child_protection</t>
  </si>
  <si>
    <t>sch_childprotect_monthly</t>
  </si>
  <si>
    <t>sch_childprotect_quarterly</t>
  </si>
  <si>
    <t>sch_childprotect_annually</t>
  </si>
  <si>
    <t>sch_childprotect_others</t>
  </si>
  <si>
    <t>sch_childprotect_others_specify</t>
  </si>
  <si>
    <t>sch_childprotect_casesreported</t>
  </si>
  <si>
    <t>sch_childprotect_scc</t>
  </si>
  <si>
    <t>do_child_prot_coor_name</t>
  </si>
  <si>
    <t>do_child_prot_coor_post</t>
  </si>
  <si>
    <t>sch_vac_aml_phyv</t>
  </si>
  <si>
    <t>jhs_child_protection_vac</t>
  </si>
  <si>
    <t>sch_vac_aml_sexv</t>
  </si>
  <si>
    <t>sch_vac_aml_psyv</t>
  </si>
  <si>
    <t>sch_vac_aml_okov</t>
  </si>
  <si>
    <t>sch_vac_afl_phyv</t>
  </si>
  <si>
    <t>sch_vac_afl_sexv</t>
  </si>
  <si>
    <t>sch_vac_afl_psyv</t>
  </si>
  <si>
    <t>sch_vac_afl_okov</t>
  </si>
  <si>
    <t>sch_vac_perppersonel_phyv</t>
  </si>
  <si>
    <t>sch_vac_perppersonel_sexv</t>
  </si>
  <si>
    <t>sch_vac_perppersonel_psyv</t>
  </si>
  <si>
    <t>sch_vac_perppersonel_okov</t>
  </si>
  <si>
    <t>sch_vac_perpoutsider_phyv</t>
  </si>
  <si>
    <t>sch_vac_perpoutsider_sexv</t>
  </si>
  <si>
    <t>sch_vac_perpoutsider_psyv</t>
  </si>
  <si>
    <t>sch_vac_perpoutsider_okov</t>
  </si>
  <si>
    <t>sch_vac_bygradelevel_m_g7</t>
  </si>
  <si>
    <t>sch_vac_bygradelevel_m_g8</t>
  </si>
  <si>
    <t>sch_vac_bygradelevel_m_g9</t>
  </si>
  <si>
    <t>sch_vac_bygradelevel_m_g10</t>
  </si>
  <si>
    <t>sch_vac_bygradelevel_f_g7</t>
  </si>
  <si>
    <t>sch_vac_bygradelevel_f_g8</t>
  </si>
  <si>
    <t>sch_vac_bygradelevel_f_g9</t>
  </si>
  <si>
    <t>sch_vac_bygradelevel_f_g10</t>
  </si>
  <si>
    <t>sch_bully_aml_phybully</t>
  </si>
  <si>
    <t>jhs_child_protection_bully</t>
  </si>
  <si>
    <t>sch_bully_aml_cybbully</t>
  </si>
  <si>
    <t>sch_bully_aml_genbully</t>
  </si>
  <si>
    <t>sch_bully_aml_socbully</t>
  </si>
  <si>
    <t>sch_bully_afl_phybully</t>
  </si>
  <si>
    <t>sch_bully_afl_cybbully</t>
  </si>
  <si>
    <t>sch_bully_afl_genbully</t>
  </si>
  <si>
    <t>sch_bully_afl_socbully</t>
  </si>
  <si>
    <t>sch_bully_aml_g7</t>
  </si>
  <si>
    <t>sch_bully_aml_g8</t>
  </si>
  <si>
    <t>sch_bully_aml_g9</t>
  </si>
  <si>
    <t>sch_bully_aml_g10</t>
  </si>
  <si>
    <t>sch_bully_afl_g7</t>
  </si>
  <si>
    <t>sch_bully_afl_g8</t>
  </si>
  <si>
    <t>sch_bully_afl_g9</t>
  </si>
  <si>
    <t>sch_bully_afl_g10</t>
  </si>
  <si>
    <t>sch_bully_phy_g7</t>
  </si>
  <si>
    <t>sch_bully_stl_g7</t>
  </si>
  <si>
    <t>sch_bully_skn_g7</t>
  </si>
  <si>
    <t>sch_bully_age_g7</t>
  </si>
  <si>
    <t>sch_bully_gen_g7</t>
  </si>
  <si>
    <t>sch_bully_eth_g7</t>
  </si>
  <si>
    <t>sch_bully_rel_g7</t>
  </si>
  <si>
    <t>sch_bully_dis_g7</t>
  </si>
  <si>
    <t>sch_bully_oth_g7</t>
  </si>
  <si>
    <t>sch_bully_phy_g8</t>
  </si>
  <si>
    <t>sch_bully_stl_g8</t>
  </si>
  <si>
    <t>sch_bully_skn_g8</t>
  </si>
  <si>
    <t>sch_bully_age_g8</t>
  </si>
  <si>
    <t>sch_bully_gen_g8</t>
  </si>
  <si>
    <t>sch_bully_eth_g8</t>
  </si>
  <si>
    <t>sch_bully_rel_g8</t>
  </si>
  <si>
    <t>sch_bully_dis_g8</t>
  </si>
  <si>
    <t>sch_bully_oth_g8</t>
  </si>
  <si>
    <t>sch_bully_phy_g9</t>
  </si>
  <si>
    <t>sch_bully_stl_g9</t>
  </si>
  <si>
    <t>sch_bully_skn_g9</t>
  </si>
  <si>
    <t>sch_bully_age_g9</t>
  </si>
  <si>
    <t>sch_bully_gen_g9</t>
  </si>
  <si>
    <t>sch_bully_eth_g9</t>
  </si>
  <si>
    <t>sch_bully_rel_g9</t>
  </si>
  <si>
    <t>sch_bully_dis_g9</t>
  </si>
  <si>
    <t>sch_bully_oth_g9</t>
  </si>
  <si>
    <t>sch_bully_phy_g10</t>
  </si>
  <si>
    <t>sch_bully_stl_g10</t>
  </si>
  <si>
    <t>sch_bully_skn_g10</t>
  </si>
  <si>
    <t>sch_bully_age_g10</t>
  </si>
  <si>
    <t>sch_bully_gen_g10</t>
  </si>
  <si>
    <t>sch_bully_eth_g10</t>
  </si>
  <si>
    <t>sch_bully_rel_g10</t>
  </si>
  <si>
    <t>sch_bully_dis_g10</t>
  </si>
  <si>
    <t>sch_bully_oth_g10</t>
  </si>
  <si>
    <t>avail_sp_sportsevent_archery</t>
  </si>
  <si>
    <t>jhs_sports_program</t>
  </si>
  <si>
    <t>avail_sp_sportsevent_arnis</t>
  </si>
  <si>
    <t>avail_sp_sportsevent_athlthrow</t>
  </si>
  <si>
    <t>avail_sp_sportsevent_athlrun</t>
  </si>
  <si>
    <t>avail_sp_sportsevent_badminton</t>
  </si>
  <si>
    <t>avail_sp_sportsevent_basketball</t>
  </si>
  <si>
    <t>avail_sp_sportsevent_baseball</t>
  </si>
  <si>
    <t>avail_sp_sportsevent_billard</t>
  </si>
  <si>
    <t>avail_sp_sportsevent_boxing</t>
  </si>
  <si>
    <t>avail_sp_sportsevent_chess</t>
  </si>
  <si>
    <t>avail_sp_sportsevent_dancesports</t>
  </si>
  <si>
    <t>avail_sp_sportsevent_football</t>
  </si>
  <si>
    <t>avail_sp_sportsevent_futsal</t>
  </si>
  <si>
    <t>avail_sp_sportsevent_aerogymn</t>
  </si>
  <si>
    <t>avail_sp_sportsevent_mag</t>
  </si>
  <si>
    <t>avail_sp_sportsclub_archery</t>
  </si>
  <si>
    <t>avail_sp_sportsclub_arnis</t>
  </si>
  <si>
    <t>avail_sp_sportsclub_athlthrow</t>
  </si>
  <si>
    <t>avail_sp_sportsclub_athlrun</t>
  </si>
  <si>
    <t>avail_sp_sportsclub_badminton</t>
  </si>
  <si>
    <t>avail_sp_sportsclub_basketball</t>
  </si>
  <si>
    <t>avail_sp_sportsclub_baseball</t>
  </si>
  <si>
    <t>avail_sp_sportsclub_billard</t>
  </si>
  <si>
    <t>avail_sp_sportsclub_boxing</t>
  </si>
  <si>
    <t>avail_sp_sportsclub_chess</t>
  </si>
  <si>
    <t>avail_sp_sportsclub_dancesports</t>
  </si>
  <si>
    <t>avail_sp_sportsclub_football</t>
  </si>
  <si>
    <t>avail_sp_sportsclub_futsal</t>
  </si>
  <si>
    <t>avail_sp_sportsclub_aerogymn</t>
  </si>
  <si>
    <t>avail_sp_sportsclub_mag</t>
  </si>
  <si>
    <t>avail_sp_sportsfac_archery</t>
  </si>
  <si>
    <t>avail_sp_sportsfac_arnis</t>
  </si>
  <si>
    <t>avail_sp_sportsfac_athlthrow</t>
  </si>
  <si>
    <t>avail_sp_sportsfac_athlrun</t>
  </si>
  <si>
    <t>avail_sp_sportsfac_badminton</t>
  </si>
  <si>
    <t>avail_sp_sportsfac_basketball</t>
  </si>
  <si>
    <t>avail_sp_sportsfac_baseball</t>
  </si>
  <si>
    <t>avail_sp_sportsfac_billard</t>
  </si>
  <si>
    <t>avail_sp_sportsfac_boxing</t>
  </si>
  <si>
    <t>avail_sp_sportsfac_chess</t>
  </si>
  <si>
    <t>avail_sp_sportsfac_dancesports</t>
  </si>
  <si>
    <t>avail_sp_sportsfac_football</t>
  </si>
  <si>
    <t>avail_sp_sportsfac_futsal</t>
  </si>
  <si>
    <t>avail_sp_sportsfac_aerogymn</t>
  </si>
  <si>
    <t>avail_sp_sportsfac_mag</t>
  </si>
  <si>
    <t>avail_sp_sportsevent_wag</t>
  </si>
  <si>
    <t>avail_sp_sportsevent_rg</t>
  </si>
  <si>
    <t>avail_sp_sportsevent_pencaksilat</t>
  </si>
  <si>
    <t>avail_sp_sportsevent_sepaktakraw</t>
  </si>
  <si>
    <t>avail_sp_sportsevent_softball</t>
  </si>
  <si>
    <t>avail_sp_sportsevent_swimming</t>
  </si>
  <si>
    <t>avail_sp_sportsevent_tabletennis</t>
  </si>
  <si>
    <t>avail_sp_sportsevent_taekwondo</t>
  </si>
  <si>
    <t>avail_sp_sportsevent_tennis</t>
  </si>
  <si>
    <t>avail_sp_sportsevent_volleyball</t>
  </si>
  <si>
    <t>avail_sp_sportsevent_wrestling</t>
  </si>
  <si>
    <t>avail_sp_sportsevent_wushu</t>
  </si>
  <si>
    <t>avail_sp_sportsevent_bocce</t>
  </si>
  <si>
    <t>avail_sp_sportsevent_goalball</t>
  </si>
  <si>
    <t>avail_sp_sportsclub_wag</t>
  </si>
  <si>
    <t>avail_sp_sportsclub_rg</t>
  </si>
  <si>
    <t>avail_sp_sportsclub_pencaksilat</t>
  </si>
  <si>
    <t>avail_sp_sportsclub_sepaktakraw</t>
  </si>
  <si>
    <t>avail_sp_sportsclub_softball</t>
  </si>
  <si>
    <t>avail_sp_sportsclub_swimming</t>
  </si>
  <si>
    <t>avail_sp_sportsclub_tabletennis</t>
  </si>
  <si>
    <t>avail_sp_sportsclub_taekwondo</t>
  </si>
  <si>
    <t>avail_sp_sportsclub_tennis</t>
  </si>
  <si>
    <t>avail_sp_sportsclub_volleyball</t>
  </si>
  <si>
    <t>avail_sp_sportsclub_wrestling</t>
  </si>
  <si>
    <t>avail_sp_sportsclub_wushu</t>
  </si>
  <si>
    <t>avail_sp_sportsclub_bocce</t>
  </si>
  <si>
    <t>avail_sp_sportsclub_goalball</t>
  </si>
  <si>
    <t>avail_sp_sportsfac_wag</t>
  </si>
  <si>
    <t>avail_sp_sportsfac_rg</t>
  </si>
  <si>
    <t>avail_sp_sportsfac_pencaksilat</t>
  </si>
  <si>
    <t>avail_sp_sportsfac_sepaktakraw</t>
  </si>
  <si>
    <t>avail_sp_sportsfac_softball</t>
  </si>
  <si>
    <t>avail_sp_sportsfac_swimming</t>
  </si>
  <si>
    <t>avail_sp_sportsfac_tabletennis</t>
  </si>
  <si>
    <t>avail_sp_sportsfac_taekwondo</t>
  </si>
  <si>
    <t>avail_sp_sportsfac_tennis</t>
  </si>
  <si>
    <t>avail_sp_sportsfac_volleyball</t>
  </si>
  <si>
    <t>avail_sp_sportsfac_wrestling</t>
  </si>
  <si>
    <t>avail_sp_sportsfac_wushu</t>
  </si>
  <si>
    <t>avail_sp_sportsfac_bocce</t>
  </si>
  <si>
    <t>avail_sp_sportsfac_goalball</t>
  </si>
  <si>
    <t>do_sports_coor_name</t>
  </si>
  <si>
    <t>do_sports_coor_post</t>
  </si>
  <si>
    <t>sch_sp_se_num_coaches_archery</t>
  </si>
  <si>
    <t>jhs_sports_personnel</t>
  </si>
  <si>
    <t>sch_sp_se_num_coaches_arnis</t>
  </si>
  <si>
    <t>sch_sp_se_num_coaches_athlthrow</t>
  </si>
  <si>
    <t>sch_sp_se_num_coaches_athltrun</t>
  </si>
  <si>
    <t>sch_sp_se_num_coaches_badminton</t>
  </si>
  <si>
    <t>sch_sp_se_num_coaches_baseball</t>
  </si>
  <si>
    <t>sch_sp_se_num_coaches_basketball</t>
  </si>
  <si>
    <t>sch_sp_se_num_coaches_billard</t>
  </si>
  <si>
    <t>sch_sp_se_num_coaches_boxing</t>
  </si>
  <si>
    <t>sch_sp_se_num_coaches_chess</t>
  </si>
  <si>
    <t>sch_sp_se_num_coaches_dancesports</t>
  </si>
  <si>
    <t>sch_sp_se_num_coaches_football</t>
  </si>
  <si>
    <t>sch_sp_se_num_coaches_futsal</t>
  </si>
  <si>
    <t>sch_sp_se_num_coaches_aerogymn</t>
  </si>
  <si>
    <t>sch_sp_se_num_coaches_mag</t>
  </si>
  <si>
    <t>sch_sp_se_num_coaches_wag</t>
  </si>
  <si>
    <t>sch_sp_se_num_coaches_rg</t>
  </si>
  <si>
    <t>sch_sp_se_num_coaches_pencaksilat</t>
  </si>
  <si>
    <t>sch_sp_se_num_coaches_sepaktakraw</t>
  </si>
  <si>
    <t>sch_sp_se_num_coaches_softball</t>
  </si>
  <si>
    <t>sch_sp_se_num_coaches_swimming</t>
  </si>
  <si>
    <t>sch_sp_se_num_coaches_tabletennis</t>
  </si>
  <si>
    <t>sch_sp_se_num_coaches_taekwondo</t>
  </si>
  <si>
    <t>sch_sp_se_num_coaches_tennis</t>
  </si>
  <si>
    <t>sch_sp_se_num_coaches_volleyball</t>
  </si>
  <si>
    <t>sch_sp_se_num_coaches_wrestling</t>
  </si>
  <si>
    <t>sch_sp_se_num_coaches_wushu</t>
  </si>
  <si>
    <t>sch_sp_se_num_coaches_bocce</t>
  </si>
  <si>
    <t>sch_sp_se_num_coaches_goalball</t>
  </si>
  <si>
    <t>sch_sp_se_num_nonpeteachss_archery</t>
  </si>
  <si>
    <t>sch_sp_se_num_nonpeteachss_arnis</t>
  </si>
  <si>
    <t>sch_sp_se_num_nonpeteachss_athlthrow</t>
  </si>
  <si>
    <t>sch_sp_se_num_nonpeteachss_athltrun</t>
  </si>
  <si>
    <t>sch_sp_se_num_nonpeteachss_badminton</t>
  </si>
  <si>
    <t>sch_sp_se_num_nonpeteachss_baseball</t>
  </si>
  <si>
    <t>sch_sp_se_num_nonpeteachss_basketball</t>
  </si>
  <si>
    <t>sch_sp_se_num_nonpeteachss_billard</t>
  </si>
  <si>
    <t>sch_sp_se_num_nonpeteachss_boxing</t>
  </si>
  <si>
    <t>sch_sp_se_num_nonpeteachss_chess</t>
  </si>
  <si>
    <t>sch_sp_se_num_nonpeteachss_dancesports</t>
  </si>
  <si>
    <t>sch_sp_se_num_nonpeteachss_football</t>
  </si>
  <si>
    <t>sch_sp_se_num_nonpeteachss_futsal</t>
  </si>
  <si>
    <t>sch_sp_se_num_nonpeteachss_aerogymn</t>
  </si>
  <si>
    <t>sch_sp_se_num_nonpeteachss_mag</t>
  </si>
  <si>
    <t>sch_sp_se_num_nonpeteachss_wag</t>
  </si>
  <si>
    <t>sch_sp_se_num_nonpeteachss_rg</t>
  </si>
  <si>
    <t>sch_sp_se_num_nonpeteachss_pencaksilat</t>
  </si>
  <si>
    <t>sch_sp_se_num_nonpeteachss_sepaktakraw</t>
  </si>
  <si>
    <t>sch_sp_se_num_nonpeteachss_softball</t>
  </si>
  <si>
    <t>sch_sp_se_num_nonpeteachss_swimming</t>
  </si>
  <si>
    <t>sch_sp_se_num_nonpeteachss_tabletennis</t>
  </si>
  <si>
    <t>sch_sp_se_num_nonpeteachss_taekwondo</t>
  </si>
  <si>
    <t>sch_sp_se_num_nonpeteachss_tennis</t>
  </si>
  <si>
    <t>sch_sp_se_num_nonpeteachss_volleyball</t>
  </si>
  <si>
    <t>sch_sp_se_num_nonpeteachss_wrestling</t>
  </si>
  <si>
    <t>sch_sp_se_num_nonpeteachss_wushu</t>
  </si>
  <si>
    <t>sch_sp_se_num_nonpeteachss_bocce</t>
  </si>
  <si>
    <t>sch_sp_se_num_nonpeteachss_goalball</t>
  </si>
  <si>
    <t>sch_sp_se_num_nonteachpss_archery</t>
  </si>
  <si>
    <t>sch_sp_se_num_nonteachpss_arnis</t>
  </si>
  <si>
    <t>sch_sp_se_num_nonteachpss_athlthrow</t>
  </si>
  <si>
    <t>sch_sp_se_num_nonteachpss_athltrun</t>
  </si>
  <si>
    <t>sch_sp_se_num_nonteachpss_badminton</t>
  </si>
  <si>
    <t>sch_sp_se_num_nonteachpss_baseball</t>
  </si>
  <si>
    <t>sch_sp_se_num_nonteachpss_basketball</t>
  </si>
  <si>
    <t>sch_sp_se_num_nonteachpss_billard</t>
  </si>
  <si>
    <t>sch_sp_se_num_nonteachpss_boxing</t>
  </si>
  <si>
    <t>sch_sp_se_num_nonteachpss_chess</t>
  </si>
  <si>
    <t>sch_sp_se_num_nonteachpss_dancesports</t>
  </si>
  <si>
    <t>sch_sp_se_num_nonteachpss_football</t>
  </si>
  <si>
    <t>sch_sp_se_num_nonteachpss_futsal</t>
  </si>
  <si>
    <t>sch_sp_se_num_nonteachpss_aerogymn</t>
  </si>
  <si>
    <t>sch_sp_se_num_nonteachpss_mag</t>
  </si>
  <si>
    <t>sch_sp_se_num_nonteachpss_wag</t>
  </si>
  <si>
    <t>sch_sp_se_num_nonteachpss_rg</t>
  </si>
  <si>
    <t>sch_sp_se_num_nonteachpss_pencaksilat</t>
  </si>
  <si>
    <t>sch_sp_se_num_nonteachpss_sepaktakraw</t>
  </si>
  <si>
    <t>sch_sp_se_num_nonteachpss_softball</t>
  </si>
  <si>
    <t>sch_sp_se_num_nonteachpss_swimming</t>
  </si>
  <si>
    <t>sch_sp_se_num_nonteachpss_tabletennis</t>
  </si>
  <si>
    <t>sch_sp_se_num_nonteachpss_taekwondo</t>
  </si>
  <si>
    <t>sch_sp_se_num_nonteachpss_tennis</t>
  </si>
  <si>
    <t>sch_sp_se_num_nonteachpss_volleyball</t>
  </si>
  <si>
    <t>sch_sp_se_num_nonteachpss_wrestling</t>
  </si>
  <si>
    <t>sch_sp_se_num_nonteachpss_wushu</t>
  </si>
  <si>
    <t>sch_sp_se_num_nonteachpss_bocce</t>
  </si>
  <si>
    <t>sch_sp_se_num_nonteachpss_goalball</t>
  </si>
  <si>
    <t>sch_sp_se_num_officials_archery</t>
  </si>
  <si>
    <t>sch_sp_se_num_officials_arnis</t>
  </si>
  <si>
    <t>sch_sp_se_num_officials_athlthrow</t>
  </si>
  <si>
    <t>sch_sp_se_num_officials_athltrun</t>
  </si>
  <si>
    <t>sch_sp_se_num_officials_badminton</t>
  </si>
  <si>
    <t>sch_sp_se_num_officials_baseball</t>
  </si>
  <si>
    <t>sch_sp_se_num_officials_basketball</t>
  </si>
  <si>
    <t>sch_sp_se_num_officials_billard</t>
  </si>
  <si>
    <t>sch_sp_se_num_officials_boxing</t>
  </si>
  <si>
    <t>sch_sp_se_num_officials_chess</t>
  </si>
  <si>
    <t>sch_sp_se_num_officials_dancesports</t>
  </si>
  <si>
    <t>sch_sp_se_num_officials_football</t>
  </si>
  <si>
    <t>sch_sp_se_num_officials_futsal</t>
  </si>
  <si>
    <t>sch_sp_se_num_officials_aerogymn</t>
  </si>
  <si>
    <t>sch_sp_se_num_officials_mag</t>
  </si>
  <si>
    <t>sch_sp_se_num_officials_wag</t>
  </si>
  <si>
    <t>sch_sp_se_num_officials_rg</t>
  </si>
  <si>
    <t>sch_sp_se_num_officials_pencaksilat</t>
  </si>
  <si>
    <t>sch_sp_se_num_officials_sepaktakraw</t>
  </si>
  <si>
    <t>sch_sp_se_num_officials_softball</t>
  </si>
  <si>
    <t>sch_sp_se_num_officials_swimming</t>
  </si>
  <si>
    <t>sch_sp_se_num_officials_tabletennis</t>
  </si>
  <si>
    <t>sch_sp_se_num_officials_taekwondo</t>
  </si>
  <si>
    <t>sch_sp_se_num_officials_tennis</t>
  </si>
  <si>
    <t>sch_sp_se_num_officials_volleyball</t>
  </si>
  <si>
    <t>sch_sp_se_num_officials_wrestling</t>
  </si>
  <si>
    <t>sch_sp_se_num_officials_wushu</t>
  </si>
  <si>
    <t>sch_sp_se_num_officials_bocce</t>
  </si>
  <si>
    <t>sch_sp_se_num_officials_goalball</t>
  </si>
  <si>
    <t>sch_sp_se_num_peteachss_archery</t>
  </si>
  <si>
    <t>sch_sp_se_num_peteachss_arnis</t>
  </si>
  <si>
    <t>sch_sp_se_num_peteachss_athlthrow</t>
  </si>
  <si>
    <t>sch_sp_se_num_peteachss_athltrun</t>
  </si>
  <si>
    <t>sch_sp_se_num_peteachss_badminton</t>
  </si>
  <si>
    <t>sch_sp_se_num_peteachss_baseball</t>
  </si>
  <si>
    <t>sch_sp_se_num_peteachss_basketball</t>
  </si>
  <si>
    <t>sch_sp_se_num_peteachss_billard</t>
  </si>
  <si>
    <t>sch_sp_se_num_peteachss_boxing</t>
  </si>
  <si>
    <t>sch_sp_se_num_peteachss_chess</t>
  </si>
  <si>
    <t>sch_sp_se_num_peteachss_dancesports</t>
  </si>
  <si>
    <t>sch_sp_se_num_peteachss_football</t>
  </si>
  <si>
    <t>sch_sp_se_num_peteachss_futsal</t>
  </si>
  <si>
    <t>sch_sp_se_num_peteachss_aerogymn</t>
  </si>
  <si>
    <t>sch_sp_se_num_peteachss_mag</t>
  </si>
  <si>
    <t>sch_sp_se_num_peteachss_wag</t>
  </si>
  <si>
    <t>sch_sp_se_num_peteachss_rg</t>
  </si>
  <si>
    <t>sch_sp_se_num_peteachss_pencaksilat</t>
  </si>
  <si>
    <t>sch_sp_se_num_peteachss_sepaktakraw</t>
  </si>
  <si>
    <t>sch_sp_se_num_peteachss_softball</t>
  </si>
  <si>
    <t>sch_sp_se_num_peteachss_swimming</t>
  </si>
  <si>
    <t>sch_sp_se_num_peteachss_tabletennis</t>
  </si>
  <si>
    <t>sch_sp_se_num_peteachss_taekwondo</t>
  </si>
  <si>
    <t>sch_sp_se_num_peteachss_tennis</t>
  </si>
  <si>
    <t>sch_sp_se_num_peteachss_volleyball</t>
  </si>
  <si>
    <t>sch_sp_se_num_peteachss_wrestling</t>
  </si>
  <si>
    <t>sch_sp_se_num_peteachss_wushu</t>
  </si>
  <si>
    <t>sch_sp_se_num_peteachss_bocce</t>
  </si>
  <si>
    <t>sch_sp_se_num_peteachss_goalball</t>
  </si>
  <si>
    <t>disastercalamities_natural_apr_drought</t>
  </si>
  <si>
    <t>jhs_disaster</t>
  </si>
  <si>
    <t>disastercalamities_natural_apr_earthquake</t>
  </si>
  <si>
    <t>disastercalamities_natural_apr_fire</t>
  </si>
  <si>
    <t>disastercalamities_natural_apr_flood</t>
  </si>
  <si>
    <t>disastercalamities_natural_apr_landslide</t>
  </si>
  <si>
    <t>disastercalamities_natural_apr_stormsurge</t>
  </si>
  <si>
    <t>disastercalamities_natural_apr_tropicyclone</t>
  </si>
  <si>
    <t>disastercalamities_natural_apr_tsunami</t>
  </si>
  <si>
    <t>disastercalamities_natural_apr_volcanerupt</t>
  </si>
  <si>
    <t>disastercalamities_natural_aug_drought</t>
  </si>
  <si>
    <t>disastercalamities_natural_aug_earthquake</t>
  </si>
  <si>
    <t>disastercalamities_natural_aug_fire</t>
  </si>
  <si>
    <t>disastercalamities_natural_aug_flood</t>
  </si>
  <si>
    <t>disastercalamities_natural_aug_landslide</t>
  </si>
  <si>
    <t>disastercalamities_natural_aug_stormsurge</t>
  </si>
  <si>
    <t>disastercalamities_natural_aug_tropicyclone</t>
  </si>
  <si>
    <t>disastercalamities_natural_aug_tsunami</t>
  </si>
  <si>
    <t>disastercalamities_natural_aug_volcanerupt</t>
  </si>
  <si>
    <t>disastercalamities_natural_dec_drought</t>
  </si>
  <si>
    <t>disastercalamities_natural_dec_earthquake</t>
  </si>
  <si>
    <t>disastercalamities_natural_dec_fire</t>
  </si>
  <si>
    <t>disastercalamities_natural_dec_flood</t>
  </si>
  <si>
    <t>disastercalamities_natural_dec_landslide</t>
  </si>
  <si>
    <t>disastercalamities_natural_dec_stormsurge</t>
  </si>
  <si>
    <t>disastercalamities_natural_dec_tropicyclone</t>
  </si>
  <si>
    <t>disastercalamities_natural_dec_tsunami</t>
  </si>
  <si>
    <t>disastercalamities_natural_dec_volcanerupt</t>
  </si>
  <si>
    <t>disastercalamities_natural_feb_drought</t>
  </si>
  <si>
    <t>disastercalamities_natural_feb_earthquake</t>
  </si>
  <si>
    <t>disastercalamities_natural_feb_fire</t>
  </si>
  <si>
    <t>disastercalamities_natural_feb_flood</t>
  </si>
  <si>
    <t>disastercalamities_natural_feb_landslide</t>
  </si>
  <si>
    <t>disastercalamities_natural_feb_stormsurge</t>
  </si>
  <si>
    <t>disastercalamities_natural_feb_tropicyclone</t>
  </si>
  <si>
    <t>disastercalamities_natural_feb_tsunami</t>
  </si>
  <si>
    <t>disastercalamities_natural_feb_volcanerupt</t>
  </si>
  <si>
    <t>disastercalamities_natural_jan_drought</t>
  </si>
  <si>
    <t>disastercalamities_natural_jan_earthquake</t>
  </si>
  <si>
    <t>disastercalamities_natural_jan_fire</t>
  </si>
  <si>
    <t>disastercalamities_natural_jan_flood</t>
  </si>
  <si>
    <t>disastercalamities_natural_jan_landslide</t>
  </si>
  <si>
    <t>disastercalamities_natural_jan_stormsurge</t>
  </si>
  <si>
    <t>disastercalamities_natural_jan_tropicyclone</t>
  </si>
  <si>
    <t>disastercalamities_natural_jan_tsunami</t>
  </si>
  <si>
    <t>disastercalamities_natural_jan_volcanerupt</t>
  </si>
  <si>
    <t>disastercalamities_natural_jul_drought</t>
  </si>
  <si>
    <t>disastercalamities_natural_jul_earthquake</t>
  </si>
  <si>
    <t>disastercalamities_natural_jul_fire</t>
  </si>
  <si>
    <t>disastercalamities_natural_jul_flood</t>
  </si>
  <si>
    <t>disastercalamities_natural_jul_landslide</t>
  </si>
  <si>
    <t>disastercalamities_natural_jul_stormsurge</t>
  </si>
  <si>
    <t>disastercalamities_natural_jul_tropicyclone</t>
  </si>
  <si>
    <t>disastercalamities_natural_jul_tsunami</t>
  </si>
  <si>
    <t>disastercalamities_natural_jul_volcanerupt</t>
  </si>
  <si>
    <t>disastercalamities_natural_jun_drought</t>
  </si>
  <si>
    <t>disastercalamities_natural_jun_earthquake</t>
  </si>
  <si>
    <t>disastercalamities_natural_jun_fire</t>
  </si>
  <si>
    <t>disastercalamities_natural_jun_flood</t>
  </si>
  <si>
    <t>disastercalamities_natural_jun_landslide</t>
  </si>
  <si>
    <t>disastercalamities_natural_jun_stormsurge</t>
  </si>
  <si>
    <t>disastercalamities_natural_jun_tropicyclone</t>
  </si>
  <si>
    <t>disastercalamities_natural_jun_tsunami</t>
  </si>
  <si>
    <t>disastercalamities_natural_jun_volcanerupt</t>
  </si>
  <si>
    <t>disastercalamities_natural_mar_drought</t>
  </si>
  <si>
    <t>disastercalamities_natural_mar_earthquake</t>
  </si>
  <si>
    <t>disastercalamities_natural_mar_fire</t>
  </si>
  <si>
    <t>disastercalamities_natural_mar_flood</t>
  </si>
  <si>
    <t>disastercalamities_natural_mar_landslide</t>
  </si>
  <si>
    <t>disastercalamities_natural_mar_stormsurge</t>
  </si>
  <si>
    <t>disastercalamities_natural_mar_tropicyclone</t>
  </si>
  <si>
    <t>disastercalamities_natural_mar_tsunami</t>
  </si>
  <si>
    <t>disastercalamities_natural_mar_volcanerupt</t>
  </si>
  <si>
    <t>disastercalamities_natural_may_drought</t>
  </si>
  <si>
    <t>disastercalamities_natural_may_earthquake</t>
  </si>
  <si>
    <t>disastercalamities_natural_may_fire</t>
  </si>
  <si>
    <t>disastercalamities_natural_may_flood</t>
  </si>
  <si>
    <t>disastercalamities_natural_may_landslide</t>
  </si>
  <si>
    <t>disastercalamities_natural_may_stormsurge</t>
  </si>
  <si>
    <t>disastercalamities_natural_may_tropicyclone</t>
  </si>
  <si>
    <t>disastercalamities_natural_may_tsunami</t>
  </si>
  <si>
    <t>disastercalamities_natural_may_volcanerupt</t>
  </si>
  <si>
    <t>disastercalamities_natural_nov_drought</t>
  </si>
  <si>
    <t>disastercalamities_natural_nov_earthquake</t>
  </si>
  <si>
    <t>disastercalamities_natural_nov_fire</t>
  </si>
  <si>
    <t>disastercalamities_natural_nov_flood</t>
  </si>
  <si>
    <t>disastercalamities_natural_nov_landslide</t>
  </si>
  <si>
    <t>disastercalamities_natural_nov_stormsurge</t>
  </si>
  <si>
    <t>disastercalamities_natural_nov_tropicyclone</t>
  </si>
  <si>
    <t>disastercalamities_natural_nov_tsunami</t>
  </si>
  <si>
    <t>disastercalamities_natural_nov_volcanerupt</t>
  </si>
  <si>
    <t>disastercalamities_natural_oct_drought</t>
  </si>
  <si>
    <t>disastercalamities_natural_oct_earthquake</t>
  </si>
  <si>
    <t>disastercalamities_natural_oct_fire</t>
  </si>
  <si>
    <t>disastercalamities_natural_oct_flood</t>
  </si>
  <si>
    <t>disastercalamities_natural_oct_landslide</t>
  </si>
  <si>
    <t>disastercalamities_natural_oct_stormsurge</t>
  </si>
  <si>
    <t>disastercalamities_natural_oct_tropicyclone</t>
  </si>
  <si>
    <t>disastercalamities_natural_oct_tsunami</t>
  </si>
  <si>
    <t>disastercalamities_natural_oct_volcanerupt</t>
  </si>
  <si>
    <t>disastercalamities_natural_sep_drought</t>
  </si>
  <si>
    <t>disastercalamities_natural_sep_earthquake</t>
  </si>
  <si>
    <t>disastercalamities_natural_sep_fire</t>
  </si>
  <si>
    <t>disastercalamities_natural_sep_flood</t>
  </si>
  <si>
    <t>disastercalamities_natural_sep_landslide</t>
  </si>
  <si>
    <t>disastercalamities_natural_sep_stormsurge</t>
  </si>
  <si>
    <t>disastercalamities_natural_sep_tropicyclone</t>
  </si>
  <si>
    <t>disastercalamities_natural_sep_tsunami</t>
  </si>
  <si>
    <t>disastercalamities_natural_sep_volcanerupt</t>
  </si>
  <si>
    <t>disastercalamities_human_induced_apr_bomb_schprem</t>
  </si>
  <si>
    <t>disastercalamities_human_induced_apr_bombthreat_schprem</t>
  </si>
  <si>
    <t>disastercalamities_human_induced_apr_crime_learners</t>
  </si>
  <si>
    <t>disastercalamities_human_induced_apr_crime_non_teachers</t>
  </si>
  <si>
    <t>disastercalamities_human_induced_apr_crime_schhead</t>
  </si>
  <si>
    <t>disastercalamities_human_induced_apr_crime_schproperty</t>
  </si>
  <si>
    <t>disastercalamities_human_induced_apr_crime_teachers</t>
  </si>
  <si>
    <t>disastercalamities_human_induced_apr_fire</t>
  </si>
  <si>
    <t>disastercalamities_human_induced_apr_hazarous_materials</t>
  </si>
  <si>
    <t>disastercalamities_human_induced_apr_healththreat</t>
  </si>
  <si>
    <t>disastercalamities_human_induced_apr_hostage_insch</t>
  </si>
  <si>
    <t>disastercalamities_human_induced_apr_others_specify</t>
  </si>
  <si>
    <t>disastercalamities_human_induced_apr_structural_collapse</t>
  </si>
  <si>
    <t>disastercalamities_human_induced_aug_bomb_schprem</t>
  </si>
  <si>
    <t>disastercalamities_human_induced_aug_bombthreat_schprem</t>
  </si>
  <si>
    <t>disastercalamities_human_induced_aug_crime_learners</t>
  </si>
  <si>
    <t>disastercalamities_human_induced_aug_crime_non_teachers</t>
  </si>
  <si>
    <t>disastercalamities_human_induced_aug_crime_schhead</t>
  </si>
  <si>
    <t>disastercalamities_human_induced_aug_crime_schproperty</t>
  </si>
  <si>
    <t>disastercalamities_human_induced_aug_crime_teachers</t>
  </si>
  <si>
    <t>disastercalamities_human_induced_aug_fire</t>
  </si>
  <si>
    <t>disastercalamities_human_induced_aug_hazarous_materials</t>
  </si>
  <si>
    <t>disastercalamities_human_induced_aug_healththreat</t>
  </si>
  <si>
    <t>disastercalamities_human_induced_aug_hostage_insch</t>
  </si>
  <si>
    <t>disastercalamities_human_induced_aug_others_specify</t>
  </si>
  <si>
    <t>disastercalamities_human_induced_aug_structural_collapse</t>
  </si>
  <si>
    <t>disastercalamities_human_induced_dec_bomb_schprem</t>
  </si>
  <si>
    <t>disastercalamities_human_induced_dec_bombthreat_schprem</t>
  </si>
  <si>
    <t>disastercalamities_human_induced_dec_crime_learners</t>
  </si>
  <si>
    <t>disastercalamities_human_induced_dec_crime_non_teachers</t>
  </si>
  <si>
    <t>disastercalamities_human_induced_dec_crime_schhead</t>
  </si>
  <si>
    <t>disastercalamities_human_induced_dec_crime_schproperty</t>
  </si>
  <si>
    <t>disastercalamities_human_induced_dec_crime_teachers</t>
  </si>
  <si>
    <t>disastercalamities_human_induced_dec_fire</t>
  </si>
  <si>
    <t>disastercalamities_human_induced_dec_hazarous_materials</t>
  </si>
  <si>
    <t>disastercalamities_human_induced_dec_healththreat</t>
  </si>
  <si>
    <t>disastercalamities_human_induced_dec_hostage_insch</t>
  </si>
  <si>
    <t>disastercalamities_human_induced_dec_others_specify</t>
  </si>
  <si>
    <t>disastercalamities_human_induced_dec_structural_collapse</t>
  </si>
  <si>
    <t>disastercalamities_human_induced_feb_bomb_schprem</t>
  </si>
  <si>
    <t>disastercalamities_human_induced_feb_bombthreat_schprem</t>
  </si>
  <si>
    <t>disastercalamities_human_induced_feb_crime_learners</t>
  </si>
  <si>
    <t>disastercalamities_human_induced_feb_crime_non_teachers</t>
  </si>
  <si>
    <t>disastercalamities_human_induced_feb_crime_schhead</t>
  </si>
  <si>
    <t>disastercalamities_human_induced_feb_crime_schproperty</t>
  </si>
  <si>
    <t>disastercalamities_human_induced_feb_crime_teachers</t>
  </si>
  <si>
    <t>disastercalamities_human_induced_feb_fire</t>
  </si>
  <si>
    <t>disastercalamities_human_induced_feb_hazarous_materials</t>
  </si>
  <si>
    <t>disastercalamities_human_induced_feb_healththreat</t>
  </si>
  <si>
    <t>disastercalamities_human_induced_feb_hostage_insch</t>
  </si>
  <si>
    <t>disastercalamities_human_induced_feb_others_specify</t>
  </si>
  <si>
    <t>disastercalamities_human_induced_feb_structural_collapse</t>
  </si>
  <si>
    <t>disastercalamities_human_induced_jan_bomb_schprem</t>
  </si>
  <si>
    <t>disastercalamities_human_induced_jan_bombthreat_schprem</t>
  </si>
  <si>
    <t>disastercalamities_human_induced_jan_crime_learners</t>
  </si>
  <si>
    <t>disastercalamities_human_induced_jan_crime_non_teachers</t>
  </si>
  <si>
    <t>disastercalamities_human_induced_jan_crime_schhead</t>
  </si>
  <si>
    <t>disastercalamities_human_induced_jan_crime_schproperty</t>
  </si>
  <si>
    <t>disastercalamities_human_induced_jan_crime_teachers</t>
  </si>
  <si>
    <t>disastercalamities_human_induced_jan_fire</t>
  </si>
  <si>
    <t>disastercalamities_human_induced_jan_hazarous_materials</t>
  </si>
  <si>
    <t>disastercalamities_human_induced_jan_healththreat</t>
  </si>
  <si>
    <t>disastercalamities_human_induced_jan_hostage_insch</t>
  </si>
  <si>
    <t>disastercalamities_human_induced_jan_others_specify</t>
  </si>
  <si>
    <t>disastercalamities_human_induced_jan_structural_collapse</t>
  </si>
  <si>
    <t>disastercalamities_human_induced_jul_bomb_schprem</t>
  </si>
  <si>
    <t>disastercalamities_human_induced_jul_bombthreat_schprem</t>
  </si>
  <si>
    <t>disastercalamities_human_induced_jul_crime_learners</t>
  </si>
  <si>
    <t>disastercalamities_human_induced_jul_crime_non_teachers</t>
  </si>
  <si>
    <t>disastercalamities_human_induced_jul_crime_schhead</t>
  </si>
  <si>
    <t>disastercalamities_human_induced_jul_crime_schproperty</t>
  </si>
  <si>
    <t>disastercalamities_human_induced_jul_crime_teachers</t>
  </si>
  <si>
    <t>disastercalamities_human_induced_jul_fire</t>
  </si>
  <si>
    <t>disastercalamities_human_induced_jul_hazarous_materials</t>
  </si>
  <si>
    <t>disastercalamities_human_induced_jul_healththreat</t>
  </si>
  <si>
    <t>disastercalamities_human_induced_jul_hostage_insch</t>
  </si>
  <si>
    <t>disastercalamities_human_induced_jul_others_specify</t>
  </si>
  <si>
    <t>disastercalamities_human_induced_jul_structural_collapse</t>
  </si>
  <si>
    <t>disastercalamities_human_induced_jun_bomb_schprem</t>
  </si>
  <si>
    <t>disastercalamities_human_induced_jun_bombthreat_schprem</t>
  </si>
  <si>
    <t>disastercalamities_human_induced_jun_crime_learners</t>
  </si>
  <si>
    <t>disastercalamities_human_induced_jun_crime_non_teachers</t>
  </si>
  <si>
    <t>disastercalamities_human_induced_jun_crime_schhead</t>
  </si>
  <si>
    <t>disastercalamities_human_induced_jun_crime_schproperty</t>
  </si>
  <si>
    <t>disastercalamities_human_induced_jun_crime_teachers</t>
  </si>
  <si>
    <t>disastercalamities_human_induced_jun_fire</t>
  </si>
  <si>
    <t>disastercalamities_human_induced_jun_hazardous_materials</t>
  </si>
  <si>
    <t>disastercalamities_human_induced_jun_healththreat</t>
  </si>
  <si>
    <t>disastercalamities_human_induced_jun_hostage_insch</t>
  </si>
  <si>
    <t>disastercalamities_human_induced_jun_others_specify</t>
  </si>
  <si>
    <t>disastercalamities_human_induced_jun_structural_collapse</t>
  </si>
  <si>
    <t>disastercalamities_human_induced_mar_bomb_schprem</t>
  </si>
  <si>
    <t>disastercalamities_human_induced_mar_bombthreat_schprem</t>
  </si>
  <si>
    <t>disastercalamities_human_induced_mar_crime_learners</t>
  </si>
  <si>
    <t>disastercalamities_human_induced_mar_crime_non_teachers</t>
  </si>
  <si>
    <t>disastercalamities_human_induced_mar_crime_schhead</t>
  </si>
  <si>
    <t>disastercalamities_human_induced_mar_crime_schproperty</t>
  </si>
  <si>
    <t>disastercalamities_human_induced_mar_crime_teachers</t>
  </si>
  <si>
    <t>disastercalamities_human_induced_mar_fire</t>
  </si>
  <si>
    <t>disastercalamities_human_induced_mar_hazarous_materials</t>
  </si>
  <si>
    <t>disastercalamities_human_induced_mar_healththreat</t>
  </si>
  <si>
    <t>disastercalamities_human_induced_mar_hostage_insch</t>
  </si>
  <si>
    <t>disastercalamities_human_induced_mar_others_specify</t>
  </si>
  <si>
    <t>disastercalamities_human_induced_mar_structural_collapse</t>
  </si>
  <si>
    <t>disastercalamities_human_induced_may_bomb_schprem</t>
  </si>
  <si>
    <t>disastercalamities_human_induced_may_bombthreat_schprem</t>
  </si>
  <si>
    <t>disastercalamities_human_induced_may_crime_learners</t>
  </si>
  <si>
    <t>disastercalamities_human_induced_may_crime_non_teachers</t>
  </si>
  <si>
    <t>disastercalamities_human_induced_may_crime_schhead</t>
  </si>
  <si>
    <t>disastercalamities_human_induced_may_crime_schproperty</t>
  </si>
  <si>
    <t>disastercalamities_human_induced_may_crime_teachers</t>
  </si>
  <si>
    <t>disastercalamities_human_induced_may_fire</t>
  </si>
  <si>
    <t>disastercalamities_human_induced_may_hazarous_materials</t>
  </si>
  <si>
    <t>disastercalamities_human_induced_may_healththreat</t>
  </si>
  <si>
    <t>disastercalamities_human_induced_may_hostage_insch</t>
  </si>
  <si>
    <t>disastercalamities_human_induced_may_others_specify</t>
  </si>
  <si>
    <t>disastercalamities_human_induced_may_structural_collapse</t>
  </si>
  <si>
    <t>disastercalamities_human_induced_nov_bomb_schprem</t>
  </si>
  <si>
    <t>disastercalamities_human_induced_nov_bombthreat_schprem</t>
  </si>
  <si>
    <t>disastercalamities_human_induced_nov_crime_learners</t>
  </si>
  <si>
    <t>disastercalamities_human_induced_nov_crime_non_teachers</t>
  </si>
  <si>
    <t>disastercalamities_human_induced_nov_crime_schhead</t>
  </si>
  <si>
    <t>disastercalamities_human_induced_nov_crime_schproperty</t>
  </si>
  <si>
    <t>disastercalamities_human_induced_nov_crime_teachers</t>
  </si>
  <si>
    <t>disastercalamities_human_induced_nov_fire</t>
  </si>
  <si>
    <t>disastercalamities_human_induced_nov_hazarous_materials</t>
  </si>
  <si>
    <t>disastercalamities_human_induced_nov_healththreat</t>
  </si>
  <si>
    <t>disastercalamities_human_induced_nov_hostage_insch</t>
  </si>
  <si>
    <t>disastercalamities_human_induced_nov_others_specify</t>
  </si>
  <si>
    <t>disastercalamities_human_induced_nov_structural_collapse</t>
  </si>
  <si>
    <t>disastercalamities_human_induced_oct_bomb_schprem</t>
  </si>
  <si>
    <t>disastercalamities_human_induced_oct_bombthreat_schprem</t>
  </si>
  <si>
    <t>disastercalamities_human_induced_oct_crime_learners</t>
  </si>
  <si>
    <t>disastercalamities_human_induced_oct_crime_non_teachers</t>
  </si>
  <si>
    <t>disastercalamities_human_induced_oct_crime_schhead</t>
  </si>
  <si>
    <t>disastercalamities_human_induced_oct_crime_schproperty</t>
  </si>
  <si>
    <t>disastercalamities_human_induced_oct_crime_teachers</t>
  </si>
  <si>
    <t>disastercalamities_human_induced_oct_fire</t>
  </si>
  <si>
    <t>disastercalamities_human_induced_oct_hazarous_materials</t>
  </si>
  <si>
    <t>disastercalamities_human_induced_oct_healththreat</t>
  </si>
  <si>
    <t>disastercalamities_human_induced_oct_hostage_insch</t>
  </si>
  <si>
    <t>disastercalamities_human_induced_oct_others_specify</t>
  </si>
  <si>
    <t>disastercalamities_human_induced_oct_structural_collapse</t>
  </si>
  <si>
    <t>disastercalamities_human_induced_others_specify</t>
  </si>
  <si>
    <t>disastercalamities_human_induced_sep_bomb_schprem</t>
  </si>
  <si>
    <t>disastercalamities_human_induced_sep_bombthreat_schprem</t>
  </si>
  <si>
    <t>disastercalamities_human_induced_sep_crime_learners</t>
  </si>
  <si>
    <t>disastercalamities_human_induced_sep_crime_non_teachers</t>
  </si>
  <si>
    <t>disastercalamities_human_induced_sep_crime_schhead</t>
  </si>
  <si>
    <t>disastercalamities_human_induced_sep_crime_schproperty</t>
  </si>
  <si>
    <t>disastercalamities_human_induced_sep_crime_teachers</t>
  </si>
  <si>
    <t>disastercalamities_human_induced_sep_fire</t>
  </si>
  <si>
    <t>disastercalamities_human_induced_sep_hazarous_materials</t>
  </si>
  <si>
    <t>disastercalamities_human_induced_sep_healththreat</t>
  </si>
  <si>
    <t>disastercalamities_human_induced_sep_hostage_insch</t>
  </si>
  <si>
    <t>disastercalamities_human_induced_sep_others_specify</t>
  </si>
  <si>
    <t>disastercalamities_human_induced_sep_structural_collapse</t>
  </si>
  <si>
    <t>drrm_coor_name</t>
  </si>
  <si>
    <t>drrm_coor_post</t>
  </si>
  <si>
    <t>disaster_armeconflictexp_sep</t>
  </si>
  <si>
    <t>jhs_conflict_bymonth</t>
  </si>
  <si>
    <t>disaster_armeconflictexp_oct</t>
  </si>
  <si>
    <t>disaster_armeconflictexp_nov</t>
  </si>
  <si>
    <t>disaster_armeconflictexp_dec</t>
  </si>
  <si>
    <t>disaster_armeconflictexp_jan</t>
  </si>
  <si>
    <t>disaster_armeconflictexp_feb</t>
  </si>
  <si>
    <t>disaster_armeconflictexp_mar</t>
  </si>
  <si>
    <t>disaster_armeconflictexp_apr</t>
  </si>
  <si>
    <t>disaster_armeconflictexp_may</t>
  </si>
  <si>
    <t>disaster_armeconflictexp_jun</t>
  </si>
  <si>
    <t>disaster_armeconflictexp_july</t>
  </si>
  <si>
    <t>disaster_armeconflictexp_aug</t>
  </si>
  <si>
    <t>disaster_armedconflict_sep_stateactors_afp</t>
  </si>
  <si>
    <t>disaster_armedconflict_sep_stateactors_pnp</t>
  </si>
  <si>
    <t>disaster_armedconflict_sep_stateactors_others_specify</t>
  </si>
  <si>
    <t>disaster_armedconflict_sep_nonstateactors_asg</t>
  </si>
  <si>
    <t>disaster_armedconflict_sep_nonstateactors_biff</t>
  </si>
  <si>
    <t>disaster_armedconflict_sep_nonstateactors_npa</t>
  </si>
  <si>
    <t>disaster_armedconflict_sep_nonstateactors_maute</t>
  </si>
  <si>
    <t>disaster_armedconflict_sep_nonstateactors_mnlf</t>
  </si>
  <si>
    <t>disaster_armedconflict_sep_nonstateactors_others_specify</t>
  </si>
  <si>
    <t>disaster_childrightviolations_sep_killing</t>
  </si>
  <si>
    <t>disaster_childrightviolations_sep_abduction</t>
  </si>
  <si>
    <t>disaster_childrightviolations_sep_attacks</t>
  </si>
  <si>
    <t>disaster_childrightviolations_sep_denial</t>
  </si>
  <si>
    <t>disaster_childrightviolations_sep_recruit</t>
  </si>
  <si>
    <t>disaster_childrightviolations_sep_sexual</t>
  </si>
  <si>
    <t>disaster_armedconflict_oct_stateactors_afp</t>
  </si>
  <si>
    <t>disaster_armedconflict_oct_stateactors_pnp</t>
  </si>
  <si>
    <t>disaster_armedconflict_oct_stateactors_others_specify</t>
  </si>
  <si>
    <t>disaster_armedconflict_oct_nonstateactors_asg</t>
  </si>
  <si>
    <t>disaster_armedconflict_oct_nonstateactors_biff</t>
  </si>
  <si>
    <t>disaster_armedconflict_oct_nonstateactors_npa</t>
  </si>
  <si>
    <t>disaster_armedconflict_oct_nonstateactors_maute</t>
  </si>
  <si>
    <t>disaster_armedconflict_oct_nonstateactors_mnlf</t>
  </si>
  <si>
    <t>disaster_armedconflict_oct_nonstateactors_others_specify</t>
  </si>
  <si>
    <t>disaster_childrightviolations_oct_killing</t>
  </si>
  <si>
    <t>disaster_childrightviolations_oct_abduction</t>
  </si>
  <si>
    <t>disaster_childrightviolations_oct_attacks</t>
  </si>
  <si>
    <t>disaster_childrightviolations_oct_denial</t>
  </si>
  <si>
    <t>disaster_childrightviolations_oct_recruit</t>
  </si>
  <si>
    <t>disaster_childrightviolations_oct_sexual</t>
  </si>
  <si>
    <t>disaster_armedconflict_nov_stateactors_afp</t>
  </si>
  <si>
    <t>disaster_armedconflict_nov_stateactors_pnp</t>
  </si>
  <si>
    <t>disaster_armedconflict_nov_stateactors_others_specify</t>
  </si>
  <si>
    <t>disaster_armedconflict_nov_nonstateactors_asg</t>
  </si>
  <si>
    <t>disaster_armedconflict_nov_nonstateactors_biff</t>
  </si>
  <si>
    <t>disaster_armedconflict_nov_nonstateactors_npa</t>
  </si>
  <si>
    <t>disaster_armedconflict_nov_nonstateactors_maute</t>
  </si>
  <si>
    <t>disaster_armedconflict_nov_nonstateactors_mnlf</t>
  </si>
  <si>
    <t>disaster_armedconflict_nov_nonstateactors_others_specify</t>
  </si>
  <si>
    <t>disaster_childrightviolations_nov_killing</t>
  </si>
  <si>
    <t>disaster_childrightviolations_nov_abduction</t>
  </si>
  <si>
    <t>disaster_childrightviolations_nov_attacks</t>
  </si>
  <si>
    <t>disaster_childrightviolations_nov_denial</t>
  </si>
  <si>
    <t>disaster_childrightviolations_nov_recruit</t>
  </si>
  <si>
    <t>disaster_childrightviolations_nov_sexual</t>
  </si>
  <si>
    <t>disaster_armedconflict_dec_stateactors_afp</t>
  </si>
  <si>
    <t>disaster_armedconflict_dec_stateactors_pnp</t>
  </si>
  <si>
    <t>disaster_armedconflict_dec_stateactors_others_specify</t>
  </si>
  <si>
    <t>disaster_armedconflict_dec_nonstateactors_asg</t>
  </si>
  <si>
    <t>disaster_armedconflict_dec_nonstateactors_biff</t>
  </si>
  <si>
    <t>disaster_armedconflict_dec_nonstateactors_npa</t>
  </si>
  <si>
    <t>disaster_armedconflict_dec_nonstateactors_maute</t>
  </si>
  <si>
    <t>disaster_armedconflict_dec_nonstateactors_mnlf</t>
  </si>
  <si>
    <t>disaster_armedconflict_dec_nonstateactors_others_specify</t>
  </si>
  <si>
    <t>disaster_childrightviolations_dec_killing</t>
  </si>
  <si>
    <t>disaster_childrightviolations_dec_abduction</t>
  </si>
  <si>
    <t>disaster_childrightviolations_dec_attacks</t>
  </si>
  <si>
    <t>disaster_childrightviolations_dec_denial</t>
  </si>
  <si>
    <t>disaster_childrightviolations_dec_recruit</t>
  </si>
  <si>
    <t>disaster_childrightviolations_dec_sexual</t>
  </si>
  <si>
    <t>disaster_armedconflict_jan_stateactors_afp</t>
  </si>
  <si>
    <t>disaster_armedconflict_jan_stateactors_pnp</t>
  </si>
  <si>
    <t>disaster_armedconflict_jan_stateactors_others_specify</t>
  </si>
  <si>
    <t>disaster_armedconflict_jan_nonstateactors_asg</t>
  </si>
  <si>
    <t>disaster_armedconflict_jan_nonstateactors_biff</t>
  </si>
  <si>
    <t>disaster_armedconflict_jan_nonstateactors_npa</t>
  </si>
  <si>
    <t>disaster_armedconflict_jan_nonstateactors_maute</t>
  </si>
  <si>
    <t>disaster_armedconflict_jan_nonstateactors_mnlf</t>
  </si>
  <si>
    <t>disaster_armedconflict_jan_nonstateactors_others_specify</t>
  </si>
  <si>
    <t>disaster_childrightviolations_jan_killing</t>
  </si>
  <si>
    <t>disaster_childrightviolations_jan_abduction</t>
  </si>
  <si>
    <t>disaster_childrightviolations_jan_attacks</t>
  </si>
  <si>
    <t>disaster_childrightviolations_jan_denial</t>
  </si>
  <si>
    <t>disaster_childrightviolations_jan_recruit</t>
  </si>
  <si>
    <t>disaster_childrightviolations_jan_sexual</t>
  </si>
  <si>
    <t>disaster_armedconflict_feb_stateactors_afp</t>
  </si>
  <si>
    <t>disaster_armedconflict_feb_stateactors_pnp</t>
  </si>
  <si>
    <t>disaster_armedconflict_feb_stateactors_others_specify</t>
  </si>
  <si>
    <t>disaster_armedconflict_feb_nonstateactors_asg</t>
  </si>
  <si>
    <t>disaster_armedconflict_feb_nonstateactors_biff</t>
  </si>
  <si>
    <t>disaster_armedconflict_feb_nonstateactors_npa</t>
  </si>
  <si>
    <t>disaster_armedconflict_feb_nonstateactors_maute</t>
  </si>
  <si>
    <t>disaster_armedconflict_feb_nonstateactors_mnlf</t>
  </si>
  <si>
    <t>disaster_armedconflict_feb_nonstateactors_others_specify</t>
  </si>
  <si>
    <t>disaster_childrightviolations_feb_killing</t>
  </si>
  <si>
    <t>disaster_childrightviolations_feb_abduction</t>
  </si>
  <si>
    <t>disaster_childrightviolations_feb_attacks</t>
  </si>
  <si>
    <t>disaster_childrightviolations_feb_denial</t>
  </si>
  <si>
    <t>disaster_childrightviolations_feb_recruit</t>
  </si>
  <si>
    <t>disaster_childrightviolations_feb_sexual</t>
  </si>
  <si>
    <t>disaster_armedconflict_mar_stateactors_afp</t>
  </si>
  <si>
    <t>disaster_armedconflict_mar_stateactors_pnp</t>
  </si>
  <si>
    <t>disaster_armedconflict_mar_stateactors_others_specify</t>
  </si>
  <si>
    <t>disaster_armedconflict_mar_nonstateactors_asg</t>
  </si>
  <si>
    <t>disaster_armedconflict_mar_nonstateactors_biff</t>
  </si>
  <si>
    <t>disaster_armedconflict_mar_nonstateactors_npa</t>
  </si>
  <si>
    <t>disaster_armedconflict_mar_nonstateactors_maute</t>
  </si>
  <si>
    <t>disaster_armedconflict_mar_nonstateactors_mnlf</t>
  </si>
  <si>
    <t>disaster_armedconflict_mar_nonstateactors_others_specify</t>
  </si>
  <si>
    <t>disaster_childrightviolations_mar_killing</t>
  </si>
  <si>
    <t>disaster_childrightviolations_mar_abduction</t>
  </si>
  <si>
    <t>disaster_childrightviolations_mar_attacks</t>
  </si>
  <si>
    <t>disaster_childrightviolations_mar_denial</t>
  </si>
  <si>
    <t>disaster_childrightviolations_mar_recruit</t>
  </si>
  <si>
    <t>disaster_childrightviolations_mar_sexual</t>
  </si>
  <si>
    <t>disaster_armedconflict_apr_stateactors_afp</t>
  </si>
  <si>
    <t>disaster_armedconflict_apr_stateactors_pnp</t>
  </si>
  <si>
    <t>disaster_armedconflict_apr_stateactors_others_specify</t>
  </si>
  <si>
    <t>disaster_armedconflict_apr_nonstateactors_asg</t>
  </si>
  <si>
    <t>disaster_armedconflict_apr_nonstateactors_biff</t>
  </si>
  <si>
    <t>disaster_armedconflict_apr_nonstateactors_npa</t>
  </si>
  <si>
    <t>disaster_armedconflict_apr_nonstateactors_maute</t>
  </si>
  <si>
    <t>disaster_armedconflict_apr_nonstateactors_mnlf</t>
  </si>
  <si>
    <t>disaster_armedconflict_apr_nonstateactors_others_specify</t>
  </si>
  <si>
    <t>disaster_childrightviolations_apr_killing</t>
  </si>
  <si>
    <t>disaster_childrightviolations_apr_abduction</t>
  </si>
  <si>
    <t>disaster_childrightviolations_apr_attacks</t>
  </si>
  <si>
    <t>disaster_childrightviolations_apr_denial</t>
  </si>
  <si>
    <t>disaster_childrightviolations_apr_recruit</t>
  </si>
  <si>
    <t>disaster_childrightviolations_apr_sexual</t>
  </si>
  <si>
    <t>disaster_armedconflict_may_stateactors_afp</t>
  </si>
  <si>
    <t>disaster_armedconflict_may_stateactors_pnp</t>
  </si>
  <si>
    <t>disaster_armedconflict_may_stateactors_others_specify</t>
  </si>
  <si>
    <t>disaster_armedconflict_may_nonstateactors_asg</t>
  </si>
  <si>
    <t>disaster_armedconflict_may_nonstateactors_biff</t>
  </si>
  <si>
    <t>disaster_armedconflict_may_nonstateactors_npa</t>
  </si>
  <si>
    <t>disaster_armedconflict_may_nonstateactors_maute</t>
  </si>
  <si>
    <t>disaster_armedconflict_may_nonstateactors_mnlf</t>
  </si>
  <si>
    <t>disaster_armedconflict_may_nonstateactors_others_specify</t>
  </si>
  <si>
    <t>disaster_childrightviolations_may_killing</t>
  </si>
  <si>
    <t>disaster_childrightviolations_may_abduction</t>
  </si>
  <si>
    <t>disaster_childrightviolations_may_attacks</t>
  </si>
  <si>
    <t>disaster_childrightviolations_may_denial</t>
  </si>
  <si>
    <t>disaster_childrightviolations_may_recruit</t>
  </si>
  <si>
    <t>disaster_childrightviolations_may_sexual</t>
  </si>
  <si>
    <t>disaster_armedconflict_jun_stateactors_afp</t>
  </si>
  <si>
    <t>disaster_armedconflict_jun_stateactors_pnp</t>
  </si>
  <si>
    <t>disaster_armedconflict_jun_stateactors_others_specify</t>
  </si>
  <si>
    <t>disaster_armedconflict_jun_nonstateactors_asg</t>
  </si>
  <si>
    <t>disaster_armedconflict_jun_nonstateactors_biff</t>
  </si>
  <si>
    <t>disaster_armedconflict_jun_nonstateactors_npa</t>
  </si>
  <si>
    <t>disaster_armedconflict_jun_nonstateactors_maute</t>
  </si>
  <si>
    <t>disaster_armedconflict_jun_nonstateactors_mnlf</t>
  </si>
  <si>
    <t>disaster_armedconflict_jun_nonstateactors_others_specify</t>
  </si>
  <si>
    <t>disaster_childrightviolations_jun_killing</t>
  </si>
  <si>
    <t>disaster_childrightviolations_jun_abduction</t>
  </si>
  <si>
    <t>disaster_childrightviolations_jun_attacks</t>
  </si>
  <si>
    <t>disaster_childrightviolations_jun_denial</t>
  </si>
  <si>
    <t>disaster_childrightviolations_jun_recruit</t>
  </si>
  <si>
    <t>disaster_childrightviolations_jun_sexual</t>
  </si>
  <si>
    <t>disaster_armedconflict_jul_stateactors_afp</t>
  </si>
  <si>
    <t>disaster_armedconflict_jul_stateactors_pnp</t>
  </si>
  <si>
    <t>disaster_armedconflict_jul_stateactors_others_specify</t>
  </si>
  <si>
    <t>disaster_armedconflict_jul_nonstateactors_asg</t>
  </si>
  <si>
    <t>disaster_armedconflict_jul_nonstateactors_biff</t>
  </si>
  <si>
    <t>disaster_armedconflict_jul_nonstateactors_npa</t>
  </si>
  <si>
    <t>disaster_armedconflict_jul_nonstateactors_maute</t>
  </si>
  <si>
    <t>disaster_armedconflict_jul_nonstateactors_mnlf</t>
  </si>
  <si>
    <t>disaster_armedconflict_jul_nonstateactors_others_specify</t>
  </si>
  <si>
    <t>disaster_childrightviolations_jul_killing</t>
  </si>
  <si>
    <t>disaster_childrightviolations_jul_abduction</t>
  </si>
  <si>
    <t>disaster_childrightviolations_jul_attacks</t>
  </si>
  <si>
    <t>disaster_childrightviolations_jul_denial</t>
  </si>
  <si>
    <t>disaster_childrightviolations_jul_recruit</t>
  </si>
  <si>
    <t>disaster_childrightviolations_jul_sexual</t>
  </si>
  <si>
    <t>disaster_armedconflict_aug_stateactors_afp</t>
  </si>
  <si>
    <t>disaster_armedconflict_aug_stateactors_pnp</t>
  </si>
  <si>
    <t>disaster_armedconflict_aug_stateactors_others_specify</t>
  </si>
  <si>
    <t>disaster_armedconflict_aug_nonstateactors_asg</t>
  </si>
  <si>
    <t>disaster_armedconflict_aug_nonstateactors_biff</t>
  </si>
  <si>
    <t>disaster_armedconflict_aug_nonstateactors_npa</t>
  </si>
  <si>
    <t>disaster_armedconflict_aug_nonstateactors_maute</t>
  </si>
  <si>
    <t>disaster_armedconflict_aug_nonstateactors_mnlf</t>
  </si>
  <si>
    <t>disaster_armedconflict_aug_nonstateactors_others_specify</t>
  </si>
  <si>
    <t>disaster_childrightviolations_aug_killing</t>
  </si>
  <si>
    <t>disaster_childrightviolations_aug_abduction</t>
  </si>
  <si>
    <t>disaster_childrightviolations_aug_attacks</t>
  </si>
  <si>
    <t>disaster_childrightviolations_aug_denial</t>
  </si>
  <si>
    <t>disaster_childrightviolations_aug_recruit</t>
  </si>
  <si>
    <t>disaster_childrightviolations_aug_sexual</t>
  </si>
  <si>
    <t>result_disaster_sep_days_evactr</t>
  </si>
  <si>
    <t>jhs_disaster_result</t>
  </si>
  <si>
    <t>result_disaster_sep_days_cls_suspend</t>
  </si>
  <si>
    <t>result_disaster_sep_days_cls_suspend_humaninduced</t>
  </si>
  <si>
    <t>result_disaster_sep_days_cls_armed_conflict</t>
  </si>
  <si>
    <t>result_disaster_sep_cls_evactr</t>
  </si>
  <si>
    <t>result_disaster_oct_days_evactr</t>
  </si>
  <si>
    <t>result_disaster_oct_days_cls_suspend</t>
  </si>
  <si>
    <t>result_disaster_oct_days_cls_suspend_humaninduced</t>
  </si>
  <si>
    <t>result_disaster_oct_days_cls_armed_conflict</t>
  </si>
  <si>
    <t>result_disaster_oct_cls_evactr</t>
  </si>
  <si>
    <t>result_disaster_nov_days_evactr</t>
  </si>
  <si>
    <t>result_disaster_nov_days_cls_suspend</t>
  </si>
  <si>
    <t>result_disaster_nov_days_cls_suspend_humaninduced</t>
  </si>
  <si>
    <t>result_disaster_nov_days_cls_armed_conflict</t>
  </si>
  <si>
    <t>result_disaster_nov_cls_evactr</t>
  </si>
  <si>
    <t>result_disaster_dec_days_evactr</t>
  </si>
  <si>
    <t>result_disaster_dec_days_cls_suspend</t>
  </si>
  <si>
    <t>result_disaster_dec_days_cls_suspend_humaninduced</t>
  </si>
  <si>
    <t>result_disaster_dec_days_cls_armed_conflict</t>
  </si>
  <si>
    <t>result_disaster_dec_cls_evactr</t>
  </si>
  <si>
    <t>result_disaster_jan_days_evactr</t>
  </si>
  <si>
    <t>result_disaster_jan_days_cls_suspend</t>
  </si>
  <si>
    <t>result_disaster_jan_days_cls_suspend_humaninduced</t>
  </si>
  <si>
    <t>result_disaster_jan_days_cls_armed_conflict</t>
  </si>
  <si>
    <t>result_disaster_jan_cls_evactr</t>
  </si>
  <si>
    <t>result_disaster_feb_days_evactr</t>
  </si>
  <si>
    <t>result_disaster_feb_days_cls_suspend</t>
  </si>
  <si>
    <t>result_disaster_feb_days_cls_suspend_humaninduced</t>
  </si>
  <si>
    <t>result_disaster_feb_days_cls_armed_conflict</t>
  </si>
  <si>
    <t>result_disaster_feb_cls_evactr</t>
  </si>
  <si>
    <t>result_disaster_mar_days_evactr</t>
  </si>
  <si>
    <t>result_disaster_mar_days_cls_suspend</t>
  </si>
  <si>
    <t>result_disaster_mar_days_cls_suspend_humaninduced</t>
  </si>
  <si>
    <t>result_disaster_mar_days_cls_armed_conflict</t>
  </si>
  <si>
    <t>result_disaster_mar_cls_evactr</t>
  </si>
  <si>
    <t>result_disaster_apr_days_evactr</t>
  </si>
  <si>
    <t>result_disaster_apr_days_cls_suspend</t>
  </si>
  <si>
    <t>result_disaster_apr_days_cls_suspend_humaninduced</t>
  </si>
  <si>
    <t>result_disaster_apr_days_cls_armed_conflict</t>
  </si>
  <si>
    <t>result_disaster_apr_cls_evactr</t>
  </si>
  <si>
    <t>result_disaster_may_days_evactr</t>
  </si>
  <si>
    <t>result_disaster_may_days_cls_suspend</t>
  </si>
  <si>
    <t>result_disaster_may_days_cls_suspend_humaninduced</t>
  </si>
  <si>
    <t>result_disaster_may_days_cls_armed_conflict</t>
  </si>
  <si>
    <t>result_disaster_may_cls_evactr</t>
  </si>
  <si>
    <t>result_disaster_jun_days_evactr</t>
  </si>
  <si>
    <t>result_disaster_jun_days_cls_suspend</t>
  </si>
  <si>
    <t>result_disaster_jun_days_cls_suspend_humaninduced</t>
  </si>
  <si>
    <t>result_disaster_jun_days_cls_armed_conflict</t>
  </si>
  <si>
    <t>result_disaster_jun_cls_evactr</t>
  </si>
  <si>
    <t>result_disaster_jul_days_evactr</t>
  </si>
  <si>
    <t>result_disaster_jul_days_cls_suspend</t>
  </si>
  <si>
    <t>result_disaster_july_days_cls_suspend_humaninduced</t>
  </si>
  <si>
    <t>result_disaster_jul_days_cls_armed_conflict</t>
  </si>
  <si>
    <t>result_disaster_jul_cls_evactr</t>
  </si>
  <si>
    <t>result_disaster_aug_days_evactr</t>
  </si>
  <si>
    <t>result_disaster_aug_days_cls_suspend</t>
  </si>
  <si>
    <t>result_disaster_aug_days_cls_suspend_humaninduced</t>
  </si>
  <si>
    <t>result_disaster_aug_days_cls_armed_conflict</t>
  </si>
  <si>
    <t>result_disaster_aug_cls_evactr</t>
  </si>
  <si>
    <t>jhs_enabling_schDRRM_coor</t>
  </si>
  <si>
    <t>jhs_enabling_environment</t>
  </si>
  <si>
    <t>jhs_enabling_schDRRMteam_roles</t>
  </si>
  <si>
    <t>jhs_enabling_comprehensiveDRRMplan</t>
  </si>
  <si>
    <t>jhs_considers_LWD</t>
  </si>
  <si>
    <t>jhs_considers_IKSP</t>
  </si>
  <si>
    <t>jhs_gendersensitive</t>
  </si>
  <si>
    <t>jhs_implement_studentledmapping</t>
  </si>
  <si>
    <t>jhs_studentled_mapping</t>
  </si>
  <si>
    <t>jhs_submit_mapping</t>
  </si>
  <si>
    <t>jhs_linked_resultsmapping</t>
  </si>
  <si>
    <t>jhs_monitoring_evaluation</t>
  </si>
  <si>
    <t>jhs_data_collectionconsollidation</t>
  </si>
  <si>
    <t>jhs_enabling_DO43</t>
  </si>
  <si>
    <t>jhs_enabling_DO21</t>
  </si>
  <si>
    <t>jhs_enabling_DO23</t>
  </si>
  <si>
    <t>jhs_enabling_DO27</t>
  </si>
  <si>
    <t>jhs_enabling_DO37</t>
  </si>
  <si>
    <t>jhs_enabling_DO28</t>
  </si>
  <si>
    <t>jhs_enabling_DM221</t>
  </si>
  <si>
    <t>jhs_enabling_DO44</t>
  </si>
  <si>
    <t>jhs_enabling_DO57</t>
  </si>
  <si>
    <t>jhs_enabling_DO40</t>
  </si>
  <si>
    <t>jhs_enabling_DO82</t>
  </si>
  <si>
    <t>jhs_enabling_DO83</t>
  </si>
  <si>
    <t>safelearn_inspection_may</t>
  </si>
  <si>
    <t>jhs_safe_learning</t>
  </si>
  <si>
    <t>safelearn_regular_facilities_inspection</t>
  </si>
  <si>
    <t>safelearn_alloted_maintenancebudget</t>
  </si>
  <si>
    <t>safelearn_undertaken_regular_repair</t>
  </si>
  <si>
    <t>safelearn_safety_precautions</t>
  </si>
  <si>
    <t>safelearn_inspection_jun</t>
  </si>
  <si>
    <t>safelearn_inspection_july</t>
  </si>
  <si>
    <t>safelearn_inspection_aug</t>
  </si>
  <si>
    <t>safelearn_inspection_sep</t>
  </si>
  <si>
    <t>safelearn_inspection_oct</t>
  </si>
  <si>
    <t>safelearn_inspection_nov</t>
  </si>
  <si>
    <t>safelearn_inspection_dec</t>
  </si>
  <si>
    <t>safelearn_inspection_jan</t>
  </si>
  <si>
    <t>safelearn_inspection_feb</t>
  </si>
  <si>
    <t>safelearn_inspection_march</t>
  </si>
  <si>
    <t>safelearn_inspection_apr</t>
  </si>
  <si>
    <t>jhs_disaster_risk</t>
  </si>
  <si>
    <t>drrm_partners</t>
  </si>
  <si>
    <t>sch_earthquakedrill_lrnrs_jan</t>
  </si>
  <si>
    <t>sch_firedrill_lrnrs_jan</t>
  </si>
  <si>
    <t>sch_floodevacdrill_lrnrs_jan</t>
  </si>
  <si>
    <t>sch_tsunamidrill_lrnrs_jan</t>
  </si>
  <si>
    <t>sch_stormsurgedrill_jan</t>
  </si>
  <si>
    <t>sch_lockdowndrill_jan</t>
  </si>
  <si>
    <t>drm_humhazards_armedconflict</t>
  </si>
  <si>
    <t>drm_humhazards_bomb</t>
  </si>
  <si>
    <t>drm_humhazards_civviolence</t>
  </si>
  <si>
    <t>emrgcysupp_gobaglrnr</t>
  </si>
  <si>
    <t>emrgcysupp_personnel</t>
  </si>
  <si>
    <t>emrgcysupp_handheldradio</t>
  </si>
  <si>
    <t>emrgcysupp_lifevest</t>
  </si>
  <si>
    <t>emrgcysupp_safetycoat</t>
  </si>
  <si>
    <t>sch_earthquakedrill_lrnrs_feb</t>
  </si>
  <si>
    <t>sch_firedrill_lrnrs_feb</t>
  </si>
  <si>
    <t>sch_floodevacdrill_lrnrs_feb</t>
  </si>
  <si>
    <t>sch_tsunamidrill_lrnrs_feb</t>
  </si>
  <si>
    <t>sch_stormsurgedrill_feb</t>
  </si>
  <si>
    <t>sch_lockdowndrill_feb</t>
  </si>
  <si>
    <t>sch_earthquakedrill_lrnrs_mar</t>
  </si>
  <si>
    <t>sch_firedrill_lrnrs_mar</t>
  </si>
  <si>
    <t>sch_floodevacdrill_lrnrs_mar</t>
  </si>
  <si>
    <t>sch_tsunamidrill_lrnrs_mar</t>
  </si>
  <si>
    <t>sch_stormsurgedrill_mar</t>
  </si>
  <si>
    <t>sch_lockdowndrill_mar</t>
  </si>
  <si>
    <t>sch_earthquakedrill_lrnrs_apr</t>
  </si>
  <si>
    <t>sch_firedrill_lrnrs_apr</t>
  </si>
  <si>
    <t>sch_floodevacdrill_lrnrs_apr</t>
  </si>
  <si>
    <t>sch_tsunamidrill_lrnrs_apr</t>
  </si>
  <si>
    <t>sch_stormsurgedrill_apr</t>
  </si>
  <si>
    <t>sch_lockdowndrill_apr</t>
  </si>
  <si>
    <t>drrm_personnel</t>
  </si>
  <si>
    <t>sch_earthquakedrill_lrnrs_may</t>
  </si>
  <si>
    <t>sch_firedrill_lrnrs_may</t>
  </si>
  <si>
    <t>sch_floodevacdrill_lrnrs_may</t>
  </si>
  <si>
    <t>sch_tsunamidrill_lrnrs_may</t>
  </si>
  <si>
    <t>sch_stormsurgedrill_may</t>
  </si>
  <si>
    <t>sch_lockdowndrill_may</t>
  </si>
  <si>
    <t>drm_humhazards_fire</t>
  </si>
  <si>
    <t>drm_humhazards_others</t>
  </si>
  <si>
    <t>drm_humhazards_others_specify</t>
  </si>
  <si>
    <t>emrgcysupp_safetyhat</t>
  </si>
  <si>
    <t>emrgcysupp_safetyshoes</t>
  </si>
  <si>
    <t>emrgcysupp_spineboardwsafetybelt</t>
  </si>
  <si>
    <t>emrgcysupp_splinter</t>
  </si>
  <si>
    <t>emrgcysupp_uniheadimmobilizer</t>
  </si>
  <si>
    <t>drm_reunificationplan</t>
  </si>
  <si>
    <t>sch_presented_FEPPtoLGUPTA</t>
  </si>
  <si>
    <t>sch_takenapproppriateactions_basedFEPP</t>
  </si>
  <si>
    <t>sch_established_systemtracking</t>
  </si>
  <si>
    <t>sch_conducted_brigadaeskuwela</t>
  </si>
  <si>
    <t>sch_functional_earlywarningsystem</t>
  </si>
  <si>
    <t>sch_participated_diffdrrm</t>
  </si>
  <si>
    <t>drm_evacuationplan</t>
  </si>
  <si>
    <t>drrm_wlearners</t>
  </si>
  <si>
    <t>sch_implemented_eimpact</t>
  </si>
  <si>
    <t>sch_implemented_makeupclass</t>
  </si>
  <si>
    <t>sch_implemented_misosa</t>
  </si>
  <si>
    <t>sch_implemented_openhighschool</t>
  </si>
  <si>
    <t>sch_implemented_others</t>
  </si>
  <si>
    <t>drm_nathazards_drought</t>
  </si>
  <si>
    <t>drm_nathazards_earthquake</t>
  </si>
  <si>
    <t>drm_nathazards_fire</t>
  </si>
  <si>
    <t>sch_implemented_others_specify</t>
  </si>
  <si>
    <t>drrm_wlgu</t>
  </si>
  <si>
    <t>drm_nathazards_flood</t>
  </si>
  <si>
    <t>drm_nathazards_landslide</t>
  </si>
  <si>
    <t>drm_nathazards_tropicalcyclone</t>
  </si>
  <si>
    <t>emrgcysupp_twofoldstretcher</t>
  </si>
  <si>
    <t>emrgcysupp_ccollar</t>
  </si>
  <si>
    <t>emrgcysupp_emrgncyheadlamp</t>
  </si>
  <si>
    <t>emrgcysupp_emrgncywhistle</t>
  </si>
  <si>
    <t>emrgcysupp_fireextinguisher</t>
  </si>
  <si>
    <t>sch_earthquakedrill_lrnrs_jun</t>
  </si>
  <si>
    <t>sch_firedrill_lrnrs_jun</t>
  </si>
  <si>
    <t>sch_floodevacdrill_lrnrs_jun</t>
  </si>
  <si>
    <t>sch_tsunamidrill_lrnrs_jun</t>
  </si>
  <si>
    <t>sch_stormsurgedrill_jun</t>
  </si>
  <si>
    <t>sch_lockdowndrill_jun</t>
  </si>
  <si>
    <t>sch_earthquakedrill_lrnrs_jul</t>
  </si>
  <si>
    <t>sch_firedrill_lrnrs_jul</t>
  </si>
  <si>
    <t>sch_floodevacdrill_lrnrs_jul</t>
  </si>
  <si>
    <t>sch_tsunamidrill_lrnrs_jul</t>
  </si>
  <si>
    <t>sch_stormsurgedrill_jul</t>
  </si>
  <si>
    <t>sch_lockdowndrill_jul</t>
  </si>
  <si>
    <t>sch_earthquakedrill_lrnrs_aug</t>
  </si>
  <si>
    <t>sch_firedrill_lrnrs_aug</t>
  </si>
  <si>
    <t>sch_floodevacdrill_lrnrs_aug</t>
  </si>
  <si>
    <t>sch_tsunamidrill_lrnrs_aug</t>
  </si>
  <si>
    <t>sch_stormsurgedrill_aug</t>
  </si>
  <si>
    <t>sch_lockdowndrill_aug</t>
  </si>
  <si>
    <t>sch_implemented_eimpact_days</t>
  </si>
  <si>
    <t>sch_implemented_makeupclass_days</t>
  </si>
  <si>
    <t>sch_implemented_misosa_days</t>
  </si>
  <si>
    <t>sch_implemented_openhighschool_days</t>
  </si>
  <si>
    <t>sch_earthquakedrill_lrnrs_sept</t>
  </si>
  <si>
    <t>sch_firedrill_lrnrs_sept</t>
  </si>
  <si>
    <t>sch_floodevacdrill_lrnrs_sep</t>
  </si>
  <si>
    <t>sch_tsunamidrill_lrnrs_sep</t>
  </si>
  <si>
    <t>sch_stormsurgedrill_sep</t>
  </si>
  <si>
    <t>sch_lockdowndrill_sep</t>
  </si>
  <si>
    <t>drrm_parents</t>
  </si>
  <si>
    <t>sch_washfacilities</t>
  </si>
  <si>
    <t>drm_nathazards_tsunami</t>
  </si>
  <si>
    <t>drm_nathazards_volcaniceruption</t>
  </si>
  <si>
    <t>sch_earthquakedrill_lrnrs_oct</t>
  </si>
  <si>
    <t>sch_firedrill_lrnrs_oct</t>
  </si>
  <si>
    <t>sch_floodevacdrill_lrnrs_oct</t>
  </si>
  <si>
    <t>sch_tsunamidrill_lrnrs_oct</t>
  </si>
  <si>
    <t>sch_stormsurgedrill_oct</t>
  </si>
  <si>
    <t>sch_lockdowndrill_oct</t>
  </si>
  <si>
    <t>sch_earthquakedrill_lrnrs_nov</t>
  </si>
  <si>
    <t>sch_firedrill_lrnrs_nov</t>
  </si>
  <si>
    <t>sch_floodevacdrill_lrnrs_nov</t>
  </si>
  <si>
    <t>sch_tsunamidrill_lrnrs_nov</t>
  </si>
  <si>
    <t>sch_stormsurgedrill_nov</t>
  </si>
  <si>
    <t>sch_lockdowndrill_nov</t>
  </si>
  <si>
    <t>sch_earthquakedrill_lrnrs_dec</t>
  </si>
  <si>
    <t>sch_firedrill_lrnrs_dec</t>
  </si>
  <si>
    <t>sch_floodevacdrill_lrnrs_dec</t>
  </si>
  <si>
    <t>sch_tsunamidrill_lrnrs_dec</t>
  </si>
  <si>
    <t>sch_stormsurgedrill_dec</t>
  </si>
  <si>
    <t>sch_lockdowndrill_dec</t>
  </si>
  <si>
    <t>sch_identified_evacctr</t>
  </si>
  <si>
    <t>schhead_identified_sch_evacctr</t>
  </si>
  <si>
    <t>sch_moumoa_wlgudswd</t>
  </si>
  <si>
    <t>iped_peace_educ</t>
  </si>
  <si>
    <t>jhs_iped</t>
  </si>
  <si>
    <t>iped_cannotbereach_loc</t>
  </si>
  <si>
    <t>iped_occationaldangerous</t>
  </si>
  <si>
    <t>iped_teachres_wtnsch_m_g7</t>
  </si>
  <si>
    <t>iped_teachres_outsch_m_g7</t>
  </si>
  <si>
    <t>iped_teachres_wtnsch_f_g7</t>
  </si>
  <si>
    <t>iped_teachres_outsch_f_g7</t>
  </si>
  <si>
    <t>iped_teachres_wtnsch_m_g8</t>
  </si>
  <si>
    <t>iped_teachres_outsch_m_g8</t>
  </si>
  <si>
    <t>iped_teachres_wtnsch_f_g8</t>
  </si>
  <si>
    <t>iped_teachres_outsch_f_g8</t>
  </si>
  <si>
    <t>iped_teachres_wtnsch_m_g9</t>
  </si>
  <si>
    <t>iped_teachres_outsch_m_g9</t>
  </si>
  <si>
    <t>iped_teachres_wtnsch_f_g9</t>
  </si>
  <si>
    <t>iped_teachres_outsch_f_g9</t>
  </si>
  <si>
    <t>iped_teachres_wtnsch_m_g10</t>
  </si>
  <si>
    <t>iped_teachres_outsch_m_g10</t>
  </si>
  <si>
    <t>iped_teachres_wtnsch_f_g10</t>
  </si>
  <si>
    <t>iped_teachres_outsch_f_g10</t>
  </si>
  <si>
    <t>iped_schexp_teaching</t>
  </si>
  <si>
    <t>do_iped_coor_name</t>
  </si>
  <si>
    <t>Box33'!$AE$32</t>
  </si>
  <si>
    <t>do_iped_coor_pos</t>
  </si>
  <si>
    <t>Box33'!$AI$34</t>
  </si>
  <si>
    <t>jhs_flexam_passed</t>
  </si>
  <si>
    <t>learners_sptve_beautycarewell_m_g7</t>
  </si>
  <si>
    <t>jhs_enro_tle</t>
  </si>
  <si>
    <t>learners_sptve_garmenttech_m_g7</t>
  </si>
  <si>
    <t>learners_sptve_foodtech_m_g7</t>
  </si>
  <si>
    <t>learners_sptve_aircontech_m_g7</t>
  </si>
  <si>
    <t>learners_sptve_comptech_m_g7</t>
  </si>
  <si>
    <t>learners_sptve_bldgconstech_m_g7</t>
  </si>
  <si>
    <t>learners_sptve_electronictech_m_g7</t>
  </si>
  <si>
    <t>learners_sptve_autotech_m_g7</t>
  </si>
  <si>
    <t>learners_sptve_weldintech_m_g7</t>
  </si>
  <si>
    <t>learners_sptve_electricaltech_m_g7</t>
  </si>
  <si>
    <t>learners_sptve_draftingtech_m_g7</t>
  </si>
  <si>
    <t>learners_sptve_furntech_m_g7</t>
  </si>
  <si>
    <t>learners_sptve_agricorptech_m_g7</t>
  </si>
  <si>
    <t>learners_sptve_aniprodtech_m_g7</t>
  </si>
  <si>
    <t>learners_sptve_foodprotech_m_g7</t>
  </si>
  <si>
    <t>learners_sptve_fishprodtech_m_g7</t>
  </si>
  <si>
    <t>learners_sptve_internetfundamentals_m_g7</t>
  </si>
  <si>
    <t>learners_sptve_enterp_m_g7</t>
  </si>
  <si>
    <t>learners_sptve_techdrawing_m_g7</t>
  </si>
  <si>
    <t>learners_sptve_beautycarewell_f_g7</t>
  </si>
  <si>
    <t>learners_sptve_garmenttech_f_g7</t>
  </si>
  <si>
    <t>learners_sptve_foodtech_f_g7</t>
  </si>
  <si>
    <t>learners_sptve_aircontech_f_g7</t>
  </si>
  <si>
    <t>learners_sptve_comptech_f_g7</t>
  </si>
  <si>
    <t>learners_sptve_bldgconstech_f_g7</t>
  </si>
  <si>
    <t>learners_sptve_electronictech_f_g7</t>
  </si>
  <si>
    <t>learners_sptve_autotech_f_g7</t>
  </si>
  <si>
    <t>learners_sptve_weldintech_f_g7</t>
  </si>
  <si>
    <t>learners_sptve_electricaltech_f_g7</t>
  </si>
  <si>
    <t>learners_sptve_draftingtech_f_g7</t>
  </si>
  <si>
    <t>learners_sptve_furntech_f_g7</t>
  </si>
  <si>
    <t>learners_sptve_agricorptech_f_g7</t>
  </si>
  <si>
    <t>learners_sptve_aniprodtech_f_g7</t>
  </si>
  <si>
    <t>learners_sptve_foodprotech_f_g7</t>
  </si>
  <si>
    <t>learners_sptve_fishprodtech_f_g7</t>
  </si>
  <si>
    <t>learners_sptve_internetfundamentals_f_g7</t>
  </si>
  <si>
    <t>learners_sptve_enterp_f_g7</t>
  </si>
  <si>
    <t>learners_sptve_techdrawing_f_g7</t>
  </si>
  <si>
    <t>learners_sptve_beautycarewell_m_g8</t>
  </si>
  <si>
    <t>learners_sptve_garmenttech_m_g8</t>
  </si>
  <si>
    <t>learners_sptve_foodtech_m_g8</t>
  </si>
  <si>
    <t>learners_sptve_aircontech_m_g8</t>
  </si>
  <si>
    <t>learners_sptve_comptech_m_g8</t>
  </si>
  <si>
    <t>learners_sptve_bldgconstech_m_g8</t>
  </si>
  <si>
    <t>learners_sptve_electronictech_m_g8</t>
  </si>
  <si>
    <t>learners_sptve_autotech_m_g8</t>
  </si>
  <si>
    <t>learners_sptve_weldintech_m_g8</t>
  </si>
  <si>
    <t>learners_sptve_electricaltech_m_g8</t>
  </si>
  <si>
    <t>learners_sptve_draftingtech_m_g8</t>
  </si>
  <si>
    <t>learners_sptve_furntech_m_g8</t>
  </si>
  <si>
    <t>learners_sptve_agricorptech_m_g8</t>
  </si>
  <si>
    <t>learners_sptve_aniprodtech_m_g8</t>
  </si>
  <si>
    <t>learners_sptve_foodprotech_m_g8</t>
  </si>
  <si>
    <t>learners_sptve_fishprodtech_m_g8</t>
  </si>
  <si>
    <t>learners_sptve_internetfundamentals_m_g8</t>
  </si>
  <si>
    <t>learners_sptve_enterp_m_g8</t>
  </si>
  <si>
    <t>learners_sptve_techdrawing_m_g8</t>
  </si>
  <si>
    <t>learners_sptve_beautycarewell_f_g8</t>
  </si>
  <si>
    <t>learners_sptve_garmenttech_f_g8</t>
  </si>
  <si>
    <t>learners_sptve_foodtech_f_g8</t>
  </si>
  <si>
    <t>learners_sptve_aircontech_f_g8</t>
  </si>
  <si>
    <t>learners_sptve_comptech_f_g8</t>
  </si>
  <si>
    <t>learners_sptve_bldgconstech_f_g8</t>
  </si>
  <si>
    <t>learners_sptve_electronictech_f_g8</t>
  </si>
  <si>
    <t>learners_sptve_autotech_f_g8</t>
  </si>
  <si>
    <t>learners_sptve_weldintech_f_g8</t>
  </si>
  <si>
    <t>learners_sptve_electricaltech_f_g8</t>
  </si>
  <si>
    <t>learners_sptve_draftingtech_f_g8</t>
  </si>
  <si>
    <t>learners_sptve_furntech_f_g8</t>
  </si>
  <si>
    <t>learners_sptve_agricorptech_f_g8</t>
  </si>
  <si>
    <t>learners_sptve_aniprodtech_f_g8</t>
  </si>
  <si>
    <t>learners_sptve_foodprotech_f_g8</t>
  </si>
  <si>
    <t>learners_sptve_fishprodtech_f_g8</t>
  </si>
  <si>
    <t>learners_sptve_internetfundamentals_f_g8</t>
  </si>
  <si>
    <t>learners_sptve_enterp_f_g8</t>
  </si>
  <si>
    <t>learners_sptve_techdrawing_f_g8</t>
  </si>
  <si>
    <t>learners_sptve_beautycarewell_m_g9</t>
  </si>
  <si>
    <t>learners_sptve_garmenttech_m_g9</t>
  </si>
  <si>
    <t>learners_sptve_foodtech_m_g9</t>
  </si>
  <si>
    <t>learners_sptve_aircontech_m_g9</t>
  </si>
  <si>
    <t>learners_sptve_comptech_m_g9</t>
  </si>
  <si>
    <t>learners_sptve_bldgconstech_m_g9</t>
  </si>
  <si>
    <t>learners_sptve_electronictech_m_g9</t>
  </si>
  <si>
    <t>learners_sptve_autotech_m_g9</t>
  </si>
  <si>
    <t>learners_sptve_weldintech_m_g9</t>
  </si>
  <si>
    <t>learners_sptve_electricaltech_m_g9</t>
  </si>
  <si>
    <t>learners_sptve_draftingtech_m_g9</t>
  </si>
  <si>
    <t>learners_sptve_furntech_m_g9</t>
  </si>
  <si>
    <t>learners_sptve_agricorptech_m_g9</t>
  </si>
  <si>
    <t>learners_sptve_aniprodtech_m_g9</t>
  </si>
  <si>
    <t>learners_sptve_foodprotech_m_g9</t>
  </si>
  <si>
    <t>learners_sptve_fishprodtech_m_g9</t>
  </si>
  <si>
    <t>learners_sptve_internetfundamentals_m_g9</t>
  </si>
  <si>
    <t>learners_sptve_enterp_m_g9</t>
  </si>
  <si>
    <t>learners_sptve_techdrawing_m_g9</t>
  </si>
  <si>
    <t>learners_sptve_beautycarewell_f_g9</t>
  </si>
  <si>
    <t>learners_sptve_garmenttech_f_g9</t>
  </si>
  <si>
    <t>learners_sptve_foodtech_f_g9</t>
  </si>
  <si>
    <t>learners_sptve_aircontech_f_g9</t>
  </si>
  <si>
    <t>learners_sptve_comptech_f_g9</t>
  </si>
  <si>
    <t>learners_sptve_bldgconstech_f_g9</t>
  </si>
  <si>
    <t>learners_sptve_electronictech_f_g9</t>
  </si>
  <si>
    <t>learners_sptve_autotech_f_g9</t>
  </si>
  <si>
    <t>learners_sptve_weldintech_f_g9</t>
  </si>
  <si>
    <t>learners_sptve_electricaltech_f_g9</t>
  </si>
  <si>
    <t>learners_sptve_draftingtech_f_g9</t>
  </si>
  <si>
    <t>learners_sptve_furntech_f_g9</t>
  </si>
  <si>
    <t>learners_sptve_agricorptech_f_g9</t>
  </si>
  <si>
    <t>learners_sptve_aniprodtech_f_g9</t>
  </si>
  <si>
    <t>learners_sptve_foodprotech_f_g9</t>
  </si>
  <si>
    <t>learners_sptve_fishprodtech_f_g9</t>
  </si>
  <si>
    <t>learners_sptve_internetfundamentals_f_g9</t>
  </si>
  <si>
    <t>learners_sptve_enterp_f_g9</t>
  </si>
  <si>
    <t>learners_sptve_techdrawing_f_g9</t>
  </si>
  <si>
    <t>learners_sptve_beautycarewell_m_g10</t>
  </si>
  <si>
    <t>learners_sptve_garmenttech_m_g10</t>
  </si>
  <si>
    <t>learners_sptve_foodtech_m_g10</t>
  </si>
  <si>
    <t>learners_sptve_aircontech_m_g10</t>
  </si>
  <si>
    <t>learners_sptve_comptech_m_g10</t>
  </si>
  <si>
    <t>learners_sptve_bldgconstech_m_g10</t>
  </si>
  <si>
    <t>learners_sptve_electronictech_m_g10</t>
  </si>
  <si>
    <t>learners_sptve_autotech_m_g10</t>
  </si>
  <si>
    <t>learners_sptve_weldintech_m_g10</t>
  </si>
  <si>
    <t>learners_sptve_electricaltech_m_g10</t>
  </si>
  <si>
    <t>learners_sptve_draftingtech_m_g10</t>
  </si>
  <si>
    <t>learners_sptve_furntech_m_g10</t>
  </si>
  <si>
    <t>learners_sptve_agricorptech_m_g10</t>
  </si>
  <si>
    <t>learners_sptve_aniprodtech_m_g10</t>
  </si>
  <si>
    <t>learners_sptve_foodprotech_m_g10</t>
  </si>
  <si>
    <t>learners_sptve_fishprodtech_m_g10</t>
  </si>
  <si>
    <t>learners_sptve_internetfundamentals_m_g10</t>
  </si>
  <si>
    <t>learners_sptve_enterp_m_g10</t>
  </si>
  <si>
    <t>learners_sptve_techdrawing_m_g10</t>
  </si>
  <si>
    <t>learners_sptve_beautycarewell_f_g10</t>
  </si>
  <si>
    <t>learners_sptve_garmenttech_f_g10</t>
  </si>
  <si>
    <t>learners_sptve_foodtech_f_g10</t>
  </si>
  <si>
    <t>learners_sptve_aircontech_f_g10</t>
  </si>
  <si>
    <t>learners_sptve_comptech_f_g10</t>
  </si>
  <si>
    <t>learners_sptve_bldgconstech_f_g10</t>
  </si>
  <si>
    <t>learners_sptve_electronictech_f_g10</t>
  </si>
  <si>
    <t>learners_sptve_autotech_f_g10</t>
  </si>
  <si>
    <t>learners_sptve_weldintech_f_g10</t>
  </si>
  <si>
    <t>learners_sptve_electricaltech_f_g10</t>
  </si>
  <si>
    <t>learners_sptve_draftingtech_f_g10</t>
  </si>
  <si>
    <t>learners_sptve_furntech_f_g10</t>
  </si>
  <si>
    <t>learners_sptve_agricorptech_f_g10</t>
  </si>
  <si>
    <t>learners_sptve_aniprodtech_f_g10</t>
  </si>
  <si>
    <t>learners_sptve_foodprotech_f_g10</t>
  </si>
  <si>
    <t>learners_sptve_fishprodtech_f_g10</t>
  </si>
  <si>
    <t>learners_sptve_internetfundamentals_f_g10</t>
  </si>
  <si>
    <t>learners_sptve_enterp_f_g10</t>
  </si>
  <si>
    <t>learners_sptve_techdrawing_f_g10</t>
  </si>
  <si>
    <t>ws_ifyes_fundsource_schmooe</t>
  </si>
  <si>
    <t>ws_ifyes_fundsource_schcanteen</t>
  </si>
  <si>
    <t>Box11-Table29'!$X$13</t>
  </si>
  <si>
    <t>disastercalamities_armedconfIct_stateactors_others_specify</t>
  </si>
  <si>
    <t>disastercalamities_armedconfIct_nonstateactors_others_specify</t>
  </si>
  <si>
    <t>jhs_enabling_do32</t>
  </si>
  <si>
    <t>Table2'!$O$8</t>
  </si>
  <si>
    <t>Table2'!$O$9</t>
  </si>
  <si>
    <t>Table2'!$O$10</t>
  </si>
  <si>
    <t>Table2'!$O$11</t>
  </si>
  <si>
    <t>Table2'!$O$12</t>
  </si>
  <si>
    <t>Table2'!$O$13</t>
  </si>
  <si>
    <t>Table2'!$O$14</t>
  </si>
  <si>
    <t>Table2'!$O$15</t>
  </si>
  <si>
    <t>Table2'!$O$16</t>
  </si>
  <si>
    <t>Table2'!$O$17</t>
  </si>
  <si>
    <t>Table2'!$O$18</t>
  </si>
  <si>
    <t>Table2'!$O$19</t>
  </si>
  <si>
    <t>Table2'!$O$20</t>
  </si>
  <si>
    <t>Table2'!$O$22</t>
  </si>
  <si>
    <t>Table2'!$O$23</t>
  </si>
  <si>
    <t>Table2'!$O$24</t>
  </si>
  <si>
    <t>Table2'!$O$26</t>
  </si>
  <si>
    <t>Table2'!$O$28</t>
  </si>
  <si>
    <t>Table2'!$O$29</t>
  </si>
  <si>
    <t>Table2'!$O$30</t>
  </si>
  <si>
    <t>Table2'!$R$8</t>
  </si>
  <si>
    <t>Table2'!$R$9</t>
  </si>
  <si>
    <t>Table2'!$R$10</t>
  </si>
  <si>
    <t>Table2'!$R$11</t>
  </si>
  <si>
    <t>Table2'!$R$12</t>
  </si>
  <si>
    <t>Table2'!$R$13</t>
  </si>
  <si>
    <t>Table2'!$R$14</t>
  </si>
  <si>
    <t>Table2'!$R$15</t>
  </si>
  <si>
    <t>Table2'!$R$16</t>
  </si>
  <si>
    <t>Table2'!$R$17</t>
  </si>
  <si>
    <t>Table2'!$R$18</t>
  </si>
  <si>
    <t>Table2'!$R$19</t>
  </si>
  <si>
    <t>Table2'!$R$20</t>
  </si>
  <si>
    <t>Table2'!$R$22</t>
  </si>
  <si>
    <t>Table2'!$R$23</t>
  </si>
  <si>
    <t>Table2'!$R$24</t>
  </si>
  <si>
    <t>Table2'!$R$26</t>
  </si>
  <si>
    <t>Table2'!$R$28</t>
  </si>
  <si>
    <t>Table2'!$R$29</t>
  </si>
  <si>
    <t>Table2'!$R$30</t>
  </si>
  <si>
    <t>Table2'!$U$8</t>
  </si>
  <si>
    <t>Table2'!$U$9</t>
  </si>
  <si>
    <t>Table2'!$U$10</t>
  </si>
  <si>
    <t>Table2'!$U$11</t>
  </si>
  <si>
    <t>Table2'!$U$12</t>
  </si>
  <si>
    <t>Table2'!$U$13</t>
  </si>
  <si>
    <t>Table2'!$U$14</t>
  </si>
  <si>
    <t>Table2'!$U$15</t>
  </si>
  <si>
    <t>Table2'!$U$16</t>
  </si>
  <si>
    <t>Table2'!$U$17</t>
  </si>
  <si>
    <t>Table2'!$U$18</t>
  </si>
  <si>
    <t>Table2'!$U$19</t>
  </si>
  <si>
    <t>Table2'!$U$20</t>
  </si>
  <si>
    <t>Table2'!$U$22</t>
  </si>
  <si>
    <t>Table2'!$U$23</t>
  </si>
  <si>
    <t>Table2'!$U$24</t>
  </si>
  <si>
    <t>Table2'!$U$26</t>
  </si>
  <si>
    <t>Table2'!$U$28</t>
  </si>
  <si>
    <t>Table2'!$U$29</t>
  </si>
  <si>
    <t>Table2'!$U$30</t>
  </si>
  <si>
    <t>Table2'!$X$8</t>
  </si>
  <si>
    <t>Table2'!$X$9</t>
  </si>
  <si>
    <t>Table2'!$X$10</t>
  </si>
  <si>
    <t>Table2'!$X$11</t>
  </si>
  <si>
    <t>Table2'!$X$12</t>
  </si>
  <si>
    <t>Table2'!$X$13</t>
  </si>
  <si>
    <t>Table2'!$X$14</t>
  </si>
  <si>
    <t>Table2'!$X$15</t>
  </si>
  <si>
    <t>Table2'!$X$16</t>
  </si>
  <si>
    <t>Table2'!$X$17</t>
  </si>
  <si>
    <t>Table2'!$X$18</t>
  </si>
  <si>
    <t>Table2'!$X$19</t>
  </si>
  <si>
    <t>Table2'!$X$20</t>
  </si>
  <si>
    <t>Table2'!$X$22</t>
  </si>
  <si>
    <t>Table2'!$X$23</t>
  </si>
  <si>
    <t>Table2'!$X$24</t>
  </si>
  <si>
    <t>Table2'!$X$26</t>
  </si>
  <si>
    <t>Table2'!$X$28</t>
  </si>
  <si>
    <t>Table2'!$X$29</t>
  </si>
  <si>
    <t>Table2'!$X$30</t>
  </si>
  <si>
    <t>Table2'!$AA$8</t>
  </si>
  <si>
    <t>Table2'!$AA$9</t>
  </si>
  <si>
    <t>Table2'!$AA$10</t>
  </si>
  <si>
    <t>Table2'!$AA$11</t>
  </si>
  <si>
    <t>Table2'!$AA$12</t>
  </si>
  <si>
    <t>Table2'!$AA$13</t>
  </si>
  <si>
    <t>Table2'!$AA$14</t>
  </si>
  <si>
    <t>Table2'!$AA$15</t>
  </si>
  <si>
    <t>Table2'!$AA$16</t>
  </si>
  <si>
    <t>Table2'!$AA$17</t>
  </si>
  <si>
    <t>Table2'!$AA$18</t>
  </si>
  <si>
    <t>Table2'!$AA$19</t>
  </si>
  <si>
    <t>Table2'!$AA$20</t>
  </si>
  <si>
    <t>Table2'!$AA$22</t>
  </si>
  <si>
    <t>Table2'!$AA$23</t>
  </si>
  <si>
    <t>Table2'!$AA$24</t>
  </si>
  <si>
    <t>Table2'!$AA$26</t>
  </si>
  <si>
    <t>Table2'!$AA$28</t>
  </si>
  <si>
    <t>Table2'!$AA$29</t>
  </si>
  <si>
    <t>Table2'!$AA$30</t>
  </si>
  <si>
    <t>Table2'!$AD$8</t>
  </si>
  <si>
    <t>Table2'!$AD$9</t>
  </si>
  <si>
    <t>Table2'!$AD$10</t>
  </si>
  <si>
    <t>Table2'!$AD$11</t>
  </si>
  <si>
    <t>Table2'!$AD$12</t>
  </si>
  <si>
    <t>Table2'!$AD$13</t>
  </si>
  <si>
    <t>Table2'!$AD$14</t>
  </si>
  <si>
    <t>Table2'!$AD$15</t>
  </si>
  <si>
    <t>Table2'!$AD$16</t>
  </si>
  <si>
    <t>Table2'!$AD$17</t>
  </si>
  <si>
    <t>Table2'!$AD$18</t>
  </si>
  <si>
    <t>Table2'!$AD$19</t>
  </si>
  <si>
    <t>Table2'!$AD$20</t>
  </si>
  <si>
    <t>Table2'!$AD$22</t>
  </si>
  <si>
    <t>Table2'!$AD$23</t>
  </si>
  <si>
    <t>Table2'!$AD$24</t>
  </si>
  <si>
    <t>Table2'!$AD$26</t>
  </si>
  <si>
    <t>Table2'!$AD$28</t>
  </si>
  <si>
    <t>Table2'!$AD$29</t>
  </si>
  <si>
    <t>Table2'!$AD$30</t>
  </si>
  <si>
    <t>Table2'!$AG$8</t>
  </si>
  <si>
    <t>Table2'!$AG$9</t>
  </si>
  <si>
    <t>Table2'!$AG$10</t>
  </si>
  <si>
    <t>Table2'!$AG$11</t>
  </si>
  <si>
    <t>Table2'!$AG$12</t>
  </si>
  <si>
    <t>Table2'!$AG$13</t>
  </si>
  <si>
    <t>Table2'!$AG$14</t>
  </si>
  <si>
    <t>Table2'!$AG$15</t>
  </si>
  <si>
    <t>Table2'!$AG$16</t>
  </si>
  <si>
    <t>Table2'!$AG$17</t>
  </si>
  <si>
    <t>Table2'!$AG$18</t>
  </si>
  <si>
    <t>Table2'!$AG$19</t>
  </si>
  <si>
    <t>Table2'!$AG$20</t>
  </si>
  <si>
    <t>Table2'!$AG$22</t>
  </si>
  <si>
    <t>Table2'!$AG$23</t>
  </si>
  <si>
    <t>Table2'!$AG$24</t>
  </si>
  <si>
    <t>Table2'!$AG$26</t>
  </si>
  <si>
    <t>Table2'!$AG$28</t>
  </si>
  <si>
    <t>Table2'!$AG$29</t>
  </si>
  <si>
    <t>Table2'!$AG$30</t>
  </si>
  <si>
    <t>Table2'!$AJ$8</t>
  </si>
  <si>
    <t>Table2'!$AJ$9</t>
  </si>
  <si>
    <t>Table2'!$AJ$10</t>
  </si>
  <si>
    <t>Table2'!$AJ$11</t>
  </si>
  <si>
    <t>Table2'!$AJ$12</t>
  </si>
  <si>
    <t>Table2'!$AJ$13</t>
  </si>
  <si>
    <t>Table2'!$AJ$14</t>
  </si>
  <si>
    <t>Table2'!$AJ$15</t>
  </si>
  <si>
    <t>Table2'!$AJ$16</t>
  </si>
  <si>
    <t>Table2'!$AJ$17</t>
  </si>
  <si>
    <t>Table2'!$AJ$18</t>
  </si>
  <si>
    <t>Table2'!$AJ$19</t>
  </si>
  <si>
    <t>Table2'!$AJ$20</t>
  </si>
  <si>
    <t>Table2'!$AJ$22</t>
  </si>
  <si>
    <t>Table2'!$AJ$23</t>
  </si>
  <si>
    <t>Table2'!$AJ$24</t>
  </si>
  <si>
    <t>Table2'!$AJ$26</t>
  </si>
  <si>
    <t>Table2'!$AJ$28</t>
  </si>
  <si>
    <t>Table2'!$AJ$29</t>
  </si>
  <si>
    <t>Table2'!$AJ$30</t>
  </si>
  <si>
    <t>learners_spfl_yct_takers_m_g8</t>
  </si>
  <si>
    <t>learners_spfl_delf_takers_m_g8</t>
  </si>
  <si>
    <t>learners_spfl_zd_takers_m_g8</t>
  </si>
  <si>
    <t>learners_spfl_jlpt_takers_m_g8</t>
  </si>
  <si>
    <t>learners_spfl_topik_takers_m_g8</t>
  </si>
  <si>
    <t>learners_spfl_dele_takers_m_g8</t>
  </si>
  <si>
    <t>learners_spfl_yct_takers_f_g8</t>
  </si>
  <si>
    <t>learners_spfl_delf_takers_f_g8</t>
  </si>
  <si>
    <t>learners_spfl_zd_takers_f_g8</t>
  </si>
  <si>
    <t>learners_spfl_jlpt_takers_f_g8</t>
  </si>
  <si>
    <t>learners_spfl_topik_takers_f_g8</t>
  </si>
  <si>
    <t>learners_spfl_dele_takers_f_g8</t>
  </si>
  <si>
    <t>learners_spfl_yct_takers_m_g7</t>
  </si>
  <si>
    <t>learners_spfl_delf_takers_m_g7</t>
  </si>
  <si>
    <t>learners_spfl_zd_takers_m_g7</t>
  </si>
  <si>
    <t>learners_spfl_jlpt_takers_m_g7</t>
  </si>
  <si>
    <t>learners_spfl_topik_takers_m_g7</t>
  </si>
  <si>
    <t>learners_spfl_dele_takers_m_g7</t>
  </si>
  <si>
    <t>learners_spfl_yct_takers_f_g7</t>
  </si>
  <si>
    <t>learners_spfl_delf_takers_f_g7</t>
  </si>
  <si>
    <t>learners_spfl_zd_takers_f_g7</t>
  </si>
  <si>
    <t>learners_spfl_jlpt_takers_f_g7</t>
  </si>
  <si>
    <t>learners_spfl_topik_takers_f_g7</t>
  </si>
  <si>
    <t>learners_spfl_dele_takers_f_g7</t>
  </si>
  <si>
    <t>learners_spfl_yct_takers_m_g9</t>
  </si>
  <si>
    <t>learners_spfl_delf_takers_m_g9</t>
  </si>
  <si>
    <t>learners_spfl_zd_takers_m_g9</t>
  </si>
  <si>
    <t>learners_spfl_jlpt_takers_m_g9</t>
  </si>
  <si>
    <t>learners_spfl_topik_takers_m_g9</t>
  </si>
  <si>
    <t>learners_spfl_dele_takers_m_g9</t>
  </si>
  <si>
    <t>learners_spfl_yct_takers_f_g9</t>
  </si>
  <si>
    <t>learners_spfl_delf_takers_f_g9</t>
  </si>
  <si>
    <t>learners_spfl_zd_takers_f_g9</t>
  </si>
  <si>
    <t>learners_spfl_jlpt_takers_f_g9</t>
  </si>
  <si>
    <t>learners_spfl_topik_takers_f_g9</t>
  </si>
  <si>
    <t>learners_spfl_dele_takers_f_g9</t>
  </si>
  <si>
    <t>learners_spfl_yct_takers_m_g10</t>
  </si>
  <si>
    <t>learners_spfl_delf_takers_m_g10</t>
  </si>
  <si>
    <t>learners_spfl_zd_takers_m_g10</t>
  </si>
  <si>
    <t>learners_spfl_jlpt_takers_m_g10</t>
  </si>
  <si>
    <t>learners_spfl_topik_takers_m_g10</t>
  </si>
  <si>
    <t>learners_spfl_dele_takers_m_g10</t>
  </si>
  <si>
    <t>learners_spfl_yct_takers_f_g10</t>
  </si>
  <si>
    <t>learners_spfl_delf_takers_f_g10</t>
  </si>
  <si>
    <t>learners_spfl_zd_takers_f_g10</t>
  </si>
  <si>
    <t>learners_spfl_jlpt_takers_f_g10</t>
  </si>
  <si>
    <t>learners_spfl_topik_takers_f_g10</t>
  </si>
  <si>
    <t>learners_spfl_dele_takers_f_g10</t>
  </si>
  <si>
    <t>learners_spfl_yct_passer_m_g7</t>
  </si>
  <si>
    <t>learners_spfl_delf_passer_m_g7</t>
  </si>
  <si>
    <t>learners_spfl_zd_passer_m_g7</t>
  </si>
  <si>
    <t>learners_spfl_jlpt_passer_m_g7</t>
  </si>
  <si>
    <t>learners_spfl_topik_passer_m_g7</t>
  </si>
  <si>
    <t>learners_spfl_dele_passer_m_g7</t>
  </si>
  <si>
    <t>learners_spfl_yct_passer_f_g7</t>
  </si>
  <si>
    <t>learners_spfl_delf_passer_f_g7</t>
  </si>
  <si>
    <t>learners_spfl_zd_passer_f_g7</t>
  </si>
  <si>
    <t>learners_spfl_jlpt_passer_f_g7</t>
  </si>
  <si>
    <t>learners_spfl_topik_passer_f_g7</t>
  </si>
  <si>
    <t>learners_spfl_dele_passer_f_g7</t>
  </si>
  <si>
    <t>learners_spfl_yct_passer_m_g8</t>
  </si>
  <si>
    <t>learners_spfl_delf_passer_m_g8</t>
  </si>
  <si>
    <t>learners_spfl_zd_passer_m_g8</t>
  </si>
  <si>
    <t>learners_spfl_jlpt_passer_m_g8</t>
  </si>
  <si>
    <t>learners_spfl_topik_passer_m_g8</t>
  </si>
  <si>
    <t>learners_spfl_dele_passer_m_g8</t>
  </si>
  <si>
    <t>learners_spfl_yct_passer_f_g8</t>
  </si>
  <si>
    <t>learners_spfl_delf_passer_f_g8</t>
  </si>
  <si>
    <t>learners_spfl_zd_passer_f_g8</t>
  </si>
  <si>
    <t>learners_spfl_jlpt_passer_f_g8</t>
  </si>
  <si>
    <t>learners_spfl_topik_passer_f_g8</t>
  </si>
  <si>
    <t>learners_spfl_dele_passer_f_g8</t>
  </si>
  <si>
    <t>learners_spfl_yct_passer_m_g9</t>
  </si>
  <si>
    <t>learners_spfl_delf_passer_m_g9</t>
  </si>
  <si>
    <t>learners_spfl_zd_passer_m_g9</t>
  </si>
  <si>
    <t>learners_spfl_jlpt_passer_m_g9</t>
  </si>
  <si>
    <t>learners_spfl_topik_passer_m_g9</t>
  </si>
  <si>
    <t>learners_spfl_dele_passer_m_g9</t>
  </si>
  <si>
    <t>learners_spfl_yct_passer_f_g9</t>
  </si>
  <si>
    <t>learners_spfl_delf_passer_f_g9</t>
  </si>
  <si>
    <t>learners_spfl_zd_passer_f_g9</t>
  </si>
  <si>
    <t>learners_spfl_jlpt_passer_f_g9</t>
  </si>
  <si>
    <t>learners_spfl_topik_passer_f_g9</t>
  </si>
  <si>
    <t>learners_spfl_dele_passer_f_g9</t>
  </si>
  <si>
    <t>learners_spfl_yct_passer_m_g10</t>
  </si>
  <si>
    <t>learners_spfl_delf_passer_m_g10</t>
  </si>
  <si>
    <t>learners_spfl_zd_passer_m_g10</t>
  </si>
  <si>
    <t>learners_spfl_jlpt_passer_m_g10</t>
  </si>
  <si>
    <t>learners_spfl_topik_passer_m_g10</t>
  </si>
  <si>
    <t>learners_spfl_dele_passer_m_g10</t>
  </si>
  <si>
    <t>learners_spfl_yct_passer_f_g10</t>
  </si>
  <si>
    <t>learners_spfl_delf_passer_f_g10</t>
  </si>
  <si>
    <t>learners_spfl_zd_passer_f_g10</t>
  </si>
  <si>
    <t>learners_spfl_jlpt_passer_f_g10</t>
  </si>
  <si>
    <t>learners_spfl_topik_passer_f_g10</t>
  </si>
  <si>
    <t>learners_spfl_dele_passer_f_g10</t>
  </si>
  <si>
    <t>Table3!'$S$6</t>
  </si>
  <si>
    <t>Table3!'$S$7</t>
  </si>
  <si>
    <t>Table3!'$S$8</t>
  </si>
  <si>
    <t>Table3!'$S$9</t>
  </si>
  <si>
    <t>Table3!'$S$10</t>
  </si>
  <si>
    <t>Table3!'$S$11</t>
  </si>
  <si>
    <t>Table3!'$U$6</t>
  </si>
  <si>
    <t>Table3!'$U$7</t>
  </si>
  <si>
    <t>Table3!'$U$8</t>
  </si>
  <si>
    <t>Table3!'$U$9</t>
  </si>
  <si>
    <t>Table3!'$U$10</t>
  </si>
  <si>
    <t>Table3!'$U$11</t>
  </si>
  <si>
    <t>Table3!'$W$6</t>
  </si>
  <si>
    <t>Table3!'$W$7</t>
  </si>
  <si>
    <t>Table3!'$W$8</t>
  </si>
  <si>
    <t>Table3!'$W$9</t>
  </si>
  <si>
    <t>Table3!'$W$10</t>
  </si>
  <si>
    <t>Table3!'$W$11</t>
  </si>
  <si>
    <t>Table3!'$Y$6</t>
  </si>
  <si>
    <t>Table3!'$Y$7</t>
  </si>
  <si>
    <t>Table3!'$Y$8</t>
  </si>
  <si>
    <t>Table3!'$Y$9</t>
  </si>
  <si>
    <t>Table3!'$Y$10</t>
  </si>
  <si>
    <t>Table3!'$Y$11</t>
  </si>
  <si>
    <t>Table3!'$AA$6</t>
  </si>
  <si>
    <t>Table3!'$AA$7</t>
  </si>
  <si>
    <t>Table3!'$AA$8</t>
  </si>
  <si>
    <t>Table3!'$AA$9</t>
  </si>
  <si>
    <t>Table3!'$AA$10</t>
  </si>
  <si>
    <t>Table3!'$AA$11</t>
  </si>
  <si>
    <t>Table3!'$AC$6</t>
  </si>
  <si>
    <t>Table3!'$AC$7</t>
  </si>
  <si>
    <t>Table3!'$AC$8</t>
  </si>
  <si>
    <t>Table3!'$AC$9</t>
  </si>
  <si>
    <t>Table3!'$AC$10</t>
  </si>
  <si>
    <t>Table3!'$AC$11</t>
  </si>
  <si>
    <t>Table3!'$AE$6</t>
  </si>
  <si>
    <t>Table3!'$AE$7</t>
  </si>
  <si>
    <t>Table3!'$AE$8</t>
  </si>
  <si>
    <t>Table3!'$AE$9</t>
  </si>
  <si>
    <t>Table3!'$AE$10</t>
  </si>
  <si>
    <t>Table3!'$AE$11</t>
  </si>
  <si>
    <t>Table3!'$AG$6</t>
  </si>
  <si>
    <t>Table3!'$AG$7</t>
  </si>
  <si>
    <t>Table3!'$AG$8</t>
  </si>
  <si>
    <t>Table3!'$AG$9</t>
  </si>
  <si>
    <t>Table3!'$AG$10</t>
  </si>
  <si>
    <t>Table3!'$AG$11</t>
  </si>
  <si>
    <t>Table3!'$AM$6</t>
  </si>
  <si>
    <t>Table3!'$AM$7</t>
  </si>
  <si>
    <t>Table3!'$AM$8</t>
  </si>
  <si>
    <t>Table3!'$AM$9</t>
  </si>
  <si>
    <t>Table3!'$AM$10</t>
  </si>
  <si>
    <t>Table3!'$AM$11</t>
  </si>
  <si>
    <t>Table3!'$AO$6</t>
  </si>
  <si>
    <t>Table3!'$AO$7</t>
  </si>
  <si>
    <t>Table3!'$AO$8</t>
  </si>
  <si>
    <t>Table3!'$AO$9</t>
  </si>
  <si>
    <t>Table3!'$AO$10</t>
  </si>
  <si>
    <t>Table3!'$AO$11</t>
  </si>
  <si>
    <t>Table3!'$AQ$6</t>
  </si>
  <si>
    <t>Table3!'$AQ$7</t>
  </si>
  <si>
    <t>Table3!'$AQ$8</t>
  </si>
  <si>
    <t>Table3!'$AQ$9</t>
  </si>
  <si>
    <t>Table3!'$AQ$10</t>
  </si>
  <si>
    <t>Table3!'$AQ$11</t>
  </si>
  <si>
    <t>Table3!'$AS$6</t>
  </si>
  <si>
    <t>Table3!'$AS$7</t>
  </si>
  <si>
    <t>Table3!'$AS$8</t>
  </si>
  <si>
    <t>Table3!'$AS$9</t>
  </si>
  <si>
    <t>Table3!'$AS$10</t>
  </si>
  <si>
    <t>Table3!'$AS$11</t>
  </si>
  <si>
    <t>Table3!'$AU$6</t>
  </si>
  <si>
    <t>Table3!'$AU$7</t>
  </si>
  <si>
    <t>Table3!'$AU$8</t>
  </si>
  <si>
    <t>Table3!'$AU$9</t>
  </si>
  <si>
    <t>Table3!'$AU$10</t>
  </si>
  <si>
    <t>Table3!'$AU$11</t>
  </si>
  <si>
    <t>Table3!'$AW$6</t>
  </si>
  <si>
    <t>Table3!'$AW$7</t>
  </si>
  <si>
    <t>Table3!'$AW$8</t>
  </si>
  <si>
    <t>Table3!'$AW$9</t>
  </si>
  <si>
    <t>Table3!'$AW$10</t>
  </si>
  <si>
    <t>Table3!'$AW$11</t>
  </si>
  <si>
    <t>Table3!'$AY$11</t>
  </si>
  <si>
    <t>Table3!'$AY$6</t>
  </si>
  <si>
    <t>Table3!'$AY$7</t>
  </si>
  <si>
    <t>Table3!'$AY$8</t>
  </si>
  <si>
    <t>Table3!'$AY$9</t>
  </si>
  <si>
    <t>Table3!'$AY$10</t>
  </si>
  <si>
    <t>Table3!'$BA$6</t>
  </si>
  <si>
    <t>Table3!'$BA$7</t>
  </si>
  <si>
    <t>Table3!'$BA$8</t>
  </si>
  <si>
    <t>Table3!'$BA$9</t>
  </si>
  <si>
    <t>Table3!'$BA$10</t>
  </si>
  <si>
    <t>Table3!'$BA$11</t>
  </si>
  <si>
    <t>Table4$V$10</t>
  </si>
  <si>
    <t>Table4$V$11</t>
  </si>
  <si>
    <t>Table4$V$12</t>
  </si>
  <si>
    <t>Table4$V$13</t>
  </si>
  <si>
    <t>Table4$V$14</t>
  </si>
  <si>
    <t>Table4$V$15</t>
  </si>
  <si>
    <t>Table4$V$16</t>
  </si>
  <si>
    <t>Table4$V$18</t>
  </si>
  <si>
    <t>Table4$V$19</t>
  </si>
  <si>
    <t>Table4$V$23</t>
  </si>
  <si>
    <t>Table4$V$24</t>
  </si>
  <si>
    <t>Table4$V$25</t>
  </si>
  <si>
    <t>Table4$V$26</t>
  </si>
  <si>
    <t>Table4$V$27</t>
  </si>
  <si>
    <t>Table4$V$28</t>
  </si>
  <si>
    <t>Table4$V$29</t>
  </si>
  <si>
    <t>Table4$V$32</t>
  </si>
  <si>
    <t>Table4$V$33</t>
  </si>
  <si>
    <t>Table4$V$34</t>
  </si>
  <si>
    <t>Table4$V$35</t>
  </si>
  <si>
    <t>Table4$V$30</t>
  </si>
  <si>
    <t>Table4$V$21</t>
  </si>
  <si>
    <t>Table4$V$20</t>
  </si>
  <si>
    <t>Table4$V$8</t>
  </si>
  <si>
    <t>Table4$V$9</t>
  </si>
  <si>
    <t>Table4$AB$11</t>
  </si>
  <si>
    <t>Table4$AB$12</t>
  </si>
  <si>
    <t>Table4$AB$13</t>
  </si>
  <si>
    <t>Table4$AB$14</t>
  </si>
  <si>
    <t>Table4$AB$15</t>
  </si>
  <si>
    <t>Table4$AB$16</t>
  </si>
  <si>
    <t>Table4$AB$18</t>
  </si>
  <si>
    <t>Table4$AB$19</t>
  </si>
  <si>
    <t>Table4$AB$20</t>
  </si>
  <si>
    <t>Table4$AB$21</t>
  </si>
  <si>
    <t>Table4$AB$23</t>
  </si>
  <si>
    <t>Table4$AB$24</t>
  </si>
  <si>
    <t>Table4$AB$25</t>
  </si>
  <si>
    <t>Table4$AB$26</t>
  </si>
  <si>
    <t>Table4$AB$27</t>
  </si>
  <si>
    <t>Table4$AB$28</t>
  </si>
  <si>
    <t>Table4$AB$29</t>
  </si>
  <si>
    <t>Table4$AB$30</t>
  </si>
  <si>
    <t>Table4$AB$32</t>
  </si>
  <si>
    <t>Table4$AB$33</t>
  </si>
  <si>
    <t>Table4$AB$34</t>
  </si>
  <si>
    <t>Table4$AB$35</t>
  </si>
  <si>
    <t>Table4$AB$8</t>
  </si>
  <si>
    <t>Table4$AB$9</t>
  </si>
  <si>
    <t>Table4$AB$10</t>
  </si>
  <si>
    <t>Table4$AE$11</t>
  </si>
  <si>
    <t>Table4$AE$12</t>
  </si>
  <si>
    <t>Table4$AE$13</t>
  </si>
  <si>
    <t>Table4$AE$14</t>
  </si>
  <si>
    <t>Table4$AE$15</t>
  </si>
  <si>
    <t>Table4$AE$16</t>
  </si>
  <si>
    <t>Table4$AE$18</t>
  </si>
  <si>
    <t>Table4$AE$19</t>
  </si>
  <si>
    <t>Table4$AE$20</t>
  </si>
  <si>
    <t>Table4$AE$21</t>
  </si>
  <si>
    <t>Table4$AE$23</t>
  </si>
  <si>
    <t>Table4$AE$24</t>
  </si>
  <si>
    <t>Table4$AE$25</t>
  </si>
  <si>
    <t>Table4$AE$26</t>
  </si>
  <si>
    <t>Table4$AE$27</t>
  </si>
  <si>
    <t>Table4$AE$28</t>
  </si>
  <si>
    <t>Table4$AE$29</t>
  </si>
  <si>
    <t>Table4$AE$30</t>
  </si>
  <si>
    <t>Table4$AE$32</t>
  </si>
  <si>
    <t>Table4$AE$33</t>
  </si>
  <si>
    <t>Table4$AE$34</t>
  </si>
  <si>
    <t>Table4$AE$35</t>
  </si>
  <si>
    <t>Table4$AE$8</t>
  </si>
  <si>
    <t>Table4$AE$9</t>
  </si>
  <si>
    <t>Table4$AE$10</t>
  </si>
  <si>
    <t>Table4$AH$11</t>
  </si>
  <si>
    <t>Table4$AH$12</t>
  </si>
  <si>
    <t>Table4$AH$13</t>
  </si>
  <si>
    <t>Table4$AH$14</t>
  </si>
  <si>
    <t>Table4$AH$15</t>
  </si>
  <si>
    <t>Table4$AH$16</t>
  </si>
  <si>
    <t>Table4$AH$18</t>
  </si>
  <si>
    <t>Table4$AH$19</t>
  </si>
  <si>
    <t>Table4$AH$20</t>
  </si>
  <si>
    <t>Table4$AH$21</t>
  </si>
  <si>
    <t>Table4$AH$23</t>
  </si>
  <si>
    <t>Table4$AH$24</t>
  </si>
  <si>
    <t>Table4$AH$25</t>
  </si>
  <si>
    <t>Table4$AH$26</t>
  </si>
  <si>
    <t>Table4$AH$27</t>
  </si>
  <si>
    <t>Table4$AH$28</t>
  </si>
  <si>
    <t>Table4$AH$29</t>
  </si>
  <si>
    <t>Table4$AH$30</t>
  </si>
  <si>
    <t>Table4$AH$32</t>
  </si>
  <si>
    <t>Table4$AH$33</t>
  </si>
  <si>
    <t>Table4$AH$34</t>
  </si>
  <si>
    <t>Table4$AH$35</t>
  </si>
  <si>
    <t>Table4$AH$8</t>
  </si>
  <si>
    <t>Table4$AH$9</t>
  </si>
  <si>
    <t>Table4$AH$10</t>
  </si>
  <si>
    <t>Table4$AK$11</t>
  </si>
  <si>
    <t>Table4$AK$12</t>
  </si>
  <si>
    <t>Table4$AK$13</t>
  </si>
  <si>
    <t>Table4$AK$14</t>
  </si>
  <si>
    <t>Table4$AK$15</t>
  </si>
  <si>
    <t>Table4$AK$16</t>
  </si>
  <si>
    <t>Table4$AK$18</t>
  </si>
  <si>
    <t>Table4$AK$19</t>
  </si>
  <si>
    <t>Table4$AK$20</t>
  </si>
  <si>
    <t>Table4$AK$21</t>
  </si>
  <si>
    <t>Table4$AK$23</t>
  </si>
  <si>
    <t>Table4$AK$24</t>
  </si>
  <si>
    <t>Table4$AK$25</t>
  </si>
  <si>
    <t>Table4$AK$26</t>
  </si>
  <si>
    <t>Table4$AK$27</t>
  </si>
  <si>
    <t>Table4$AK$28</t>
  </si>
  <si>
    <t>Table4$AK$29</t>
  </si>
  <si>
    <t>Table4$AK$30</t>
  </si>
  <si>
    <t>Table4$AK$32</t>
  </si>
  <si>
    <t>Table4$AK$33</t>
  </si>
  <si>
    <t>Table4$AK$34</t>
  </si>
  <si>
    <t>Table4$AK$35</t>
  </si>
  <si>
    <t>Table4$AK$8</t>
  </si>
  <si>
    <t>Table4$AK$9</t>
  </si>
  <si>
    <t>Table4$AK$10</t>
  </si>
  <si>
    <t>Table4$P$11</t>
  </si>
  <si>
    <t>Table4$P$12</t>
  </si>
  <si>
    <t>Table4$P$13</t>
  </si>
  <si>
    <t>Table4$P$14</t>
  </si>
  <si>
    <t>Table4$P$15</t>
  </si>
  <si>
    <t>Table4$P$16</t>
  </si>
  <si>
    <t>Table4$P$18</t>
  </si>
  <si>
    <t>Table4$P$19</t>
  </si>
  <si>
    <t>Table4$P$20</t>
  </si>
  <si>
    <t>Table4$P$21</t>
  </si>
  <si>
    <t>Table4$P$23</t>
  </si>
  <si>
    <t>Table4$P$24</t>
  </si>
  <si>
    <t>Table4$P$25</t>
  </si>
  <si>
    <t>Table4$P$26</t>
  </si>
  <si>
    <t>Table4$P$27</t>
  </si>
  <si>
    <t>Table4$P$28</t>
  </si>
  <si>
    <t>Table4$P$29</t>
  </si>
  <si>
    <t>Table4$P$30</t>
  </si>
  <si>
    <t>Table4$P$32</t>
  </si>
  <si>
    <t>Table4$P$33</t>
  </si>
  <si>
    <t>Table4$P$34</t>
  </si>
  <si>
    <t>Table4$P$35</t>
  </si>
  <si>
    <t>Table4$P$8</t>
  </si>
  <si>
    <t>Table4$P$9</t>
  </si>
  <si>
    <t>Table4$P$10</t>
  </si>
  <si>
    <t>Table4$S$11</t>
  </si>
  <si>
    <t>Table4$S$12</t>
  </si>
  <si>
    <t>Table4$S$13</t>
  </si>
  <si>
    <t>Table4$S$14</t>
  </si>
  <si>
    <t>Table4$S$15</t>
  </si>
  <si>
    <t>Table4$S$16</t>
  </si>
  <si>
    <t>Table4$S$8</t>
  </si>
  <si>
    <t>Table4$S$18</t>
  </si>
  <si>
    <t>Table4$S$19</t>
  </si>
  <si>
    <t>Table4$S$20</t>
  </si>
  <si>
    <t>Table4$S$21</t>
  </si>
  <si>
    <t>Table4$S$23</t>
  </si>
  <si>
    <t>Table4$S$24</t>
  </si>
  <si>
    <t>Table4$S$25</t>
  </si>
  <si>
    <t>Table4$S$26</t>
  </si>
  <si>
    <t>Table4$S$27</t>
  </si>
  <si>
    <t>Table4$S$28</t>
  </si>
  <si>
    <t>Table4$S$29</t>
  </si>
  <si>
    <t>Table4$S$30</t>
  </si>
  <si>
    <t>Table4$S$32</t>
  </si>
  <si>
    <t>Table4$S$33</t>
  </si>
  <si>
    <t>Table4$S$34</t>
  </si>
  <si>
    <t>Table4$S$35</t>
  </si>
  <si>
    <t>Table4$S$9</t>
  </si>
  <si>
    <t>Table4$S$10</t>
  </si>
  <si>
    <t>Table4$Y$11</t>
  </si>
  <si>
    <t>Table4$Y$12</t>
  </si>
  <si>
    <t>Table4$Y$13</t>
  </si>
  <si>
    <t>Table4$Y$14</t>
  </si>
  <si>
    <t>Table4$Y$15</t>
  </si>
  <si>
    <t>Table4$Y$16</t>
  </si>
  <si>
    <t>Table4$Y$18</t>
  </si>
  <si>
    <t>Table4$Y$19</t>
  </si>
  <si>
    <t>Table4$Y$20</t>
  </si>
  <si>
    <t>Table4$Y$21</t>
  </si>
  <si>
    <t>Table4$Y$23</t>
  </si>
  <si>
    <t>Table4$Y$24</t>
  </si>
  <si>
    <t>Table4$Y$25</t>
  </si>
  <si>
    <t>Table4$Y$26</t>
  </si>
  <si>
    <t>Table4$Y$27</t>
  </si>
  <si>
    <t>Table4$Y$28</t>
  </si>
  <si>
    <t>Table4$Y$29</t>
  </si>
  <si>
    <t>Table4$Y$30</t>
  </si>
  <si>
    <t>Table5'!$X$37</t>
  </si>
  <si>
    <t>Table5'!$AB$39</t>
  </si>
  <si>
    <t>Table6!$L$43</t>
  </si>
  <si>
    <t>SPED Teacher II</t>
  </si>
  <si>
    <t>Tables18-21'!$AB$40</t>
  </si>
  <si>
    <t>Tables18-21'!$AB$41</t>
  </si>
  <si>
    <t>Tables18-21'!$AB$42</t>
  </si>
  <si>
    <t>Tables18-21'!$AE$40</t>
  </si>
  <si>
    <t>Tables18-21'!$AE$41</t>
  </si>
  <si>
    <t>Tables18-21'!$AE$42</t>
  </si>
  <si>
    <t>areaspec_gradmaj_eng_over40</t>
  </si>
  <si>
    <t>areaspec_gradmaj_math_over40</t>
  </si>
  <si>
    <t>areaspec_gradmaj_fil_over40</t>
  </si>
  <si>
    <t>areaspec_gradmaj_sci_over40</t>
  </si>
  <si>
    <t>areaspec_gradmaj_ap_over40</t>
  </si>
  <si>
    <t>areaspec_gradmaj_esp_over40</t>
  </si>
  <si>
    <t>areaspec_gradmaj_tle_over40</t>
  </si>
  <si>
    <t>areaspec_gradmaj_mapeh_over40</t>
  </si>
  <si>
    <t>areaspec_gradmaj_eng_under40</t>
  </si>
  <si>
    <t>areaspec_gradmaj_math_under40</t>
  </si>
  <si>
    <t>areaspec_gradmaj_fil_under40</t>
  </si>
  <si>
    <t>areaspec_gradmaj_sci_under40</t>
  </si>
  <si>
    <t>areaspec_gradmaj_ap_under40</t>
  </si>
  <si>
    <t>areaspec_gradmaj_esp_under40</t>
  </si>
  <si>
    <t>areaspec_gradmaj_tle_under40</t>
  </si>
  <si>
    <t>areaspec_gradmaj_mapeh_under40</t>
  </si>
  <si>
    <t>Tables18-21'!$K$21</t>
  </si>
  <si>
    <t>Tables18-21'!$K$22</t>
  </si>
  <si>
    <t>Tables18-21'!$K$23</t>
  </si>
  <si>
    <t>Tables18-21'!$K$24</t>
  </si>
  <si>
    <t>Tables18-21'!$K$25</t>
  </si>
  <si>
    <t>Tables18-21'!$K$26</t>
  </si>
  <si>
    <t>Tables18-21'!$K$27</t>
  </si>
  <si>
    <t>Tables18-21'!$K$28</t>
  </si>
  <si>
    <t>areaspec_bachelormaj_eng_under40</t>
  </si>
  <si>
    <t>areaspec_bachelormaj_math_under40</t>
  </si>
  <si>
    <t>areaspec_bachelormaj_fil_under40</t>
  </si>
  <si>
    <t>areaspec_bachelormaj_sci_under40</t>
  </si>
  <si>
    <t>areaspec_bachelormaj_ap_under40</t>
  </si>
  <si>
    <t>areaspec_bachelormaj_esp_under40</t>
  </si>
  <si>
    <t>areaspec_bachelormaj_tle_under40</t>
  </si>
  <si>
    <t>areaspec_bachelormaj_mapeh_under40</t>
  </si>
  <si>
    <t>areaspec_bachelormaj_eng_over40</t>
  </si>
  <si>
    <t>areaspec_bachelormaj_math_over40</t>
  </si>
  <si>
    <t>areaspec_bachelormaj_fil_over40</t>
  </si>
  <si>
    <t>areaspec_bachelormaj_sci_over40</t>
  </si>
  <si>
    <t>areaspec_bachelormaj_ap_over40</t>
  </si>
  <si>
    <t>areaspec_bachelormaj_esp_over40</t>
  </si>
  <si>
    <t>areaspec_bachelormaj_tle_over40</t>
  </si>
  <si>
    <t>areaspec_bachelormaj_mapeh_over40</t>
  </si>
  <si>
    <t>Tables18-21'!$U$21</t>
  </si>
  <si>
    <t>Tables18-21'!$U$22</t>
  </si>
  <si>
    <t>Tables18-21'!$U$23</t>
  </si>
  <si>
    <t>Tables18-21'!$U$24</t>
  </si>
  <si>
    <t>Tables18-21'!$U$25</t>
  </si>
  <si>
    <t>Tables18-21'!$U$26</t>
  </si>
  <si>
    <t>Tables18-21'!$U$27</t>
  </si>
  <si>
    <t>Tables18-21'!$U$28</t>
  </si>
  <si>
    <t>Tables18-21'!$Z$21</t>
  </si>
  <si>
    <t>Tables18-21'!$Z$22</t>
  </si>
  <si>
    <t>Tables18-21'!$Z$23</t>
  </si>
  <si>
    <t>Tables18-21'!$Z$24</t>
  </si>
  <si>
    <t>Tables18-21'!$Z$25</t>
  </si>
  <si>
    <t>Tables18-21'!$Z$26</t>
  </si>
  <si>
    <t>Tables18-21'!$Z$27</t>
  </si>
  <si>
    <t>Tables18-21'!$Z$28</t>
  </si>
  <si>
    <t>areaspec_bachelormin_eng_under40</t>
  </si>
  <si>
    <t>areaspec_bachelormin_math_under40</t>
  </si>
  <si>
    <t>areaspec_bachelormin_fil_under40</t>
  </si>
  <si>
    <t>areaspec_bachelormin_sci_under40</t>
  </si>
  <si>
    <t>areaspec_bachelormin_ap_under40</t>
  </si>
  <si>
    <t>areaspec_bachelormin_esp_under40</t>
  </si>
  <si>
    <t>areaspec_bachelormin_tle_under40</t>
  </si>
  <si>
    <t>areaspec_bachelormin_mapeh_under40</t>
  </si>
  <si>
    <t>areaspec_bachelormin_eng_over40</t>
  </si>
  <si>
    <t>areaspec_bachelormin_math_over40</t>
  </si>
  <si>
    <t>areaspec_bachelormin_fil_over40</t>
  </si>
  <si>
    <t>areaspec_bachelormin_sci_over40</t>
  </si>
  <si>
    <t>areaspec_bachelormin_ap_over40</t>
  </si>
  <si>
    <t>areaspec_bachelormin_esp_over40</t>
  </si>
  <si>
    <t>areaspec_bachelormin_tle_over40</t>
  </si>
  <si>
    <t>areaspec_bachelormin_mapeh_over40</t>
  </si>
  <si>
    <t>Tables18-21'!$AE$21</t>
  </si>
  <si>
    <t>Tables18-21'!$AE$22</t>
  </si>
  <si>
    <t>Tables18-21'!$AE$23</t>
  </si>
  <si>
    <t>Tables18-21'!$AE$24</t>
  </si>
  <si>
    <t>Tables18-21'!$AE$25</t>
  </si>
  <si>
    <t>Tables18-21'!$AE$26</t>
  </si>
  <si>
    <t>Tables18-21'!$AE$27</t>
  </si>
  <si>
    <t>Tables18-21'!$AE$28</t>
  </si>
  <si>
    <t>Tables18-21'!$AJ$28</t>
  </si>
  <si>
    <t>Tables18-21'!$AJ$21</t>
  </si>
  <si>
    <t>Tables18-21'!$AJ$22</t>
  </si>
  <si>
    <t>Tables18-21'!$AJ$23</t>
  </si>
  <si>
    <t>Tables18-21'!$AJ$24</t>
  </si>
  <si>
    <t>Tables18-21'!$AJ$25</t>
  </si>
  <si>
    <t>Tables18-21'!$AJ$26</t>
  </si>
  <si>
    <t>Tables18-21'!$AJ$27</t>
  </si>
  <si>
    <t>areaspec_wspcltrng_eng_over40</t>
  </si>
  <si>
    <t>areaspec_wspcltrng_math_over40</t>
  </si>
  <si>
    <t>areaspec_wspcltrng_fil_over40</t>
  </si>
  <si>
    <t>areaspec_wspcltrng_sci_over40</t>
  </si>
  <si>
    <t>areaspec_wspcltrng_ap_over40</t>
  </si>
  <si>
    <t>areaspec_wspcltrng_esp_over40</t>
  </si>
  <si>
    <t>areaspec_wspcltrng_tle_over40</t>
  </si>
  <si>
    <t>areaspec_wspcltrng_mapeh_over40</t>
  </si>
  <si>
    <t>Tables18-21'!$AO$21</t>
  </si>
  <si>
    <t>Tables18-21'!$AO$22</t>
  </si>
  <si>
    <t>Tables18-21'!$AO$23</t>
  </si>
  <si>
    <t>Tables18-21'!$AO$24</t>
  </si>
  <si>
    <t>Tables18-21'!$AO$25</t>
  </si>
  <si>
    <t>Tables18-21'!$AO$26</t>
  </si>
  <si>
    <t>Tables18-21'!$AO$27</t>
  </si>
  <si>
    <t>Tables18-21'!$AO$28</t>
  </si>
  <si>
    <t>Tables18-21'!$AT$21</t>
  </si>
  <si>
    <t>Tables18-21'!$AT$22</t>
  </si>
  <si>
    <t>Tables18-21'!$AT$23</t>
  </si>
  <si>
    <t>Tables18-21'!$AT$24</t>
  </si>
  <si>
    <t>Tables18-21'!$AT$25</t>
  </si>
  <si>
    <t>Tables18-21'!$AT$26</t>
  </si>
  <si>
    <t>Tables18-21'!$AT$27</t>
  </si>
  <si>
    <t>Tables18-21'!$AT$28</t>
  </si>
  <si>
    <t>areaspec_wospcltrng_eng_over40</t>
  </si>
  <si>
    <t>areaspec_wospcltrng_math_over40</t>
  </si>
  <si>
    <t>areaspec_wospcltrng_fil_over40</t>
  </si>
  <si>
    <t>areaspec_wospcltrng_sci_over40</t>
  </si>
  <si>
    <t>areaspec_wospcltrng_ap_over40</t>
  </si>
  <si>
    <t>areaspec_wospcltrng_esp_over40</t>
  </si>
  <si>
    <t>areaspec_wospcltrng_tle_over40</t>
  </si>
  <si>
    <t>areaspec_wospcltrng_mapeh_over40</t>
  </si>
  <si>
    <t>Tables18-21'!$AY$21</t>
  </si>
  <si>
    <t>Tables18-21'!$AY$22</t>
  </si>
  <si>
    <t>Tables18-21'!$AY$23</t>
  </si>
  <si>
    <t>Tables18-21'!$AY$24</t>
  </si>
  <si>
    <t>Tables18-21'!$AY$25</t>
  </si>
  <si>
    <t>Tables18-21'!$AY$26</t>
  </si>
  <si>
    <t>Tables18-21'!$AY$27</t>
  </si>
  <si>
    <t>Tables18-21'!$AY$28</t>
  </si>
  <si>
    <t>Tables18-21'!$BD$21</t>
  </si>
  <si>
    <t>Tables18-21'!$BD$22</t>
  </si>
  <si>
    <t>Tables18-21'!$BD$23</t>
  </si>
  <si>
    <t>Tables18-21'!$BD$24</t>
  </si>
  <si>
    <t>Tables18-21'!$BD$25</t>
  </si>
  <si>
    <t>Tables18-21'!$BD$26</t>
  </si>
  <si>
    <t>Tables18-21'!$BD$27</t>
  </si>
  <si>
    <t>Tables18-21'!$BD$28</t>
  </si>
  <si>
    <t>Table26!$AE$11</t>
  </si>
  <si>
    <t>Table26!$AE$12</t>
  </si>
  <si>
    <t>Table26!$AE$13</t>
  </si>
  <si>
    <t>sch_num_funct_computers_acad_lapel_privatedon</t>
  </si>
  <si>
    <t>Table26!$AE$15</t>
  </si>
  <si>
    <t>Table26!$AE$16</t>
  </si>
  <si>
    <t>Table26!$AE$17</t>
  </si>
  <si>
    <t>Table26!$AE$18</t>
  </si>
  <si>
    <t>Table26!$AE$19</t>
  </si>
  <si>
    <t>Table26!$AE$20</t>
  </si>
  <si>
    <t>sch_num_funct_computers_acad_lapel_othergov</t>
  </si>
  <si>
    <t>Table26!$AE$7</t>
  </si>
  <si>
    <t>Table26!$AE$8</t>
  </si>
  <si>
    <t>Table26!$AE$9</t>
  </si>
  <si>
    <t>Table26!$AE$10</t>
  </si>
  <si>
    <t>Table26!$AJ$11</t>
  </si>
  <si>
    <t>Table26!$AJ$12</t>
  </si>
  <si>
    <t>Table26!$AJ$13</t>
  </si>
  <si>
    <t>Table26!$AJ$14</t>
  </si>
  <si>
    <t>Table26!$AJ$15</t>
  </si>
  <si>
    <t>Table26!$AJ$16</t>
  </si>
  <si>
    <t>Table26!$AJ$17</t>
  </si>
  <si>
    <t>Table26!$AJ$18</t>
  </si>
  <si>
    <t>Table26!$AJ$19</t>
  </si>
  <si>
    <t>Table26!$AJ$7</t>
  </si>
  <si>
    <t>Table26!$AJ$8</t>
  </si>
  <si>
    <t>Table26!$AJ$9</t>
  </si>
  <si>
    <t>Table26!$AJ$10</t>
  </si>
  <si>
    <t>sch_num_funct_computers_acad_lapel_others</t>
  </si>
  <si>
    <t>Table26!$AO$11</t>
  </si>
  <si>
    <t>Table26!$AO$12</t>
  </si>
  <si>
    <t>Table26!$AO$13</t>
  </si>
  <si>
    <t>Table26!$AO$15</t>
  </si>
  <si>
    <t>Table26!$AO$16</t>
  </si>
  <si>
    <t>Table26!$AO$17</t>
  </si>
  <si>
    <t>Table26!$AO$18</t>
  </si>
  <si>
    <t>Table26!$AO$19</t>
  </si>
  <si>
    <t>Table26!$AO$20</t>
  </si>
  <si>
    <t>Table26!$AO$7</t>
  </si>
  <si>
    <t>Table26!$AO$8</t>
  </si>
  <si>
    <t>Table26!$AO$9</t>
  </si>
  <si>
    <t>Table26!$AO$10</t>
  </si>
  <si>
    <t>Table26!$K$10</t>
  </si>
  <si>
    <t>Table26!$K$11</t>
  </si>
  <si>
    <t>Table26!$K$12</t>
  </si>
  <si>
    <t>sch_num_funct_computers_acad_lapel_depeddcp</t>
  </si>
  <si>
    <t>Table26!$K$13</t>
  </si>
  <si>
    <t>Table26!$K$15</t>
  </si>
  <si>
    <t>Table26!$K$16</t>
  </si>
  <si>
    <t>Table26!$K$17</t>
  </si>
  <si>
    <t>Table26!$K$18</t>
  </si>
  <si>
    <t>Table26!$K$19</t>
  </si>
  <si>
    <t>Table26!$K$20</t>
  </si>
  <si>
    <t>Table26!$K$7</t>
  </si>
  <si>
    <t>Table26!$K$8</t>
  </si>
  <si>
    <t>Table26!$K$9</t>
  </si>
  <si>
    <t>Table26!$P$10</t>
  </si>
  <si>
    <t>Table26!$P$11</t>
  </si>
  <si>
    <t>Table26!$P$12</t>
  </si>
  <si>
    <t>Table26!$P$13</t>
  </si>
  <si>
    <t>Table26!$P$15</t>
  </si>
  <si>
    <t>Table26!$P$16</t>
  </si>
  <si>
    <t>Table26!$P$17</t>
  </si>
  <si>
    <t>Table26!$P$18</t>
  </si>
  <si>
    <t>Table26!$P$19</t>
  </si>
  <si>
    <t>Table26!$P$20</t>
  </si>
  <si>
    <t>Table26!$P$7</t>
  </si>
  <si>
    <t>Table26!$P$8</t>
  </si>
  <si>
    <t>Table26!$P$9</t>
  </si>
  <si>
    <t>sch_num_funct_computers_acad_lapel_depednondcp</t>
  </si>
  <si>
    <t>Table26!$U$10</t>
  </si>
  <si>
    <t>Table26!$U$11</t>
  </si>
  <si>
    <t>Table26!$U$12</t>
  </si>
  <si>
    <t>Table26!$U$13</t>
  </si>
  <si>
    <t>Table26!$U$15</t>
  </si>
  <si>
    <t>Table26!$U$16</t>
  </si>
  <si>
    <t>Table26!$U$17</t>
  </si>
  <si>
    <t>Table26!$U$18</t>
  </si>
  <si>
    <t>Table26!$U$19</t>
  </si>
  <si>
    <t>Table26!$U$20</t>
  </si>
  <si>
    <t>Table26!$U$7</t>
  </si>
  <si>
    <t>Table26!$U$8</t>
  </si>
  <si>
    <t>Table26!$U$9</t>
  </si>
  <si>
    <t>sch_num_funct_computers_acad_lapel_lgusef</t>
  </si>
  <si>
    <t>Table26!$Z$10</t>
  </si>
  <si>
    <t>Table26!$Z$11</t>
  </si>
  <si>
    <t>Table26!$Z$12</t>
  </si>
  <si>
    <t>Table26!$Z$13</t>
  </si>
  <si>
    <t>Table26!$Z$15</t>
  </si>
  <si>
    <t>Table26!$Z$16</t>
  </si>
  <si>
    <t>Table26!$Z$17</t>
  </si>
  <si>
    <t>Table26!$Z$18</t>
  </si>
  <si>
    <t>Table26!$Z$19</t>
  </si>
  <si>
    <t>Table26!$Z$20</t>
  </si>
  <si>
    <t>sch_num_funct_computers_acad_lapel_pta</t>
  </si>
  <si>
    <t>Table26!$Z$7</t>
  </si>
  <si>
    <t>Table26!$Z$8</t>
  </si>
  <si>
    <t>Table26!$Z$9</t>
  </si>
  <si>
    <t>Box7-Table27'!$AA$7</t>
  </si>
  <si>
    <t>Box7-Table27'!$AA$8</t>
  </si>
  <si>
    <t>Box7-Table27'!$U$5</t>
  </si>
  <si>
    <t>Box7-Table27!$AI$26</t>
  </si>
  <si>
    <t>Box7-Table27!$AI$27</t>
  </si>
  <si>
    <t>Box7-Table27'!$AK$16</t>
  </si>
  <si>
    <t>Box7-Table27'!$H$12</t>
  </si>
  <si>
    <t>Box7-Table27'!$H$13</t>
  </si>
  <si>
    <t>Box7-Table27'!$K$16</t>
  </si>
  <si>
    <t>Box7-Table27'!$K$17</t>
  </si>
  <si>
    <t>Box7-Table27!$M$26</t>
  </si>
  <si>
    <t>Box7-Table27!$M$27</t>
  </si>
  <si>
    <t>Box7-Table27'!$X$16</t>
  </si>
  <si>
    <t>Box7-Table27'!$X$17</t>
  </si>
  <si>
    <t>Box7-Table27!$X$26</t>
  </si>
  <si>
    <t>Box7-Table27!$X$27</t>
  </si>
  <si>
    <t>Table32-Box8!$J$6</t>
  </si>
  <si>
    <t>Table32-Box8!$J$7</t>
  </si>
  <si>
    <t>Table32-Box8!$J$8</t>
  </si>
  <si>
    <t>Table32-Box8!$B$24</t>
  </si>
  <si>
    <t>Table32-Box8!$F$26</t>
  </si>
  <si>
    <t>Table32-Box8'!$AB$6</t>
  </si>
  <si>
    <t>Table32-Box8'!$AB$7</t>
  </si>
  <si>
    <t>Table32-Box8'!$AB$11</t>
  </si>
  <si>
    <t>Table32-Box8'!$AB$14</t>
  </si>
  <si>
    <t>Table32-Box8'!$AB$15</t>
  </si>
  <si>
    <t>Table32-Box8'!$AB$16</t>
  </si>
  <si>
    <t>Table32-Box8'!$AE$8</t>
  </si>
  <si>
    <t>Table32-Box8'!$AE$9</t>
  </si>
  <si>
    <t>Table32-Box8'!$AE$10</t>
  </si>
  <si>
    <t>Table32-Box8'!$AH$14</t>
  </si>
  <si>
    <t>Table32-Box8'!$AH$15</t>
  </si>
  <si>
    <t>Table32-Box8'!$AH$16</t>
  </si>
  <si>
    <t>Table32-Box8'!$AJ$10</t>
  </si>
  <si>
    <t>Table32-Box8'!$AM$16</t>
  </si>
  <si>
    <t>Table32-Box8'!$AN$17</t>
  </si>
  <si>
    <t>Table32-Box8'!$AQ$12</t>
  </si>
  <si>
    <t>Table32-Box8'!$AJ$24</t>
  </si>
  <si>
    <t>Table32-Box8'!$AN$26</t>
  </si>
  <si>
    <t>Box10'!$D$31</t>
  </si>
  <si>
    <t>Box10'!$D$32</t>
  </si>
  <si>
    <t>Box10'!$M$32</t>
  </si>
  <si>
    <t>Box10'!$W$31</t>
  </si>
  <si>
    <t>Box10'!$M$33</t>
  </si>
  <si>
    <t>Box10'!$M$31</t>
  </si>
  <si>
    <t>Box10'!$D$33</t>
  </si>
  <si>
    <t>Box10'!$W$32</t>
  </si>
  <si>
    <t>Box10'!$AB$32</t>
  </si>
  <si>
    <t>Table33a-b'!$U$6</t>
  </si>
  <si>
    <t>Table33a-b'!$P$6</t>
  </si>
  <si>
    <t>Table33a-b'!$U$7</t>
  </si>
  <si>
    <t>Table33a-b'!$P$7</t>
  </si>
  <si>
    <t>Tables35-37'!$G$35</t>
  </si>
  <si>
    <t>Tables35-37'!$I$35</t>
  </si>
  <si>
    <t>Tables35-37'!$K$35</t>
  </si>
  <si>
    <t>Tables35-37'!$M$35</t>
  </si>
  <si>
    <t>Tables35-37'!$AI$35</t>
  </si>
  <si>
    <t>Tables35-37'!$AK$35</t>
  </si>
  <si>
    <t>Tables35-37'!$AM$35</t>
  </si>
  <si>
    <t>Tables35-37'!$AO$35</t>
  </si>
  <si>
    <t>jhs_enabling_males_excluding</t>
  </si>
  <si>
    <t>jhs_enabling_females_excluding</t>
  </si>
  <si>
    <t>jhs_enabling_males_ip</t>
  </si>
  <si>
    <t>jhs_enabling_females_ip</t>
  </si>
  <si>
    <t>jhs_enabling_males_muslim</t>
  </si>
  <si>
    <t>jhs_enabling_females_muslim</t>
  </si>
  <si>
    <t>jhs_enabling_males_wdisability</t>
  </si>
  <si>
    <t>jhs_enabling_females_wdisability</t>
  </si>
  <si>
    <t>jhs_enabling_consult_learners</t>
  </si>
  <si>
    <t>jhs_enabling_consult_personnel</t>
  </si>
  <si>
    <t>jhs_enabling_consult_parents</t>
  </si>
  <si>
    <t>jhs_enabling_consult_lgu</t>
  </si>
  <si>
    <t>jhs_enabling_consult_ngo</t>
  </si>
  <si>
    <t>jhs_enabling_males_participated_excluding</t>
  </si>
  <si>
    <t>jhs_enabling_females_participated_excluding</t>
  </si>
  <si>
    <t>jhs_enabling_males_participated_ip</t>
  </si>
  <si>
    <t>jhs_enabling_females_participated_ip</t>
  </si>
  <si>
    <t>jhs_enabling_males_participated_muslim</t>
  </si>
  <si>
    <t>jhs_enabling_females_participated_muslim</t>
  </si>
  <si>
    <t>jhs_enabling_males_participated_wdisability</t>
  </si>
  <si>
    <t>jhs_enabling_females_participated_wdisability</t>
  </si>
  <si>
    <t>jhs_enabling_drrm_noppa</t>
  </si>
  <si>
    <t>jhs_enabling_drrm_costppa</t>
  </si>
  <si>
    <t>jhs_enabling_drrm_budget</t>
  </si>
  <si>
    <t>jhs_enabling_ccam_noppa</t>
  </si>
  <si>
    <t>jhs_enabling_ccam_costppa</t>
  </si>
  <si>
    <t>jhs_enabling_ccam_budget</t>
  </si>
  <si>
    <t>jhs_enabling_peacebuilding_noppa</t>
  </si>
  <si>
    <t>jhs_enabling_peacebuilding_costppa</t>
  </si>
  <si>
    <t>jhs_enabling_peacebuilding_budget</t>
  </si>
  <si>
    <t>jhs_data_teacher_trained_m</t>
  </si>
  <si>
    <t>jhs_data_teacher_trained_f</t>
  </si>
  <si>
    <t>jhs_data_nonteacher_trained_m</t>
  </si>
  <si>
    <t>jhs_data_nonteacher_trained_f</t>
  </si>
  <si>
    <t>jhs_datamanagement_training</t>
  </si>
  <si>
    <t>jhs_evidencebased_training</t>
  </si>
  <si>
    <t>jhs_programs_training</t>
  </si>
  <si>
    <t>jhs_goodpractice_drrm_ccam</t>
  </si>
  <si>
    <t>jhs_goodpractice_peacebuilding</t>
  </si>
  <si>
    <t>jhs_programs_monitoring</t>
  </si>
  <si>
    <t>safelearn_retrofit_instructional</t>
  </si>
  <si>
    <t>safelearn_retrofit_noninstructional</t>
  </si>
  <si>
    <t>safelearn_resilient_instructional</t>
  </si>
  <si>
    <t>safelearn_resilient_noninstructional</t>
  </si>
  <si>
    <t>safelearn_repaired_instruct_basicfund</t>
  </si>
  <si>
    <t>safelearn_repaired_instruct_ndrrm</t>
  </si>
  <si>
    <t>safelearn_repaired_instruct_external</t>
  </si>
  <si>
    <t>safelearn_repaired_noninstruct_basicfund</t>
  </si>
  <si>
    <t>safelearn_repaired_noninstruct_qr</t>
  </si>
  <si>
    <t>safelearn_repaired_instruct_qr</t>
  </si>
  <si>
    <t>safelearn_repaired_noninstruct_ndrrm</t>
  </si>
  <si>
    <t>safelearn_recons_instruct_basicfund</t>
  </si>
  <si>
    <t>safelearn_recons_instruct_qr</t>
  </si>
  <si>
    <t>safelearn_recons_instruct_ndrrm</t>
  </si>
  <si>
    <t>safelearn_recons_instruct_external</t>
  </si>
  <si>
    <t>safelearn_recons_noninstruct_basicfund</t>
  </si>
  <si>
    <t>safelearn_recons_noninstruct_qr</t>
  </si>
  <si>
    <t>safelearn_recons_noninstruct_ndrrm</t>
  </si>
  <si>
    <t>safelearn_recons_noninstruct_external</t>
  </si>
  <si>
    <t>safelearn_repaired_noninstruct_external</t>
  </si>
  <si>
    <t>sch_num_funct_computers_admin_tabletpc_privatedon</t>
  </si>
  <si>
    <t>sch_num_funct_computers_acad_tabletpc_privatedon</t>
  </si>
  <si>
    <t>sch_num_funct_computers_admin_tabletpc_othergov</t>
  </si>
  <si>
    <t>sch_num_funct_computers_acad_tabletpc_othergov</t>
  </si>
  <si>
    <t>sch_num_funct_computers_admin_tabletpc_others</t>
  </si>
  <si>
    <t>sch_num_funct_computers_acad_tabletpc_others</t>
  </si>
  <si>
    <t>sch_num_funct_computers_admin_tabletpc_depeddcp</t>
  </si>
  <si>
    <t>sch_num_funct_computers_acad_tabletpc_depeddcp</t>
  </si>
  <si>
    <t>sch_num_funct_computers_admin_tabletpc_depednondcp</t>
  </si>
  <si>
    <t>sch_num_funct_computers_acad_tabletpc_depednondcp</t>
  </si>
  <si>
    <t>sch_num_funct_computers_admin_tabletpc_lgusef</t>
  </si>
  <si>
    <t>sch_num_funct_computers_acad_tabletpc_lgusef</t>
  </si>
  <si>
    <t>sch_num_funct_computers_admin_tabletpc_pta</t>
  </si>
  <si>
    <t>sch_num_funct_computers_acad_tabletpc_pta</t>
  </si>
  <si>
    <t>sch_health_nsw_normal_g7_m</t>
  </si>
  <si>
    <t>sch_health_nsw_normal_g7_f</t>
  </si>
  <si>
    <t>sch_health_nsw_obese_g7_m</t>
  </si>
  <si>
    <t>sch_health_nsw_obese_g7_f</t>
  </si>
  <si>
    <t>sch_health_nsw_overweight_g7_m</t>
  </si>
  <si>
    <t>sch_health_nsw_overweight_g7_f</t>
  </si>
  <si>
    <t>sch_health_nsw_severelywasted_g7_m</t>
  </si>
  <si>
    <t>sch_health_nsw_severelywasted_g7_f</t>
  </si>
  <si>
    <t>sch_health_nsw_wasted_g7_m</t>
  </si>
  <si>
    <t>sch_health_nsw_wasted_g7_f</t>
  </si>
  <si>
    <t>sch_health_nsw_normal_g8_m</t>
  </si>
  <si>
    <t>sch_health_nsw_normal_g9_f</t>
  </si>
  <si>
    <t>sch_health_nsw_normal_g8_f</t>
  </si>
  <si>
    <t>sch_health_nsw_obese_g8_m</t>
  </si>
  <si>
    <t>sch_health_nsw_obese_g8_f</t>
  </si>
  <si>
    <t>sch_health_nsw_overweight_g8_m</t>
  </si>
  <si>
    <t>sch_health_nsw_overweight_g8_f</t>
  </si>
  <si>
    <t>sch_health_nsw_severelywasted_g8_m</t>
  </si>
  <si>
    <t>sch_health_nsw_severelywasted_g8_f</t>
  </si>
  <si>
    <t>sch_health_nsw_wasted_g8_m</t>
  </si>
  <si>
    <t>sch_health_nsw_wasted_g8_f</t>
  </si>
  <si>
    <t>sch_health_nsw_normal_g9_m</t>
  </si>
  <si>
    <t>sch_health_nsw_obese_g9_m</t>
  </si>
  <si>
    <t>sch_health_nsw_obese_g9_f</t>
  </si>
  <si>
    <t>sch_health_nsw_overweight_g9_m</t>
  </si>
  <si>
    <t>sch_health_nsw_overweight_g9_f</t>
  </si>
  <si>
    <t>sch_health_nsw_severelywasted_g9_m</t>
  </si>
  <si>
    <t>sch_health_nsw_severelywasted_g9_f</t>
  </si>
  <si>
    <t>sch_health_nsw_wasted_g9_m</t>
  </si>
  <si>
    <t>sch_health_nsw_wasted_g9_f</t>
  </si>
  <si>
    <t>sch_health_nsw_normal_g10_m</t>
  </si>
  <si>
    <t>sch_health_nsw_normal_g10_f</t>
  </si>
  <si>
    <t>sch_health_nsw_obese_g10_m</t>
  </si>
  <si>
    <t>sch_health_nsw_obese_g10_f</t>
  </si>
  <si>
    <t>sch_health_nsw_overweight_g10_m</t>
  </si>
  <si>
    <t>sch_health_nsw_overweight_g10_f</t>
  </si>
  <si>
    <t>sch_health_nsw_severelywasted_g10_m</t>
  </si>
  <si>
    <t>sch_health_nsw_severelywasted_g10_f</t>
  </si>
  <si>
    <t>sch_health_nsw_wasted_g10_m</t>
  </si>
  <si>
    <t>sch_health_nsw_wasted_g10_f</t>
  </si>
  <si>
    <t>sch_health_nsh_severelystunted_g7_m</t>
  </si>
  <si>
    <t>sch_health_nsh_severelystunted_g7_f</t>
  </si>
  <si>
    <t>sch_health_nsh_stunted_g7_m</t>
  </si>
  <si>
    <t>sch_health_nsh_stunted_g7_f</t>
  </si>
  <si>
    <t>sch_health_nsh_normal_g7_m</t>
  </si>
  <si>
    <t>sch_health_nsh_normal_g7_f</t>
  </si>
  <si>
    <t>sch_health_nsh_tall_g7_m</t>
  </si>
  <si>
    <t>sch_health_nsh_tall_g7_f</t>
  </si>
  <si>
    <t>sch_health_nsh_severelystunted_g8_m</t>
  </si>
  <si>
    <t>sch_health_nsh_severelystunted_g8_f</t>
  </si>
  <si>
    <t>sch_health_nsh_stunted_g8_m</t>
  </si>
  <si>
    <t>sch_health_nsh_stunted_g8_f</t>
  </si>
  <si>
    <t>sch_health_nsh_normal_g8_m</t>
  </si>
  <si>
    <t>sch_health_nsh_normal_g8_f</t>
  </si>
  <si>
    <t>sch_health_nsh_tall_g8_m</t>
  </si>
  <si>
    <t>sch_health_nsh_tall_g8_f</t>
  </si>
  <si>
    <t>sch_health_nsh_severelystunted_g9_m</t>
  </si>
  <si>
    <t>sch_health_nsh_severelystunted_g9_f</t>
  </si>
  <si>
    <t>sch_health_nsh_stunted_g9_m</t>
  </si>
  <si>
    <t>sch_health_nsh_stunted_g9_f</t>
  </si>
  <si>
    <t>sch_health_nsh_normal_g9_m</t>
  </si>
  <si>
    <t>sch_health_nsh_normal_g9_f</t>
  </si>
  <si>
    <t>sch_health_nsh_tall_g9_m</t>
  </si>
  <si>
    <t>sch_health_nsh_tall_g9_f</t>
  </si>
  <si>
    <t>sch_health_nsh_severelystunted_g10_m</t>
  </si>
  <si>
    <t>sch_health_nsh_severelystunted_g10_f</t>
  </si>
  <si>
    <t>sch_health_nsh_stunted_g10_m</t>
  </si>
  <si>
    <t>sch_health_nsh_stunted_g10_f</t>
  </si>
  <si>
    <t>sch_health_nsh_normal_g10_m</t>
  </si>
  <si>
    <t>sch_health_nsh_normal_g10_f</t>
  </si>
  <si>
    <t>sch_health_nsh_tall_g10_m</t>
  </si>
  <si>
    <t>sch_health_nsh_tall_g10_f</t>
  </si>
  <si>
    <t>emrgcy_cadaverbag</t>
  </si>
  <si>
    <t>emrgcy_cot</t>
  </si>
  <si>
    <t>emrgcy_cprboard</t>
  </si>
  <si>
    <t>emrgcy_frstaid_lrnr</t>
  </si>
  <si>
    <t>emrgcy_frstaid_personnel</t>
  </si>
  <si>
    <t>emrgcy_flashlight_rechargable</t>
  </si>
  <si>
    <t>emrgcy_searchlight</t>
  </si>
  <si>
    <t>emrgcy_medical_cushion</t>
  </si>
  <si>
    <t>emrgcy_pasystem</t>
  </si>
  <si>
    <t>emrgcy_steelboxes</t>
  </si>
  <si>
    <t>emrgcy_steelcabinets</t>
  </si>
  <si>
    <t>emrgcy_trafficvest</t>
  </si>
  <si>
    <t>emrgcy_transportbag</t>
  </si>
  <si>
    <t>emrgcy_traumabag</t>
  </si>
  <si>
    <t>emrgcysupp_twofoldstretcher_prtnr</t>
  </si>
  <si>
    <t>emrgcy_cadaverbag_prtnr</t>
  </si>
  <si>
    <t>emrgcysupp_ccollar_prtnr</t>
  </si>
  <si>
    <t>emrgcy_cot_prtnr</t>
  </si>
  <si>
    <t>emrgcy_cprboard_prtnr</t>
  </si>
  <si>
    <t>emrgcysupp_emrgncyheadlamp_prtnr</t>
  </si>
  <si>
    <t>emrgcysupp_emrgncywhistle_prtnr</t>
  </si>
  <si>
    <t>emrgcysupp_fireextinguisher_prtnr</t>
  </si>
  <si>
    <t>emrgcy_frstaid_lrnr_prtnr</t>
  </si>
  <si>
    <t>emrgcy_frstaid_personnel_prtnr</t>
  </si>
  <si>
    <t>emrgcysupp_gobaglrnr_prtnr</t>
  </si>
  <si>
    <t>emrgcysupp_personnel_prtnr</t>
  </si>
  <si>
    <t>emrgcysupp_handheldradio_prtnr</t>
  </si>
  <si>
    <t>emrgcy_flashlight_rechargable_prtnr</t>
  </si>
  <si>
    <t>emrgcy_searchlight_prtnr</t>
  </si>
  <si>
    <t>emrgcysupp_lifevest_prtnr</t>
  </si>
  <si>
    <t>emrgcy_medical_cushion_prtnr</t>
  </si>
  <si>
    <t>emrgcysupp_spineboardwsafetybelt_prtnr</t>
  </si>
  <si>
    <t>emrgcy_pasystem_prtnr</t>
  </si>
  <si>
    <t>emrgcysupp_safetycoat_prtnr</t>
  </si>
  <si>
    <t>emrgcysupp_safetyhat_prtnr</t>
  </si>
  <si>
    <t>emrgcysupp_safetyshoes_prtnr</t>
  </si>
  <si>
    <t>emrgcysupp_splinter_prtnr</t>
  </si>
  <si>
    <t>emrgcy_steelboxes_prtnr</t>
  </si>
  <si>
    <t>emrgcy_steelcabinets_prtnr</t>
  </si>
  <si>
    <t>emrgcy_trafficvest_prtnr</t>
  </si>
  <si>
    <t>emrgcy_transportbag_prtnr</t>
  </si>
  <si>
    <t>emrgcy_traumabag_prtnr</t>
  </si>
  <si>
    <t>emrgcysupp_uniheadimmobilizer_prtnr</t>
  </si>
  <si>
    <t>rescue_bicycle</t>
  </si>
  <si>
    <t>rescue_firecabinet</t>
  </si>
  <si>
    <t>rescue_fireextinguisher</t>
  </si>
  <si>
    <t>rescue_firehose</t>
  </si>
  <si>
    <t>rescue_lifevest</t>
  </si>
  <si>
    <t>rescue_motorbanca</t>
  </si>
  <si>
    <t>rescue_sprayer</t>
  </si>
  <si>
    <t>rescue_bicycle_prtnr</t>
  </si>
  <si>
    <t>rescue_firecabinet_prtnr</t>
  </si>
  <si>
    <t>rescue_fireextinguisher_prtnr</t>
  </si>
  <si>
    <t>rescue_firehose_prtnr</t>
  </si>
  <si>
    <t>rescue_lifevest_prtnr</t>
  </si>
  <si>
    <t>rescue_motorbanca_prtnr</t>
  </si>
  <si>
    <t>rescue_sprayer_prtnr</t>
  </si>
  <si>
    <t>drills_teaching_m</t>
  </si>
  <si>
    <t>drills_teaching_f</t>
  </si>
  <si>
    <t>drills_nonteaching_m</t>
  </si>
  <si>
    <t>drills_nonteaching_f</t>
  </si>
  <si>
    <t>drills_lrnrs_m_excluding</t>
  </si>
  <si>
    <t>drills_lrnrs_f_excluding</t>
  </si>
  <si>
    <t>drills_lrnrs_m_ip</t>
  </si>
  <si>
    <t>drills_lrnrs_f_ip</t>
  </si>
  <si>
    <t>drills_lrnrs_m_muslim</t>
  </si>
  <si>
    <t>drills_lrnrs_f_muslim</t>
  </si>
  <si>
    <t>drills_lrnrs_m_pwd</t>
  </si>
  <si>
    <t>drills_lrnrs_f_pwd</t>
  </si>
  <si>
    <t>sch_implemented_classshifting_days</t>
  </si>
  <si>
    <t>sch_implemented_modular_days</t>
  </si>
  <si>
    <t>sch_implemented_onlinelearning_days</t>
  </si>
  <si>
    <t>sch_implemented_peergrouplearning_days</t>
  </si>
  <si>
    <t>sch_implemented_programmedteaching_days</t>
  </si>
  <si>
    <t>sch_implemented_homeschool_days</t>
  </si>
  <si>
    <t>sch_implemented_nightschool_days</t>
  </si>
  <si>
    <t>learners_prvded_learningsession_m_excluding</t>
  </si>
  <si>
    <t>learners_prvded_learningsession_f_excluding</t>
  </si>
  <si>
    <t>learners_prvded_learningsession_m_ip</t>
  </si>
  <si>
    <t>learners_prvded_learningsession_f_ip</t>
  </si>
  <si>
    <t>learners_prvded_learningsession_m_muslim</t>
  </si>
  <si>
    <t>learners_prvded_learningsession_f_muslim</t>
  </si>
  <si>
    <t>learners_prvded_learningsession_m_pwd</t>
  </si>
  <si>
    <t>learners_prvded_learningsession_f_pwd</t>
  </si>
  <si>
    <t>learners_mhpss_m_excluding</t>
  </si>
  <si>
    <t>learners_mhpss_f_excluding</t>
  </si>
  <si>
    <t>learners_mhpss_m_ip</t>
  </si>
  <si>
    <t>learners_mhpss_f_ip</t>
  </si>
  <si>
    <t>learners_mhpss_m_muslim</t>
  </si>
  <si>
    <t>learners_mhpss_f_muslim</t>
  </si>
  <si>
    <t>learners_mhpss_m_pwd</t>
  </si>
  <si>
    <t>learners_mhpss_f_pwd</t>
  </si>
  <si>
    <t>learners_pss_m_excluding</t>
  </si>
  <si>
    <t>learners_pss_f_excluding</t>
  </si>
  <si>
    <t>learners_pss_m_ip</t>
  </si>
  <si>
    <t>learners_pss_f_ip</t>
  </si>
  <si>
    <t>learners_pss_m_muslim</t>
  </si>
  <si>
    <t>learners_pss_f_muslim</t>
  </si>
  <si>
    <t>learners_pss_m_pwd</t>
  </si>
  <si>
    <t>learners_pss_f_pwd</t>
  </si>
  <si>
    <t>learners_referral_m_excluding</t>
  </si>
  <si>
    <t>learners_referral_f_excluding</t>
  </si>
  <si>
    <t>learners_referral_m_ip</t>
  </si>
  <si>
    <t>learners_referral_f_ip</t>
  </si>
  <si>
    <t>learners_referral_m_muslim</t>
  </si>
  <si>
    <t>learners_referral_f_muslim</t>
  </si>
  <si>
    <t>learners_referral_m_pwd</t>
  </si>
  <si>
    <t>learners_referral_f_pwd</t>
  </si>
  <si>
    <t>intervention_minorcleanup_drrm_no</t>
  </si>
  <si>
    <t>intervention_tempspace_drrm_no</t>
  </si>
  <si>
    <t>intervention_tempwash_drrm_no</t>
  </si>
  <si>
    <t>intervention_emrgncyfeeding_drrm_no</t>
  </si>
  <si>
    <t>intervention_hygienekit_drrm_no</t>
  </si>
  <si>
    <t>intervention_lrnrkit_drrm_no</t>
  </si>
  <si>
    <t>intervention_teacherkit_drrm_no</t>
  </si>
  <si>
    <t>intervention_alternativedelivery_drrm_no</t>
  </si>
  <si>
    <t>intervention_minorcleanup_drrm_date</t>
  </si>
  <si>
    <t>intervention_tempspace_drrm_date</t>
  </si>
  <si>
    <t>intervention_tempwash_drrm_date</t>
  </si>
  <si>
    <t>intervention_emrgncyfeeding_drrm_date</t>
  </si>
  <si>
    <t>intervention_hygienekit_drrm_date</t>
  </si>
  <si>
    <t>intervention_lrnrkit_drrm_date</t>
  </si>
  <si>
    <t>intervention_teacherkit_drrm_date</t>
  </si>
  <si>
    <t>intervention_alternativedelivery_drrm_date</t>
  </si>
  <si>
    <t>intervention_tempspace_prtnr</t>
  </si>
  <si>
    <t>intervention_tempwash_prtnr</t>
  </si>
  <si>
    <t>intervention_emrgncyfeeding_prtnr</t>
  </si>
  <si>
    <t>intervention_hygienekit_prtnr</t>
  </si>
  <si>
    <t>intervention_lrnrkit_prtnr</t>
  </si>
  <si>
    <t>intervention_teacherkit_prtnr</t>
  </si>
  <si>
    <t>intervention_alternativedelivery_prtnr</t>
  </si>
  <si>
    <t>intervention_donation_prtnr</t>
  </si>
  <si>
    <t>intervention_mhpss_prtnr</t>
  </si>
  <si>
    <t>personnel_trained_male_emrgncyrspns</t>
  </si>
  <si>
    <t>personnel_trained_female_emrgncyrspns</t>
  </si>
  <si>
    <t>personnel_mobilized_male_afterdisaster</t>
  </si>
  <si>
    <t>personnel_mobilized_female_afterdisaster</t>
  </si>
  <si>
    <t>partners_mobilized_peacbuilding</t>
  </si>
  <si>
    <t>disaster_response_mhpss_teaching_m</t>
  </si>
  <si>
    <t>disaster_response_mhpss_teaching_f</t>
  </si>
  <si>
    <t>disaster_response_pss_teaching_m</t>
  </si>
  <si>
    <t>disaster_response_pss_teaching_f</t>
  </si>
  <si>
    <t>disaster_response_referral_teaching_m</t>
  </si>
  <si>
    <t>disaster_response_referral_teaching_f</t>
  </si>
  <si>
    <t>disaster_response_mhpss_nonteaching_m</t>
  </si>
  <si>
    <t>disaster_response_mhpss_nonteaching_f</t>
  </si>
  <si>
    <t>disaster_response_pss_nonteaching_m</t>
  </si>
  <si>
    <t>disaster_response_pss_nonteaching_f</t>
  </si>
  <si>
    <t>disaster_response_referral_nonteaching_m</t>
  </si>
  <si>
    <t>disaster_response_referral_nonteaching_f</t>
  </si>
  <si>
    <t>riskreduc_drrm_sped</t>
  </si>
  <si>
    <t>riskreduc_drrm_iped</t>
  </si>
  <si>
    <t>riskreduc_drrm_als</t>
  </si>
  <si>
    <t>riskreduc_drrm_competencies</t>
  </si>
  <si>
    <t>riskreduc_drrm_contents</t>
  </si>
  <si>
    <t>riskreduc_drrm_contextualized</t>
  </si>
  <si>
    <t>riskreduc_ccam_sped</t>
  </si>
  <si>
    <t>riskreduc_ccam_iped</t>
  </si>
  <si>
    <t>riskreduc_ccam_als</t>
  </si>
  <si>
    <t>riskreduc_ccam_competencies</t>
  </si>
  <si>
    <t>riskreduc_ccam_contents</t>
  </si>
  <si>
    <t>riskreduc_ccam_contextualized</t>
  </si>
  <si>
    <t>riskreduc_peace_sped</t>
  </si>
  <si>
    <t>riskreduc_peace_iped</t>
  </si>
  <si>
    <t>riskreduc_peace_als</t>
  </si>
  <si>
    <t>riskreduc_peace_competencies</t>
  </si>
  <si>
    <t>riskreduc_peace_contents</t>
  </si>
  <si>
    <t>riskreduc_peace_contextualized</t>
  </si>
  <si>
    <t>riskreduc_teacher_effectiveness_survey_m</t>
  </si>
  <si>
    <t>riskreduc_teacher_effectiveness_survey_f</t>
  </si>
  <si>
    <t>riskreduc_nonteach_effectiveness_survey_f</t>
  </si>
  <si>
    <t>riskreduc_nonteach_effectiveness_survey_m</t>
  </si>
  <si>
    <t>lrnrs_participate_iecmats_survey_m_excluding</t>
  </si>
  <si>
    <t>lrnrs_participate_iecmats_survey_f_excluding</t>
  </si>
  <si>
    <t>lrnrs_participate_iecmats_survey_m_ip</t>
  </si>
  <si>
    <t>lrnrs_participate_iecmats_survey_f_ip</t>
  </si>
  <si>
    <t>lrnrs_participate_iecmats_survey_m_muslim</t>
  </si>
  <si>
    <t>lrnrs_participate_iecmats_survey_f_muslim</t>
  </si>
  <si>
    <t>lrnrs_participate_iecmats_survey_m_pwd</t>
  </si>
  <si>
    <t>lrnrs_participate_iecmats_survey_f_pwd</t>
  </si>
  <si>
    <t>lrnrs_consult_iecmats_survey_m_excluding</t>
  </si>
  <si>
    <t>lrnrs_consult_iecmats_survey_f_excluding</t>
  </si>
  <si>
    <t>lrnrs_consult_iecmats_survey_m_ip</t>
  </si>
  <si>
    <t>lrnrs_consult_iecmats_survey_f_ip</t>
  </si>
  <si>
    <t>lrnrs_consult_iecmats_survey_m_muslim</t>
  </si>
  <si>
    <t>lrnrs_consult_iecmats_survey_f_muslim</t>
  </si>
  <si>
    <t>lrnrs_consult_iecmats_survey_m_pwd</t>
  </si>
  <si>
    <t>lrnrs_consult_iecmats_survey_f_pwd</t>
  </si>
  <si>
    <t>lrnrs_developed_iecmats_survey_f_pwd</t>
  </si>
  <si>
    <t>lrnrs_developed_iecmats_survey_m_excluding</t>
  </si>
  <si>
    <t>lrnrs_developed_iecmats_survey_f_excluding</t>
  </si>
  <si>
    <t>lrnrs_developed_iecmats_survey_m_ip</t>
  </si>
  <si>
    <t>lrnrs_developed_iecmats_survey_f_ip</t>
  </si>
  <si>
    <t>lrnrs_developed_iecmats_survey_m_muslim</t>
  </si>
  <si>
    <t>lrnrs_developed_iecmats_survey_f_muslim</t>
  </si>
  <si>
    <t>lrnrs_developed_iecmats_survey_m_pwd</t>
  </si>
  <si>
    <t>lrnrs_initiate_iecmats_survey_m_excluding</t>
  </si>
  <si>
    <t>lrnrs_initiate_iecmats_survey_f_excluding</t>
  </si>
  <si>
    <t>lrnrs_initiate_iecmats_survey_m_ip</t>
  </si>
  <si>
    <t>lrnrs_initiate_iecmats_survey_f_ip</t>
  </si>
  <si>
    <t>lrnrs_initiate_iecmats_survey_m_muslim</t>
  </si>
  <si>
    <t>lrnrs_initiate_iecmats_survey_f_muslim</t>
  </si>
  <si>
    <t>lrnrs_initiate_iecmats_survey_m_pwd</t>
  </si>
  <si>
    <t>lrnrs_initiate_iecmats_survey_f_pwd</t>
  </si>
  <si>
    <t>resilienceeduc_trained_teacher_m</t>
  </si>
  <si>
    <t>resilienceeduc_trained_teacher_f</t>
  </si>
  <si>
    <t>resilienceeduc_trained_nonteacher_m</t>
  </si>
  <si>
    <t>resilienceeduc_trained_nonteacher_f</t>
  </si>
  <si>
    <t>resilienceeduc_stakeholder_learner</t>
  </si>
  <si>
    <t>resilienceeduc_stakeholder_personnel</t>
  </si>
  <si>
    <t>resilienceeduc_stakeholder_parents</t>
  </si>
  <si>
    <t>resilienceeduc_stakeholder_LGU</t>
  </si>
  <si>
    <t>resilienceeduc_stakeholder_NGO</t>
  </si>
  <si>
    <t>stakeholder_BFA_teaching_m</t>
  </si>
  <si>
    <t>stakeholder_BFA_teaching_f</t>
  </si>
  <si>
    <t>stakeholder_FEP_teaching_m</t>
  </si>
  <si>
    <t>stakeholder_FEP_teaching_f</t>
  </si>
  <si>
    <t>stakeholder_hazmapping_teaching_m</t>
  </si>
  <si>
    <t>stakeholder_hazmapping_teaching_f</t>
  </si>
  <si>
    <t>stakeholder_celebevents_teaching_m</t>
  </si>
  <si>
    <t>stakeholder_celebevents_teaching_f</t>
  </si>
  <si>
    <t>stakeholder_drrmcamp_teaching_m</t>
  </si>
  <si>
    <t>stakeholder_drrmcamp_teaching_f</t>
  </si>
  <si>
    <t>stakeholder_drrmyouthcouncil_teaching_f</t>
  </si>
  <si>
    <t>stakeholder_drrmyouthcouncil_teaching_m</t>
  </si>
  <si>
    <t>stakeholder_drrmyac_teaching_m</t>
  </si>
  <si>
    <t>stakeholder_drrmyac_teaching_f</t>
  </si>
  <si>
    <t>stakeholder_drrmrelated_teaching_f</t>
  </si>
  <si>
    <t>stakeholder_drrmrelated_teaching_m</t>
  </si>
  <si>
    <t>stakeholder_drrmothers_teaching_m</t>
  </si>
  <si>
    <t>stakeholder_drrmothers_teaching_f</t>
  </si>
  <si>
    <t>stakeholder_drrmothers_specify</t>
  </si>
  <si>
    <t>stakeholder_art_teaching_m</t>
  </si>
  <si>
    <t>stakeholder_art_teaching_f</t>
  </si>
  <si>
    <t>stakeholder_change_teaching_m</t>
  </si>
  <si>
    <t>stakeholder_change_teaching_f</t>
  </si>
  <si>
    <t>stakeholder_ccamcamps_teaching_m</t>
  </si>
  <si>
    <t>stakeholder_ccamcamps_teaching_f</t>
  </si>
  <si>
    <t>stakeholder_onlineteach_teaching_f</t>
  </si>
  <si>
    <t>stakeholder_onlineteach_teaching_m</t>
  </si>
  <si>
    <t>stakeholder_journalism_teaching_m</t>
  </si>
  <si>
    <t>stakeholder_journalism_teaching_f</t>
  </si>
  <si>
    <t>stakeholder_gulayan_teaching_m</t>
  </si>
  <si>
    <t>stakeholder_gulayan_teaching_f</t>
  </si>
  <si>
    <t>stakeholder_mrf_teaching_m</t>
  </si>
  <si>
    <t>stakeholder_mrf_teaching_f</t>
  </si>
  <si>
    <t>stakeholder_caaas_teaching_m</t>
  </si>
  <si>
    <t>stakeholder_caaas_teaching_f</t>
  </si>
  <si>
    <t>stakeholder_swm_teaching_m</t>
  </si>
  <si>
    <t>stakeholder_swm_teaching_f</t>
  </si>
  <si>
    <t>stakeholder_recycling_teaching_m</t>
  </si>
  <si>
    <t>stakeholder_recycling_teaching_f</t>
  </si>
  <si>
    <t>stakeholder_treeplanting_teaching_m</t>
  </si>
  <si>
    <t>stakeholder_treeplanting_teaching_f</t>
  </si>
  <si>
    <t>stakeholder_youthstrike_teaching_m</t>
  </si>
  <si>
    <t>stakeholder_youthstrike_teaching_f</t>
  </si>
  <si>
    <t>stakeholder_specialevent_teaching_m</t>
  </si>
  <si>
    <t>stakeholder_specialevent_teaching_f</t>
  </si>
  <si>
    <t>stakeholder_ccamothersspecify_teaching_m</t>
  </si>
  <si>
    <t>stakeholder_ccamothersspecify</t>
  </si>
  <si>
    <t>stakeholder_ccamothersspecify_teaching_f</t>
  </si>
  <si>
    <t>stakeholder_peaceconference_teaching_m</t>
  </si>
  <si>
    <t>stakeholder_peaceconference_teaching_f</t>
  </si>
  <si>
    <t>stakeholder_youthnetworks_teaching_m</t>
  </si>
  <si>
    <t>stakeholder_youthnetworks_teaching_f</t>
  </si>
  <si>
    <t>stakeholder_contests_teaching_m</t>
  </si>
  <si>
    <t>stakeholder_contests_teaching_f</t>
  </si>
  <si>
    <t>stakeholder_celebratepeace_teaching_f</t>
  </si>
  <si>
    <t>stakeholder_celebratepeace_teaching_m</t>
  </si>
  <si>
    <t>stakeholder_peacebuildingothers</t>
  </si>
  <si>
    <t>stakeholder_peacebuildingothers_teachers_m</t>
  </si>
  <si>
    <t>stakeholder_peacebuildingothers_teachers_f</t>
  </si>
  <si>
    <t>stakeholder_BFA_nonteaching_m</t>
  </si>
  <si>
    <t>stakeholder_BFA_nonteaching_f</t>
  </si>
  <si>
    <t>stakeholder_FEP_nonteaching_m</t>
  </si>
  <si>
    <t>stakeholder_FEP_nonteaching_f</t>
  </si>
  <si>
    <t>stakeholder_hazmapping_nonteaching_m</t>
  </si>
  <si>
    <t>stakeholder_hazmapping_nonteaching_f</t>
  </si>
  <si>
    <t>stakeholder_celebevents_nonteaching_m</t>
  </si>
  <si>
    <t>stakeholder_celebevents_nonteaching_f</t>
  </si>
  <si>
    <t>stakeholder_drrmcamp_nonteaching_m</t>
  </si>
  <si>
    <t>stakeholder_drrmcamp_nonteaching_f</t>
  </si>
  <si>
    <t>stakeholder_drrmyouthcouncil_nonteaching_m</t>
  </si>
  <si>
    <t>stakeholder_drrmyouthcouncil_nonteaching_f</t>
  </si>
  <si>
    <t>stakeholder_drrmyac_nonteaching_m</t>
  </si>
  <si>
    <t>stakeholder_drrmyac_nonteaching_f</t>
  </si>
  <si>
    <t>stakeholder_drrmrelated_nonteaching_m</t>
  </si>
  <si>
    <t>stakeholder_drrmrelated_nonteaching_f</t>
  </si>
  <si>
    <t>stakeholder_drrmothers_nonteaching_m</t>
  </si>
  <si>
    <t>stakeholder_drrmothers_nonteaching_f</t>
  </si>
  <si>
    <t>stakeholder_art_nonteaching_m</t>
  </si>
  <si>
    <t>stakeholder_art_nonteaching_f</t>
  </si>
  <si>
    <t>stakeholder_change_nonteaching_m</t>
  </si>
  <si>
    <t>stakeholder_change_nonteaching_f</t>
  </si>
  <si>
    <t>stakeholder_ccamcamps_nonteaching_m</t>
  </si>
  <si>
    <t>stakeholder_ccamcamps_nonteaching_f</t>
  </si>
  <si>
    <t>stakeholder_onlineteach_nonteaching_m</t>
  </si>
  <si>
    <t>stakeholder_onlineteach_nonteaching_f</t>
  </si>
  <si>
    <t>stakeholder_journalism_nonteaching_m</t>
  </si>
  <si>
    <t>stakeholder_journalism_nonteaching_f</t>
  </si>
  <si>
    <t>stakeholder_gulayan_nonteaching_m</t>
  </si>
  <si>
    <t>stakeholder_gulayan_nonteaching_f</t>
  </si>
  <si>
    <t>stakeholder_mrf_nonteaching_m</t>
  </si>
  <si>
    <t>stakeholder_mrf_nonteaching_f</t>
  </si>
  <si>
    <t>stakeholder_caaas_nonteaching_m</t>
  </si>
  <si>
    <t>stakeholder_caaas_nonteaching_f</t>
  </si>
  <si>
    <t>stakeholder_swm_nonteaching_m</t>
  </si>
  <si>
    <t>stakeholder_swm_nonteaching_f</t>
  </si>
  <si>
    <t>stakeholder_recycling_nonteaching_m</t>
  </si>
  <si>
    <t>stakeholder_recycling_nonteaching_f</t>
  </si>
  <si>
    <t>stakeholder_treeplanting_nonteaching_m</t>
  </si>
  <si>
    <t>stakeholder_treeplanting_nonteaching_f</t>
  </si>
  <si>
    <t>stakeholder_youthstrike_nonteaching_m</t>
  </si>
  <si>
    <t>stakeholder_youthstrike_nonteaching_f</t>
  </si>
  <si>
    <t>stakeholder_specialevent_nonteaching_m</t>
  </si>
  <si>
    <t>stakeholder_specialevent_nonteaching_f</t>
  </si>
  <si>
    <t>stakeholder_ccamothersspecify_nonteaching_m</t>
  </si>
  <si>
    <t>stakeholder_ccamothersspecify_nonteaching_f</t>
  </si>
  <si>
    <t>stakeholder_peaceconference_nonteaching_m</t>
  </si>
  <si>
    <t>stakeholder_peaceconference_nonteaching_f</t>
  </si>
  <si>
    <t>stakeholder_youthnetworks_nonteaching_m</t>
  </si>
  <si>
    <t>stakeholder_youthnetworks_nonteaching_f</t>
  </si>
  <si>
    <t>stakeholder_contests_nonteaching_m</t>
  </si>
  <si>
    <t>stakeholder_contests_nonteaching_f</t>
  </si>
  <si>
    <t>stakeholder_celebratepeace_nonteaching_m</t>
  </si>
  <si>
    <t>stakeholder_celebratepeace_nonteaching_f</t>
  </si>
  <si>
    <t>stakeholder_peacebuildingothers_nonteachers_m</t>
  </si>
  <si>
    <t>stakeholder_peacebuildingothers_nonteachers_f</t>
  </si>
  <si>
    <t>lrnrs_BFA_m_excluding</t>
  </si>
  <si>
    <t>lrnrs_BFA_f_excluding</t>
  </si>
  <si>
    <t>lrnrs_BFA_m_ip</t>
  </si>
  <si>
    <t>lrnrs_BFA_f_ip</t>
  </si>
  <si>
    <t>lrnrs_BFA_m_muslim</t>
  </si>
  <si>
    <t>lrnrs_BFA_f_muslim</t>
  </si>
  <si>
    <t>lrnrs_BFA_m_pwd</t>
  </si>
  <si>
    <t>lrnrs_BFA_f_pwd</t>
  </si>
  <si>
    <t>lrnrs_FEP_m_excluding</t>
  </si>
  <si>
    <t>lrnrs_FEP_f_excluding</t>
  </si>
  <si>
    <t>lrnrs_FEP_m_ip</t>
  </si>
  <si>
    <t>lrnrs_FEP_f_ip</t>
  </si>
  <si>
    <t>lrnrs_FEP_m_muslim</t>
  </si>
  <si>
    <t>lrnrs_FEP_f_muslim</t>
  </si>
  <si>
    <t>lrnrs_FEP_m_pwd</t>
  </si>
  <si>
    <t>lrnrs_FEP_f_pwd</t>
  </si>
  <si>
    <t>lrnrs_hazmap_m_excluding</t>
  </si>
  <si>
    <t>lrnrs_hazmap_f_excluding</t>
  </si>
  <si>
    <t>lrnrs_hazmap_m_ip</t>
  </si>
  <si>
    <t>lrnrs_hazmap_f_ip</t>
  </si>
  <si>
    <t>lrnrs_hazmap_m_muslim</t>
  </si>
  <si>
    <t>lrnrs_hazmap_f_muslim</t>
  </si>
  <si>
    <t>lrnrs_hazmap_m_pwd</t>
  </si>
  <si>
    <t>lrnrs_hazmap_f_pwd</t>
  </si>
  <si>
    <t>lrnrs_onlinemhpss_m_excluding</t>
  </si>
  <si>
    <t>lrnrs_onlinemhpss_f_excluding</t>
  </si>
  <si>
    <t>lrnrs_onlinemhpss_m_ip</t>
  </si>
  <si>
    <t>lrnrs_onlinemhpss_f_ip</t>
  </si>
  <si>
    <t>lrnrs_onlinemhpss_m_muslim</t>
  </si>
  <si>
    <t>lrnrs_onlinemhpss_f_muslim</t>
  </si>
  <si>
    <t>lrnrs_onlinemhpss_m_pwd</t>
  </si>
  <si>
    <t>lrnrs_onlinemhpss_f_pwd</t>
  </si>
  <si>
    <t>lrnrs_celebdrrm_m_excluding</t>
  </si>
  <si>
    <t>lrnrs_celebdrrm_f_excluding</t>
  </si>
  <si>
    <t>lrnrs_celebdrrm_m_ip</t>
  </si>
  <si>
    <t>lrnrs_celebdrrm_f_ip</t>
  </si>
  <si>
    <t>lrnrs_celebdrrm_m_muslim</t>
  </si>
  <si>
    <t>lrnrs_celebdrrm_f_muslim</t>
  </si>
  <si>
    <t>lrnrs_celebdrrm_m_pwd</t>
  </si>
  <si>
    <t>lrnrs_celebdrrm_f_pwd</t>
  </si>
  <si>
    <t>lrnrs_drrmcamp_m_excluding</t>
  </si>
  <si>
    <t>lrnrs_drrmcamp_f_excluding</t>
  </si>
  <si>
    <t>lrnrs_drrmcamp_m_ip</t>
  </si>
  <si>
    <t>lrnrs_drrmcamp_f_ip</t>
  </si>
  <si>
    <t>lrnrs_drrmcamp_m_muslim</t>
  </si>
  <si>
    <t>lrnrs_drrmcamp_f_muslim</t>
  </si>
  <si>
    <t>lrnrs_drrmcamp_m_pwd</t>
  </si>
  <si>
    <t>lrnrs_drrmcamp_f_pwd</t>
  </si>
  <si>
    <t>lrnrs_youthcouncil_m_excluding</t>
  </si>
  <si>
    <t>lrnrs_youthcouncil_f_excluding</t>
  </si>
  <si>
    <t>lrnrs_youthcouncil_m_ip</t>
  </si>
  <si>
    <t>lrnrs_youthcouncil_f_ip</t>
  </si>
  <si>
    <t>lrnrs_youthcouncil_m_muslim</t>
  </si>
  <si>
    <t>lrnrs_youthcouncil_f_muslim</t>
  </si>
  <si>
    <t>lrnrs_youthcouncil_m_pwd</t>
  </si>
  <si>
    <t>lrnrs_youthcouncil_f_pwd</t>
  </si>
  <si>
    <t>lrnrs_yac_m_excluding</t>
  </si>
  <si>
    <t>lrnrs_yac_f_excluding</t>
  </si>
  <si>
    <t>lrnrs_yac_m_ip</t>
  </si>
  <si>
    <t>lrnrs_yac_f_ip</t>
  </si>
  <si>
    <t>lrnrs_yac_m_muslim</t>
  </si>
  <si>
    <t>lrnrs_yac_f_muslim</t>
  </si>
  <si>
    <t>lrnrs_yac_m_pwd</t>
  </si>
  <si>
    <t>lrnrs_yac_f_pwd</t>
  </si>
  <si>
    <t>lrnrs_journalism_m_excluding</t>
  </si>
  <si>
    <t>lrnrs_journalism_f_excluding</t>
  </si>
  <si>
    <t>lrnrs_journalism_m_ip</t>
  </si>
  <si>
    <t>lrnrs_journalism_f_ip</t>
  </si>
  <si>
    <t>lrnrs_journalism_m_muslim</t>
  </si>
  <si>
    <t>lrnrs_journalism_f_muslim</t>
  </si>
  <si>
    <t>lrnrs_journalism_m_pwd</t>
  </si>
  <si>
    <t>lrnrs_journalism_f_pwd</t>
  </si>
  <si>
    <t>lrnrs_drrmothers_m_excluding</t>
  </si>
  <si>
    <t>lrnrs_drrmothers_f_excluding</t>
  </si>
  <si>
    <t>lrnrs_drrmothers_m_ip</t>
  </si>
  <si>
    <t>lrnrs_drrmothers_f_ip</t>
  </si>
  <si>
    <t>lrnrs_drrmothers_m_muslim</t>
  </si>
  <si>
    <t>lrnrs_drrmothers_f_muslim</t>
  </si>
  <si>
    <t>lrnrs_drrmothers_m_pwd</t>
  </si>
  <si>
    <t>lrnrs_drrmothers_f_pwd</t>
  </si>
  <si>
    <t>lrns_drrmothers_specify</t>
  </si>
  <si>
    <t>lrnrs_ccamart_m_excluding</t>
  </si>
  <si>
    <t>lrnrs_ccamart_f_excluding</t>
  </si>
  <si>
    <t>lrnrs_ccamart_m_ip</t>
  </si>
  <si>
    <t>lrnrs_ccamart_f_ip</t>
  </si>
  <si>
    <t>lrnrs_ccamart_m_muslim</t>
  </si>
  <si>
    <t>lrnrs_ccamart_f_muslim</t>
  </si>
  <si>
    <t>lrnrs_ccamart_m_pwd</t>
  </si>
  <si>
    <t>lrnrs_ccamart_f_pwd</t>
  </si>
  <si>
    <t>lrnrs_chngcurrent_m_excluding</t>
  </si>
  <si>
    <t>lrnrs_chngcurrent_f_excluding</t>
  </si>
  <si>
    <t>lrnrs_chngcurrent_m_ip</t>
  </si>
  <si>
    <t>lrnrs_chngcurrent_f_ip</t>
  </si>
  <si>
    <t>lrnrs_chngcurrent_m_muslim</t>
  </si>
  <si>
    <t>lrnrs_chngcurrent_f_muslim</t>
  </si>
  <si>
    <t>lrnrs_chngcurrent_m_pwd</t>
  </si>
  <si>
    <t>lrnrs_chngcurrent_f_pwd</t>
  </si>
  <si>
    <t>lrnrs_camp_m_excluding</t>
  </si>
  <si>
    <t>lrnrs_camp_f_excluding</t>
  </si>
  <si>
    <t>lrnrs_journalismtraining_m_excluding</t>
  </si>
  <si>
    <t>lrnrs_journalismtraining_f_excluding</t>
  </si>
  <si>
    <t>lrnrs_journalismtraining_m_ip</t>
  </si>
  <si>
    <t>lrnrs_journalismtraining_f_ip</t>
  </si>
  <si>
    <t>lrnrs_journalismtraining_m_muslim</t>
  </si>
  <si>
    <t>lrnrs_journalismtraining_f_muslim</t>
  </si>
  <si>
    <t>lrnrs_journalismtraining_m_pwd</t>
  </si>
  <si>
    <t>lrnrs_journalismtraining_f_pwd</t>
  </si>
  <si>
    <t>lrnrs_gulayan_m_excluding</t>
  </si>
  <si>
    <t>lrnrs_gulayan_f_excluding</t>
  </si>
  <si>
    <t>lrnrs_gulayan_m_ip</t>
  </si>
  <si>
    <t>lrnrs_gulayan_f_ip</t>
  </si>
  <si>
    <t>lrnrs_gulayan_m_muslim</t>
  </si>
  <si>
    <t>lrnrs_gulayan_f_muslim</t>
  </si>
  <si>
    <t>lrnrs_gulayan_m_pwd</t>
  </si>
  <si>
    <t>lrnrs_gulayan_f_pwd</t>
  </si>
  <si>
    <t>lrnrs_caaas_m_excluding</t>
  </si>
  <si>
    <t>lrnrs_caaas_f_excluding</t>
  </si>
  <si>
    <t>lrnrs_caaas_m_ip</t>
  </si>
  <si>
    <t>lrnrs_caaas_f_ip</t>
  </si>
  <si>
    <t>lrnrs_caaas_m_muslim</t>
  </si>
  <si>
    <t>lrnrs_caaas_f_muslim</t>
  </si>
  <si>
    <t>lrnrs_caaas_m_pwd</t>
  </si>
  <si>
    <t>lrnrs_caaas_f_pwd</t>
  </si>
  <si>
    <t>lrnrs_swm_m_excluding</t>
  </si>
  <si>
    <t>lrnrs_swm_f_excluding</t>
  </si>
  <si>
    <t>lrnrs_swm_m_ip</t>
  </si>
  <si>
    <t>lrnrs_swm_f_ip</t>
  </si>
  <si>
    <t>lrnrs_swm_m_muslim</t>
  </si>
  <si>
    <t>lrnrs_swm_f_muslim</t>
  </si>
  <si>
    <t>lrnrs_swm_m_pwd</t>
  </si>
  <si>
    <t>lrnrs_swm_f_pwd</t>
  </si>
  <si>
    <t>lrnrs_recycling_m_excluding</t>
  </si>
  <si>
    <t>lrnrs_recycling_f_excluding</t>
  </si>
  <si>
    <t>lrnrs_recycling_m_ip</t>
  </si>
  <si>
    <t>lrnrs_recycling_f_ip</t>
  </si>
  <si>
    <t>lrnrs_recycling_m_muslim</t>
  </si>
  <si>
    <t>lrnrs_recycling_f_muslim</t>
  </si>
  <si>
    <t>lrnrs_recycling_m_pwd</t>
  </si>
  <si>
    <t>lrnrs_recycling_f_pwd</t>
  </si>
  <si>
    <t>lrnrs_treeplanting_m_excluding</t>
  </si>
  <si>
    <t>lrnrs_treeplanting_f_excluding</t>
  </si>
  <si>
    <t>lrnrs_treeplanting_m_ip</t>
  </si>
  <si>
    <t>lrnrs_treeplanting_f_ip</t>
  </si>
  <si>
    <t>lrnrs_treeplanting_m_muslim</t>
  </si>
  <si>
    <t>lrnrs_treeplanting_f_muslim</t>
  </si>
  <si>
    <t>lrnrs_treeplanting_m_pwd</t>
  </si>
  <si>
    <t>lrnrs_treeplanting_f_pwd</t>
  </si>
  <si>
    <t>lrnrs_ysc_m_excluding</t>
  </si>
  <si>
    <t>lrnrs_ysc_f_excluding</t>
  </si>
  <si>
    <t>lrnrs_ysc_m_ip</t>
  </si>
  <si>
    <t>lrnrs_ysc_f_ip</t>
  </si>
  <si>
    <t>lrnrs_ysc_m_muslim</t>
  </si>
  <si>
    <t>lrnrs_ysc_f_muslim</t>
  </si>
  <si>
    <t>lrnrs_ysc_m_pwd</t>
  </si>
  <si>
    <t>lrnrs_ysc_f_pwd</t>
  </si>
  <si>
    <t>lrnrs_ccamceleb_m_excluding</t>
  </si>
  <si>
    <t>lrnrs_ccamceleb_f_excluding</t>
  </si>
  <si>
    <t>lrnrs_ccamceleb_m_ip</t>
  </si>
  <si>
    <t>lrnrs_ccamceleb_f_ip</t>
  </si>
  <si>
    <t>lrnrs_ccamceleb_m_muslim</t>
  </si>
  <si>
    <t>lrnrs_ccamceleb_f_muslim</t>
  </si>
  <si>
    <t>lrnrs_ccamceleb_m_pwd</t>
  </si>
  <si>
    <t>lrnrs_ccamceleb_f_pwd</t>
  </si>
  <si>
    <t>lrnrs_ccamothers_m_excluding</t>
  </si>
  <si>
    <t>lrnrs_ccamothers_f_excluding</t>
  </si>
  <si>
    <t>lrnrs_ccamothers_m_ip</t>
  </si>
  <si>
    <t>lrnrs_ccamothers_f_ip</t>
  </si>
  <si>
    <t>lrnrs_ccamothers_m_muslim</t>
  </si>
  <si>
    <t>lrnrs_ccamothers_f_muslim</t>
  </si>
  <si>
    <t>lrnrs_ccamothers_m_pwd</t>
  </si>
  <si>
    <t>lrnrs_ccamothers_f_pwd</t>
  </si>
  <si>
    <t>lrnrs_ccamothers_specify</t>
  </si>
  <si>
    <t>lrnrs_peacecamps_m_excluding</t>
  </si>
  <si>
    <t>lrnrs_peacecamps_f_excluding</t>
  </si>
  <si>
    <t>lrnrs_peacecamps_m_ip</t>
  </si>
  <si>
    <t>lrnrs_peacecamps_f_ip</t>
  </si>
  <si>
    <t>lrnrs_peacecamps_m_muslim</t>
  </si>
  <si>
    <t>lrnrs_peacecamps_f_muslim</t>
  </si>
  <si>
    <t>lrnrs_peacecamps_m_pwd</t>
  </si>
  <si>
    <t>lrnrs_peacecamps_f_pwd</t>
  </si>
  <si>
    <t>lrnrs_youthnetworks_m_excluding</t>
  </si>
  <si>
    <t>lrnrs_youthnetworks_f_excluding</t>
  </si>
  <si>
    <t>lrnrs_youthnetworks_m_ip</t>
  </si>
  <si>
    <t>lrnrs_youthnetworks_f_ip</t>
  </si>
  <si>
    <t>lrnrs_youthnetworks_m_muslim</t>
  </si>
  <si>
    <t>lrnrs_youthnetworks_f_muslim</t>
  </si>
  <si>
    <t>lrnrs_youthnetworks_m_pwd</t>
  </si>
  <si>
    <t>lrnrs_youthnetworks_f_pwd</t>
  </si>
  <si>
    <t>lrnrs_peacecontests_m_excluding</t>
  </si>
  <si>
    <t>lrnrs_peacecontests_m_ip</t>
  </si>
  <si>
    <t>lrnrs_peacecontests_m_muslim</t>
  </si>
  <si>
    <t>lrnrs_peacecontests_m_pwd</t>
  </si>
  <si>
    <t>lrnrs_peacecontests_f_excluding</t>
  </si>
  <si>
    <t>lrnrs_peacecontests_f_ip</t>
  </si>
  <si>
    <t>lrnrs_peacecontests_f_muslim</t>
  </si>
  <si>
    <t>lrnrs_peacecontests_f_pwd</t>
  </si>
  <si>
    <t>lrnrs_peaceceleb_m_excluding</t>
  </si>
  <si>
    <t>lrnrs_peaceceleb_f_excluding</t>
  </si>
  <si>
    <t>lrnrs_peaceceleb_m_ip</t>
  </si>
  <si>
    <t>lrnrs_peaceceleb_f_ip</t>
  </si>
  <si>
    <t>lrnrs_peaceceleb_m_muslim</t>
  </si>
  <si>
    <t>lrnrs_peaceceleb_f_muslim</t>
  </si>
  <si>
    <t>lrnrs_peaceceleb_m_pwd</t>
  </si>
  <si>
    <t>lrnrs_peaceceleb_f_pwd</t>
  </si>
  <si>
    <t>lrnrs_peaceothers_m_excluding</t>
  </si>
  <si>
    <t>lrnrs_peaceothers_f_excluding</t>
  </si>
  <si>
    <t>lrnrs_peaceothers_m_ip</t>
  </si>
  <si>
    <t>lrnrs_peaceothers_f_ip</t>
  </si>
  <si>
    <t>lrnrs_peaceothers_m_muslim</t>
  </si>
  <si>
    <t>lrnrs_peaceothers_f_muslim</t>
  </si>
  <si>
    <t>lrnrs_peaceothers_m_pwd</t>
  </si>
  <si>
    <t>lrnrs_peaceothers_f_pwd</t>
  </si>
  <si>
    <t>lrnrs_peaceothers_specify</t>
  </si>
  <si>
    <t>lrnrs_camp_m_ip</t>
  </si>
  <si>
    <t>lrnrs_camp_f_ip</t>
  </si>
  <si>
    <t>lrnrs_camp_m_muslim</t>
  </si>
  <si>
    <t>lrnrs_camp_f_muslim</t>
  </si>
  <si>
    <t>lrnrs_camp_m_pwd</t>
  </si>
  <si>
    <t>lrnrs_camp_f_pwd</t>
  </si>
  <si>
    <t>resileduc_trainings_drrm</t>
  </si>
  <si>
    <t>resileduc_trainings_ccam</t>
  </si>
  <si>
    <t>resileduc_trainings_peacebuilding</t>
  </si>
  <si>
    <t>lrnrs_complete_training_m_excluding</t>
  </si>
  <si>
    <t>lrnrs_complete_training_f_excluding</t>
  </si>
  <si>
    <t>lrnrs_complete_training_m_ip</t>
  </si>
  <si>
    <t>lrnrs_complete_training_f_ip</t>
  </si>
  <si>
    <t>lrnrs_complete_training_m_muslim</t>
  </si>
  <si>
    <t>lrnrs_complete_training_f_muslim</t>
  </si>
  <si>
    <t>lrnrs_complete_training_m_pwd</t>
  </si>
  <si>
    <t>lrnrs_complete_training_f_pwd</t>
  </si>
  <si>
    <t>lrnrs_trained_m_excluding</t>
  </si>
  <si>
    <t>lrnrs_trained_f_excluding</t>
  </si>
  <si>
    <t>lrnrs_trained_m_ip</t>
  </si>
  <si>
    <t>lrnrs_trained_f_ip</t>
  </si>
  <si>
    <t>lrnrs_trained_m_muslim</t>
  </si>
  <si>
    <t>lrnrs_trained_f_muslim</t>
  </si>
  <si>
    <t>lrnrs_trained_m_pwd</t>
  </si>
  <si>
    <t>lrnrs_trained_f_pwd</t>
  </si>
  <si>
    <t>lrnrs_coledppa_m_excluding</t>
  </si>
  <si>
    <t>lrnrs_coledppa_f_excluding</t>
  </si>
  <si>
    <t>lrnrs_coledppa_m_ip</t>
  </si>
  <si>
    <t>lrnrs_coledppa_f_ip</t>
  </si>
  <si>
    <t>lrnrs_coledppa_m_muslim</t>
  </si>
  <si>
    <t>lrnrs_coledppa_f_muslim</t>
  </si>
  <si>
    <t>lrnrs_coledppa_m_pwd</t>
  </si>
  <si>
    <t>lrnrs_coledppa_f_pwd</t>
  </si>
  <si>
    <t>lrnrs_ledppa_m_excluding</t>
  </si>
  <si>
    <t>lrnrs_ledppa_f_excluding</t>
  </si>
  <si>
    <t>lrnrs_ledppa_m_ip</t>
  </si>
  <si>
    <t>lrnrs_ledppa_f_ip</t>
  </si>
  <si>
    <t>lrnrs_ledppa_m_muslim</t>
  </si>
  <si>
    <t>lrnrs_ledppa_f_muslim</t>
  </si>
  <si>
    <t>lrnrs_ledppa_m_pwd</t>
  </si>
  <si>
    <t>lrnrs_ledppa_f_pwd</t>
  </si>
  <si>
    <t>lrnrs_ledppa_drrm</t>
  </si>
  <si>
    <t>lrnrs_ledppa_ccam</t>
  </si>
  <si>
    <t>lrnrs_ledppa_peacebuilding</t>
  </si>
  <si>
    <t>completed_acceidited_course_m_teach</t>
  </si>
  <si>
    <t>completed_acceidited_course_f_teach</t>
  </si>
  <si>
    <t>completed_acceidited_course_m_nonteach</t>
  </si>
  <si>
    <t>completed_acceidited_course_f_nonteach</t>
  </si>
  <si>
    <t>teachers_trained_integratingdrrmccampeace_male</t>
  </si>
  <si>
    <t>teachers_trained_integratingdrrmccampeace_female</t>
  </si>
  <si>
    <t>mhpss_conducted_drrm_learner</t>
  </si>
  <si>
    <t>mhpss_conducted_drrm_teacher</t>
  </si>
  <si>
    <t>mhpss_conducted_ccam_learner</t>
  </si>
  <si>
    <t>mhpss_conducted_ccam_teacher</t>
  </si>
  <si>
    <t>mhpss_conducted_peacebuilding_learner</t>
  </si>
  <si>
    <t>mhpss_conducted_peacebuilding_teacher</t>
  </si>
  <si>
    <t>trained_mhpss_pfa_teaching_m</t>
  </si>
  <si>
    <t>trained_mhpss_pfa_teaching_f</t>
  </si>
  <si>
    <t>trained_mhpss_pfa_nonteaching_m</t>
  </si>
  <si>
    <t>trained_mhpss_pfa_nonteaching_f</t>
  </si>
  <si>
    <t>lrnrs_ptop_mhpss_m_excluding</t>
  </si>
  <si>
    <t>lrnrs_ptop_mhpss_f_excluding</t>
  </si>
  <si>
    <t>lrnrs_ptop_mhpss_m_ip</t>
  </si>
  <si>
    <t>lrnrs_ptop_mhpss_f_ip</t>
  </si>
  <si>
    <t>lrnrs_ptop_mhpss_m_muslim</t>
  </si>
  <si>
    <t>lrnrs_ptop_mhpss_f_muslim</t>
  </si>
  <si>
    <t>lrnrs_ptop_mhpss_m_pwd</t>
  </si>
  <si>
    <t>lrnrs_ptop_mhpss_f_pwd</t>
  </si>
  <si>
    <t>teachers_ip_m_g7</t>
  </si>
  <si>
    <t>teachers_ip_f_g7</t>
  </si>
  <si>
    <t>teachers_ip_m_g8</t>
  </si>
  <si>
    <t>teachers_ip_f_g8</t>
  </si>
  <si>
    <t>teachers_ip_m_g9</t>
  </si>
  <si>
    <t>teachers_ip_f_g9</t>
  </si>
  <si>
    <t>teachers_ip_m_g10</t>
  </si>
  <si>
    <t>teachers_ip_f_g10</t>
  </si>
  <si>
    <t>teachers_iped_orientation_m</t>
  </si>
  <si>
    <t>teachers_iped_orientation_f</t>
  </si>
  <si>
    <t>teachers_iped_orientation_outdeped_m</t>
  </si>
  <si>
    <t>teachers_iped_orientation_outdeped_f</t>
  </si>
  <si>
    <t>iplrnrs_measlesvaccine_m</t>
  </si>
  <si>
    <t>iplrnrs_measlesvaccine_f</t>
  </si>
  <si>
    <t>iplrnrs_tetanusvaccine_m</t>
  </si>
  <si>
    <t>iplrnrs_tetanusvaccine_f</t>
  </si>
  <si>
    <t>sch_farm_sch</t>
  </si>
  <si>
    <t>schsite_ownership_wdocu_yes_FLAg</t>
  </si>
  <si>
    <t>schsite_mode_usufruct_agree_year</t>
  </si>
  <si>
    <t>schsite_mode_expropriation_year</t>
  </si>
  <si>
    <t>schsite_mode_exchange_swapping_year</t>
  </si>
  <si>
    <t>schsite_mode_pres_proc_year</t>
  </si>
  <si>
    <t>schsite_mode_spl_patent_year</t>
  </si>
  <si>
    <t>schsite_mode_cloa_year</t>
  </si>
  <si>
    <t>schsite_mode_slup_year</t>
  </si>
  <si>
    <t>schsite_mode_others_year</t>
  </si>
  <si>
    <t>schsite_mode_donation_year</t>
  </si>
  <si>
    <t>schsite_mode_purchase_year</t>
  </si>
  <si>
    <t>feed_prog_agri_fishery_none</t>
  </si>
  <si>
    <t>avail_sc_sportsclub_archery</t>
  </si>
  <si>
    <t>avail_sc_sportsclub_arnis</t>
  </si>
  <si>
    <t>avail_sc_sportsclub_athlthrow</t>
  </si>
  <si>
    <t>avail_sc_sportsclub_athlrun</t>
  </si>
  <si>
    <t>avail_sc_sportsclub_badminton</t>
  </si>
  <si>
    <t>avail_sc_sportsclub_basketball</t>
  </si>
  <si>
    <t>avail_sc_sportsclub_baseball</t>
  </si>
  <si>
    <t>avail_sc_sportsclub_billard</t>
  </si>
  <si>
    <t>avail_sc_sportsclub_boxing</t>
  </si>
  <si>
    <t>avail_sc_sportsclub_chess</t>
  </si>
  <si>
    <t>avail_sc_sportsclub_dancesports</t>
  </si>
  <si>
    <t>avail_sc_sportsclub_football</t>
  </si>
  <si>
    <t>avail_sc_sportsclub_futsal</t>
  </si>
  <si>
    <t>avail_sc_sportsclub_aerogymn</t>
  </si>
  <si>
    <t>avail_sc_sportsclub_mag</t>
  </si>
  <si>
    <t>avail_sf_sportsfac_archery</t>
  </si>
  <si>
    <t>avail_sf_sportsfac_arnis</t>
  </si>
  <si>
    <t>avail_sf_sportsfac_athlthrow</t>
  </si>
  <si>
    <t>avail_sf_sportsfac_athlrun</t>
  </si>
  <si>
    <t>avail_sf_sportsfac_badminton</t>
  </si>
  <si>
    <t>avail_sf_sportsfac_basketball</t>
  </si>
  <si>
    <t>avail_sf_sportsfac_baseball</t>
  </si>
  <si>
    <t>avail_sf_sportsfac_billard</t>
  </si>
  <si>
    <t>avail_sf_sportsfac_boxing</t>
  </si>
  <si>
    <t>avail_sf_sportsfac_chess</t>
  </si>
  <si>
    <t>avail_sf_sportsfac_dancesports</t>
  </si>
  <si>
    <t>avail_sf_sportsfac_football</t>
  </si>
  <si>
    <t>avail_sf_sportsfac_futsal</t>
  </si>
  <si>
    <t>avail_sf_sportsfac_aerogymn</t>
  </si>
  <si>
    <t>avail_sf_sportsfac_mag</t>
  </si>
  <si>
    <t>jhs_enabling_DO24</t>
  </si>
  <si>
    <t>jhs_enabling_DO33</t>
  </si>
  <si>
    <t>jhs_enabling_DO84</t>
  </si>
  <si>
    <t>jhs_css_monitor</t>
  </si>
  <si>
    <t>sch_resumption_strat_nathazard</t>
  </si>
  <si>
    <t>sch_resumption_strat_armedconflict</t>
  </si>
  <si>
    <t>sch_provided_safetysupp</t>
  </si>
  <si>
    <t>sch_conducted_brigadaeskuwela_aftermath</t>
  </si>
  <si>
    <t>sch_RADAR_DRRMS</t>
  </si>
  <si>
    <t>sch_developed_DRRM_comm</t>
  </si>
  <si>
    <t>sch_implemented_PPA_wprtnr</t>
  </si>
  <si>
    <t>drm_nathazards_stormsurge</t>
  </si>
  <si>
    <t>jhs_avail_hazardmaps</t>
  </si>
  <si>
    <t>sch_contingency_assesment_wbaseline</t>
  </si>
  <si>
    <t>sch_recovery_measures</t>
  </si>
  <si>
    <t>sch_resumption_strats</t>
  </si>
  <si>
    <t>sch_listofprtnrs_mobilized</t>
  </si>
  <si>
    <t>sch_drrmteam_wroles</t>
  </si>
  <si>
    <t>sch_lockdown_protocol</t>
  </si>
  <si>
    <t>sch_identified_quarantinefacility</t>
  </si>
  <si>
    <t>sch_healthsafety_protocol</t>
  </si>
  <si>
    <t>sch_listofPPE</t>
  </si>
  <si>
    <t>sch_covid_management</t>
  </si>
  <si>
    <t>sch_termsandconditions_covid</t>
  </si>
  <si>
    <t>sch_list_safetynemrgncy_supp</t>
  </si>
  <si>
    <t>sch_number_prtnrs_mobilized_disaster</t>
  </si>
  <si>
    <t>sch_number_prtnrs_mobilized_armed</t>
  </si>
  <si>
    <t>sch_number_PPA_partner</t>
  </si>
  <si>
    <t>sch_number_training_personnel</t>
  </si>
  <si>
    <t>sch_implemented_classshifting</t>
  </si>
  <si>
    <t>sch_implemented_modular</t>
  </si>
  <si>
    <t>sch_implemented_online</t>
  </si>
  <si>
    <t>sch_implemented_peergroup</t>
  </si>
  <si>
    <t>sch_implemented_programmed</t>
  </si>
  <si>
    <t>sch_implemented_homeschool</t>
  </si>
  <si>
    <t>sch_implemented_nightschool</t>
  </si>
  <si>
    <t>sch_mhpss_inverventions</t>
  </si>
  <si>
    <t>sch_localgroups_mobilized</t>
  </si>
  <si>
    <t>sch_rcvd_replacement_furniture</t>
  </si>
  <si>
    <t>sch_rcvd_replacement_dcp</t>
  </si>
  <si>
    <t>sch_rcvd_replacement_learnresources</t>
  </si>
  <si>
    <t>sch_rcvd_feedback_mechanism</t>
  </si>
  <si>
    <t>sch_science_drrm_g7</t>
  </si>
  <si>
    <t>sch_science_drrm_g8</t>
  </si>
  <si>
    <t>sch_science_drrm_g9</t>
  </si>
  <si>
    <t>sch_science_drrm_g10</t>
  </si>
  <si>
    <t>sch_science_ccam_g7</t>
  </si>
  <si>
    <t>sch_science_ccam_g8</t>
  </si>
  <si>
    <t>sch_science_ccam_g9</t>
  </si>
  <si>
    <t>sch_science_ccam_g10</t>
  </si>
  <si>
    <t>sch_science_peacebuilding_g7</t>
  </si>
  <si>
    <t>sch_science_peacebuilding_g8</t>
  </si>
  <si>
    <t>sch_science_peacebuilding_g9</t>
  </si>
  <si>
    <t>sch_science_peacebuilding_g10</t>
  </si>
  <si>
    <t>sch_ap_drrm_g7</t>
  </si>
  <si>
    <t>sch_ap_drrm_g8</t>
  </si>
  <si>
    <t>sch_ap_drrm_g9</t>
  </si>
  <si>
    <t>sch_ap_drrm_g10</t>
  </si>
  <si>
    <t>sch_ap_ccam_g7</t>
  </si>
  <si>
    <t>sch_ap_ccam_g8</t>
  </si>
  <si>
    <t>sch_ap_ccam_g9</t>
  </si>
  <si>
    <t>sch_ap_ccam_g10</t>
  </si>
  <si>
    <t>sch_ap_peacebuilding_g7</t>
  </si>
  <si>
    <t>sch_ap_peacebuilding_g8</t>
  </si>
  <si>
    <t>sch_ap_peacebuilding_g9</t>
  </si>
  <si>
    <t>sch_ap_peacebuilding_g10</t>
  </si>
  <si>
    <t>sch_esp_drrm_g7</t>
  </si>
  <si>
    <t>sch_esp_drrm_g8</t>
  </si>
  <si>
    <t>sch_esp_drrm_g9</t>
  </si>
  <si>
    <t>sch_esp_drrm_g10</t>
  </si>
  <si>
    <t>sch_esp_ccam_g7</t>
  </si>
  <si>
    <t>sch_esp_ccam_g8</t>
  </si>
  <si>
    <t>sch_esp_ccam_g9</t>
  </si>
  <si>
    <t>sch_esp_ccam_g10</t>
  </si>
  <si>
    <t>sch_esp_peacebuilding_g7</t>
  </si>
  <si>
    <t>sch_esp_peacebuilding_g8</t>
  </si>
  <si>
    <t>sch_esp_peacebuilding_g9</t>
  </si>
  <si>
    <t>sch_esp_peacebuilding_g10</t>
  </si>
  <si>
    <t>sch_pe_drrm_g7</t>
  </si>
  <si>
    <t>sch_pe_drrm_g8</t>
  </si>
  <si>
    <t>sch_pe_drrm_g9</t>
  </si>
  <si>
    <t>sch_pe_drrm_g10</t>
  </si>
  <si>
    <t>sch_pe_ccam_g7</t>
  </si>
  <si>
    <t>sch_pe_ccam_g8</t>
  </si>
  <si>
    <t>sch_pe_ccam_g9</t>
  </si>
  <si>
    <t>sch_pe_ccam_g10</t>
  </si>
  <si>
    <t>sch_pe_peacebuilding_g7</t>
  </si>
  <si>
    <t>sch_pe_peacebuilding_g8</t>
  </si>
  <si>
    <t>sch_pe_peacebuilding_g9</t>
  </si>
  <si>
    <t>sch_pe_peacebuilding_g10</t>
  </si>
  <si>
    <t>sch_health_drrm_g7</t>
  </si>
  <si>
    <t>sch_health_drrm_g8</t>
  </si>
  <si>
    <t>sch_health_drrm_g9</t>
  </si>
  <si>
    <t>sch_health_drrm_g10</t>
  </si>
  <si>
    <t>sch_health_ccam_g7</t>
  </si>
  <si>
    <t>sch_health_ccam_g8</t>
  </si>
  <si>
    <t>sch_health_ccam_g9</t>
  </si>
  <si>
    <t>sch_health_ccam_g10</t>
  </si>
  <si>
    <t>sch_health_peacebuilding_g7</t>
  </si>
  <si>
    <t>sch_health_peacebuilding_g8</t>
  </si>
  <si>
    <t>sch_health_peacebuilding_g9</t>
  </si>
  <si>
    <t>sch_health_peacebuilding_g10</t>
  </si>
  <si>
    <t>sch_epp_drrm_g7</t>
  </si>
  <si>
    <t>sch_epp_drrm_g8</t>
  </si>
  <si>
    <t>sch_epp_drrm_g9</t>
  </si>
  <si>
    <t>sch_epp_drrm_g10</t>
  </si>
  <si>
    <t>sch_epp_ccam_g7</t>
  </si>
  <si>
    <t>sch_epp_ccam_g8</t>
  </si>
  <si>
    <t>sch_epp_ccam_g9</t>
  </si>
  <si>
    <t>sch_epp_ccam_g10</t>
  </si>
  <si>
    <t>sch_epp_peacebuilding_g7</t>
  </si>
  <si>
    <t>sch_epp_peacebuilding_g8</t>
  </si>
  <si>
    <t>sch_epp_peacebuilding_g9</t>
  </si>
  <si>
    <t>sch_epp_peacebuilding_g10</t>
  </si>
  <si>
    <t>sch_others_drrm_g7</t>
  </si>
  <si>
    <t>sch_others_drrm_g8</t>
  </si>
  <si>
    <t>sch_others_drrm_g9</t>
  </si>
  <si>
    <t>sch_others_drrm_g10</t>
  </si>
  <si>
    <t>sch_others_ccam_g7</t>
  </si>
  <si>
    <t>sch_others_ccam_g8</t>
  </si>
  <si>
    <t>sch_others_ccam_g9</t>
  </si>
  <si>
    <t>sch_others_ccam_g10</t>
  </si>
  <si>
    <t>sch_others_peacebuilding_g7</t>
  </si>
  <si>
    <t>sch_others_peacebuilding_g8</t>
  </si>
  <si>
    <t>sch_others_peacebuilding_g9</t>
  </si>
  <si>
    <t>sch_others_peacebuilding_g10</t>
  </si>
  <si>
    <t>sch_depeddeveloped_drrm_ccam_peacebuilding</t>
  </si>
  <si>
    <t>sch_depeddeveloped_trainingmanual</t>
  </si>
  <si>
    <t>sch_depeddeveloped_mhpssmanual</t>
  </si>
  <si>
    <t>iped_celebrate_ipday</t>
  </si>
  <si>
    <t>iped_schhead_ip</t>
  </si>
  <si>
    <t>iped_schhead_specify</t>
  </si>
  <si>
    <t>iped_celebrate_ipmonth</t>
  </si>
  <si>
    <t>iped_orientation_deped</t>
  </si>
  <si>
    <t>iped_sch_anscdom_armedconflict</t>
  </si>
  <si>
    <t>safelearn_floodwall</t>
  </si>
  <si>
    <t>safelearn_firewall</t>
  </si>
  <si>
    <t>safelearn_seawall</t>
  </si>
  <si>
    <t>safelearn_slopeprotection</t>
  </si>
  <si>
    <t>safelearn_others</t>
  </si>
  <si>
    <t>safelearn_others_specify</t>
  </si>
  <si>
    <t>safelearn_nonstructural</t>
  </si>
  <si>
    <t>safelearn_vegetation</t>
  </si>
  <si>
    <t>safelearn_porouslandscape</t>
  </si>
  <si>
    <t>safelearn_pruning</t>
  </si>
  <si>
    <t>safelearn_others_nonstructural</t>
  </si>
  <si>
    <t>safelearn_others_nonstructural_specify</t>
  </si>
  <si>
    <t>jhs_developed_drrm_wpersonnel</t>
  </si>
  <si>
    <t>jhs_developed_drrm_wparents</t>
  </si>
  <si>
    <t>jhs_developed_drrm_wlgu</t>
  </si>
  <si>
    <t>jhs_developed_drrm_wpartners</t>
  </si>
  <si>
    <t>Box7-Table27!$X$28</t>
  </si>
  <si>
    <t>Box7-Table27!$X$29</t>
  </si>
  <si>
    <t>Box7-Table27!$X$30</t>
  </si>
  <si>
    <t>jhs_cell_avemonthlyexpense1</t>
  </si>
  <si>
    <t>jhs_cell_avemonthlyexpense2</t>
  </si>
  <si>
    <t>jhs_cell_avemonthlyexpense3</t>
  </si>
  <si>
    <t>jhs_cell_avemonthlyexpense4</t>
  </si>
  <si>
    <t>jhs_cell_avemonthlyexpense5</t>
  </si>
  <si>
    <t>jhs_cellcapacity_text1</t>
  </si>
  <si>
    <t>jhs_cellcapacity_text2</t>
  </si>
  <si>
    <t>jhs_cellcapacity_text3</t>
  </si>
  <si>
    <t>jhs_cellcapacity_text4</t>
  </si>
  <si>
    <t>jhs_cellcapacity_text5</t>
  </si>
  <si>
    <t>jhs_cellcapacity_call1</t>
  </si>
  <si>
    <t>jhs_cellcapacity_call2</t>
  </si>
  <si>
    <t>jhs_cellcapacity_call3</t>
  </si>
  <si>
    <t>jhs_cellcapacity_call4</t>
  </si>
  <si>
    <t>jhs_cellcapacity_call5</t>
  </si>
  <si>
    <t>jhs_cellcapacity_images1</t>
  </si>
  <si>
    <t>jhs_cellcapacity_images2</t>
  </si>
  <si>
    <t>jhs_cellcapacity_images3</t>
  </si>
  <si>
    <t>jhs_cellcapacity_images4</t>
  </si>
  <si>
    <t>jhs_cellcapacity_images5</t>
  </si>
  <si>
    <t>jhs_cellcapacity_videocall1</t>
  </si>
  <si>
    <t>jhs_cellcapacity_videocall2</t>
  </si>
  <si>
    <t>jhs_cellcapacity_videocall3</t>
  </si>
  <si>
    <t>jhs_cellcapacity_videocall4</t>
  </si>
  <si>
    <t>jhs_cellcapacity_videocall5</t>
  </si>
  <si>
    <t>jhs_cellcapacity_nosignal1</t>
  </si>
  <si>
    <t>jhs_cellcapacity_nosignal2</t>
  </si>
  <si>
    <t>jhs_cellcapacity_nosignal3</t>
  </si>
  <si>
    <t>jhs_cellcapacity_nosignal4</t>
  </si>
  <si>
    <t>jhs_cellcapacity_nosignal5</t>
  </si>
  <si>
    <t>jhs_printer_brand1</t>
  </si>
  <si>
    <t>jhs_printer_brand2</t>
  </si>
  <si>
    <t>jhs_printer_brand3</t>
  </si>
  <si>
    <t>jhs_printer_brand4</t>
  </si>
  <si>
    <t>jhs_printer_brand5</t>
  </si>
  <si>
    <t>jhs_printer_brand6</t>
  </si>
  <si>
    <t>jhs_printer_brand7</t>
  </si>
  <si>
    <t>jhs_printer_brand8</t>
  </si>
  <si>
    <t>jhs_printer_brand9</t>
  </si>
  <si>
    <t>jhs_printer_brand10</t>
  </si>
  <si>
    <t>jhs_printer_avemonthlyexpense1</t>
  </si>
  <si>
    <t>jhs_printer_avemonthlyexpense2</t>
  </si>
  <si>
    <t>jhs_printer_avemonthlyexpense3</t>
  </si>
  <si>
    <t>jhs_printer_avemonthlyexpense4</t>
  </si>
  <si>
    <t>jhs_printer_avemonthlyexpense5</t>
  </si>
  <si>
    <t>jhs_printer_avemonthlyexpense6</t>
  </si>
  <si>
    <t>jhs_printer_avemonthlyexpense7</t>
  </si>
  <si>
    <t>jhs_printer_avemonthlyexpense8</t>
  </si>
  <si>
    <t>jhs_printer_avemonthlyexpense9</t>
  </si>
  <si>
    <t>jhs_printer_avemonthlyexpense10</t>
  </si>
  <si>
    <t>jhs_broadcasting_name1</t>
  </si>
  <si>
    <t>jhs_broadcasting_name2</t>
  </si>
  <si>
    <t>jhs_broadcasting_name3</t>
  </si>
  <si>
    <t>jhs_broadcasting_name4</t>
  </si>
  <si>
    <t>jhs_broadcasting_name5</t>
  </si>
  <si>
    <t>jhs_broadcasting_name6</t>
  </si>
  <si>
    <t>jhs_broadcasting_name7</t>
  </si>
  <si>
    <t>jhs_broadcasting_name8</t>
  </si>
  <si>
    <t>jhs_broadcasting_name9</t>
  </si>
  <si>
    <t>jhs_broadcasting_frequency1</t>
  </si>
  <si>
    <t>jhs_broadcasting_frequency2</t>
  </si>
  <si>
    <t>jhs_broadcasting_frequency3</t>
  </si>
  <si>
    <t>jhs_broadcasting_frequency4</t>
  </si>
  <si>
    <t>jhs_broadcasting_frequency5</t>
  </si>
  <si>
    <t>jhs_broadcasting_frequency6</t>
  </si>
  <si>
    <t>jhs_broadcasting_frequency7</t>
  </si>
  <si>
    <t>jhs_broadcasting_frequency8</t>
  </si>
  <si>
    <t>jhs_broadcasting_frequency9</t>
  </si>
  <si>
    <t>jhs_broadcasting_ntclicense1</t>
  </si>
  <si>
    <t>jhs_broadcasting_ntclicense2</t>
  </si>
  <si>
    <t>jhs_broadcasting_ntclicense3</t>
  </si>
  <si>
    <t>jhs_broadcasting_ntclicense4</t>
  </si>
  <si>
    <t>jhs_broadcasting_ntclicense5</t>
  </si>
  <si>
    <t>jhs_broadcasting_ntclicense6</t>
  </si>
  <si>
    <t>jhs_broadcasting_ntclicense7</t>
  </si>
  <si>
    <t>jhs_broadcasting_ntclicense8</t>
  </si>
  <si>
    <t>jhs_broadcasting_ntclicense9</t>
  </si>
  <si>
    <t>jhs_broadcasting_owner1</t>
  </si>
  <si>
    <t>jhs_broadcasting_owner2</t>
  </si>
  <si>
    <t>jhs_broadcasting_owner3</t>
  </si>
  <si>
    <t>jhs_broadcasting_owner4</t>
  </si>
  <si>
    <t>jhs_broadcasting_owner5</t>
  </si>
  <si>
    <t>jhs_broadcasting_owner6</t>
  </si>
  <si>
    <t>jhs_broadcasting_owner7</t>
  </si>
  <si>
    <t>jhs_broadcasting_owner8</t>
  </si>
  <si>
    <t>jhs_broadcasting_owner9</t>
  </si>
  <si>
    <t>jhs_broadcasting_datestarted1</t>
  </si>
  <si>
    <t>jhs_broadcasting_datestarted2</t>
  </si>
  <si>
    <t>jhs_broadcasting_datestarted3</t>
  </si>
  <si>
    <t>jhs_broadcasting_datestarted4</t>
  </si>
  <si>
    <t>jhs_broadcasting_datestarted5</t>
  </si>
  <si>
    <t>jhs_broadcasting_datestarted6</t>
  </si>
  <si>
    <t>jhs_broadcasting_datestarted7</t>
  </si>
  <si>
    <t>jhs_broadcasting_datestarted8</t>
  </si>
  <si>
    <t>jhs_broadcasting_datestarted9</t>
  </si>
  <si>
    <t>jhs_broadcasting_number1</t>
  </si>
  <si>
    <t>jhs_broadcasting_number2</t>
  </si>
  <si>
    <t>jhs_broadcasting_number3</t>
  </si>
  <si>
    <t>jhs_broadcasting_number4</t>
  </si>
  <si>
    <t>jhs_broadcasting_number5</t>
  </si>
  <si>
    <t>jhs_broadcasting_number6</t>
  </si>
  <si>
    <t>jhs_broadcasting_number7</t>
  </si>
  <si>
    <t>jhs_broadcasting_number8</t>
  </si>
  <si>
    <t>jhs_broadcasting_number9</t>
  </si>
  <si>
    <t>jhs_broadcasting_address1</t>
  </si>
  <si>
    <t>jhs_broadcasting_address2</t>
  </si>
  <si>
    <t>jhs_broadcasting_address3</t>
  </si>
  <si>
    <t>jhs_broadcasting_address4</t>
  </si>
  <si>
    <t>jhs_broadcasting_address5</t>
  </si>
  <si>
    <t>jhs_broadcasting_address6</t>
  </si>
  <si>
    <t>jhs_broadcasting_address7</t>
  </si>
  <si>
    <t>jhs_broadcasting_address8</t>
  </si>
  <si>
    <t>jhs_broadcasting_address9</t>
  </si>
  <si>
    <t>jhs_broadcasting_email1</t>
  </si>
  <si>
    <t>jhs_broadcasting_email2</t>
  </si>
  <si>
    <t>jhs_broadcasting_email3</t>
  </si>
  <si>
    <t>jhs_broadcasting_email4</t>
  </si>
  <si>
    <t>jhs_broadcasting_email5</t>
  </si>
  <si>
    <t>jhs_broadcasting_email6</t>
  </si>
  <si>
    <t>jhs_broadcasting_email7</t>
  </si>
  <si>
    <t>jhs_broadcasting_email8</t>
  </si>
  <si>
    <t>jhs_broadcasting_email9</t>
  </si>
  <si>
    <t>jhs_radio_type1</t>
  </si>
  <si>
    <t>jhs_radio_type2</t>
  </si>
  <si>
    <t>jhs_radio_type3</t>
  </si>
  <si>
    <t>jhs_radio_type4</t>
  </si>
  <si>
    <t>jhs_radio_type5</t>
  </si>
  <si>
    <t>jhs_radio_type6</t>
  </si>
  <si>
    <t>jhs_radio_type7</t>
  </si>
  <si>
    <t>jhs_radio_type8</t>
  </si>
  <si>
    <t>jhs_radio_type9</t>
  </si>
  <si>
    <t>jhs_radio_type10</t>
  </si>
  <si>
    <t>jhs_radio_purpose1</t>
  </si>
  <si>
    <t>jhs_radio_purpose2</t>
  </si>
  <si>
    <t>jhs_radio_purpose3</t>
  </si>
  <si>
    <t>jhs_radio_purpose4</t>
  </si>
  <si>
    <t>jhs_radio_purpose5</t>
  </si>
  <si>
    <t>jhs_radio_purpose6</t>
  </si>
  <si>
    <t>jhs_radio_purpose7</t>
  </si>
  <si>
    <t>jhs_radio_purpose8</t>
  </si>
  <si>
    <t>jhs_radio_purpose9</t>
  </si>
  <si>
    <t>jhs_radio_purpose10</t>
  </si>
  <si>
    <t>jhs_radio_frequency1</t>
  </si>
  <si>
    <t>jhs_radio_frequency2</t>
  </si>
  <si>
    <t>jhs_radio_frequency3</t>
  </si>
  <si>
    <t>jhs_radio_frequency4</t>
  </si>
  <si>
    <t>jhs_radio_frequency5</t>
  </si>
  <si>
    <t>jhs_radio_frequency6</t>
  </si>
  <si>
    <t>jhs_radio_frequency7</t>
  </si>
  <si>
    <t>jhs_radio_frequency8</t>
  </si>
  <si>
    <t>jhs_radio_frequency9</t>
  </si>
  <si>
    <t>jhs_radio_frequency10</t>
  </si>
  <si>
    <t>jhs_radio_ntcnumber1</t>
  </si>
  <si>
    <t>jhs_radio_ntcnumber2</t>
  </si>
  <si>
    <t>jhs_radio_ntcnumber3</t>
  </si>
  <si>
    <t>jhs_radio_ntcnumber4</t>
  </si>
  <si>
    <t>jhs_radio_ntcnumber5</t>
  </si>
  <si>
    <t>jhs_radio_ntcnumber6</t>
  </si>
  <si>
    <t>jhs_radio_ntcnumber7</t>
  </si>
  <si>
    <t>jhs_radio_ntcnumber8</t>
  </si>
  <si>
    <t>jhs_radio_ntcnumber9</t>
  </si>
  <si>
    <t>jhs_radio_ntcnumber10</t>
  </si>
  <si>
    <t>jhs_radio_units1</t>
  </si>
  <si>
    <t>jhs_radio_units2</t>
  </si>
  <si>
    <t>jhs_radio_units3</t>
  </si>
  <si>
    <t>jhs_radio_units4</t>
  </si>
  <si>
    <t>jhs_radio_units5</t>
  </si>
  <si>
    <t>jhs_radio_units6</t>
  </si>
  <si>
    <t>jhs_radio_units7</t>
  </si>
  <si>
    <t>jhs_radio_units8</t>
  </si>
  <si>
    <t>jhs_radio_units9</t>
  </si>
  <si>
    <t>jhs_radio_units10</t>
  </si>
  <si>
    <t>jhs_school_radio</t>
  </si>
  <si>
    <t>Table31'!$B$7</t>
  </si>
  <si>
    <t>Table31'!$B$8</t>
  </si>
  <si>
    <t>Table31'!$B$9</t>
  </si>
  <si>
    <t>Table31'!$B$10</t>
  </si>
  <si>
    <t>Table31'!$B$11</t>
  </si>
  <si>
    <t>Table31'!$B$12</t>
  </si>
  <si>
    <t>Table31'!$B$13</t>
  </si>
  <si>
    <t>Table31'!$B$14</t>
  </si>
  <si>
    <t>Table31'!$B$15</t>
  </si>
  <si>
    <t>Table31'!$B$16</t>
  </si>
  <si>
    <t>Table31'!$J$7</t>
  </si>
  <si>
    <t>Table31'!$J$8</t>
  </si>
  <si>
    <t>Table31'!$J$9</t>
  </si>
  <si>
    <t>Table31'!$J$10</t>
  </si>
  <si>
    <t>Table31'!$J$11</t>
  </si>
  <si>
    <t>Table31'!$J$12</t>
  </si>
  <si>
    <t>Table31'!$J$13</t>
  </si>
  <si>
    <t>Table31'!$J$14</t>
  </si>
  <si>
    <t>Table31'!$J$15</t>
  </si>
  <si>
    <t>Table31'!$J$16</t>
  </si>
  <si>
    <t>Table31'!$R$7</t>
  </si>
  <si>
    <t>Table31'!$R$8</t>
  </si>
  <si>
    <t>Table31'!$R$9</t>
  </si>
  <si>
    <t>Table31'!$R$10</t>
  </si>
  <si>
    <t>Table31'!$R$11</t>
  </si>
  <si>
    <t>Table31'!$R$12</t>
  </si>
  <si>
    <t>Table31'!$R$13</t>
  </si>
  <si>
    <t>Table31'!$R$14</t>
  </si>
  <si>
    <t>Table31'!$R$15</t>
  </si>
  <si>
    <t>Table31'!$R$16</t>
  </si>
  <si>
    <t>Table31'!$Z$7</t>
  </si>
  <si>
    <t>Table31'!$Z$8</t>
  </si>
  <si>
    <t>Table31'!$Z$9</t>
  </si>
  <si>
    <t>Table31'!$Z$10</t>
  </si>
  <si>
    <t>Table31'!$Z$11</t>
  </si>
  <si>
    <t>Table31'!$Z$12</t>
  </si>
  <si>
    <t>Table31'!$Z$13</t>
  </si>
  <si>
    <t>Table31'!$Z$14</t>
  </si>
  <si>
    <t>Table31'!$Z$15</t>
  </si>
  <si>
    <t>Table31'!$Z$16</t>
  </si>
  <si>
    <t>Table31'!$AH$7</t>
  </si>
  <si>
    <t>Table31'!$AH$8</t>
  </si>
  <si>
    <t>Table31'!$AH$9</t>
  </si>
  <si>
    <t>Table31'!$AH$10</t>
  </si>
  <si>
    <t>Table31'!$AH$11</t>
  </si>
  <si>
    <t>Table31'!$AH$12</t>
  </si>
  <si>
    <t>Table31'!$AH$13</t>
  </si>
  <si>
    <t>Table31'!$AH$14</t>
  </si>
  <si>
    <t>Table31'!$AH$15</t>
  </si>
  <si>
    <t>Table31'!$AH$16</t>
  </si>
  <si>
    <t>oer_developed_locally_original_1st_g7</t>
  </si>
  <si>
    <t>oer_developed_locally_original_2nd_g8</t>
  </si>
  <si>
    <t>oer_developed_locally_original_3rd_g9</t>
  </si>
  <si>
    <t>oer_developed_locally_original_4th_g10</t>
  </si>
  <si>
    <t>oer_developed_locally_original_2nd_g7</t>
  </si>
  <si>
    <t>oer_developed_locally_original_3rd_g7</t>
  </si>
  <si>
    <t>oer_developed_locally_original_4th_g7</t>
  </si>
  <si>
    <t>oer_developed_locally_original_3rd_g8</t>
  </si>
  <si>
    <t>oer_developed_locally_original_4th_g8</t>
  </si>
  <si>
    <t>oer_developed_locally_original_1st_g8</t>
  </si>
  <si>
    <t>oer_developed_locally_original_1st_g9</t>
  </si>
  <si>
    <t>oer_developed_locally_original_2nd_g9</t>
  </si>
  <si>
    <t>oer_developed_locally_original_4th_g9</t>
  </si>
  <si>
    <t>oer_developed_locally_original_1st_g10</t>
  </si>
  <si>
    <t>oer_developed_locally_original_2nd_g10</t>
  </si>
  <si>
    <t>oer_developed_locally_original_3rd_g10</t>
  </si>
  <si>
    <t>oer_developed_locally_reuse_1st_g7</t>
  </si>
  <si>
    <t>oer_developed_locally_reuse_2nd_g7</t>
  </si>
  <si>
    <t>oer_developed_locally_reuse_3rd_g7</t>
  </si>
  <si>
    <t>oer_developed_locally_reuse_4th_g7</t>
  </si>
  <si>
    <t>oer_developed_locally_reuse_1st_g8</t>
  </si>
  <si>
    <t>oer_developed_locally_reuse_2nd_g8</t>
  </si>
  <si>
    <t>oer_developed_locally_reuse_3rd_g8</t>
  </si>
  <si>
    <t>oer_developed_locally_reuse_4th_g8</t>
  </si>
  <si>
    <t>oer_developed_locally_reuse_1st_g9</t>
  </si>
  <si>
    <t>oer_developed_locally_reuse_2nd_g9</t>
  </si>
  <si>
    <t>oer_developed_locally_reuse_3rd_g9</t>
  </si>
  <si>
    <t>oer_developed_locally_reuse_4th_g9</t>
  </si>
  <si>
    <t>oer_developed_locally_reuse_1st_g10</t>
  </si>
  <si>
    <t>oer_developed_locally_reuse_2nd_g10</t>
  </si>
  <si>
    <t>oer_developed_locally_reuse_3rd_g10</t>
  </si>
  <si>
    <t>oer_developed_locally_reuse_4th_g10</t>
  </si>
  <si>
    <t>Table24-box3'!$G$7</t>
  </si>
  <si>
    <t>Table24-box3'!$G$8</t>
  </si>
  <si>
    <t>Table24-box3'!$G$9</t>
  </si>
  <si>
    <t>Table24-box3'!$G$10</t>
  </si>
  <si>
    <t>Table24-box3'!$J$7</t>
  </si>
  <si>
    <t>Table24-box3'!$M$7</t>
  </si>
  <si>
    <t>Table24-box3'!$P$7</t>
  </si>
  <si>
    <t>Table24-box3'!$P$8</t>
  </si>
  <si>
    <t>Table24-box3'!$P$9</t>
  </si>
  <si>
    <t>Table24-box3'!$P$10</t>
  </si>
  <si>
    <t>Table24-box3'!$J$8</t>
  </si>
  <si>
    <t>Table24-box3'!$M$8</t>
  </si>
  <si>
    <t>Table24-box3'!$J$9</t>
  </si>
  <si>
    <t>Table24-box3'!$M$9</t>
  </si>
  <si>
    <t>Table24-box3'!$J$10</t>
  </si>
  <si>
    <t>Table24-box3'!$M$10</t>
  </si>
  <si>
    <t>Table24-box3'!$V$7</t>
  </si>
  <si>
    <t>Table24-box3'!$V$8</t>
  </si>
  <si>
    <t>Table24-box3'!$V$9</t>
  </si>
  <si>
    <t>Table24-box3'!$Y$7</t>
  </si>
  <si>
    <t>Table24-box3'!$AB$7</t>
  </si>
  <si>
    <t>Table24-box3'!$AE$7</t>
  </si>
  <si>
    <t>Table24-box3'!$AE$8</t>
  </si>
  <si>
    <t>Table24-box3'!$AE$9</t>
  </si>
  <si>
    <t>Table24-box3'!$Y$8</t>
  </si>
  <si>
    <t>Table24-box3'!$AB$8</t>
  </si>
  <si>
    <t>Table24-box3'!$Y$9</t>
  </si>
  <si>
    <t>Table24-box3'!$AB$9</t>
  </si>
  <si>
    <t>Table24-box3'!$V$10</t>
  </si>
  <si>
    <t>Table24-box3'!$Y$10</t>
  </si>
  <si>
    <t>Table24-box3'!$AB$10</t>
  </si>
  <si>
    <t>Table24-box3'!$AE$10</t>
  </si>
  <si>
    <t>depedtv_frequent_m</t>
  </si>
  <si>
    <t>depedtv_frequent_f</t>
  </si>
  <si>
    <t>depedtv_seldom_m</t>
  </si>
  <si>
    <t>depedtv_seldom_f</t>
  </si>
  <si>
    <t>depedtv_never_m</t>
  </si>
  <si>
    <t>depedtv_never_f</t>
  </si>
  <si>
    <t>Table24-box3'!$J$26</t>
  </si>
  <si>
    <t>Table24-box3'!$O$26</t>
  </si>
  <si>
    <t>Table24-box3'!$O$27</t>
  </si>
  <si>
    <t>Table24-box3'!$O$28</t>
  </si>
  <si>
    <t>Table24-box3'!$J$27</t>
  </si>
  <si>
    <t>Table24-box3'!$J$28</t>
  </si>
  <si>
    <t>depedtv_method_tv</t>
  </si>
  <si>
    <t>depedtv_method_facebook</t>
  </si>
  <si>
    <t>depedtv_method_youtube</t>
  </si>
  <si>
    <t>depedtv_method_download</t>
  </si>
  <si>
    <t>Table24-box3'!$AH$24</t>
  </si>
  <si>
    <t>Table24-box3'!$AH$25</t>
  </si>
  <si>
    <t>Table24-box3'!$AQ$24</t>
  </si>
  <si>
    <t>Table24-box3'!$AQ$25</t>
  </si>
  <si>
    <t>depedtv_supplemental_eng</t>
  </si>
  <si>
    <t>depedtv_supplemental_math</t>
  </si>
  <si>
    <t>depedtv_supplemental_fil</t>
  </si>
  <si>
    <t>depedtv_supplemental_sci</t>
  </si>
  <si>
    <t>depedtv_supplemental_ap</t>
  </si>
  <si>
    <t>depedtv_supplemental_esp</t>
  </si>
  <si>
    <t>depedtv_supplemental_others</t>
  </si>
  <si>
    <t>depedtv_supplemental_others_specify</t>
  </si>
  <si>
    <t>Table24-box3'!$AH$31</t>
  </si>
  <si>
    <t>Table24-box3'!$AH$32</t>
  </si>
  <si>
    <t>Table24-box3'!$AH$33</t>
  </si>
  <si>
    <t>Table24-box3'!$AH$35</t>
  </si>
  <si>
    <t>Table24-box3'!$AH$37</t>
  </si>
  <si>
    <t>Table24-box3'!$AQ$31</t>
  </si>
  <si>
    <t>Table24-box3'!$AQ$32</t>
  </si>
  <si>
    <t>Table24-box3'!$AQ$33</t>
  </si>
  <si>
    <t>Table24-box3'!$AQ$35</t>
  </si>
  <si>
    <t>Table24-box3'!$AV$35</t>
  </si>
  <si>
    <t>sch_assessed_competencies</t>
  </si>
  <si>
    <t>sch_drrm_developed_iec</t>
  </si>
  <si>
    <t>sch_drrm_updated_iec</t>
  </si>
  <si>
    <t>SchInfo!$R$34</t>
  </si>
  <si>
    <t>SchInfo!$C$35</t>
  </si>
  <si>
    <t>Table1!$Z$10</t>
  </si>
  <si>
    <t>Table1!$Z$11</t>
  </si>
  <si>
    <t>Table1!$Z$12</t>
  </si>
  <si>
    <t>Table1!$Z$14</t>
  </si>
  <si>
    <t>Table1!$Z$15</t>
  </si>
  <si>
    <t>Table1!$Z$16</t>
  </si>
  <si>
    <t>Table1!$Z$17</t>
  </si>
  <si>
    <t>Table1!$Z$18</t>
  </si>
  <si>
    <t>Table1!$Z$19</t>
  </si>
  <si>
    <t>Table1!$Z$20</t>
  </si>
  <si>
    <t>Table1!$Z$23</t>
  </si>
  <si>
    <t>Table1!$Z$24</t>
  </si>
  <si>
    <t>Table1!$Z$25</t>
  </si>
  <si>
    <t>Table1!$Z$7</t>
  </si>
  <si>
    <t>Table1!$Z$8</t>
  </si>
  <si>
    <t>Table1!$Z$9</t>
  </si>
  <si>
    <t>Tables35-37'!$AI$36</t>
  </si>
  <si>
    <t>Tables35-37'!$AK$36</t>
  </si>
  <si>
    <t>Tables35-37'!$AM$36</t>
  </si>
  <si>
    <t>Tables35-37'!$AO$36</t>
  </si>
  <si>
    <t>Tables35-37'!$G$36</t>
  </si>
  <si>
    <t>Tables35-37'!$I$36</t>
  </si>
  <si>
    <t>Tables35-37'!$K$36</t>
  </si>
  <si>
    <t>Tables35-37'!$M$36</t>
  </si>
  <si>
    <t>Box16'!$O$29</t>
  </si>
  <si>
    <t>Box16'!$AH$6</t>
  </si>
  <si>
    <t>Box16'!$AH$7</t>
  </si>
  <si>
    <t>Box16'!$AH$10</t>
  </si>
  <si>
    <t>Box16'!$AH$11</t>
  </si>
  <si>
    <t>Box16'!$AH$14</t>
  </si>
  <si>
    <t>Box16'!$AH$15</t>
  </si>
  <si>
    <t>Box16'!$AH$16</t>
  </si>
  <si>
    <t>Box16'!$F$20</t>
  </si>
  <si>
    <t>Box16'!$F$21</t>
  </si>
  <si>
    <t>Box16'!$Z$20</t>
  </si>
  <si>
    <t>Box16'!$Z$21</t>
  </si>
  <si>
    <t>Box16'!$O$30</t>
  </si>
  <si>
    <t>Box16'!$O$31</t>
  </si>
  <si>
    <t>Box16'!$O$32</t>
  </si>
  <si>
    <t>Box16'!$X$29</t>
  </si>
  <si>
    <t>Box16'!$X$30</t>
  </si>
  <si>
    <t>Box16'!$X$31</t>
  </si>
  <si>
    <t>Box16'!$X$32</t>
  </si>
  <si>
    <t>Box16'!$AG$29</t>
  </si>
  <si>
    <t>Box16'!$AG$30</t>
  </si>
  <si>
    <t>Box16'!$AG$31</t>
  </si>
  <si>
    <t>Box16'!$AG$32</t>
  </si>
  <si>
    <t>Box16'!$O$41</t>
  </si>
  <si>
    <t>Box16'!$O$42</t>
  </si>
  <si>
    <t>Box16'!$O$43</t>
  </si>
  <si>
    <t>Box16'!$O$44</t>
  </si>
  <si>
    <t>Box16'!$X$41</t>
  </si>
  <si>
    <t>Box16'!$X$42</t>
  </si>
  <si>
    <t>Box16'!$X$43</t>
  </si>
  <si>
    <t>Box16'!$X$44</t>
  </si>
  <si>
    <t>Box16'!$AG$41</t>
  </si>
  <si>
    <t>Box16'!$AG$42</t>
  </si>
  <si>
    <t>Box16'!$AG$43</t>
  </si>
  <si>
    <t>Box16'!$AG$44</t>
  </si>
  <si>
    <t>Table1!$N$7</t>
  </si>
  <si>
    <t>Table1!$Q$7</t>
  </si>
  <si>
    <t>Table1!$T$7</t>
  </si>
  <si>
    <t>Table1!$W$7</t>
  </si>
  <si>
    <t>Table1!$AC$7</t>
  </si>
  <si>
    <t>Table1!$AF$7</t>
  </si>
  <si>
    <t>Table1!$AI$7</t>
  </si>
  <si>
    <t>Table1!$N$8</t>
  </si>
  <si>
    <t>Table1!$Q$8</t>
  </si>
  <si>
    <t>Table1!$T$8</t>
  </si>
  <si>
    <t>Table1!$W$8</t>
  </si>
  <si>
    <t>Table1!$AC$8</t>
  </si>
  <si>
    <t>Table1!$AF$8</t>
  </si>
  <si>
    <t>Table1!$AI$8</t>
  </si>
  <si>
    <t>Table1!$N$9</t>
  </si>
  <si>
    <t>Table1!$Q$9</t>
  </si>
  <si>
    <t>Table1!$T$9</t>
  </si>
  <si>
    <t>Table1!$W$9</t>
  </si>
  <si>
    <t>Table1!$AC$9</t>
  </si>
  <si>
    <t>Table1!$AF$9</t>
  </si>
  <si>
    <t>Table1!$AI$9</t>
  </si>
  <si>
    <t>Table1!$N$10</t>
  </si>
  <si>
    <t>Table1!$Q$10</t>
  </si>
  <si>
    <t>Table1!$T$10</t>
  </si>
  <si>
    <t>Table1!$W$10</t>
  </si>
  <si>
    <t>Table1!$AC$10</t>
  </si>
  <si>
    <t>Table1!$AF$10</t>
  </si>
  <si>
    <t>Table1!$AI$10</t>
  </si>
  <si>
    <t>Table1!$N$11</t>
  </si>
  <si>
    <t>Table1!$Q$11</t>
  </si>
  <si>
    <t>Table1!$T$11</t>
  </si>
  <si>
    <t>Table1!$W$11</t>
  </si>
  <si>
    <t>Table1!$AC$11</t>
  </si>
  <si>
    <t>Table1!$AF$11</t>
  </si>
  <si>
    <t>Table1!$AI$11</t>
  </si>
  <si>
    <t>Table1!$N$12</t>
  </si>
  <si>
    <t>Table1!$Q$12</t>
  </si>
  <si>
    <t>Table1!$T$12</t>
  </si>
  <si>
    <t>Table1!$W$12</t>
  </si>
  <si>
    <t>Table1!$AC$12</t>
  </si>
  <si>
    <t>Table1!$AF$12</t>
  </si>
  <si>
    <t>Table1!$AI$12</t>
  </si>
  <si>
    <t>Table1!$N$14</t>
  </si>
  <si>
    <t>Table1!$Q$14</t>
  </si>
  <si>
    <t>Table1!$T$14</t>
  </si>
  <si>
    <t>Table1!$W$14</t>
  </si>
  <si>
    <t>Table1!$AC$14</t>
  </si>
  <si>
    <t>Table1!$AF$14</t>
  </si>
  <si>
    <t>Table1!$AI$14</t>
  </si>
  <si>
    <t>Table1!$N$15</t>
  </si>
  <si>
    <t>Table1!$Q$15</t>
  </si>
  <si>
    <t>Table1!$T$15</t>
  </si>
  <si>
    <t>Table1!$W$15</t>
  </si>
  <si>
    <t>Table1!$AC$15</t>
  </si>
  <si>
    <t>Table1!$AF$15</t>
  </si>
  <si>
    <t>Table1!$AI$15</t>
  </si>
  <si>
    <t>Table1!$N$16</t>
  </si>
  <si>
    <t>Table1!$Q$16</t>
  </si>
  <si>
    <t>Table1!$T$16</t>
  </si>
  <si>
    <t>Table1!$W$16</t>
  </si>
  <si>
    <t>Table1!$AC$16</t>
  </si>
  <si>
    <t>Table1!$AF$16</t>
  </si>
  <si>
    <t>Table1!$AI$16</t>
  </si>
  <si>
    <t>Table1!$N$17</t>
  </si>
  <si>
    <t>Table1!$Q$17</t>
  </si>
  <si>
    <t>Table1!$T$17</t>
  </si>
  <si>
    <t>Table1!$W$17</t>
  </si>
  <si>
    <t>Table1!$AC$17</t>
  </si>
  <si>
    <t>Table1!$AF$17</t>
  </si>
  <si>
    <t>Table1!$AI$17</t>
  </si>
  <si>
    <t>Table1!$N$18</t>
  </si>
  <si>
    <t>Table1!$Q$18</t>
  </si>
  <si>
    <t>Table1!$T$18</t>
  </si>
  <si>
    <t>Table1!$W$18</t>
  </si>
  <si>
    <t>Table1!$AC$18</t>
  </si>
  <si>
    <t>Table1!$AF$18</t>
  </si>
  <si>
    <t>Table1!$AI$18</t>
  </si>
  <si>
    <t>Table1!$N$19</t>
  </si>
  <si>
    <t>Table1!$Q$19</t>
  </si>
  <si>
    <t>Table1!$T$19</t>
  </si>
  <si>
    <t>Table1!$W$19</t>
  </si>
  <si>
    <t>Table1!$AC$19</t>
  </si>
  <si>
    <t>Table1!$AF$19</t>
  </si>
  <si>
    <t>Table1!$AI$19</t>
  </si>
  <si>
    <t>Table1!$N$20</t>
  </si>
  <si>
    <t>Table1!$Q$20</t>
  </si>
  <si>
    <t>Table1!$T$20</t>
  </si>
  <si>
    <t>Table1!$W$20</t>
  </si>
  <si>
    <t>Table1!$AC$20</t>
  </si>
  <si>
    <t>Table1!$AF$20</t>
  </si>
  <si>
    <t>Table1!$AI$20</t>
  </si>
  <si>
    <t>Table1!$N$21</t>
  </si>
  <si>
    <t>Table1!$Q$21</t>
  </si>
  <si>
    <t>Table1!$T$21</t>
  </si>
  <si>
    <t>Table1!$W$21</t>
  </si>
  <si>
    <t>Table1!$Z$21</t>
  </si>
  <si>
    <t>Table1!$AC$21</t>
  </si>
  <si>
    <t>Table1!$AF$21</t>
  </si>
  <si>
    <t>Table1!$AI$21</t>
  </si>
  <si>
    <t>Table1!$N$23</t>
  </si>
  <si>
    <t>Table1!$Q$23</t>
  </si>
  <si>
    <t>Table1!$T$23</t>
  </si>
  <si>
    <t>Table1!$W$23</t>
  </si>
  <si>
    <t>Table1!$AC$23</t>
  </si>
  <si>
    <t>Table1!$AF$23</t>
  </si>
  <si>
    <t>Table1!$AI$23</t>
  </si>
  <si>
    <t>Table1!$N$24</t>
  </si>
  <si>
    <t>Table1!$Q$24</t>
  </si>
  <si>
    <t>Table1!$T$24</t>
  </si>
  <si>
    <t>Table1!$W$24</t>
  </si>
  <si>
    <t>Table1!$AC$24</t>
  </si>
  <si>
    <t>Table1!$AF$24</t>
  </si>
  <si>
    <t>Table1!$AI$24</t>
  </si>
  <si>
    <t>Table1!$N$25</t>
  </si>
  <si>
    <t>Table1!$Q$25</t>
  </si>
  <si>
    <t>Table1!$T$25</t>
  </si>
  <si>
    <t>Table1!$W$25</t>
  </si>
  <si>
    <t>Table1!$AC$25</t>
  </si>
  <si>
    <t>Table1!$AF$25</t>
  </si>
  <si>
    <t>Table1!$AI$25</t>
  </si>
  <si>
    <t>data type</t>
  </si>
  <si>
    <t>field_name</t>
  </si>
  <si>
    <t>learners_sptve_machtech_m_g7</t>
  </si>
  <si>
    <t>learners_sptve_machtech_f_g7</t>
  </si>
  <si>
    <t>learners_sptve_machtech_m_g8</t>
  </si>
  <si>
    <t>learners_sptve_machtech_f_g8</t>
  </si>
  <si>
    <t>learners_sptve_machtech_m_g9</t>
  </si>
  <si>
    <t>learners_sptve_machtech_f_g9</t>
  </si>
  <si>
    <t>learners_sptve_machtech_m_g10</t>
  </si>
  <si>
    <t>learners_sptve_machtech_f_g10</t>
  </si>
  <si>
    <t>Tables12-15!$J$7</t>
  </si>
  <si>
    <t>Tables12-15!$M$7</t>
  </si>
  <si>
    <t>Tables12-15!$J$8</t>
  </si>
  <si>
    <t>Tables12-15!$M$8</t>
  </si>
  <si>
    <t>Tables12-15!$J$9</t>
  </si>
  <si>
    <t>Tables12-15!$M$9</t>
  </si>
  <si>
    <t>Tables12-15!$J$10</t>
  </si>
  <si>
    <t>Tables12-15!$M$10</t>
  </si>
  <si>
    <t>Tables12-15!$J$11</t>
  </si>
  <si>
    <t>Tables12-15!$M$11</t>
  </si>
  <si>
    <t>Tables12-15!$J$12</t>
  </si>
  <si>
    <t>Tables12-15!$M$12</t>
  </si>
  <si>
    <t>Tables12-15!$J$13</t>
  </si>
  <si>
    <t>Tables12-15!$M$13</t>
  </si>
  <si>
    <t>Tables12-15!$J$14</t>
  </si>
  <si>
    <t>Tables12-15!$M$14</t>
  </si>
  <si>
    <t>Tables12-15!$J$15</t>
  </si>
  <si>
    <t>Tables12-15!$M$15</t>
  </si>
  <si>
    <t>Tables12-15!$J$16</t>
  </si>
  <si>
    <t>Tables12-15!$M$16</t>
  </si>
  <si>
    <t>Tables12-15!$J$17</t>
  </si>
  <si>
    <t>Tables12-15!$M$17</t>
  </si>
  <si>
    <t>Tables12-15!$J$18</t>
  </si>
  <si>
    <t>Tables12-15!$M$18</t>
  </si>
  <si>
    <t>Tables12-15!$J$19</t>
  </si>
  <si>
    <t>Tables12-15!$M$19</t>
  </si>
  <si>
    <t>Tables12-15!$J$20</t>
  </si>
  <si>
    <t>Tables12-15!$M$20</t>
  </si>
  <si>
    <t>Tables12-15!$J$21</t>
  </si>
  <si>
    <t>Tables12-15!$M$21</t>
  </si>
  <si>
    <t>Tables12-15!$J$22</t>
  </si>
  <si>
    <t>Tables12-15!$M$22</t>
  </si>
  <si>
    <t>Tables12-15!$AD$8</t>
  </si>
  <si>
    <t>Tables12-15!$AG$8</t>
  </si>
  <si>
    <t>Tables12-15!$AD$9</t>
  </si>
  <si>
    <t>Tables12-15!$AG$9</t>
  </si>
  <si>
    <t>Tables12-15!$AD$10</t>
  </si>
  <si>
    <t>Tables12-15!$AG$10</t>
  </si>
  <si>
    <t>Tables12-15!$AD$11</t>
  </si>
  <si>
    <t>Tables12-15!$AG$11</t>
  </si>
  <si>
    <t>Tables12-15!$AD$12</t>
  </si>
  <si>
    <t>Tables12-15!$AG$12</t>
  </si>
  <si>
    <t>Tables12-15!$AX$10</t>
  </si>
  <si>
    <t>Tables12-15!$AX$11</t>
  </si>
  <si>
    <t>Tables12-15!$AX$12</t>
  </si>
  <si>
    <t>Tables12-15!$AX$13</t>
  </si>
  <si>
    <t>Tables12-15!$AX$7</t>
  </si>
  <si>
    <t>Tables12-15!$AX$8</t>
  </si>
  <si>
    <t>Tables12-15!$AX$9</t>
  </si>
  <si>
    <t>Tables12-15!$AC$7</t>
  </si>
  <si>
    <t>Tables12-15!$AC$8</t>
  </si>
  <si>
    <t>Tables12-15!$AC$9</t>
  </si>
  <si>
    <t>Tables12-15!$AC$10</t>
  </si>
  <si>
    <t>Tables12-15!$AC$11</t>
  </si>
  <si>
    <t>Tables12-15!$AC$12</t>
  </si>
  <si>
    <t>Tables12-15!$AC$13</t>
  </si>
  <si>
    <t>areaspec_wospcltrng_eng_under40</t>
  </si>
  <si>
    <t>areaspec_wspcltrng_eng_under40</t>
  </si>
  <si>
    <t>areaspec_wspcltrng_math_under40</t>
  </si>
  <si>
    <t>areaspec_wospcltrng_math_under40</t>
  </si>
  <si>
    <t>areaspec_wspcltrng_fil_under40</t>
  </si>
  <si>
    <t>areaspec_wospcltrng_fil_under40</t>
  </si>
  <si>
    <t>areaspec_wspcltrng_sci_under40</t>
  </si>
  <si>
    <t>areaspec_wospcltrng_sci_under40</t>
  </si>
  <si>
    <t>areaspec_wspcltrng_ap_under40</t>
  </si>
  <si>
    <t>areaspec_wospcltrng_ap_under40</t>
  </si>
  <si>
    <t>areaspec_wspcltrng_esp_under40</t>
  </si>
  <si>
    <t>areaspec_wospcltrng_esp_under40</t>
  </si>
  <si>
    <t>areaspec_wspcltrng_tle_under40</t>
  </si>
  <si>
    <t>areaspec_wospcltrng_tle_under40</t>
  </si>
  <si>
    <t>areaspec_wspcltrng_mapeh_under40</t>
  </si>
  <si>
    <t>areaspec_wospcltrng_mapeh_under40</t>
  </si>
  <si>
    <t>Tables18-21'!$G$40</t>
  </si>
  <si>
    <t>Tables18-21'!$J$40</t>
  </si>
  <si>
    <t>Tables18-21'!$M$40</t>
  </si>
  <si>
    <t>Tables18-21'!$P$40</t>
  </si>
  <si>
    <t>Tables18-21'!$S$40</t>
  </si>
  <si>
    <t>Tables18-21'!$V$40</t>
  </si>
  <si>
    <t>Tables18-21'!$Y$40</t>
  </si>
  <si>
    <t>Tables18-21'!$AH$40</t>
  </si>
  <si>
    <t>Tables18-21'!$AK$40</t>
  </si>
  <si>
    <t>Tables18-21'!$AN$40</t>
  </si>
  <si>
    <t>Tables18-21'!$AQ$40</t>
  </si>
  <si>
    <t>Tables18-21'!$AT$40</t>
  </si>
  <si>
    <t>Tables18-21'!$AW$40</t>
  </si>
  <si>
    <t>Tables18-21'!$AZ$40</t>
  </si>
  <si>
    <t>Tables18-21'!$BC$40</t>
  </si>
  <si>
    <t>Tables18-21'!$BF$40</t>
  </si>
  <si>
    <t>Tables18-21'!$G$41</t>
  </si>
  <si>
    <t>Tables18-21'!$J$41</t>
  </si>
  <si>
    <t>Tables18-21'!$M$41</t>
  </si>
  <si>
    <t>Tables18-21'!$P$41</t>
  </si>
  <si>
    <t>Tables18-21'!$S$41</t>
  </si>
  <si>
    <t>Tables18-21'!$V$41</t>
  </si>
  <si>
    <t>Tables18-21'!$Y$41</t>
  </si>
  <si>
    <t>Tables18-21'!$AH$41</t>
  </si>
  <si>
    <t>Tables18-21'!$AK$41</t>
  </si>
  <si>
    <t>Tables18-21'!$AN$41</t>
  </si>
  <si>
    <t>Tables18-21'!$AQ$41</t>
  </si>
  <si>
    <t>Tables18-21'!$AT$41</t>
  </si>
  <si>
    <t>Tables18-21'!$AW$41</t>
  </si>
  <si>
    <t>Tables18-21'!$AZ$41</t>
  </si>
  <si>
    <t>Tables18-21'!$BC$41</t>
  </si>
  <si>
    <t>Tables18-21'!$BF$41</t>
  </si>
  <si>
    <t>Tables18-21'!$G$42</t>
  </si>
  <si>
    <t>Tables18-21'!$J$42</t>
  </si>
  <si>
    <t>Tables18-21'!$M$42</t>
  </si>
  <si>
    <t>Tables18-21'!$P$42</t>
  </si>
  <si>
    <t>Tables18-21'!$S$42</t>
  </si>
  <si>
    <t>Tables18-21'!$V$42</t>
  </si>
  <si>
    <t>Tables18-21'!$Y$42</t>
  </si>
  <si>
    <t>Tables18-21'!$AH$42</t>
  </si>
  <si>
    <t>Tables18-21'!$AK$42</t>
  </si>
  <si>
    <t>Tables18-21'!$AN$42</t>
  </si>
  <si>
    <t>Tables18-21'!$AQ$42</t>
  </si>
  <si>
    <t>Tables18-21'!$AT$42</t>
  </si>
  <si>
    <t>Tables18-21'!$AW$42</t>
  </si>
  <si>
    <t>Tables18-21'!$AZ$42</t>
  </si>
  <si>
    <t>Tables18-21'!$BC$42</t>
  </si>
  <si>
    <t>Tables18-21'!$BF$42</t>
  </si>
  <si>
    <t>Table22'!$P$8</t>
  </si>
  <si>
    <t>Table22'!$S$8</t>
  </si>
  <si>
    <t>Table22'!$V$8</t>
  </si>
  <si>
    <t>Table22'!$V$9</t>
  </si>
  <si>
    <t>Table22'!$V$10</t>
  </si>
  <si>
    <t>Table22'!$Y$8</t>
  </si>
  <si>
    <t>Table22'!$AB$8</t>
  </si>
  <si>
    <t>Table22'!$AE$8</t>
  </si>
  <si>
    <t>Table22'!$AH$8</t>
  </si>
  <si>
    <t>Table22'!$AK$8</t>
  </si>
  <si>
    <t>Table22'!$P$9</t>
  </si>
  <si>
    <t>Table22'!$S$9</t>
  </si>
  <si>
    <t>Table22'!$Y$9</t>
  </si>
  <si>
    <t>Table22'!$AB$9</t>
  </si>
  <si>
    <t>Table22'!$AE$9</t>
  </si>
  <si>
    <t>Table22'!$AH$9</t>
  </si>
  <si>
    <t>Table22'!$AK$9</t>
  </si>
  <si>
    <t>Table22'!$P$10</t>
  </si>
  <si>
    <t>Table22'!$S$10</t>
  </si>
  <si>
    <t>Table22'!$Y$10</t>
  </si>
  <si>
    <t>Table22'!$AB$10</t>
  </si>
  <si>
    <t>Table22'!$AE$10</t>
  </si>
  <si>
    <t>Table22'!$AH$10</t>
  </si>
  <si>
    <t>Table22'!$AK$10</t>
  </si>
  <si>
    <t>Table22'!$P$11</t>
  </si>
  <si>
    <t>Table22'!$S$11</t>
  </si>
  <si>
    <t>Table22'!$V$11</t>
  </si>
  <si>
    <t>Table22'!$Y$11</t>
  </si>
  <si>
    <t>Table22'!$AB$11</t>
  </si>
  <si>
    <t>Table22'!$AE$11</t>
  </si>
  <si>
    <t>Table22'!$AH$11</t>
  </si>
  <si>
    <t>Table22'!$AK$11</t>
  </si>
  <si>
    <t>Table22'!$P$12</t>
  </si>
  <si>
    <t>Table22'!$S$12</t>
  </si>
  <si>
    <t>Table22'!$V$12</t>
  </si>
  <si>
    <t>Table22'!$Y$12</t>
  </si>
  <si>
    <t>Table22'!$AB$12</t>
  </si>
  <si>
    <t>Table22'!$AE$12</t>
  </si>
  <si>
    <t>Table22'!$AH$12</t>
  </si>
  <si>
    <t>Table22'!$AK$12</t>
  </si>
  <si>
    <t>Table22'!$P$13</t>
  </si>
  <si>
    <t>Table22'!$S$13</t>
  </si>
  <si>
    <t>Table22'!$V$13</t>
  </si>
  <si>
    <t>Table22'!$Y$13</t>
  </si>
  <si>
    <t>Table22'!$AB$13</t>
  </si>
  <si>
    <t>Table22'!$AE$13</t>
  </si>
  <si>
    <t>Table22'!$AH$13</t>
  </si>
  <si>
    <t>Table22'!$AK$13</t>
  </si>
  <si>
    <t>Table22'!$P$14</t>
  </si>
  <si>
    <t>Table22'!$S$14</t>
  </si>
  <si>
    <t>Table22'!$V$14</t>
  </si>
  <si>
    <t>Table22'!$Y$14</t>
  </si>
  <si>
    <t>Table22'!$AB$14</t>
  </si>
  <si>
    <t>Table22'!$AE$14</t>
  </si>
  <si>
    <t>Table22'!$AH$14</t>
  </si>
  <si>
    <t>Table22'!$AK$14</t>
  </si>
  <si>
    <t>Table22'!$P$15</t>
  </si>
  <si>
    <t>Table22'!$S$15</t>
  </si>
  <si>
    <t>Table22'!$V$15</t>
  </si>
  <si>
    <t>Table22'!$Y$15</t>
  </si>
  <si>
    <t>Table22'!$AB$15</t>
  </si>
  <si>
    <t>Table22'!$AE$15</t>
  </si>
  <si>
    <t>Table22'!$AH$15</t>
  </si>
  <si>
    <t>Table22'!$AK$15</t>
  </si>
  <si>
    <t>Table22'!$P$16</t>
  </si>
  <si>
    <t>Table22'!$S$16</t>
  </si>
  <si>
    <t>Table22'!$V$16</t>
  </si>
  <si>
    <t>Table22'!$Y$16</t>
  </si>
  <si>
    <t>Table22'!$AB$16</t>
  </si>
  <si>
    <t>Table22'!$AE$16</t>
  </si>
  <si>
    <t>Table22'!$AH$16</t>
  </si>
  <si>
    <t>Table22'!$AK$16</t>
  </si>
  <si>
    <t>Table22'!$P$18</t>
  </si>
  <si>
    <t>Table22'!$S$18</t>
  </si>
  <si>
    <t>Table22'!$V$18</t>
  </si>
  <si>
    <t>Table22'!$Y$18</t>
  </si>
  <si>
    <t>Table22'!$AB$18</t>
  </si>
  <si>
    <t>Table22'!$AE$18</t>
  </si>
  <si>
    <t>Table22'!$AH$18</t>
  </si>
  <si>
    <t>Table22'!$AK$18</t>
  </si>
  <si>
    <t>Table22'!$P$19</t>
  </si>
  <si>
    <t>Table22'!$S$19</t>
  </si>
  <si>
    <t>Table22'!$V$19</t>
  </si>
  <si>
    <t>Table22'!$Y$19</t>
  </si>
  <si>
    <t>Table22'!$AB$19</t>
  </si>
  <si>
    <t>Table22'!$AE$19</t>
  </si>
  <si>
    <t>Table22'!$AH$19</t>
  </si>
  <si>
    <t>Table22'!$AK$19</t>
  </si>
  <si>
    <t>Table22'!$P$20</t>
  </si>
  <si>
    <t>Table22'!$S$20</t>
  </si>
  <si>
    <t>Table22'!$V$20</t>
  </si>
  <si>
    <t>Table22'!$Y$20</t>
  </si>
  <si>
    <t>Table22'!$AB$20</t>
  </si>
  <si>
    <t>Table22'!$AE$20</t>
  </si>
  <si>
    <t>Table22'!$AH$20</t>
  </si>
  <si>
    <t>Table22'!$AK$20</t>
  </si>
  <si>
    <t>Table22'!$P$21</t>
  </si>
  <si>
    <t>Table22'!$S$21</t>
  </si>
  <si>
    <t>Table22'!$V$21</t>
  </si>
  <si>
    <t>Table22'!$Y$21</t>
  </si>
  <si>
    <t>Table22'!$AB$21</t>
  </si>
  <si>
    <t>Table22'!$AE$21</t>
  </si>
  <si>
    <t>Table22'!$AH$21</t>
  </si>
  <si>
    <t>Table22'!$AK$21</t>
  </si>
  <si>
    <t>Table22'!$P$23</t>
  </si>
  <si>
    <t>Table22'!$S$23</t>
  </si>
  <si>
    <t>Table22'!$V$23</t>
  </si>
  <si>
    <t>Table22'!$Y$23</t>
  </si>
  <si>
    <t>Table22'!$AB$23</t>
  </si>
  <si>
    <t>Table22'!$AE$23</t>
  </si>
  <si>
    <t>Table22'!$AH$23</t>
  </si>
  <si>
    <t>Table22'!$AK$23</t>
  </si>
  <si>
    <t>Table22'!$P$24</t>
  </si>
  <si>
    <t>Table22'!$S$24</t>
  </si>
  <si>
    <t>Table22'!$V$24</t>
  </si>
  <si>
    <t>Table22'!$Y$24</t>
  </si>
  <si>
    <t>Table22'!$AB$24</t>
  </si>
  <si>
    <t>Table22'!$AE$24</t>
  </si>
  <si>
    <t>Table22'!$AH$24</t>
  </si>
  <si>
    <t>Table22'!$AK$24</t>
  </si>
  <si>
    <t>Table22'!$P$25</t>
  </si>
  <si>
    <t>Table22'!$S$25</t>
  </si>
  <si>
    <t>Table22'!$V$25</t>
  </si>
  <si>
    <t>Table22'!$Y$25</t>
  </si>
  <si>
    <t>Table22'!$AB$25</t>
  </si>
  <si>
    <t>Table22'!$AE$25</t>
  </si>
  <si>
    <t>Table22'!$AH$25</t>
  </si>
  <si>
    <t>Table22'!$AK$25</t>
  </si>
  <si>
    <t>Table22'!$P$26</t>
  </si>
  <si>
    <t>Table22'!$S$26</t>
  </si>
  <si>
    <t>Table22'!$V$26</t>
  </si>
  <si>
    <t>Table22'!$Y$26</t>
  </si>
  <si>
    <t>Table22'!$AB$26</t>
  </si>
  <si>
    <t>Table22'!$AE$26</t>
  </si>
  <si>
    <t>Table22'!$AH$26</t>
  </si>
  <si>
    <t>Table22'!$AK$26</t>
  </si>
  <si>
    <t>Table22'!$P$27</t>
  </si>
  <si>
    <t>Table22'!$S$27</t>
  </si>
  <si>
    <t>Table22'!$V$27</t>
  </si>
  <si>
    <t>Table22'!$Y$27</t>
  </si>
  <si>
    <t>Table22'!$AB$27</t>
  </si>
  <si>
    <t>Table22'!$AE$27</t>
  </si>
  <si>
    <t>Table22'!$AH$27</t>
  </si>
  <si>
    <t>Table22'!$AK$27</t>
  </si>
  <si>
    <t>Table22'!$P$28</t>
  </si>
  <si>
    <t>Table22'!$S$28</t>
  </si>
  <si>
    <t>Table22'!$V$28</t>
  </si>
  <si>
    <t>Table22'!$Y$28</t>
  </si>
  <si>
    <t>Table22'!$AB$28</t>
  </si>
  <si>
    <t>Table22'!$AE$28</t>
  </si>
  <si>
    <t>Table22'!$AH$28</t>
  </si>
  <si>
    <t>Table22'!$AK$28</t>
  </si>
  <si>
    <t>Table22'!$P$29</t>
  </si>
  <si>
    <t>Table22'!$S$29</t>
  </si>
  <si>
    <t>Table22'!$V$29</t>
  </si>
  <si>
    <t>Table22'!$Y$29</t>
  </si>
  <si>
    <t>Table22'!$AB$29</t>
  </si>
  <si>
    <t>Table22'!$AE$29</t>
  </si>
  <si>
    <t>Table22'!$AH$29</t>
  </si>
  <si>
    <t>Table22'!$AK$29</t>
  </si>
  <si>
    <t>Table22'!$P$31</t>
  </si>
  <si>
    <t>Table22'!$S$31</t>
  </si>
  <si>
    <t>Table22'!$V$31</t>
  </si>
  <si>
    <t>Table22'!$Y$31</t>
  </si>
  <si>
    <t>Table22'!$AB$31</t>
  </si>
  <si>
    <t>Table22'!$AE$31</t>
  </si>
  <si>
    <t>Table22'!$AH$31</t>
  </si>
  <si>
    <t>Table22'!$AK$31</t>
  </si>
  <si>
    <t>Table22'!$P$32</t>
  </si>
  <si>
    <t>Table22'!$S$32</t>
  </si>
  <si>
    <t>Table22'!$V$32</t>
  </si>
  <si>
    <t>Table22'!$Y$32</t>
  </si>
  <si>
    <t>Table22'!$AB$32</t>
  </si>
  <si>
    <t>Table22'!$AE$32</t>
  </si>
  <si>
    <t>Table22'!$AH$32</t>
  </si>
  <si>
    <t>Table22'!$AK$32</t>
  </si>
  <si>
    <t>Table22'!$P$33</t>
  </si>
  <si>
    <t>Table22'!$S$33</t>
  </si>
  <si>
    <t>Table22'!$V$33</t>
  </si>
  <si>
    <t>Table22'!$Y$33</t>
  </si>
  <si>
    <t>Table22'!$AB$33</t>
  </si>
  <si>
    <t>Table22'!$AE$33</t>
  </si>
  <si>
    <t>Table22'!$AH$33</t>
  </si>
  <si>
    <t>Table22'!$AK$33</t>
  </si>
  <si>
    <t>Table22'!$P$34</t>
  </si>
  <si>
    <t>Table22'!$S$34</t>
  </si>
  <si>
    <t>Table22'!$V$34</t>
  </si>
  <si>
    <t>Table22'!$Y$34</t>
  </si>
  <si>
    <t>Table22'!$AB$34</t>
  </si>
  <si>
    <t>Table22'!$AE$34</t>
  </si>
  <si>
    <t>Table22'!$AH$34</t>
  </si>
  <si>
    <t>Table22'!$AK$34</t>
  </si>
  <si>
    <t>Table22'!$P$35</t>
  </si>
  <si>
    <t>Table22'!$S$35</t>
  </si>
  <si>
    <t>Table22'!$V$35</t>
  </si>
  <si>
    <t>Table22'!$Y$35</t>
  </si>
  <si>
    <t>Table22'!$AB$35</t>
  </si>
  <si>
    <t>Table22'!$AE$35</t>
  </si>
  <si>
    <t>Table22'!$AH$35</t>
  </si>
  <si>
    <t>Table22'!$AK$35</t>
  </si>
  <si>
    <t>jhs_oer_dlm</t>
  </si>
  <si>
    <t>jhs_teachers_deped_tv</t>
  </si>
  <si>
    <t>deps_lrdms</t>
  </si>
  <si>
    <t>deps_lrdms_pos</t>
  </si>
  <si>
    <t>Table24-Box3'!$V$43</t>
  </si>
  <si>
    <t>Table24-Box3'!$Z$45</t>
  </si>
  <si>
    <t>depedtv_supplemental_tle</t>
  </si>
  <si>
    <t>depedtv_supplemental_mapeh</t>
  </si>
  <si>
    <t>Boxes4-6'!$Z$5</t>
  </si>
  <si>
    <t>Boxes4-6'!$Z$6</t>
  </si>
  <si>
    <t>Boxes4-6'!$Z$7</t>
  </si>
  <si>
    <t>Boxes4-6'!$G$9</t>
  </si>
  <si>
    <t>Boxes4-6'!$G$10</t>
  </si>
  <si>
    <t>Boxes4-6'!$P$9</t>
  </si>
  <si>
    <t>Boxes4-6'!$P$10</t>
  </si>
  <si>
    <t>Boxes4-6'!$Z$9</t>
  </si>
  <si>
    <t>Boxes4-6'!$AE$9</t>
  </si>
  <si>
    <t>Boxes4-6'!$G$12</t>
  </si>
  <si>
    <t>Boxes4-6'!$G$13</t>
  </si>
  <si>
    <t>Boxes4-6'!$P$12</t>
  </si>
  <si>
    <t>Boxes4-6'!$P$13</t>
  </si>
  <si>
    <t>Boxes4-6'!$Z$12</t>
  </si>
  <si>
    <t>Boxes4-6'!$Z$14</t>
  </si>
  <si>
    <t>Boxes4-6'!$Z$15</t>
  </si>
  <si>
    <t>Boxes4-6'!$Z$16</t>
  </si>
  <si>
    <t>Boxes4-6'!$Z$17</t>
  </si>
  <si>
    <t>Boxes4-6'!$Z$18</t>
  </si>
  <si>
    <t>Boxes4-6'!$Z$19</t>
  </si>
  <si>
    <t>Boxes4-6'!$Z$20</t>
  </si>
  <si>
    <t>Boxes4-6'!$Z$21</t>
  </si>
  <si>
    <t>Boxes4-6'!$AD$28</t>
  </si>
  <si>
    <t>Boxes4-6'!$AD$29</t>
  </si>
  <si>
    <t>Boxes4-6'!$AD$30</t>
  </si>
  <si>
    <t>Boxes4-6'!$AD$31</t>
  </si>
  <si>
    <t>Boxes4-6'!$AD$32</t>
  </si>
  <si>
    <t>Boxes4-6'!$AD$33</t>
  </si>
  <si>
    <t>Boxes4-6'!$AD$34</t>
  </si>
  <si>
    <t>Boxes4-6'!$AD$35</t>
  </si>
  <si>
    <t>Boxes4-6'!$Z$52</t>
  </si>
  <si>
    <t>Boxes4-6'!$AD$54</t>
  </si>
  <si>
    <t>Boxes4-6'!$Z$41</t>
  </si>
  <si>
    <t>Boxes4-6'!$Z$43</t>
  </si>
  <si>
    <t>Boxes4-6'!$Z$44</t>
  </si>
  <si>
    <t>Boxes4-6'!$Z$45</t>
  </si>
  <si>
    <t>Boxes4-6'!$Z$46</t>
  </si>
  <si>
    <t>Boxes4-6'!$Z$47</t>
  </si>
  <si>
    <t>Boxes4-6'!$Z$48</t>
  </si>
  <si>
    <t>Table25'!$K$7</t>
  </si>
  <si>
    <t>Table25'!$P$7</t>
  </si>
  <si>
    <t>Table25'!$U$7</t>
  </si>
  <si>
    <t>Table25'!$Z$7</t>
  </si>
  <si>
    <t>Table25'!$AE$7</t>
  </si>
  <si>
    <t>Table25'!$AJ$7</t>
  </si>
  <si>
    <t>Table25'!$AO$7</t>
  </si>
  <si>
    <t>Table25'!$K$8</t>
  </si>
  <si>
    <t>Table25'!$P$8</t>
  </si>
  <si>
    <t>Table25'!$U$8</t>
  </si>
  <si>
    <t>Table25'!$Z$8</t>
  </si>
  <si>
    <t>Table25'!$AE$8</t>
  </si>
  <si>
    <t>Table25'!$AJ$8</t>
  </si>
  <si>
    <t>Table25'!$AO$8</t>
  </si>
  <si>
    <t>Table25'!$K$9</t>
  </si>
  <si>
    <t>Table25'!$P$9</t>
  </si>
  <si>
    <t>Table25'!$U$9</t>
  </si>
  <si>
    <t>Table25'!$Z$9</t>
  </si>
  <si>
    <t>Table25'!$AE$9</t>
  </si>
  <si>
    <t>Table25'!$AJ$9</t>
  </si>
  <si>
    <t>Table25'!$AO$9</t>
  </si>
  <si>
    <t>Table25'!$K$10</t>
  </si>
  <si>
    <t>Table25'!$P$10</t>
  </si>
  <si>
    <t>Table25'!$U$10</t>
  </si>
  <si>
    <t>Table25'!$Z$10</t>
  </si>
  <si>
    <t>Table25'!$AE$10</t>
  </si>
  <si>
    <t>Table25'!$AJ$10</t>
  </si>
  <si>
    <t>Table25'!$AO$10</t>
  </si>
  <si>
    <t>Table25'!$K$11</t>
  </si>
  <si>
    <t>Table25'!$P$11</t>
  </si>
  <si>
    <t>Table25'!$U$11</t>
  </si>
  <si>
    <t>Table25'!$Z$11</t>
  </si>
  <si>
    <t>Table25'!$AE$11</t>
  </si>
  <si>
    <t>Table25'!$AJ$11</t>
  </si>
  <si>
    <t>Table25'!$AO$11</t>
  </si>
  <si>
    <t>Table25'!$K$13</t>
  </si>
  <si>
    <t>Table25'!$P$13</t>
  </si>
  <si>
    <t>Table25'!$U$13</t>
  </si>
  <si>
    <t>Table25'!$Z$13</t>
  </si>
  <si>
    <t>Table25'!$AE$13</t>
  </si>
  <si>
    <t>Table25'!$AJ$13</t>
  </si>
  <si>
    <t>Table25'!$AO$13</t>
  </si>
  <si>
    <t>Table25'!$K$14</t>
  </si>
  <si>
    <t>Table25'!$P$14</t>
  </si>
  <si>
    <t>Table25'!$U$14</t>
  </si>
  <si>
    <t>Table25'!$Z$14</t>
  </si>
  <si>
    <t>Table25'!$AE$14</t>
  </si>
  <si>
    <t>Table25'!$AJ$14</t>
  </si>
  <si>
    <t>Table25'!$AO$14</t>
  </si>
  <si>
    <t>Table25'!$K$15</t>
  </si>
  <si>
    <t>Table25'!$P$15</t>
  </si>
  <si>
    <t>Table25'!$U$15</t>
  </si>
  <si>
    <t>Table25'!$Z$15</t>
  </si>
  <si>
    <t>Table25'!$AE$15</t>
  </si>
  <si>
    <t>Table25'!$AJ$15</t>
  </si>
  <si>
    <t>Table25'!$AO$15</t>
  </si>
  <si>
    <t>Table25'!$K$16</t>
  </si>
  <si>
    <t>Table25'!$P$16</t>
  </si>
  <si>
    <t>Table25'!$U$16</t>
  </si>
  <si>
    <t>Table25'!$Z$16</t>
  </si>
  <si>
    <t>Table25'!$AE$16</t>
  </si>
  <si>
    <t>Table25'!$AJ$16</t>
  </si>
  <si>
    <t>Table25'!$AO$16</t>
  </si>
  <si>
    <t>Table25'!$K$17</t>
  </si>
  <si>
    <t>Table25'!$P$17</t>
  </si>
  <si>
    <t>Table25'!$U$17</t>
  </si>
  <si>
    <t>Table25'!$Z$17</t>
  </si>
  <si>
    <t>Table25'!$AE$17</t>
  </si>
  <si>
    <t>Table25'!$AJ$17</t>
  </si>
  <si>
    <t>Table25'!$AO$17</t>
  </si>
  <si>
    <t>Table25'!$K$18</t>
  </si>
  <si>
    <t>Box7-Table27'!$H$7</t>
  </si>
  <si>
    <t>Box7-Table27'!$H$8</t>
  </si>
  <si>
    <t>Box7-Table27'!$O$7</t>
  </si>
  <si>
    <t>Box7-Table27'!$O$8</t>
  </si>
  <si>
    <t>Box7-Table27'!$U$7</t>
  </si>
  <si>
    <t>Box7-Table27'!$U$8</t>
  </si>
  <si>
    <t>Box7-Table27'!$AG$8</t>
  </si>
  <si>
    <t>Box7-Table27!$B$26</t>
  </si>
  <si>
    <t>Box7-Table27!$B$27</t>
  </si>
  <si>
    <t>Box7-Table27!$B$28</t>
  </si>
  <si>
    <t>Box7-Table27!$B$29</t>
  </si>
  <si>
    <t>Box7-Table27!$B$30</t>
  </si>
  <si>
    <t>Box7-Table27!$M$28</t>
  </si>
  <si>
    <t>Box7-Table27!$M$29</t>
  </si>
  <si>
    <t>Box7-Table27!$M$30</t>
  </si>
  <si>
    <t>Box7-Table27!$AI$28</t>
  </si>
  <si>
    <t>Box7-Table27!$AI$29</t>
  </si>
  <si>
    <t>Box7-Table27!$AI$30</t>
  </si>
  <si>
    <t>DITO</t>
  </si>
  <si>
    <t>Talk n Text</t>
  </si>
  <si>
    <t>Red Mobile</t>
  </si>
  <si>
    <t>Touch Mobile</t>
  </si>
  <si>
    <t>2G</t>
  </si>
  <si>
    <t>3G</t>
  </si>
  <si>
    <t>LTE</t>
  </si>
  <si>
    <t>5G</t>
  </si>
  <si>
    <t>jhs_cellular_communication</t>
  </si>
  <si>
    <t>combo_jhs_cellularsp1</t>
  </si>
  <si>
    <t>combo_jhs_cellularsp2</t>
  </si>
  <si>
    <t>combo_jhs_cellularsp3</t>
  </si>
  <si>
    <t>combo_jhs_cellularsp4</t>
  </si>
  <si>
    <t>combo_jhs_cellularsp5</t>
  </si>
  <si>
    <t>combo_jhs_cellulartype1</t>
  </si>
  <si>
    <t>combo_jhs_cellulartype2</t>
  </si>
  <si>
    <t>combo_jhs_cellulartype3</t>
  </si>
  <si>
    <t>combo_jhs_cellulartype4</t>
  </si>
  <si>
    <t>combo_jhs_cellulartype5</t>
  </si>
  <si>
    <t>combo_jhs_cell_fundsource1</t>
  </si>
  <si>
    <t>combo_jhs_cell_fundsource2</t>
  </si>
  <si>
    <t>combo_jhs_cell_fundsource3</t>
  </si>
  <si>
    <t>combo_jhs_cell_fundsource4</t>
  </si>
  <si>
    <t>combo_jhs_cell_fundsource5</t>
  </si>
  <si>
    <t>Table28!$B$7</t>
  </si>
  <si>
    <t>Table28!$J$7</t>
  </si>
  <si>
    <t>Table28!$J$8</t>
  </si>
  <si>
    <t>Table28!$J$10</t>
  </si>
  <si>
    <t>Table28!$J$9</t>
  </si>
  <si>
    <t>Table28!$P$7</t>
  </si>
  <si>
    <t>Table28!$P$8</t>
  </si>
  <si>
    <t>Table28!$AC$7</t>
  </si>
  <si>
    <t>Table28!$U$7</t>
  </si>
  <si>
    <t>Table28!$U$10</t>
  </si>
  <si>
    <t>Table28!$U$13</t>
  </si>
  <si>
    <t>Table28!$AK$7</t>
  </si>
  <si>
    <t>Table28!$B$10</t>
  </si>
  <si>
    <t>Table28!$P$10</t>
  </si>
  <si>
    <t>Table28!$AC$10</t>
  </si>
  <si>
    <t>Table28!$AK$10</t>
  </si>
  <si>
    <t>Table28!$J$11</t>
  </si>
  <si>
    <t>Table28!$P$11</t>
  </si>
  <si>
    <t>Table28!$J$12</t>
  </si>
  <si>
    <t>Table28!$B$13</t>
  </si>
  <si>
    <t>Table28!$J$13</t>
  </si>
  <si>
    <t>Table28!$P$13</t>
  </si>
  <si>
    <t>Table28!$AC$13</t>
  </si>
  <si>
    <t>Table28!$AK$13</t>
  </si>
  <si>
    <t>Table28!$J$14</t>
  </si>
  <si>
    <t>Table28!$P$14</t>
  </si>
  <si>
    <t>Table28!$J$15</t>
  </si>
  <si>
    <t>Table28!$B$16</t>
  </si>
  <si>
    <t>Table28!$J$16</t>
  </si>
  <si>
    <t>Table28!$P$16</t>
  </si>
  <si>
    <t>Table28!$U$16</t>
  </si>
  <si>
    <t>Table28!$AC$16</t>
  </si>
  <si>
    <t>Table28!$AK$16</t>
  </si>
  <si>
    <t>Table28!$J$17</t>
  </si>
  <si>
    <t>Table28!$P$17</t>
  </si>
  <si>
    <t>Table28!$J$18</t>
  </si>
  <si>
    <t>Table28!$B$19</t>
  </si>
  <si>
    <t>Table28!$J$19</t>
  </si>
  <si>
    <t>Table28!$P$19</t>
  </si>
  <si>
    <t>Table28!$U$19</t>
  </si>
  <si>
    <t>Table28!$AC$19</t>
  </si>
  <si>
    <t>Table28!$AK$19</t>
  </si>
  <si>
    <t>Table28!$J$20</t>
  </si>
  <si>
    <t>Table28!$P$20</t>
  </si>
  <si>
    <t>Table28!$J$21</t>
  </si>
  <si>
    <t>InkJet Printer</t>
  </si>
  <si>
    <t>LED Printer</t>
  </si>
  <si>
    <t>Multifunction Printer</t>
  </si>
  <si>
    <t>Solid Ink Printer</t>
  </si>
  <si>
    <t>Photocopier</t>
  </si>
  <si>
    <t>For both administrative &amp; classroom instruction use</t>
  </si>
  <si>
    <t>jhs_printer_photocopier</t>
  </si>
  <si>
    <t>combo_jhs_printer_type1</t>
  </si>
  <si>
    <t>combo_jhs_printer_type2</t>
  </si>
  <si>
    <t>combo_jhs_printer_type3</t>
  </si>
  <si>
    <t>combo_jhs_printer_type4</t>
  </si>
  <si>
    <t>combo_jhs_printer_type5</t>
  </si>
  <si>
    <t>combo_jhs_printer_type6</t>
  </si>
  <si>
    <t>combo_jhs_printer_type7</t>
  </si>
  <si>
    <t>combo_jhs_printer_type8</t>
  </si>
  <si>
    <t>combo_jhs_printer_type9</t>
  </si>
  <si>
    <t>combo_jhs_printer_type10</t>
  </si>
  <si>
    <t>combo_jhs_printer_brand1</t>
  </si>
  <si>
    <t>combo_jhs_printer_brand2</t>
  </si>
  <si>
    <t>combo_jhs_printer_brand3</t>
  </si>
  <si>
    <t>combo_jhs_printer_brand4</t>
  </si>
  <si>
    <t>combo_jhs_printer_brand5</t>
  </si>
  <si>
    <t>combo_jhs_printer_brand6</t>
  </si>
  <si>
    <t>combo_jhs_printer_brand7</t>
  </si>
  <si>
    <t>combo_jhs_printer_brand8</t>
  </si>
  <si>
    <t>combo_jhs_printer_brand9</t>
  </si>
  <si>
    <t>combo_jhs_printer_brand10</t>
  </si>
  <si>
    <t>combo_jhs_printer_fundingsource1</t>
  </si>
  <si>
    <t>combo_jhs_printer_fundingsource2</t>
  </si>
  <si>
    <t>combo_jhs_printer_fundingsource3</t>
  </si>
  <si>
    <t>combo_jhs_printer_fundingsource4</t>
  </si>
  <si>
    <t>combo_jhs_printer_fundingsource5</t>
  </si>
  <si>
    <t>combo_jhs_printer_fundingsource6</t>
  </si>
  <si>
    <t>combo_jhs_printer_fundingsource7</t>
  </si>
  <si>
    <t>combo_jhs_printer_fundingsource8</t>
  </si>
  <si>
    <t>combo_jhs_printer_fundingsource9</t>
  </si>
  <si>
    <t>combo_jhs_printer_fundingsource10</t>
  </si>
  <si>
    <t>combo_jhs_printer_purpose1</t>
  </si>
  <si>
    <t>combo_jhs_printer_purpose2</t>
  </si>
  <si>
    <t>combo_jhs_printer_purpose3</t>
  </si>
  <si>
    <t>combo_jhs_printer_purpose4</t>
  </si>
  <si>
    <t>combo_jhs_printer_purpose5</t>
  </si>
  <si>
    <t>combo_jhs_printer_purpose6</t>
  </si>
  <si>
    <t>combo_jhs_printer_purpose7</t>
  </si>
  <si>
    <t>combo_jhs_printer_purpose8</t>
  </si>
  <si>
    <t>combo_jhs_printer_purpose9</t>
  </si>
  <si>
    <t>combo_jhs_printer_purpose10</t>
  </si>
  <si>
    <t>Local TV</t>
  </si>
  <si>
    <t>CATV</t>
  </si>
  <si>
    <t>DTT</t>
  </si>
  <si>
    <t>AM/FM Radio Station</t>
  </si>
  <si>
    <t>w/ signed MOA</t>
  </si>
  <si>
    <t>Ongoing</t>
  </si>
  <si>
    <t>for MOA signing</t>
  </si>
  <si>
    <t>jhs_broadcasting_station</t>
  </si>
  <si>
    <t>combo_jhs_broadcastingtype1</t>
  </si>
  <si>
    <t>combo_jhs_broadcastingtype2</t>
  </si>
  <si>
    <t>combo_jhs_broadcastingtype3</t>
  </si>
  <si>
    <t>combo_jhs_broadcastingtype4</t>
  </si>
  <si>
    <t>combo_jhs_broadcastingtype5</t>
  </si>
  <si>
    <t>combo_jhs_broadcastingtype6</t>
  </si>
  <si>
    <t>combo_jhs_broadcastingtype7</t>
  </si>
  <si>
    <t>combo_jhs_broadcastingtype8</t>
  </si>
  <si>
    <t>combo_jhs_broadcastingtype9</t>
  </si>
  <si>
    <t>combo_jhs_broadcasting_status1</t>
  </si>
  <si>
    <t>combo_jhs_broadcasting_status2</t>
  </si>
  <si>
    <t>combo_jhs_broadcasting_status3</t>
  </si>
  <si>
    <t>combo_jhs_broadcasting_status4</t>
  </si>
  <si>
    <t>combo_jhs_broadcasting_status5</t>
  </si>
  <si>
    <t>combo_jhs_broadcasting_status6</t>
  </si>
  <si>
    <t>combo_jhs_broadcasting_status7</t>
  </si>
  <si>
    <t>combo_jhs_broadcasting_status8</t>
  </si>
  <si>
    <t>combo_jhs_broadcasting_status9</t>
  </si>
  <si>
    <t>Table29!$B$7</t>
  </si>
  <si>
    <t>Table29!$J$7</t>
  </si>
  <si>
    <t>Table29!$R$7</t>
  </si>
  <si>
    <t>Table29!$Z$7</t>
  </si>
  <si>
    <t>Table29!$AH$7</t>
  </si>
  <si>
    <t>Table29!$B$8</t>
  </si>
  <si>
    <t>Table29!$J$8</t>
  </si>
  <si>
    <t>Table29!$R$8</t>
  </si>
  <si>
    <t>Table29!$Z$8</t>
  </si>
  <si>
    <t>Table29!$AH$8</t>
  </si>
  <si>
    <t>Table29!$B$9</t>
  </si>
  <si>
    <t>Table29!$J$9</t>
  </si>
  <si>
    <t>Table29!$R$9</t>
  </si>
  <si>
    <t>Table29!$Z$9</t>
  </si>
  <si>
    <t>Table29!$AH$9</t>
  </si>
  <si>
    <t>Table29!$B$10</t>
  </si>
  <si>
    <t>Table29!$J$10</t>
  </si>
  <si>
    <t>Table29!$R$10</t>
  </si>
  <si>
    <t>Table29!$Z$10</t>
  </si>
  <si>
    <t>Table29!$AH$10</t>
  </si>
  <si>
    <t>Table29!$B$11</t>
  </si>
  <si>
    <t>Table29!$J$11</t>
  </si>
  <si>
    <t>Table29!$R$11</t>
  </si>
  <si>
    <t>Table29!$Z$11</t>
  </si>
  <si>
    <t>Table29!$AH$11</t>
  </si>
  <si>
    <t>Table29!$B$12</t>
  </si>
  <si>
    <t>Table29!$J$12</t>
  </si>
  <si>
    <t>Table29!$R$12</t>
  </si>
  <si>
    <t>Table29!$Z$12</t>
  </si>
  <si>
    <t>Table29!$AH$12</t>
  </si>
  <si>
    <t>Table29!$B$13</t>
  </si>
  <si>
    <t>Table29!$J$13</t>
  </si>
  <si>
    <t>Table29!$R$13</t>
  </si>
  <si>
    <t>Table29!$Z$13</t>
  </si>
  <si>
    <t>Table29!$AH$13</t>
  </si>
  <si>
    <t>Table29!$B$14</t>
  </si>
  <si>
    <t>Table29!$J$14</t>
  </si>
  <si>
    <t>Table29!$R$14</t>
  </si>
  <si>
    <t>Table29!$Z$14</t>
  </si>
  <si>
    <t>Table29!$AH$14</t>
  </si>
  <si>
    <t>Table29!$B$15</t>
  </si>
  <si>
    <t>Table29!$J$15</t>
  </si>
  <si>
    <t>Table29!$R$15</t>
  </si>
  <si>
    <t>Table29!$Z$15</t>
  </si>
  <si>
    <t>Table29!$AH$15</t>
  </si>
  <si>
    <t>Table29!$B$16</t>
  </si>
  <si>
    <t>Table29!$J$16</t>
  </si>
  <si>
    <t>Table29!$R$16</t>
  </si>
  <si>
    <t>Table29!$Z$16</t>
  </si>
  <si>
    <t>Table29!$AH$16</t>
  </si>
  <si>
    <t>VHF Two-Way Radio</t>
  </si>
  <si>
    <t>UHF Two-Way Radio</t>
  </si>
  <si>
    <t>Table30!$B$6</t>
  </si>
  <si>
    <t>Table30!$G$6</t>
  </si>
  <si>
    <t>Table30!$L$6</t>
  </si>
  <si>
    <t>Table30!$Q$6</t>
  </si>
  <si>
    <t>Table30!$V$6</t>
  </si>
  <si>
    <t>Table30!$AA$6</t>
  </si>
  <si>
    <t>Table30!$AF$6</t>
  </si>
  <si>
    <t>Table30!$AK$6</t>
  </si>
  <si>
    <t>Table30!$AP$6</t>
  </si>
  <si>
    <t>Table30!$AU$6</t>
  </si>
  <si>
    <t>Table30!$B$7</t>
  </si>
  <si>
    <t>Table30!$G$7</t>
  </si>
  <si>
    <t>Table30!$L$7</t>
  </si>
  <si>
    <t>Table30!$Q$7</t>
  </si>
  <si>
    <t>Table30!$V$7</t>
  </si>
  <si>
    <t>Table30!$AA$7</t>
  </si>
  <si>
    <t>Table30!$AF$7</t>
  </si>
  <si>
    <t>Table30!$AK$7</t>
  </si>
  <si>
    <t>Table30!$AP$7</t>
  </si>
  <si>
    <t>Table30!$AU$7</t>
  </si>
  <si>
    <t>Table30!$B$8</t>
  </si>
  <si>
    <t>Table30!$G$8</t>
  </si>
  <si>
    <t>Table30!$L$8</t>
  </si>
  <si>
    <t>Table30!$Q$8</t>
  </si>
  <si>
    <t>Table30!$V$8</t>
  </si>
  <si>
    <t>Table30!$AA$8</t>
  </si>
  <si>
    <t>Table30!$AF$8</t>
  </si>
  <si>
    <t>Table30!$AK$8</t>
  </si>
  <si>
    <t>Table30!$AP$8</t>
  </si>
  <si>
    <t>Table30!$AU$8</t>
  </si>
  <si>
    <t>Table30!$B$9</t>
  </si>
  <si>
    <t>Table30!$G$9</t>
  </si>
  <si>
    <t>Table30!$L$9</t>
  </si>
  <si>
    <t>Table30!$Q$9</t>
  </si>
  <si>
    <t>Table30!$V$9</t>
  </si>
  <si>
    <t>Table30!$AA$9</t>
  </si>
  <si>
    <t>Table30!$AF$9</t>
  </si>
  <si>
    <t>Table30!$AK$9</t>
  </si>
  <si>
    <t>Table30!$AP$9</t>
  </si>
  <si>
    <t>Table30!$AU$9</t>
  </si>
  <si>
    <t>Table30!$B$10</t>
  </si>
  <si>
    <t>Table30!$G$10</t>
  </si>
  <si>
    <t>Table30!$L$10</t>
  </si>
  <si>
    <t>Table30!$Q$10</t>
  </si>
  <si>
    <t>Table30!$V$10</t>
  </si>
  <si>
    <t>Table30!$AA$10</t>
  </si>
  <si>
    <t>Table30!$AF$10</t>
  </si>
  <si>
    <t>Table30!$AK$10</t>
  </si>
  <si>
    <t>Table30!$AP$10</t>
  </si>
  <si>
    <t>Table30!$AU$10</t>
  </si>
  <si>
    <t>Table30!$B$11</t>
  </si>
  <si>
    <t>Table30!$G$11</t>
  </si>
  <si>
    <t>Table30!$L$11</t>
  </si>
  <si>
    <t>Table30!$Q$11</t>
  </si>
  <si>
    <t>Table30!$V$11</t>
  </si>
  <si>
    <t>Table30!$AA$11</t>
  </si>
  <si>
    <t>Table30!$AF$11</t>
  </si>
  <si>
    <t>Table30!$AK$11</t>
  </si>
  <si>
    <t>Table30!$AP$11</t>
  </si>
  <si>
    <t>Table30!$AU$11</t>
  </si>
  <si>
    <t>Table30!$B$12</t>
  </si>
  <si>
    <t>Table30!$G$12</t>
  </si>
  <si>
    <t>Table30!$L$12</t>
  </si>
  <si>
    <t>Table30!$Q$12</t>
  </si>
  <si>
    <t>Table30!$V$12</t>
  </si>
  <si>
    <t>Table30!$AA$12</t>
  </si>
  <si>
    <t>Table30!$AF$12</t>
  </si>
  <si>
    <t>Table30!$AK$12</t>
  </si>
  <si>
    <t>Table30!$AP$12</t>
  </si>
  <si>
    <t>Table30!$AU$12</t>
  </si>
  <si>
    <t>Table30!$B$13</t>
  </si>
  <si>
    <t>Table30!$G$13</t>
  </si>
  <si>
    <t>Table30!$L$13</t>
  </si>
  <si>
    <t>Table30!$Q$13</t>
  </si>
  <si>
    <t>Table30!$V$13</t>
  </si>
  <si>
    <t>Table30!$AA$13</t>
  </si>
  <si>
    <t>Table30!$AF$13</t>
  </si>
  <si>
    <t>Table30!$AK$13</t>
  </si>
  <si>
    <t>Table30!$AP$13</t>
  </si>
  <si>
    <t>Table30!$AU$13</t>
  </si>
  <si>
    <t>Table30!$B$14</t>
  </si>
  <si>
    <t>Table30!$G$14</t>
  </si>
  <si>
    <t>Table30!$L$14</t>
  </si>
  <si>
    <t>Table30!$Q$14</t>
  </si>
  <si>
    <t>Table30!$V$14</t>
  </si>
  <si>
    <t>Table30!$AA$14</t>
  </si>
  <si>
    <t>Table30!$AF$14</t>
  </si>
  <si>
    <t>Table30!$AK$14</t>
  </si>
  <si>
    <t>Table30!$AP$14</t>
  </si>
  <si>
    <t>Table30!$AU$14</t>
  </si>
  <si>
    <t>combo_jhs_radio_type2</t>
  </si>
  <si>
    <t>combo_jhs_radio_type3</t>
  </si>
  <si>
    <t>combo_jhs_radio_type4</t>
  </si>
  <si>
    <t>combo_jhs_radio_type5</t>
  </si>
  <si>
    <t>combo_jhs_radio_type6</t>
  </si>
  <si>
    <t>combo_jhs_radio_type7</t>
  </si>
  <si>
    <t>combo_jhs_radio_type8</t>
  </si>
  <si>
    <t>combo_jhs_radio_type9</t>
  </si>
  <si>
    <t>combo_jhs_radio_type10</t>
  </si>
  <si>
    <t>combo_jhs_radio_purpose1</t>
  </si>
  <si>
    <t>combo_jhs_radio_purpose2</t>
  </si>
  <si>
    <t>combo_jhs_radio_purpose3</t>
  </si>
  <si>
    <t>combo_jhs_radio_purpose4</t>
  </si>
  <si>
    <t>combo_jhs_radio_purpose5</t>
  </si>
  <si>
    <t>combo_jhs_radio_purpose6</t>
  </si>
  <si>
    <t>combo_jhs_radio_purpose7</t>
  </si>
  <si>
    <t>combo_jhs_radio_purpose8</t>
  </si>
  <si>
    <t>combo_jhs_radio_purpose9</t>
  </si>
  <si>
    <t>combo_jhs_radio_purpose10</t>
  </si>
  <si>
    <t>combo_jhs_radio_type1</t>
  </si>
  <si>
    <t>Box9'!$E$7</t>
  </si>
  <si>
    <t>Box9'!$E$8</t>
  </si>
  <si>
    <t>Box9'!$I$7</t>
  </si>
  <si>
    <t>Box9'!$I$8</t>
  </si>
  <si>
    <t>Box9'!$I$9</t>
  </si>
  <si>
    <t>Box9'!$E$11</t>
  </si>
  <si>
    <t>Box9'!$E$13</t>
  </si>
  <si>
    <t>Box9'!$E$12</t>
  </si>
  <si>
    <t>Box9'!$E$14</t>
  </si>
  <si>
    <t>Box9'!$E$15</t>
  </si>
  <si>
    <t>Box9'!$E$16</t>
  </si>
  <si>
    <t>Box9'!$E$17</t>
  </si>
  <si>
    <t>Box9'!$E$18</t>
  </si>
  <si>
    <t>Box9'!$E$19</t>
  </si>
  <si>
    <t>Box9'!$E$20</t>
  </si>
  <si>
    <t>Box9'!$E$21</t>
  </si>
  <si>
    <t>Box9'!$E$23</t>
  </si>
  <si>
    <t>Box9'!$E$24</t>
  </si>
  <si>
    <t>Box9'!$E$25</t>
  </si>
  <si>
    <t>Box9'!$E$26</t>
  </si>
  <si>
    <t>Box9'!$J$26</t>
  </si>
  <si>
    <t>Box9'!$AC$5</t>
  </si>
  <si>
    <t>Box9'!$T$10</t>
  </si>
  <si>
    <t>Box9'!$AE$10</t>
  </si>
  <si>
    <t>Box9'!$T$11</t>
  </si>
  <si>
    <t>Box9'!$AE$11</t>
  </si>
  <si>
    <t>Box9'!$T$12</t>
  </si>
  <si>
    <t>Box9'!$AE$12</t>
  </si>
  <si>
    <t>Box9'!$T$13</t>
  </si>
  <si>
    <t>Box9'!$AE$13</t>
  </si>
  <si>
    <t>Box9'!$T$14</t>
  </si>
  <si>
    <t>Box9'!$AE$14</t>
  </si>
  <si>
    <t>Box9'!$T$15</t>
  </si>
  <si>
    <t>Box9'!$AE$15</t>
  </si>
  <si>
    <t>Box9'!$T$16</t>
  </si>
  <si>
    <t>Box9'!$AE$16</t>
  </si>
  <si>
    <t>Box9'!$T$17</t>
  </si>
  <si>
    <t>Box9'!$AE$17</t>
  </si>
  <si>
    <t>Box9'!$T$19</t>
  </si>
  <si>
    <t>Box9'!$AE$19</t>
  </si>
  <si>
    <t>Box9'!$T$20</t>
  </si>
  <si>
    <t>Box9'!$U$21</t>
  </si>
  <si>
    <t>Box9'!$AE$20</t>
  </si>
  <si>
    <t>Box9'!$AM$7</t>
  </si>
  <si>
    <t>Box9'!$AM$9</t>
  </si>
  <si>
    <t>Box9'!$AM$13</t>
  </si>
  <si>
    <t>Box9'!$AM$15</t>
  </si>
  <si>
    <t>Box9'!$AM$18</t>
  </si>
  <si>
    <t>Box9'!$AM$19</t>
  </si>
  <si>
    <t>Box9'!$AM$20</t>
  </si>
  <si>
    <t>Box9'!$AM$21</t>
  </si>
  <si>
    <t>Box9'!$AR$21</t>
  </si>
  <si>
    <t>Box9'!$AM$25</t>
  </si>
  <si>
    <t>Box9'!$AM$26</t>
  </si>
  <si>
    <t>Table33a-b'!$R$42</t>
  </si>
  <si>
    <t>Table33a-b'!$V$44</t>
  </si>
  <si>
    <t>Table33a-b'!$R$14</t>
  </si>
  <si>
    <t>Table33a-b'!$O$14</t>
  </si>
  <si>
    <t>Table33a-b'!$U$14</t>
  </si>
  <si>
    <t>Table33a-b'!$X$14</t>
  </si>
  <si>
    <t>Table33a-b'!$AA$14</t>
  </si>
  <si>
    <t>Table33a-b'!$AD$14</t>
  </si>
  <si>
    <t>Table33a-b'!$AG$14</t>
  </si>
  <si>
    <t>Table33a-b'!$AJ$14</t>
  </si>
  <si>
    <t>Table33a-b'!$O$15</t>
  </si>
  <si>
    <t>Table33a-b'!$R$15</t>
  </si>
  <si>
    <t>Table33a-b'!$U$15</t>
  </si>
  <si>
    <t>Table33a-b'!$X$15</t>
  </si>
  <si>
    <t>Table33a-b'!$AA$15</t>
  </si>
  <si>
    <t>Table33a-b'!$AD$15</t>
  </si>
  <si>
    <t>Table33a-b'!$AG$15</t>
  </si>
  <si>
    <t>Table33a-b'!$AJ$15</t>
  </si>
  <si>
    <t>Table33a-b'!$O$16</t>
  </si>
  <si>
    <t>Table33a-b'!$R$16</t>
  </si>
  <si>
    <t>Table33a-b'!$U$16</t>
  </si>
  <si>
    <t>Table33a-b'!$X$16</t>
  </si>
  <si>
    <t>Table33a-b'!$AA$16</t>
  </si>
  <si>
    <t>Table33a-b'!$AD$16</t>
  </si>
  <si>
    <t>Table33a-b'!$AG$16</t>
  </si>
  <si>
    <t>Table33a-b'!$AJ$16</t>
  </si>
  <si>
    <t>Table33a-b'!$O$17</t>
  </si>
  <si>
    <t>Table33a-b'!$R$17</t>
  </si>
  <si>
    <t>Table33a-b'!$U$17</t>
  </si>
  <si>
    <t>Table33a-b'!$X$17</t>
  </si>
  <si>
    <t>Table33a-b'!$AA$17</t>
  </si>
  <si>
    <t>Table33a-b'!$AD$17</t>
  </si>
  <si>
    <t>Table33a-b'!$AG$17</t>
  </si>
  <si>
    <t>Table33a-b'!$AJ$17</t>
  </si>
  <si>
    <t>Table33a-b'!$O$18</t>
  </si>
  <si>
    <t>Table33a-b'!$R$18</t>
  </si>
  <si>
    <t>Table33a-b'!$U$18</t>
  </si>
  <si>
    <t>Table33a-b'!$X$18</t>
  </si>
  <si>
    <t>Table33a-b'!$AA$18</t>
  </si>
  <si>
    <t>Table33a-b'!$AD$18</t>
  </si>
  <si>
    <t>Table33a-b'!$AG$18</t>
  </si>
  <si>
    <t>Table33a-b'!$AJ$18</t>
  </si>
  <si>
    <t>Table33a-b'!$O$21</t>
  </si>
  <si>
    <t>Table33a-b'!$R$21</t>
  </si>
  <si>
    <t>Table33a-b'!$U$21</t>
  </si>
  <si>
    <t>Table33a-b'!$X$21</t>
  </si>
  <si>
    <t>Table33a-b'!$AA$21</t>
  </si>
  <si>
    <t>Table33a-b'!$AD$21</t>
  </si>
  <si>
    <t>Table33a-b'!$AG$21</t>
  </si>
  <si>
    <t>Table33a-b'!$AJ$21</t>
  </si>
  <si>
    <t>Table33a-b'!$O$22</t>
  </si>
  <si>
    <t>Table33a-b'!$R$22</t>
  </si>
  <si>
    <t>Table33a-b'!$U$22</t>
  </si>
  <si>
    <t>Table33a-b'!$X$22</t>
  </si>
  <si>
    <t>Table33a-b'!$AA$22</t>
  </si>
  <si>
    <t>Table33a-b'!$AD$22</t>
  </si>
  <si>
    <t>Table33a-b'!$AG$22</t>
  </si>
  <si>
    <t>Table33a-b'!$AJ$22</t>
  </si>
  <si>
    <t>Table33a-b'!$O$23</t>
  </si>
  <si>
    <t>Table33a-b'!$R$23</t>
  </si>
  <si>
    <t>Table33a-b'!$U$23</t>
  </si>
  <si>
    <t>Table33a-b'!$X$23</t>
  </si>
  <si>
    <t>Table33a-b'!$AA$23</t>
  </si>
  <si>
    <t>Table33a-b'!$AD$23</t>
  </si>
  <si>
    <t>Table33a-b'!$AG$23</t>
  </si>
  <si>
    <t>Table33a-b'!$AJ$23</t>
  </si>
  <si>
    <t>Table33a-b'!$O$24</t>
  </si>
  <si>
    <t>Table33a-b'!$R$24</t>
  </si>
  <si>
    <t>Table33a-b'!$U$24</t>
  </si>
  <si>
    <t>Table33a-b'!$X$24</t>
  </si>
  <si>
    <t>Table33a-b'!$AA$24</t>
  </si>
  <si>
    <t>Table33a-b'!$AD$24</t>
  </si>
  <si>
    <t>Table33a-b'!$AG$24</t>
  </si>
  <si>
    <t>Table33a-b'!$AJ$24</t>
  </si>
  <si>
    <t>Table33c-d-Box11'!$N$6</t>
  </si>
  <si>
    <t>Table33c-d-Box11'!$Q$6</t>
  </si>
  <si>
    <t>Table33c-d-Box11'!$T$6</t>
  </si>
  <si>
    <t>Table33c-d-Box11'!$W$6</t>
  </si>
  <si>
    <t>Table33c-d-Box11'!$Z$6</t>
  </si>
  <si>
    <t>Table33c-d-Box11'!$AC$6</t>
  </si>
  <si>
    <t>Table33c-d-Box11'!$AF$6</t>
  </si>
  <si>
    <t>Table33c-d-Box11'!$AI$6</t>
  </si>
  <si>
    <t>Table33c-d-Box11'!$S$11</t>
  </si>
  <si>
    <t>Table33c-d-Box11'!$X$11</t>
  </si>
  <si>
    <t>Table33c-d-Box11'!$AC$11</t>
  </si>
  <si>
    <t>Table33c-d-Box11'!$AH$11</t>
  </si>
  <si>
    <t>Table33c-d-Box11'!$S$12</t>
  </si>
  <si>
    <t>Table33c-d-Box11'!$X$12</t>
  </si>
  <si>
    <t>Table33c-d-Box11'!$AC$12</t>
  </si>
  <si>
    <t>Table33c-d-Box11'!$AH$12</t>
  </si>
  <si>
    <t>Table33c-d-Box11'!$S$13</t>
  </si>
  <si>
    <t>Table33c-d-Box11'!$X$13</t>
  </si>
  <si>
    <t>Table33c-d-Box11'!$AC$13</t>
  </si>
  <si>
    <t>Table33c-d-Box11'!$AH$13</t>
  </si>
  <si>
    <t>Table33c-d-Box11'!$Y$19</t>
  </si>
  <si>
    <t>Table33c-d-Box11'!$Y$21</t>
  </si>
  <si>
    <t>Table33c-d-Box11'!$K$33</t>
  </si>
  <si>
    <t>Table33c-d-Box11'!$K$34</t>
  </si>
  <si>
    <t>Table33c-d-Box11'!$U$33</t>
  </si>
  <si>
    <t>Table33c-d-Box11'!$U$34</t>
  </si>
  <si>
    <t>Table33c-d-Box11'!$AD$33</t>
  </si>
  <si>
    <t>Table33c-d-Box11'!$AI$33</t>
  </si>
  <si>
    <t>Table33c-d-Box11'!$V$27</t>
  </si>
  <si>
    <t>Table33c-d-Box11'!$V$28</t>
  </si>
  <si>
    <t>Table33c-d-Box11'!$N$29</t>
  </si>
  <si>
    <t>Table33c-d-Box11'!$V$29</t>
  </si>
  <si>
    <t>Table33c-d-Box11'!$AA$37</t>
  </si>
  <si>
    <t>Table33c-d-Box11'!$AA$35</t>
  </si>
  <si>
    <t>Table33c-d-Box11'!$AA$38</t>
  </si>
  <si>
    <t>Table33c-d-Box11'!$AA$36</t>
  </si>
  <si>
    <t>Box12-Table34'!$AD$5</t>
  </si>
  <si>
    <t>Box12-Table34'!$J$8</t>
  </si>
  <si>
    <t>Box12-Table34'!$J$9</t>
  </si>
  <si>
    <t>Box12-Table34'!$J$10</t>
  </si>
  <si>
    <t>Box12-Table34'!$X$8</t>
  </si>
  <si>
    <t>Box12-Table34'!$X$9</t>
  </si>
  <si>
    <t>Box12-Table34'!$J$14</t>
  </si>
  <si>
    <t>Box12-Table34'!$J$15</t>
  </si>
  <si>
    <t>Box12-Table34'!$X$14</t>
  </si>
  <si>
    <t>Box12-Table34'!$X$15</t>
  </si>
  <si>
    <t>Box12-Table34'!$AD$16</t>
  </si>
  <si>
    <t>Box12-Table34'!$AD$17</t>
  </si>
  <si>
    <t>Box12-Table34'!$AD$18</t>
  </si>
  <si>
    <t>Box12-Table34'!$J$20</t>
  </si>
  <si>
    <t>Box12-Table34'!$J$21</t>
  </si>
  <si>
    <t>Box12-Table34'!$X$20</t>
  </si>
  <si>
    <t>Box12-Table34'!$X$21</t>
  </si>
  <si>
    <t>Box12-Table34'!$AD$23</t>
  </si>
  <si>
    <t>Box12-Table34'!$AD$25</t>
  </si>
  <si>
    <t>Box12-Table34'!$J$27</t>
  </si>
  <si>
    <t>Box12-Table34'!$J$28</t>
  </si>
  <si>
    <t>Box12-Table34'!$J$29</t>
  </si>
  <si>
    <t>Box12-Table34'!$J$30</t>
  </si>
  <si>
    <t>Box12-Table34'!$O$30</t>
  </si>
  <si>
    <t>Box12-Table34'!$AC$21</t>
  </si>
  <si>
    <t>Box12-Table34'!$AC$15</t>
  </si>
  <si>
    <t>Box12-Table34'!$Y$11</t>
  </si>
  <si>
    <t>Box12-Table34'!$AC$9</t>
  </si>
  <si>
    <t>Box12-Table34'!$U$22</t>
  </si>
  <si>
    <t>Box12-Table34'!$M$40</t>
  </si>
  <si>
    <t>Box12-Table34'!$R$40</t>
  </si>
  <si>
    <t>'Box12-Table34'!$W$40</t>
  </si>
  <si>
    <t>Box12-Table34'!$AG$40</t>
  </si>
  <si>
    <t>Box12-Table34'!$M$41</t>
  </si>
  <si>
    <t>Box12-Table34'!$R$41</t>
  </si>
  <si>
    <t>Box12-Table34'!$W$41</t>
  </si>
  <si>
    <t>Box12-Table34'!$AG$41</t>
  </si>
  <si>
    <t>Tables35-37'!$Q$6</t>
  </si>
  <si>
    <t>Tables35-37'!$V$6</t>
  </si>
  <si>
    <t>Tables35-37'!$AA$6</t>
  </si>
  <si>
    <t>Tables35-37'!$AF$6</t>
  </si>
  <si>
    <t>Tables35-37'!$Q$8</t>
  </si>
  <si>
    <t>Tables35-37'!$V$8</t>
  </si>
  <si>
    <t>Tables35-37'!$AA$8</t>
  </si>
  <si>
    <t>Tables35-37'!$AF$8</t>
  </si>
  <si>
    <t>Tables35-37'!$Q$9</t>
  </si>
  <si>
    <t>Tables35-37'!$V$9</t>
  </si>
  <si>
    <t>Tables35-37'!$AA$9</t>
  </si>
  <si>
    <t>Tables35-37'!$AF$9</t>
  </si>
  <si>
    <t>Tables35-37'!$Q$11</t>
  </si>
  <si>
    <t>Tables35-37'!$V$11</t>
  </si>
  <si>
    <t>Tables35-37'!$AA$11</t>
  </si>
  <si>
    <t>Tables35-37'!$AF$11</t>
  </si>
  <si>
    <t>Tables35-37'!$Q$12</t>
  </si>
  <si>
    <t>Tables35-37'!$V$12</t>
  </si>
  <si>
    <t>Tables35-37'!$AA$12</t>
  </si>
  <si>
    <t>Tables35-37'!$AF$12</t>
  </si>
  <si>
    <t>Tables35-37'!$Q$13</t>
  </si>
  <si>
    <t>Tables35-37'!$V$13</t>
  </si>
  <si>
    <t>Tables35-37'!$AA$13</t>
  </si>
  <si>
    <t>Tables35-37'!$AF$13</t>
  </si>
  <si>
    <t>Tables35-37'!$Q$14</t>
  </si>
  <si>
    <t>Tables35-37'!$V$14</t>
  </si>
  <si>
    <t>Tables35-37'!$AA$14</t>
  </si>
  <si>
    <t>Tables35-37'!$AF$14</t>
  </si>
  <si>
    <t>Tables35-37'!$Q$24</t>
  </si>
  <si>
    <t>Tables35-37'!$V$24</t>
  </si>
  <si>
    <t>Tables35-37'!$AA$24</t>
  </si>
  <si>
    <t>Tables35-37'!$AF$24</t>
  </si>
  <si>
    <t>Tables35-37'!$Q$25</t>
  </si>
  <si>
    <t>Tables35-37'!$V$25</t>
  </si>
  <si>
    <t>Tables35-37'!$AA$25</t>
  </si>
  <si>
    <t>Tables35-37'!$AF$25</t>
  </si>
  <si>
    <t>Tables35-37'!$Q$26</t>
  </si>
  <si>
    <t>Tables35-37'!$V$26</t>
  </si>
  <si>
    <t>Tables35-37'!$AA$26</t>
  </si>
  <si>
    <t>Tables35-37'!$AF$26</t>
  </si>
  <si>
    <t>Tables35-37'!$Q$27</t>
  </si>
  <si>
    <t>Tables35-37'!$V$27</t>
  </si>
  <si>
    <t>Tables35-37'!$AA$27</t>
  </si>
  <si>
    <t>Tables35-37'!$AF$27</t>
  </si>
  <si>
    <t>sch_mh_suicide_learners_lastsy_dec</t>
  </si>
  <si>
    <t>sch_mh_suicide_learners_lastsy_jan</t>
  </si>
  <si>
    <t>sch_mh_suicide_learners_lastsy_feb</t>
  </si>
  <si>
    <t>sch_mh_suicide_learners_lastsy_mar</t>
  </si>
  <si>
    <t>sch_mh_suicide_learners_lastsy_apr</t>
  </si>
  <si>
    <t>sch_mh_suicide_learners_lastsy_may</t>
  </si>
  <si>
    <t>sch_mh_suicide_learners_lastsy_jun</t>
  </si>
  <si>
    <t>sch_mh_suicide_learners_aftersy_jul</t>
  </si>
  <si>
    <t>sch_mh_suicide_learners_aftersy_aug</t>
  </si>
  <si>
    <t>sch_mh_suicide_learners_duringsy_sep</t>
  </si>
  <si>
    <t>sch_mh_suicide_learners_duringsy_oct</t>
  </si>
  <si>
    <t>sch_mh_suicide_learners_duringsy_nov</t>
  </si>
  <si>
    <t>sch_mh_suicide_personnel_lastsy_dec</t>
  </si>
  <si>
    <t>sch_mh_suicide_personnel_lastsy_jan</t>
  </si>
  <si>
    <t>sch_mh_suicide_personnel_lastsy_feb</t>
  </si>
  <si>
    <t>sch_mh_suicide_personnel_lastsy_mar</t>
  </si>
  <si>
    <t>sch_mh_suicide_personnel_lastsy_apr</t>
  </si>
  <si>
    <t>sch_mh_suicide_personnel_lastsy_may</t>
  </si>
  <si>
    <t>sch_mh_suicide_personnel_lastsy_jun</t>
  </si>
  <si>
    <t>sch_mh_suicide_personnel_aftersy_jul</t>
  </si>
  <si>
    <t>sch_mh_suicide_personnel_aftersy_aug</t>
  </si>
  <si>
    <t>sch_mh_suicide_personnel_duringsy_sep</t>
  </si>
  <si>
    <t>sch_mh_suicide_personnel_duringsy_oct</t>
  </si>
  <si>
    <t>sch_mh_suicide_personnel_duringsy_nov</t>
  </si>
  <si>
    <t>sch_mh_atpsuicide_learners_lastsy_dec</t>
  </si>
  <si>
    <t>sch_mh_atpsuicide_learners_lastsy_jan</t>
  </si>
  <si>
    <t>sch_mh_atpsuicide_learners_lastsy_feb</t>
  </si>
  <si>
    <t>sch_mh_atpsuicide_learners_lastsy_mar</t>
  </si>
  <si>
    <t>sch_mh_atpsuicide_learners_lastsy_apr</t>
  </si>
  <si>
    <t>sch_mh_atpsuicide_learners_lastsy_may</t>
  </si>
  <si>
    <t>sch_mh_atpsuicide_learners_lastsy_jun</t>
  </si>
  <si>
    <t>sch_mh_atpsuicide_learners_aftersy_jul</t>
  </si>
  <si>
    <t>sch_mh_atpsuicide_learners_aftersy_aug</t>
  </si>
  <si>
    <t>sch_mh_atpsuicide_learners_duringsy_sep</t>
  </si>
  <si>
    <t>sch_mh_atpsuicide_learners_duringsy_oct</t>
  </si>
  <si>
    <t>sch_mh_atpsuicide_learners_duringsy_nov</t>
  </si>
  <si>
    <t>sch_mh_atpsuicide_personnel_lastsy_dec</t>
  </si>
  <si>
    <t>sch_mh_atpsuicide_personnel_lastsy_jan</t>
  </si>
  <si>
    <t>sch_mh_atpsuicide_personnel_lastsy_feb</t>
  </si>
  <si>
    <t>sch_mh_atpsuicide_personnel_lastsy_mar</t>
  </si>
  <si>
    <t>sch_mh_atpsuicide_personnel_lastsy_apr</t>
  </si>
  <si>
    <t>sch_mh_atpsuicide_personnel_lastsy_may</t>
  </si>
  <si>
    <t>sch_mh_atpsuicide_personnel_lastsy_jun</t>
  </si>
  <si>
    <t>sch_mh_atpsuicide_personnel_aftersy_jul</t>
  </si>
  <si>
    <t>sch_mh_atpsuicide_personnel_aftersy_aug</t>
  </si>
  <si>
    <t>sch_mh_atpsuicide_personnel_duringsy_sep</t>
  </si>
  <si>
    <t>sch_mh_atpsuicide_personnel_duringsy_oct</t>
  </si>
  <si>
    <t>sch_mh_atpsuicide_personnel_duringsy_nov</t>
  </si>
  <si>
    <t>Tables35-37'!$O$35</t>
  </si>
  <si>
    <t>Tables35-37'!$Q$35</t>
  </si>
  <si>
    <t>Tables35-37'!$S$35</t>
  </si>
  <si>
    <t>Tables35-37'!$U$35</t>
  </si>
  <si>
    <t>Tables35-37'!$W$35</t>
  </si>
  <si>
    <t>Tables35-37'!$Y$35</t>
  </si>
  <si>
    <t>Tables35-37'!$AA$35</t>
  </si>
  <si>
    <t>Tables35-37'!$AC$35</t>
  </si>
  <si>
    <t>Tables35-37'!$AE$35</t>
  </si>
  <si>
    <t>Tables35-37'!$AG$35</t>
  </si>
  <si>
    <t>Tables35-37'!$AQ$35</t>
  </si>
  <si>
    <t>Tables35-37'!$AS$35</t>
  </si>
  <si>
    <t>Tables35-37'!$AU$35</t>
  </si>
  <si>
    <t>Tables35-37'!$AW$35</t>
  </si>
  <si>
    <t>Tables35-37'!$AY$35</t>
  </si>
  <si>
    <t>Tables35-37'!$BA$35</t>
  </si>
  <si>
    <t>Tables35-37'!$BC$35</t>
  </si>
  <si>
    <t>Tables35-37'!$BE$35</t>
  </si>
  <si>
    <t>Tables35-37'!$BG$35</t>
  </si>
  <si>
    <t>Tables35-37'!$BI$35</t>
  </si>
  <si>
    <t>Tables35-37'!$O$36</t>
  </si>
  <si>
    <t>Tables35-37'!$Q$36</t>
  </si>
  <si>
    <t>Tables35-37'!$S$36</t>
  </si>
  <si>
    <t>Tables35-37'!$U$36</t>
  </si>
  <si>
    <t>Tables35-37'!$W$36</t>
  </si>
  <si>
    <t>Tables35-37'!$Y$36</t>
  </si>
  <si>
    <t>Tables35-37'!$AA$36</t>
  </si>
  <si>
    <t>Tables35-37'!$AC$36</t>
  </si>
  <si>
    <t>Tables35-37'!$AE$36</t>
  </si>
  <si>
    <t>Tables35-37'!$AG$36</t>
  </si>
  <si>
    <t>Tables35-37'!$AQ$36</t>
  </si>
  <si>
    <t>Tables35-37'!$AS$36</t>
  </si>
  <si>
    <t>Tables35-37'!$AU$36</t>
  </si>
  <si>
    <t>Tables35-37'!$AW$36</t>
  </si>
  <si>
    <t>Tables35-37'!$AY$36</t>
  </si>
  <si>
    <t>Tables35-37'!$BA$36</t>
  </si>
  <si>
    <t>Tables35-37'!$BC$36</t>
  </si>
  <si>
    <t>Tables35-37'!$BE$36</t>
  </si>
  <si>
    <t>Tables35-37'!$BG$36</t>
  </si>
  <si>
    <t>Tables35-37'!$BI$36</t>
  </si>
  <si>
    <t>Box14'!$P$10</t>
  </si>
  <si>
    <t>Box14'!$W$10</t>
  </si>
  <si>
    <t>Box14'!$AD$10</t>
  </si>
  <si>
    <t>Box14'!$AK$10</t>
  </si>
  <si>
    <t>Box14'!$P$11</t>
  </si>
  <si>
    <t>Box14'!$W$11</t>
  </si>
  <si>
    <t>Box14'!$AD$11</t>
  </si>
  <si>
    <t>Box14'!$AK$11</t>
  </si>
  <si>
    <t>Box14'!$P$12</t>
  </si>
  <si>
    <t>Box14'!$W$12</t>
  </si>
  <si>
    <t>Box14'!$AD$12</t>
  </si>
  <si>
    <t>Box14'!$AK$12</t>
  </si>
  <si>
    <t>Box14'!$P$20</t>
  </si>
  <si>
    <t>Box14'!$W$20</t>
  </si>
  <si>
    <t>Box14'!$AD$20</t>
  </si>
  <si>
    <t>Box14'!$AK$20</t>
  </si>
  <si>
    <t>Box14'!$P$21</t>
  </si>
  <si>
    <t>Box14'!$W$21</t>
  </si>
  <si>
    <t>Box14'!$AD$21</t>
  </si>
  <si>
    <t>Box14'!$AK$21</t>
  </si>
  <si>
    <t>Box14'!$P$22</t>
  </si>
  <si>
    <t>Box14'!$W$22</t>
  </si>
  <si>
    <t>Box14'!$AD$22</t>
  </si>
  <si>
    <t>Box14'!$AK$22</t>
  </si>
  <si>
    <t>Box15'!$N$9</t>
  </si>
  <si>
    <t>Box15'!$T$9</t>
  </si>
  <si>
    <t>Box15'!$Z$9</t>
  </si>
  <si>
    <t>Box15'!$AF$9</t>
  </si>
  <si>
    <t>Box15'!$AL$9</t>
  </si>
  <si>
    <t>Box15'!$N$10</t>
  </si>
  <si>
    <t>Box15'!$N$12</t>
  </si>
  <si>
    <t>Box15'!$T$10</t>
  </si>
  <si>
    <t>Box15'!$Z$10</t>
  </si>
  <si>
    <t>Box15'!$AF$10</t>
  </si>
  <si>
    <t>Box15'!$AL$10</t>
  </si>
  <si>
    <t>Box15'!$N$11</t>
  </si>
  <si>
    <t>Box15'!$T$11</t>
  </si>
  <si>
    <t>Box15'!$Z$11</t>
  </si>
  <si>
    <t>Box15'!$AF$11</t>
  </si>
  <si>
    <t>Box15'!$AL$11</t>
  </si>
  <si>
    <t>Box15'!$T$12</t>
  </si>
  <si>
    <t>Box15'!$Z$12</t>
  </si>
  <si>
    <t>Box15'!$AF$12</t>
  </si>
  <si>
    <t>Box15'!$AL$12</t>
  </si>
  <si>
    <t>Box15'!$N$19</t>
  </si>
  <si>
    <t>Box15'!$N$20</t>
  </si>
  <si>
    <t>Box15'!$N$21</t>
  </si>
  <si>
    <t>Box15'!$N$22</t>
  </si>
  <si>
    <t>Box15'!$AA$25</t>
  </si>
  <si>
    <t>Box15'!$N$30</t>
  </si>
  <si>
    <t>Box15'!$T$30</t>
  </si>
  <si>
    <t>Box15'!$Z$30</t>
  </si>
  <si>
    <t>Box15'!$AF$30</t>
  </si>
  <si>
    <t>Box15'!$AL$30</t>
  </si>
  <si>
    <t>Box15'!$N$31</t>
  </si>
  <si>
    <t>Box15'!$T$31</t>
  </si>
  <si>
    <t>Box15'!$Z$31</t>
  </si>
  <si>
    <t>Box15'!$AF$31</t>
  </si>
  <si>
    <t>Box15'!$AL$31</t>
  </si>
  <si>
    <t>Box15'!$N$32</t>
  </si>
  <si>
    <t>Box15'!$T$32</t>
  </si>
  <si>
    <t>Box15'!$Z$32</t>
  </si>
  <si>
    <t>Box15'!$AF$32</t>
  </si>
  <si>
    <t>Box15'!$AL$32</t>
  </si>
  <si>
    <t>Box15'!$N$33</t>
  </si>
  <si>
    <t>Box15'!$T$33</t>
  </si>
  <si>
    <t>Box15'!$Z$33</t>
  </si>
  <si>
    <t>Box15'!$AF$33</t>
  </si>
  <si>
    <t>Box15'!$AL$33</t>
  </si>
  <si>
    <t>Box15'!$N$39</t>
  </si>
  <si>
    <t>Box15'!$T$39</t>
  </si>
  <si>
    <t>Box15'!$Z$39</t>
  </si>
  <si>
    <t>Box15'!$N$40</t>
  </si>
  <si>
    <t>Box15'!$T$40</t>
  </si>
  <si>
    <t>Box15'!$Z$40</t>
  </si>
  <si>
    <t>Box15'!$N$41</t>
  </si>
  <si>
    <t>Box15'!$T$41</t>
  </si>
  <si>
    <t>Box15'!$Z$41</t>
  </si>
  <si>
    <t>Box15'!$N$42</t>
  </si>
  <si>
    <t>Box15'!$T$42</t>
  </si>
  <si>
    <t>Box15'!$Z$42</t>
  </si>
  <si>
    <t>Box15'!$T$19</t>
  </si>
  <si>
    <t>Box15'!$Z$19</t>
  </si>
  <si>
    <t>Box15'!$AF$19</t>
  </si>
  <si>
    <t>Box15'!$AL$19</t>
  </si>
  <si>
    <t>Box15'!$T$20</t>
  </si>
  <si>
    <t>Box15'!$Z$20</t>
  </si>
  <si>
    <t>Box15'!$AF$20</t>
  </si>
  <si>
    <t>Box15'!$AL$20</t>
  </si>
  <si>
    <t>Box15'!$T$21</t>
  </si>
  <si>
    <t>Box15'!$Z$21</t>
  </si>
  <si>
    <t>Box15'!$AF$21</t>
  </si>
  <si>
    <t>Box15'!$AL$21</t>
  </si>
  <si>
    <t>Box15'!$T$22</t>
  </si>
  <si>
    <t>Box15'!$Z$22</t>
  </si>
  <si>
    <t>Box15'!$AF$22</t>
  </si>
  <si>
    <t>Box15'!$AL$22</t>
  </si>
  <si>
    <t>Boxes16-17'!$AG$35</t>
  </si>
  <si>
    <t>Box 17-18'!$AG$5</t>
  </si>
  <si>
    <t>Box 17-18'!$M$7</t>
  </si>
  <si>
    <t>Box 17-18'!$M$8</t>
  </si>
  <si>
    <t>Box 17-18'!$W$7</t>
  </si>
  <si>
    <t>Box 17-18'!$W$8</t>
  </si>
  <si>
    <t>Box 17-18'!$AB$8</t>
  </si>
  <si>
    <t>Box 17-18'!$AG$9</t>
  </si>
  <si>
    <t>Box 17-18'!$AG$10</t>
  </si>
  <si>
    <t>Box 17-18'!$AG$11</t>
  </si>
  <si>
    <t>Box 17-18'!$S$14</t>
  </si>
  <si>
    <t>Box 17-18'!$S$15</t>
  </si>
  <si>
    <t>Box 17-18'!$S$16</t>
  </si>
  <si>
    <t>Box 17-18'!$S$17</t>
  </si>
  <si>
    <t>Box 17-18'!$AG$32</t>
  </si>
  <si>
    <t>Box 17-18'!$AG$33</t>
  </si>
  <si>
    <t>Box 17-18'!$AG$34</t>
  </si>
  <si>
    <t>Boxes19-20'!$S$5</t>
  </si>
  <si>
    <t>Boxes19-20'!$I$7</t>
  </si>
  <si>
    <t>Boxes19-20'!$I$8</t>
  </si>
  <si>
    <t>Boxes19-20'!$Q$7</t>
  </si>
  <si>
    <t>Boxes19-20'!$Q$8</t>
  </si>
  <si>
    <t>Boxes19-20'!$X$7</t>
  </si>
  <si>
    <t>Boxes19-20'!$X$8</t>
  </si>
  <si>
    <t>Boxes19-20'!$AG$7</t>
  </si>
  <si>
    <t>Boxes19-20'!$AG$8</t>
  </si>
  <si>
    <t>Boxes19-20'!$AL$8</t>
  </si>
  <si>
    <t>Boxes19-20'!$I$11</t>
  </si>
  <si>
    <t>Boxes19-20'!$X$12</t>
  </si>
  <si>
    <t>Boxes19-20'!$Q$12</t>
  </si>
  <si>
    <t>Boxes19-20'!$L$12</t>
  </si>
  <si>
    <t>Boxes19-20'!$AD$12</t>
  </si>
  <si>
    <t>Boxes19-20'!$I$13</t>
  </si>
  <si>
    <t>Boxes19-20'!$I$14</t>
  </si>
  <si>
    <t>Boxes19-20'!$I$15</t>
  </si>
  <si>
    <t>Boxes19-20'!$I$16</t>
  </si>
  <si>
    <t>Boxes19-20'!$N$16</t>
  </si>
  <si>
    <t>Boxes19-20'!$Y$18</t>
  </si>
  <si>
    <t>Boxes19-20'!$I$20</t>
  </si>
  <si>
    <t>Boxes19-20'!$I$21</t>
  </si>
  <si>
    <t>Boxes19-20'!$Q$21</t>
  </si>
  <si>
    <t>Boxes19-20'!$Q$20</t>
  </si>
  <si>
    <t>Boxes19-20'!$X$20</t>
  </si>
  <si>
    <t>Boxes19-20'!$X$21</t>
  </si>
  <si>
    <t>Boxes19-20'!$AG$20</t>
  </si>
  <si>
    <t>Boxes19-20'!$AL$20</t>
  </si>
  <si>
    <t>Boxes19-20'!$I$17</t>
  </si>
  <si>
    <t>Boxes19-20'!$Q$27</t>
  </si>
  <si>
    <t>Boxes19-20'!$I$30</t>
  </si>
  <si>
    <t>Boxes19-20'!$I$32</t>
  </si>
  <si>
    <t>Boxes19-20'!$I$34</t>
  </si>
  <si>
    <t>Boxes19-20'!$J$35</t>
  </si>
  <si>
    <t>Boxes19-20'!$R$30</t>
  </si>
  <si>
    <t>Boxes19-20'!$Z$30</t>
  </si>
  <si>
    <t>Boxes19-20'!$R$32</t>
  </si>
  <si>
    <t>Boxes19-20'!$Z$32</t>
  </si>
  <si>
    <t>Boxes19-20'!$R$35</t>
  </si>
  <si>
    <t>Boxes19-20'!$Z$35</t>
  </si>
  <si>
    <t>Boxes19-20'!$AH$30</t>
  </si>
  <si>
    <t>Boxes19-20'!$AH$32</t>
  </si>
  <si>
    <t>Boxes19-20'!$AH$35</t>
  </si>
  <si>
    <t>Box 21-23'!$AC$5</t>
  </si>
  <si>
    <t>Box 21-23'!$I$8</t>
  </si>
  <si>
    <t>Box 21-23'!$I$9</t>
  </si>
  <si>
    <t>Box 21-23'!$I$10</t>
  </si>
  <si>
    <t>Box 21-23'!$V$8</t>
  </si>
  <si>
    <t>Box 21-23'!$V$9</t>
  </si>
  <si>
    <t>Box 21-23'!$V$10</t>
  </si>
  <si>
    <t>Box 21-23'!$AH$8</t>
  </si>
  <si>
    <t>Box 21-23'!$AH$10</t>
  </si>
  <si>
    <t>Box 21-23'!$AH$11</t>
  </si>
  <si>
    <t>Box 21-23'!$I$14</t>
  </si>
  <si>
    <t>Box 21-23'!$I$15</t>
  </si>
  <si>
    <t>Box 21-23'!$V$14</t>
  </si>
  <si>
    <t>Box 21-23'!$V$15</t>
  </si>
  <si>
    <t>Box 21-23'!$AH$14</t>
  </si>
  <si>
    <t>Box 21-23'!$I$22</t>
  </si>
  <si>
    <t>Box 21-23'!$I$23</t>
  </si>
  <si>
    <t>Box 21-23'!$U$22</t>
  </si>
  <si>
    <t>Box 21-23'!$U$23</t>
  </si>
  <si>
    <t>Box 21-23'!$Z$24</t>
  </si>
  <si>
    <t>Box 21-23'!$I$26</t>
  </si>
  <si>
    <t>Box 21-23'!$U$26</t>
  </si>
  <si>
    <t>Box 21-23'!$I$27</t>
  </si>
  <si>
    <t>Box 21-23'!$I$28</t>
  </si>
  <si>
    <t>Box 21-23'!$U$27</t>
  </si>
  <si>
    <t>Box 21-23'!$U$28</t>
  </si>
  <si>
    <t>Box 21-23'!$Z$28</t>
  </si>
  <si>
    <t>Box 21-23'!$X$34</t>
  </si>
  <si>
    <t>Box 21-23'!$I$36</t>
  </si>
  <si>
    <t>Box 21-23'!$I$37</t>
  </si>
  <si>
    <t>Box 21-23'!$U$36</t>
  </si>
  <si>
    <t>Box 21-23'!$U$37</t>
  </si>
  <si>
    <t>Box 21-23'!$Z$37</t>
  </si>
  <si>
    <t>Boxes24-25'!$O$20</t>
  </si>
  <si>
    <t>Boxes24-25'!$O$21</t>
  </si>
  <si>
    <t>Boxes24-25'!$O$22</t>
  </si>
  <si>
    <t>Boxes24-25'!$U$20</t>
  </si>
  <si>
    <t>Boxes24-25'!$U$21</t>
  </si>
  <si>
    <t>Boxes24-25'!$U$22</t>
  </si>
  <si>
    <t>Boxes24-25'!$AG$20</t>
  </si>
  <si>
    <t>Boxes24-25'!$AG$21</t>
  </si>
  <si>
    <t>Boxes24-25'!$AG$22</t>
  </si>
  <si>
    <t>Boxes24-25'!$AM$20</t>
  </si>
  <si>
    <t>Boxes24-25'!$AM$21</t>
  </si>
  <si>
    <t>Boxes24-25'!$AM$22</t>
  </si>
  <si>
    <t>Boxes24-25'!$O$29</t>
  </si>
  <si>
    <t>Boxes24-25'!$O$30</t>
  </si>
  <si>
    <t>Boxes24-25'!$O$31</t>
  </si>
  <si>
    <t>Boxes24-25'!$U$29</t>
  </si>
  <si>
    <t>Boxes24-25'!$U$30</t>
  </si>
  <si>
    <t>Boxes24-25'!$U$31</t>
  </si>
  <si>
    <t>Boxes24-25'!$O$19</t>
  </si>
  <si>
    <t>Boxes24-25'!$U$19</t>
  </si>
  <si>
    <t>Boxes24-25'!$AG$19</t>
  </si>
  <si>
    <t>Boxes24-25'!$AM$19</t>
  </si>
  <si>
    <t>Boxes24-25'!$O$28</t>
  </si>
  <si>
    <t>Boxes24-25'!$U$28</t>
  </si>
  <si>
    <t>Boxes24-25'!$AF$5</t>
  </si>
  <si>
    <t>Boxes24-25'!$T$6</t>
  </si>
  <si>
    <t>Boxes24-25'!$X$6</t>
  </si>
  <si>
    <t>Boxes24-25'!$AB$6</t>
  </si>
  <si>
    <t>Boxes24-25'!$AF$6</t>
  </si>
  <si>
    <t>Boxes24-25'!$AK$6</t>
  </si>
  <si>
    <t>Boxes24-25'!$AF$7</t>
  </si>
  <si>
    <t>Boxes24-25'!$AF$9</t>
  </si>
  <si>
    <t>Boxes24-25'!$T$41</t>
  </si>
  <si>
    <t>Boxes24-25'!$X$43</t>
  </si>
  <si>
    <t>Box26'!$O$9</t>
  </si>
  <si>
    <t>Box26'!$U$9</t>
  </si>
  <si>
    <t>Box26'!$O$10</t>
  </si>
  <si>
    <t>Box26'!$U$10</t>
  </si>
  <si>
    <t>Box26'!$O$11</t>
  </si>
  <si>
    <t>Box26'!$U$11</t>
  </si>
  <si>
    <t>Box26'!$O$12</t>
  </si>
  <si>
    <t>Box26'!$U$12</t>
  </si>
  <si>
    <t>Box26'!$O$18</t>
  </si>
  <si>
    <t>Box26'!$U$18</t>
  </si>
  <si>
    <t>Box26'!$O$19</t>
  </si>
  <si>
    <t>Box26'!$U$19</t>
  </si>
  <si>
    <t>Box26'!$O$20</t>
  </si>
  <si>
    <t>Box26'!$U$20</t>
  </si>
  <si>
    <t>Box26'!$O$21</t>
  </si>
  <si>
    <t>Box26'!$U$21</t>
  </si>
  <si>
    <t>Box26'!$O$27</t>
  </si>
  <si>
    <t>Box26'!$U$27</t>
  </si>
  <si>
    <t>Box26'!$AA$27</t>
  </si>
  <si>
    <t>Box26'!$AG$27</t>
  </si>
  <si>
    <t>Box26'!$O$28</t>
  </si>
  <si>
    <t>Box26'!$U$28</t>
  </si>
  <si>
    <t>Box26'!$AA$28</t>
  </si>
  <si>
    <t>Box26'!$AG$28</t>
  </si>
  <si>
    <t>Box26'!$O$29</t>
  </si>
  <si>
    <t>Box26'!$U$29</t>
  </si>
  <si>
    <t>Box26'!$AA$29</t>
  </si>
  <si>
    <t>Box26'!$AG$29</t>
  </si>
  <si>
    <t>Box26'!$O$30</t>
  </si>
  <si>
    <t>Box26'!$U$30</t>
  </si>
  <si>
    <t>Box26'!$AA$30</t>
  </si>
  <si>
    <t>Box26'!$AG$30</t>
  </si>
  <si>
    <t>Box26'!$O$31</t>
  </si>
  <si>
    <t>Box26'!$U$31</t>
  </si>
  <si>
    <t>Box26'!$AA$31</t>
  </si>
  <si>
    <t>Box26'!$AG$31</t>
  </si>
  <si>
    <t>Box26'!$O$32</t>
  </si>
  <si>
    <t>Box26'!$U$32</t>
  </si>
  <si>
    <t>Box26'!$AA$32</t>
  </si>
  <si>
    <t>Box26'!$AG$32</t>
  </si>
  <si>
    <t>Box26'!$O$33</t>
  </si>
  <si>
    <t>Box26'!$U$33</t>
  </si>
  <si>
    <t>Box26'!$AA$33</t>
  </si>
  <si>
    <t>Box26'!$AG$33</t>
  </si>
  <si>
    <t>Box26'!$O$34</t>
  </si>
  <si>
    <t>Box26'!$U$34</t>
  </si>
  <si>
    <t>Box26'!$AA$34</t>
  </si>
  <si>
    <t>Box26'!$AG$34</t>
  </si>
  <si>
    <t>Box26'!$O$35</t>
  </si>
  <si>
    <t>Box26'!$U$35</t>
  </si>
  <si>
    <t>Box26'!$AA$35</t>
  </si>
  <si>
    <t>Box26'!$AG$35</t>
  </si>
  <si>
    <t>Box27'!$O$5</t>
  </si>
  <si>
    <t>Box27'!$O$6</t>
  </si>
  <si>
    <t>Box27'!$O$7</t>
  </si>
  <si>
    <t>Box27'!$O$8</t>
  </si>
  <si>
    <t>Box27'!$O$9</t>
  </si>
  <si>
    <t>Box27'!$O$10</t>
  </si>
  <si>
    <t>Box27'!$O$11</t>
  </si>
  <si>
    <t>Box27'!$O$12</t>
  </si>
  <si>
    <t>Box27'!$O$13</t>
  </si>
  <si>
    <t>Box27'!$O$14</t>
  </si>
  <si>
    <t>Box27'!$O$15</t>
  </si>
  <si>
    <t>Box27'!$O$16</t>
  </si>
  <si>
    <t>Box27'!$O$17</t>
  </si>
  <si>
    <t>Box27'!$O$18</t>
  </si>
  <si>
    <t>Box27'!$O$19</t>
  </si>
  <si>
    <t>Box27'!$R$5</t>
  </si>
  <si>
    <t>Box27'!$R$6</t>
  </si>
  <si>
    <t>Box27'!$R$7</t>
  </si>
  <si>
    <t>Box27'!$R$8</t>
  </si>
  <si>
    <t>Box27'!$R$9</t>
  </si>
  <si>
    <t>Box27'!$R$10</t>
  </si>
  <si>
    <t>Box27'!$R$11</t>
  </si>
  <si>
    <t>Box27'!$R$12</t>
  </si>
  <si>
    <t>Box27'!$R$13</t>
  </si>
  <si>
    <t>Box27'!$R$14</t>
  </si>
  <si>
    <t>Box27'!$R$15</t>
  </si>
  <si>
    <t>Box27'!$R$16</t>
  </si>
  <si>
    <t>Box27'!$R$17</t>
  </si>
  <si>
    <t>Box27'!$R$18</t>
  </si>
  <si>
    <t>Box27'!$R$19</t>
  </si>
  <si>
    <t>Box27'!$U$5</t>
  </si>
  <si>
    <t>Box27'!$U$6</t>
  </si>
  <si>
    <t>Box27'!$U$7</t>
  </si>
  <si>
    <t>Box27'!$U$8</t>
  </si>
  <si>
    <t>Box27'!$U$9</t>
  </si>
  <si>
    <t>Box27'!$U$10</t>
  </si>
  <si>
    <t>Box27'!$U$11</t>
  </si>
  <si>
    <t>Box27'!$U$12</t>
  </si>
  <si>
    <t>Box27'!$U$13</t>
  </si>
  <si>
    <t>Box27'!$U$14</t>
  </si>
  <si>
    <t>Box27'!$U$15</t>
  </si>
  <si>
    <t>Box27'!$U$16</t>
  </si>
  <si>
    <t>Box27'!$U$17</t>
  </si>
  <si>
    <t>Box27'!$U$18</t>
  </si>
  <si>
    <t>Box27'!$U$19</t>
  </si>
  <si>
    <t>Box27'!$AH$5</t>
  </si>
  <si>
    <t>Box27'!$AH$6</t>
  </si>
  <si>
    <t>Box27'!$AH$7</t>
  </si>
  <si>
    <t>Box27'!$AH$8</t>
  </si>
  <si>
    <t>Box27'!$AH$9</t>
  </si>
  <si>
    <t>Box27'!$AH$10</t>
  </si>
  <si>
    <t>Box27'!$AH$11</t>
  </si>
  <si>
    <t>Box27'!$AH$12</t>
  </si>
  <si>
    <t>Box27'!$AH$13</t>
  </si>
  <si>
    <t>Box27'!$AH$14</t>
  </si>
  <si>
    <t>Box27'!$AH$15</t>
  </si>
  <si>
    <t>Box27'!$AH$16</t>
  </si>
  <si>
    <t>Box27'!$AH$17</t>
  </si>
  <si>
    <t>Box27'!$AH$18</t>
  </si>
  <si>
    <t>Box27'!$AK$5</t>
  </si>
  <si>
    <t>Box27'!$AK$6</t>
  </si>
  <si>
    <t>Box27'!$AK$7</t>
  </si>
  <si>
    <t>Box27'!$AK$8</t>
  </si>
  <si>
    <t>Box27'!$AK$9</t>
  </si>
  <si>
    <t>Box27'!$AK$10</t>
  </si>
  <si>
    <t>Box27'!$AK$11</t>
  </si>
  <si>
    <t>Box27'!$AK$12</t>
  </si>
  <si>
    <t>Box27'!$AK$13</t>
  </si>
  <si>
    <t>Box27'!$AK$14</t>
  </si>
  <si>
    <t>Box27'!$AK$15</t>
  </si>
  <si>
    <t>Box27'!$AK$16</t>
  </si>
  <si>
    <t>Box27'!$AK$17</t>
  </si>
  <si>
    <t>Box27'!$AK$18</t>
  </si>
  <si>
    <t>Box27'!$AN$5</t>
  </si>
  <si>
    <t>Box27'!$AN$6</t>
  </si>
  <si>
    <t>Box27'!$AN$7</t>
  </si>
  <si>
    <t>Box27'!$AN$8</t>
  </si>
  <si>
    <t>Box27'!$AN$9</t>
  </si>
  <si>
    <t>Box27'!$AN$10</t>
  </si>
  <si>
    <t>Box27'!$AN$11</t>
  </si>
  <si>
    <t>Box27'!$AN$12</t>
  </si>
  <si>
    <t>Box27'!$AN$13</t>
  </si>
  <si>
    <t>Box27'!$AN$14</t>
  </si>
  <si>
    <t>Box27'!$AN$15</t>
  </si>
  <si>
    <t>Box27'!$AN$16</t>
  </si>
  <si>
    <t>Box27'!$AN$17</t>
  </si>
  <si>
    <t>Box27'!$AN$18</t>
  </si>
  <si>
    <t>Box27'!$Q$25</t>
  </si>
  <si>
    <t>Box27'!$U$27</t>
  </si>
  <si>
    <t>Table38!$N$5</t>
  </si>
  <si>
    <t>Table38!$N$6</t>
  </si>
  <si>
    <t>Table38!$N$7</t>
  </si>
  <si>
    <t>Table38!$N$8</t>
  </si>
  <si>
    <t>Table38!$N$9</t>
  </si>
  <si>
    <t>Table38!$N$10</t>
  </si>
  <si>
    <t>Table38!$N$11</t>
  </si>
  <si>
    <t>Table38!$N$12</t>
  </si>
  <si>
    <t>Table38!$N$13</t>
  </si>
  <si>
    <t>Table38!$N$14</t>
  </si>
  <si>
    <t>Table38!$N$15</t>
  </si>
  <si>
    <t>Table38!$N$16</t>
  </si>
  <si>
    <t>Table38!$N$17</t>
  </si>
  <si>
    <t>Table38!$N$18</t>
  </si>
  <si>
    <t>Table38!$N$19</t>
  </si>
  <si>
    <t>Table38!$N$20</t>
  </si>
  <si>
    <t>Table38!$N$21</t>
  </si>
  <si>
    <t>Table38!$N$22</t>
  </si>
  <si>
    <t>Table38!$N$23</t>
  </si>
  <si>
    <t>Table38!$N$24</t>
  </si>
  <si>
    <t>Table38!$N$25</t>
  </si>
  <si>
    <t>Table38!$N$26</t>
  </si>
  <si>
    <t>Table38!$N$27</t>
  </si>
  <si>
    <t>Table38!$N$28</t>
  </si>
  <si>
    <t>Table38!$N$29</t>
  </si>
  <si>
    <t>Table38!$N$30</t>
  </si>
  <si>
    <t>Table38!$N$31</t>
  </si>
  <si>
    <t>Table38!$N$32</t>
  </si>
  <si>
    <t>Table38!$N$33</t>
  </si>
  <si>
    <t>Table38!$S$5</t>
  </si>
  <si>
    <t>Table38!$S$6</t>
  </si>
  <si>
    <t>Table38!$S$7</t>
  </si>
  <si>
    <t>Table38!$S$8</t>
  </si>
  <si>
    <t>Table38!$S$9</t>
  </si>
  <si>
    <t>Table38!$S$10</t>
  </si>
  <si>
    <t>Table38!$S$11</t>
  </si>
  <si>
    <t>Table38!$S$12</t>
  </si>
  <si>
    <t>Table38!$S$13</t>
  </si>
  <si>
    <t>Table38!$S$14</t>
  </si>
  <si>
    <t>Table38!$S$15</t>
  </si>
  <si>
    <t>Table38!$S$16</t>
  </si>
  <si>
    <t>Table38!$S$17</t>
  </si>
  <si>
    <t>Table38!$S$18</t>
  </si>
  <si>
    <t>Table38!$S$19</t>
  </si>
  <si>
    <t>Table38!$S$20</t>
  </si>
  <si>
    <t>Table38!$S$21</t>
  </si>
  <si>
    <t>Table38!$S$22</t>
  </si>
  <si>
    <t>Table38!$S$23</t>
  </si>
  <si>
    <t>Table38!$S$24</t>
  </si>
  <si>
    <t>Table38!$S$25</t>
  </si>
  <si>
    <t>Table38!$S$26</t>
  </si>
  <si>
    <t>Table38!$S$27</t>
  </si>
  <si>
    <t>Table38!$S$28</t>
  </si>
  <si>
    <t>Table38!$S$29</t>
  </si>
  <si>
    <t>Table38!$S$30</t>
  </si>
  <si>
    <t>Table38!$S$31</t>
  </si>
  <si>
    <t>Table38!$S$32</t>
  </si>
  <si>
    <t>Table38!$S$33</t>
  </si>
  <si>
    <t>Table38!$X$5</t>
  </si>
  <si>
    <t>Table38!$X$6</t>
  </si>
  <si>
    <t>Table38!$X$7</t>
  </si>
  <si>
    <t>Table38!$X$8</t>
  </si>
  <si>
    <t>Table38!$X$9</t>
  </si>
  <si>
    <t>Table38!$X$10</t>
  </si>
  <si>
    <t>Table38!$X$11</t>
  </si>
  <si>
    <t>Table38!$X$12</t>
  </si>
  <si>
    <t>Table38!$X$13</t>
  </si>
  <si>
    <t>Table38!$X$14</t>
  </si>
  <si>
    <t>Table38!$X$15</t>
  </si>
  <si>
    <t>Table38!$X$16</t>
  </si>
  <si>
    <t>Table38!$X$17</t>
  </si>
  <si>
    <t>Table38!$X$18</t>
  </si>
  <si>
    <t>Table38!$X$19</t>
  </si>
  <si>
    <t>Table38!$X$20</t>
  </si>
  <si>
    <t>Table38!$X$21</t>
  </si>
  <si>
    <t>Table38!$X$22</t>
  </si>
  <si>
    <t>Table38!$X$23</t>
  </si>
  <si>
    <t>Table38!$X$24</t>
  </si>
  <si>
    <t>Table38!$X$25</t>
  </si>
  <si>
    <t>Table38!$X$26</t>
  </si>
  <si>
    <t>Table38!$X$27</t>
  </si>
  <si>
    <t>Table38!$X$28</t>
  </si>
  <si>
    <t>Table38!$X$29</t>
  </si>
  <si>
    <t>Table38!$X$30</t>
  </si>
  <si>
    <t>Table38!$X$31</t>
  </si>
  <si>
    <t>Table38!$X$32</t>
  </si>
  <si>
    <t>Table38!$X$33</t>
  </si>
  <si>
    <t>Table38!$AC$5</t>
  </si>
  <si>
    <t>Table38!$AC$6</t>
  </si>
  <si>
    <t>Table38!$AC$7</t>
  </si>
  <si>
    <t>Table38!$AC$8</t>
  </si>
  <si>
    <t>Table38!$AC$9</t>
  </si>
  <si>
    <t>Table38!$AC$10</t>
  </si>
  <si>
    <t>Table38!$AC$11</t>
  </si>
  <si>
    <t>Table38!$AC$12</t>
  </si>
  <si>
    <t>Table38!$AC$13</t>
  </si>
  <si>
    <t>Table38!$AC$14</t>
  </si>
  <si>
    <t>Table38!$AC$15</t>
  </si>
  <si>
    <t>Table38!$AC$16</t>
  </si>
  <si>
    <t>Table38!$AC$17</t>
  </si>
  <si>
    <t>Table38!$AC$18</t>
  </si>
  <si>
    <t>Table38!$AC$19</t>
  </si>
  <si>
    <t>Table38!$AC$20</t>
  </si>
  <si>
    <t>Table38!$AC$21</t>
  </si>
  <si>
    <t>Table38!$AC$22</t>
  </si>
  <si>
    <t>Table38!$AC$23</t>
  </si>
  <si>
    <t>Table38!$AC$24</t>
  </si>
  <si>
    <t>Table38!$AC$25</t>
  </si>
  <si>
    <t>Table38!$AC$26</t>
  </si>
  <si>
    <t>Table38!$AC$27</t>
  </si>
  <si>
    <t>Table38!$AC$28</t>
  </si>
  <si>
    <t>Table38!$AC$29</t>
  </si>
  <si>
    <t>Table38!$AC$30</t>
  </si>
  <si>
    <t>Table38!$AC$31</t>
  </si>
  <si>
    <t>Table38!$AC$32</t>
  </si>
  <si>
    <t>Table38!$AC$33</t>
  </si>
  <si>
    <t>Table38!$AH$5</t>
  </si>
  <si>
    <t>Table38!$AH$6</t>
  </si>
  <si>
    <t>Table38!$AH$7</t>
  </si>
  <si>
    <t>Table38!$AH$8</t>
  </si>
  <si>
    <t>Table38!$AH$9</t>
  </si>
  <si>
    <t>Table38!$AH$10</t>
  </si>
  <si>
    <t>Table38!$AH$11</t>
  </si>
  <si>
    <t>Table38!$AH$12</t>
  </si>
  <si>
    <t>Table38!$AH$13</t>
  </si>
  <si>
    <t>Table38!$AH$14</t>
  </si>
  <si>
    <t>Table38!$AH$15</t>
  </si>
  <si>
    <t>Table38!$AH$16</t>
  </si>
  <si>
    <t>Table38!$AH$17</t>
  </si>
  <si>
    <t>Table38!$AH$18</t>
  </si>
  <si>
    <t>Table38!$AH$19</t>
  </si>
  <si>
    <t>Table38!$AH$20</t>
  </si>
  <si>
    <t>Table38!$AH$21</t>
  </si>
  <si>
    <t>Table38!$AH$22</t>
  </si>
  <si>
    <t>Table38!$AH$23</t>
  </si>
  <si>
    <t>Table38!$AH$24</t>
  </si>
  <si>
    <t>Table38!$AH$25</t>
  </si>
  <si>
    <t>Table38!$AH$26</t>
  </si>
  <si>
    <t>Table38!$AH$27</t>
  </si>
  <si>
    <t>Table38!$AH$28</t>
  </si>
  <si>
    <t>Table38!$AH$29</t>
  </si>
  <si>
    <t>Table38!$AH$30</t>
  </si>
  <si>
    <t>Table38!$AH$31</t>
  </si>
  <si>
    <t>Table38!$AH$32</t>
  </si>
  <si>
    <t>Table38!$AH$33</t>
  </si>
  <si>
    <t>Table39!$U$7</t>
  </si>
  <si>
    <t>Table39!$U$8</t>
  </si>
  <si>
    <t>Table39!$U$9</t>
  </si>
  <si>
    <t>Table39!$U$10</t>
  </si>
  <si>
    <t>Table39!$U$11</t>
  </si>
  <si>
    <t>Table39!$U$12</t>
  </si>
  <si>
    <t>Table39!$U$13</t>
  </si>
  <si>
    <t>Table39!$U$14</t>
  </si>
  <si>
    <t>Table39!$W$7</t>
  </si>
  <si>
    <t>Table39!$Y$7</t>
  </si>
  <si>
    <t>Table39!$AA$7</t>
  </si>
  <si>
    <t>Table39!$AC$7</t>
  </si>
  <si>
    <t>Table39!$AE$7</t>
  </si>
  <si>
    <t>Table39!$AG$7</t>
  </si>
  <si>
    <t>Table39!$AI$7</t>
  </si>
  <si>
    <t>Table39!$AK$7</t>
  </si>
  <si>
    <t>Table39!$AM$7</t>
  </si>
  <si>
    <t>Table39!$AO$7</t>
  </si>
  <si>
    <t>Table39!$AQ$7</t>
  </si>
  <si>
    <t>Table39!$W$8</t>
  </si>
  <si>
    <t>Table39!$Y$8</t>
  </si>
  <si>
    <t>Table39!$AA$8</t>
  </si>
  <si>
    <t>Table39!$AC$8</t>
  </si>
  <si>
    <t>Table39!$AE$8</t>
  </si>
  <si>
    <t>Table39!$AG$8</t>
  </si>
  <si>
    <t>Table39!$AI$8</t>
  </si>
  <si>
    <t>Table39!$AK$8</t>
  </si>
  <si>
    <t>Table39!$AM$8</t>
  </si>
  <si>
    <t>Table39!$AO$8</t>
  </si>
  <si>
    <t>Table39!$AQ$8</t>
  </si>
  <si>
    <t>Table39!$W$9</t>
  </si>
  <si>
    <t>Table39!$Y$9</t>
  </si>
  <si>
    <t>Table39!$AA$9</t>
  </si>
  <si>
    <t>Table39!$AC$9</t>
  </si>
  <si>
    <t>Table39!$AE$9</t>
  </si>
  <si>
    <t>Table39!$AG$9</t>
  </si>
  <si>
    <t>Table39!$AI$9</t>
  </si>
  <si>
    <t>Table39!$AK$9</t>
  </si>
  <si>
    <t>Table39!$AM$9</t>
  </si>
  <si>
    <t>Table39!$AO$9</t>
  </si>
  <si>
    <t>Table39!$AQ$9</t>
  </si>
  <si>
    <t>Table39!$W$10</t>
  </si>
  <si>
    <t>Table39!$Y$10</t>
  </si>
  <si>
    <t>Table39!$AA$10</t>
  </si>
  <si>
    <t>Table39!$AC$10</t>
  </si>
  <si>
    <t>Table39!$AE$10</t>
  </si>
  <si>
    <t>Table39!$AG$10</t>
  </si>
  <si>
    <t>Table39!$AI$10</t>
  </si>
  <si>
    <t>Table39!$AK$10</t>
  </si>
  <si>
    <t>Table39!$AM$10</t>
  </si>
  <si>
    <t>Table39!$AO$10</t>
  </si>
  <si>
    <t>Table39!$AQ$10</t>
  </si>
  <si>
    <t>Table39!$W$11</t>
  </si>
  <si>
    <t>Table39!$Y$11</t>
  </si>
  <si>
    <t>Table39!$AA$11</t>
  </si>
  <si>
    <t>Table39!$AC$11</t>
  </si>
  <si>
    <t>Table39!$AE$11</t>
  </si>
  <si>
    <t>Table39!$AG$11</t>
  </si>
  <si>
    <t>Table39!$AI$11</t>
  </si>
  <si>
    <t>Table39!$AK$11</t>
  </si>
  <si>
    <t>Table39!$AM$11</t>
  </si>
  <si>
    <t>Table39!$AO$11</t>
  </si>
  <si>
    <t>Table39!$AQ$11</t>
  </si>
  <si>
    <t>Table39!$W$12</t>
  </si>
  <si>
    <t>Table39!$Y$12</t>
  </si>
  <si>
    <t>Table39!$AA$12</t>
  </si>
  <si>
    <t>Table39!$AC$12</t>
  </si>
  <si>
    <t>Table39!$AE$12</t>
  </si>
  <si>
    <t>Table39!$AG$12</t>
  </si>
  <si>
    <t>Table39!$AI$12</t>
  </si>
  <si>
    <t>Table39!$AK$12</t>
  </si>
  <si>
    <t>Table39!$AM$12</t>
  </si>
  <si>
    <t>Table39!$AO$12</t>
  </si>
  <si>
    <t>Table39!$AQ$12</t>
  </si>
  <si>
    <t>Table39!$W$13</t>
  </si>
  <si>
    <t>Table39!$Y$13</t>
  </si>
  <si>
    <t>Table39!$AA$13</t>
  </si>
  <si>
    <t>Table39!$AC$13</t>
  </si>
  <si>
    <t>Table39!$AE$13</t>
  </si>
  <si>
    <t>Table39!$AG$13</t>
  </si>
  <si>
    <t>Table39!$AI$13</t>
  </si>
  <si>
    <t>Table39!$AK$13</t>
  </si>
  <si>
    <t>Table39!$AM$13</t>
  </si>
  <si>
    <t>Table39!$AO$13</t>
  </si>
  <si>
    <t>Table39!$AQ$13</t>
  </si>
  <si>
    <t>Table39!$W$14</t>
  </si>
  <si>
    <t>Table39!$Y$14</t>
  </si>
  <si>
    <t>Table39!$AA$14</t>
  </si>
  <si>
    <t>Table39!$AC$14</t>
  </si>
  <si>
    <t>Table39!$AE$14</t>
  </si>
  <si>
    <t>Table39!$AG$14</t>
  </si>
  <si>
    <t>Table39!$AI$14</t>
  </si>
  <si>
    <t>Table39!$AK$14</t>
  </si>
  <si>
    <t>Table39!$AM$14</t>
  </si>
  <si>
    <t>Table39!$AO$14</t>
  </si>
  <si>
    <t>Table39!$AQ$14</t>
  </si>
  <si>
    <t>Table39!$U$15</t>
  </si>
  <si>
    <t>Table39!$W$15</t>
  </si>
  <si>
    <t>Table39!$Y$15</t>
  </si>
  <si>
    <t>Table39!$AA$15</t>
  </si>
  <si>
    <t>Table39!$AC$15</t>
  </si>
  <si>
    <t>Table39!$AE$15</t>
  </si>
  <si>
    <t>Table39!$AG$15</t>
  </si>
  <si>
    <t>Table39!$AI$15</t>
  </si>
  <si>
    <t>Table39!$AK$15</t>
  </si>
  <si>
    <t>Table39!$AM$15</t>
  </si>
  <si>
    <t>Table39!$AO$15</t>
  </si>
  <si>
    <t>Table39!$AQ$15</t>
  </si>
  <si>
    <t>Table39!$U$17</t>
  </si>
  <si>
    <t>Table39!$W$17</t>
  </si>
  <si>
    <t>Table39!$Y$17</t>
  </si>
  <si>
    <t>Table39!$AA$17</t>
  </si>
  <si>
    <t>Table39!$AC$17</t>
  </si>
  <si>
    <t>Table39!$AE$17</t>
  </si>
  <si>
    <t>Table39!$AG$17</t>
  </si>
  <si>
    <t>Table39!$AI$17</t>
  </si>
  <si>
    <t>Table39!$AK$17</t>
  </si>
  <si>
    <t>Table39!$AM$17</t>
  </si>
  <si>
    <t>Table39!$AO$17</t>
  </si>
  <si>
    <t>Table39!$AQ$17</t>
  </si>
  <si>
    <t>Table39!$U$18</t>
  </si>
  <si>
    <t>Table39!$W$18</t>
  </si>
  <si>
    <t>Table39!$Y$18</t>
  </si>
  <si>
    <t>Table39!$AA$18</t>
  </si>
  <si>
    <t>Table39!$AC$18</t>
  </si>
  <si>
    <t>Table39!$AE$18</t>
  </si>
  <si>
    <t>Table39!$AG$18</t>
  </si>
  <si>
    <t>Table39!$AI$18</t>
  </si>
  <si>
    <t>Table39!$AK$18</t>
  </si>
  <si>
    <t>Table39!$AM$18</t>
  </si>
  <si>
    <t>Table39!$AO$18</t>
  </si>
  <si>
    <t>Table39!$AQ$18</t>
  </si>
  <si>
    <t>Table39!$U$19</t>
  </si>
  <si>
    <t>Table39!$W$19</t>
  </si>
  <si>
    <t>Table39!$Y$19</t>
  </si>
  <si>
    <t>Table39!$AA$19</t>
  </si>
  <si>
    <t>Table39!$AC$19</t>
  </si>
  <si>
    <t>Table39!$AE$19</t>
  </si>
  <si>
    <t>Table39!$AG$19</t>
  </si>
  <si>
    <t>Table39!$AI$19</t>
  </si>
  <si>
    <t>Table39!$AK$19</t>
  </si>
  <si>
    <t>Table39!$AM$19</t>
  </si>
  <si>
    <t>Table39!$AO$19</t>
  </si>
  <si>
    <t>Table39!$AQ$19</t>
  </si>
  <si>
    <t>Table39!$U$20</t>
  </si>
  <si>
    <t>Table39!$W$20</t>
  </si>
  <si>
    <t>Table39!$Y$20</t>
  </si>
  <si>
    <t>Table39!$AA$20</t>
  </si>
  <si>
    <t>Table39!$AC$20</t>
  </si>
  <si>
    <t>Table39!$AE$20</t>
  </si>
  <si>
    <t>Table39!$AG$20</t>
  </si>
  <si>
    <t>Table39!$AI$20</t>
  </si>
  <si>
    <t>Table39!$AK$20</t>
  </si>
  <si>
    <t>Table39!$AM$20</t>
  </si>
  <si>
    <t>Table39!$AO$20</t>
  </si>
  <si>
    <t>Table39!$AQ$20</t>
  </si>
  <si>
    <t>Table39!$U$21</t>
  </si>
  <si>
    <t>Table39!$W$21</t>
  </si>
  <si>
    <t>Table39!$Y$21</t>
  </si>
  <si>
    <t>Table39!$AA$21</t>
  </si>
  <si>
    <t>Table39!$AC$21</t>
  </si>
  <si>
    <t>Table39!$AE$21</t>
  </si>
  <si>
    <t>Table39!$AG$21</t>
  </si>
  <si>
    <t>Table39!$AI$21</t>
  </si>
  <si>
    <t>Table39!$AK$21</t>
  </si>
  <si>
    <t>Table39!$AM$21</t>
  </si>
  <si>
    <t>Table39!$AO$21</t>
  </si>
  <si>
    <t>Table39!$AQ$21</t>
  </si>
  <si>
    <t>Table39!$U$22</t>
  </si>
  <si>
    <t>Table39!$W$22</t>
  </si>
  <si>
    <t>Table39!$Y$22</t>
  </si>
  <si>
    <t>Table39!$AA$22</t>
  </si>
  <si>
    <t>Table39!$AC$22</t>
  </si>
  <si>
    <t>Table39!$AE$22</t>
  </si>
  <si>
    <t>Table39!$AG$22</t>
  </si>
  <si>
    <t>Table39!$AI$22</t>
  </si>
  <si>
    <t>Table39!$AK$22</t>
  </si>
  <si>
    <t>Table39!$AM$22</t>
  </si>
  <si>
    <t>Table39!$AO$22</t>
  </si>
  <si>
    <t>Table39!$AQ$22</t>
  </si>
  <si>
    <t>Table39!$U$23</t>
  </si>
  <si>
    <t>Table39!$W$23</t>
  </si>
  <si>
    <t>Table39!$Y$23</t>
  </si>
  <si>
    <t>Table39!$AA$23</t>
  </si>
  <si>
    <t>Table39!$AC$23</t>
  </si>
  <si>
    <t>Table39!$AE$23</t>
  </si>
  <si>
    <t>Table39!$AG$23</t>
  </si>
  <si>
    <t>Table39!$AI$23</t>
  </si>
  <si>
    <t>Table39!$AK$23</t>
  </si>
  <si>
    <t>Table39!$AM$23</t>
  </si>
  <si>
    <t>Table39!$AO$23</t>
  </si>
  <si>
    <t>Table39!$AQ$23</t>
  </si>
  <si>
    <t>Table39!$U$24</t>
  </si>
  <si>
    <t>Table39!$W$24</t>
  </si>
  <si>
    <t>Table39!$Y$24</t>
  </si>
  <si>
    <t>Table39!$AA$24</t>
  </si>
  <si>
    <t>Table39!$AC$24</t>
  </si>
  <si>
    <t>Table39!$AE$24</t>
  </si>
  <si>
    <t>Table39!$AG$24</t>
  </si>
  <si>
    <t>Table39!$AI$24</t>
  </si>
  <si>
    <t>Table39!$AK$24</t>
  </si>
  <si>
    <t>Table39!$AM$24</t>
  </si>
  <si>
    <t>Table39!$AO$24</t>
  </si>
  <si>
    <t>Table39!$AQ$24</t>
  </si>
  <si>
    <t>Table39!$U$25</t>
  </si>
  <si>
    <t>Table39!$W$25</t>
  </si>
  <si>
    <t>Table39!$Y$25</t>
  </si>
  <si>
    <t>Table39!$AA$25</t>
  </si>
  <si>
    <t>Table39!$AC$25</t>
  </si>
  <si>
    <t>Table39!$AE$25</t>
  </si>
  <si>
    <t>Table39!$AG$25</t>
  </si>
  <si>
    <t>Table39!$AI$25</t>
  </si>
  <si>
    <t>Table39!$AK$25</t>
  </si>
  <si>
    <t>Table39!$AM$25</t>
  </si>
  <si>
    <t>Table39!$AO$25</t>
  </si>
  <si>
    <t>Table39!$AQ$25</t>
  </si>
  <si>
    <t>Table39!$U$26</t>
  </si>
  <si>
    <t>Table39!$W$26</t>
  </si>
  <si>
    <t>Table39!$Y$26</t>
  </si>
  <si>
    <t>Table39!$AA$26</t>
  </si>
  <si>
    <t>Table39!$AC$26</t>
  </si>
  <si>
    <t>Table39!$AE$26</t>
  </si>
  <si>
    <t>Table39!$AG$26</t>
  </si>
  <si>
    <t>Table39!$AI$26</t>
  </si>
  <si>
    <t>Table39!$AK$26</t>
  </si>
  <si>
    <t>Table39!$AM$26</t>
  </si>
  <si>
    <t>Table39!$AO$26</t>
  </si>
  <si>
    <t>Table39!$AQ$26</t>
  </si>
  <si>
    <t>Table39!$U$27</t>
  </si>
  <si>
    <t>Table39!$W$27</t>
  </si>
  <si>
    <t>Table39!$Y$27</t>
  </si>
  <si>
    <t>Table39!$AA$27</t>
  </si>
  <si>
    <t>Table39!$AC$27</t>
  </si>
  <si>
    <t>Table39!$AE$27</t>
  </si>
  <si>
    <t>Table39!$AG$27</t>
  </si>
  <si>
    <t>Table39!$AI$27</t>
  </si>
  <si>
    <t>Table39!$AK$27</t>
  </si>
  <si>
    <t>Table39!$AM$27</t>
  </si>
  <si>
    <t>Table39!$AO$27</t>
  </si>
  <si>
    <t>Table39!$AQ$27</t>
  </si>
  <si>
    <t>Table39!$U$28</t>
  </si>
  <si>
    <t>Table39!$W$28</t>
  </si>
  <si>
    <t>Table39!$Y$28</t>
  </si>
  <si>
    <t>Table39!$AA$28</t>
  </si>
  <si>
    <t>Table39!$AC$28</t>
  </si>
  <si>
    <t>Table39!$AE$28</t>
  </si>
  <si>
    <t>Table39!$AG$28</t>
  </si>
  <si>
    <t>Table39!$AI$28</t>
  </si>
  <si>
    <t>Table39!$AK$28</t>
  </si>
  <si>
    <t>Table39!$AM$28</t>
  </si>
  <si>
    <t>Table39!$AO$28</t>
  </si>
  <si>
    <t>Table39!$AQ$28</t>
  </si>
  <si>
    <t>Table39!$U$29</t>
  </si>
  <si>
    <t>Table39'!$Q$37</t>
  </si>
  <si>
    <t>Table39'!$U$39</t>
  </si>
  <si>
    <t>Table40!$U$8</t>
  </si>
  <si>
    <t>Table40!$U$11</t>
  </si>
  <si>
    <t>Table40!$U$12</t>
  </si>
  <si>
    <t>Table40!$U$17</t>
  </si>
  <si>
    <t>Table40!$U$18</t>
  </si>
  <si>
    <t>Table40!$U$19</t>
  </si>
  <si>
    <t>Table40!$U$20</t>
  </si>
  <si>
    <t>Table40!$U$21</t>
  </si>
  <si>
    <t>Table40!$U$27</t>
  </si>
  <si>
    <t>Table40!$U$28</t>
  </si>
  <si>
    <t>Table40!$U$29</t>
  </si>
  <si>
    <t>Table40!$U$30</t>
  </si>
  <si>
    <t>Table40!$U$31</t>
  </si>
  <si>
    <t>Table40!$W$8</t>
  </si>
  <si>
    <t>Table40!$W$11</t>
  </si>
  <si>
    <t>Table40!$W$12</t>
  </si>
  <si>
    <t>Table40!$W$17</t>
  </si>
  <si>
    <t>Table40!$W$18</t>
  </si>
  <si>
    <t>Table40!$W$19</t>
  </si>
  <si>
    <t>Table40!$W$20</t>
  </si>
  <si>
    <t>Table40!$W$21</t>
  </si>
  <si>
    <t>Table40!$W$27</t>
  </si>
  <si>
    <t>Table40!$W$28</t>
  </si>
  <si>
    <t>Table40!$W$29</t>
  </si>
  <si>
    <t>Table40!$W$30</t>
  </si>
  <si>
    <t>Table40!$W$31</t>
  </si>
  <si>
    <t>Table40!$Y$8</t>
  </si>
  <si>
    <t>Table40!$AA$8</t>
  </si>
  <si>
    <t>Table40!$AC$8</t>
  </si>
  <si>
    <t>Table40!$AE$8</t>
  </si>
  <si>
    <t>Table40!$AG$8</t>
  </si>
  <si>
    <t>Table40!$AI$8</t>
  </si>
  <si>
    <t>Table40!$AK$8</t>
  </si>
  <si>
    <t>Table40!$AM$8</t>
  </si>
  <si>
    <t>Table40!$AO$8</t>
  </si>
  <si>
    <t>Table40!$AQ$8</t>
  </si>
  <si>
    <t>Table40!$Y$11</t>
  </si>
  <si>
    <t>Table40!$AA$11</t>
  </si>
  <si>
    <t>Table40!$AC$11</t>
  </si>
  <si>
    <t>Table40!$AE$11</t>
  </si>
  <si>
    <t>Table40!$AG$11</t>
  </si>
  <si>
    <t>Table40!$AI$11</t>
  </si>
  <si>
    <t>Table40!$AK$11</t>
  </si>
  <si>
    <t>Table40!$AM$11</t>
  </si>
  <si>
    <t>Table40!$AO$11</t>
  </si>
  <si>
    <t>Table40!$AQ$11</t>
  </si>
  <si>
    <t>Table40!$Y$12</t>
  </si>
  <si>
    <t>Table40!$AA$12</t>
  </si>
  <si>
    <t>Table40!$AC$12</t>
  </si>
  <si>
    <t>Table40!$AE$12</t>
  </si>
  <si>
    <t>Table40!$AG$12</t>
  </si>
  <si>
    <t>Table40!$AI$12</t>
  </si>
  <si>
    <t>Table40!$AK$12</t>
  </si>
  <si>
    <t>Table40!$AM$12</t>
  </si>
  <si>
    <t>Table40!$AO$12</t>
  </si>
  <si>
    <t>Table40!$AQ$12</t>
  </si>
  <si>
    <t>Table40!$F$14</t>
  </si>
  <si>
    <t>Table40!$U$13</t>
  </si>
  <si>
    <t>Table40!$W$13</t>
  </si>
  <si>
    <t>Table40!$Y$13</t>
  </si>
  <si>
    <t>Table40!$AA$13</t>
  </si>
  <si>
    <t>Table40!$AC$13</t>
  </si>
  <si>
    <t>Table40!$AE$13</t>
  </si>
  <si>
    <t>Table40!$AG$13</t>
  </si>
  <si>
    <t>Table40!$AI$13</t>
  </si>
  <si>
    <t>Table40!$AK$13</t>
  </si>
  <si>
    <t>Table40!$AM$13</t>
  </si>
  <si>
    <t>Table40!$AO$13</t>
  </si>
  <si>
    <t>Table40!$AQ$13</t>
  </si>
  <si>
    <t>Table40!$Y$17</t>
  </si>
  <si>
    <t>Table40!$AA$17</t>
  </si>
  <si>
    <t>Table40!$AC$17</t>
  </si>
  <si>
    <t>Table40!$AE$17</t>
  </si>
  <si>
    <t>Table40!$AG$17</t>
  </si>
  <si>
    <t>Table40!$AI$17</t>
  </si>
  <si>
    <t>Table40!$AK$17</t>
  </si>
  <si>
    <t>Table40!$AM$17</t>
  </si>
  <si>
    <t>Table40!$AO$17</t>
  </si>
  <si>
    <t>Table40!$AQ$17</t>
  </si>
  <si>
    <t>Table40!$Y$18</t>
  </si>
  <si>
    <t>Table40!$AA$18</t>
  </si>
  <si>
    <t>Table40!$AC$18</t>
  </si>
  <si>
    <t>Table40!$AE$18</t>
  </si>
  <si>
    <t>Table40!$AG$18</t>
  </si>
  <si>
    <t>Table40!$AI$18</t>
  </si>
  <si>
    <t>Table40!$AK$18</t>
  </si>
  <si>
    <t>Table40!$AM$18</t>
  </si>
  <si>
    <t>Table40!$AO$18</t>
  </si>
  <si>
    <t>Table40!$AQ$18</t>
  </si>
  <si>
    <t>Table40!$Y$19</t>
  </si>
  <si>
    <t>Table40!$AA$19</t>
  </si>
  <si>
    <t>Table40!$AC$19</t>
  </si>
  <si>
    <t>Table40!$AE$19</t>
  </si>
  <si>
    <t>Table40!$AG$19</t>
  </si>
  <si>
    <t>Table40!$AI$19</t>
  </si>
  <si>
    <t>Table40!$AK$19</t>
  </si>
  <si>
    <t>Table40!$AM$19</t>
  </si>
  <si>
    <t>Table40!$AO$19</t>
  </si>
  <si>
    <t>Table40!$AQ$19</t>
  </si>
  <si>
    <t>Table40!$Y$20</t>
  </si>
  <si>
    <t>Table40!$AA$20</t>
  </si>
  <si>
    <t>Table40!$AC$20</t>
  </si>
  <si>
    <t>Table40!$AE$20</t>
  </si>
  <si>
    <t>Table40!$AG$20</t>
  </si>
  <si>
    <t>Table40!$AI$20</t>
  </si>
  <si>
    <t>Table40!$AK$20</t>
  </si>
  <si>
    <t>Table40!$AM$20</t>
  </si>
  <si>
    <t>Table40!$AO$20</t>
  </si>
  <si>
    <t>Table40!$AQ$20</t>
  </si>
  <si>
    <t>Table40!$Y$21</t>
  </si>
  <si>
    <t>Table40!$AA$21</t>
  </si>
  <si>
    <t>Table40!$AC$21</t>
  </si>
  <si>
    <t>Table40!$AE$21</t>
  </si>
  <si>
    <t>Table40!$AG$21</t>
  </si>
  <si>
    <t>Table40!$AI$21</t>
  </si>
  <si>
    <t>Table40!$AK$21</t>
  </si>
  <si>
    <t>Table40!$AM$21</t>
  </si>
  <si>
    <t>Table40!$AO$21</t>
  </si>
  <si>
    <t>Table40!$AQ$21</t>
  </si>
  <si>
    <t>Table40!$F$23</t>
  </si>
  <si>
    <t>Table40!$U$22</t>
  </si>
  <si>
    <t>Table40!$W$22</t>
  </si>
  <si>
    <t>Table40!$Y$22</t>
  </si>
  <si>
    <t>Table40!$AA$22</t>
  </si>
  <si>
    <t>Table40!$AC$22</t>
  </si>
  <si>
    <t>Table40!$AE$22</t>
  </si>
  <si>
    <t>Table40!$AG$22</t>
  </si>
  <si>
    <t>Table40!$AI$22</t>
  </si>
  <si>
    <t>Table40!$AK$22</t>
  </si>
  <si>
    <t>Table40!$AM$22</t>
  </si>
  <si>
    <t>Table40!$AO$22</t>
  </si>
  <si>
    <t>Table40!$AQ$22</t>
  </si>
  <si>
    <t>Table40!$Y$27</t>
  </si>
  <si>
    <t>Table40!$AA$27</t>
  </si>
  <si>
    <t>Table40!$AC$27</t>
  </si>
  <si>
    <t>Table40!$AE$27</t>
  </si>
  <si>
    <t>Table40!$AG$27</t>
  </si>
  <si>
    <t>Table40!$AI$27</t>
  </si>
  <si>
    <t>Table40!$AK$27</t>
  </si>
  <si>
    <t>Table40!$AM$27</t>
  </si>
  <si>
    <t>Table40!$AO$27</t>
  </si>
  <si>
    <t>Table40!$AQ$27</t>
  </si>
  <si>
    <t>Table40!$Y$28</t>
  </si>
  <si>
    <t>Table40!$AA$28</t>
  </si>
  <si>
    <t>Table40!$AC$28</t>
  </si>
  <si>
    <t>Table40!$AE$28</t>
  </si>
  <si>
    <t>Table40!$AG$28</t>
  </si>
  <si>
    <t>Table40!$AI$28</t>
  </si>
  <si>
    <t>Table40!$AK$28</t>
  </si>
  <si>
    <t>Table40!$AM$28</t>
  </si>
  <si>
    <t>Table40!$AO$28</t>
  </si>
  <si>
    <t>Table40!$AQ$28</t>
  </si>
  <si>
    <t>Table40!$Y$29</t>
  </si>
  <si>
    <t>Table40!$AA$29</t>
  </si>
  <si>
    <t>Table40!$AC$29</t>
  </si>
  <si>
    <t>Table40!$AE$29</t>
  </si>
  <si>
    <t>Table40!$AG$29</t>
  </si>
  <si>
    <t>Table40!$AI$29</t>
  </si>
  <si>
    <t>Table40!$AK$29</t>
  </si>
  <si>
    <t>Table40!$AM$29</t>
  </si>
  <si>
    <t>Table40!$AO$29</t>
  </si>
  <si>
    <t>Table40!$AQ$29</t>
  </si>
  <si>
    <t>Table40!$Y$30</t>
  </si>
  <si>
    <t>Table40!$AA$30</t>
  </si>
  <si>
    <t>Table40!$AC$30</t>
  </si>
  <si>
    <t>Table40!$AE$30</t>
  </si>
  <si>
    <t>Table40!$AG$30</t>
  </si>
  <si>
    <t>Table40!$AI$30</t>
  </si>
  <si>
    <t>Table40!$AK$30</t>
  </si>
  <si>
    <t>Table40!$AM$30</t>
  </si>
  <si>
    <t>Table40!$AO$30</t>
  </si>
  <si>
    <t>Table40!$AQ$30</t>
  </si>
  <si>
    <t>Table40!$Y$31</t>
  </si>
  <si>
    <t>Table40!$AA$31</t>
  </si>
  <si>
    <t>Table40!$AC$31</t>
  </si>
  <si>
    <t>Table40!$AE$31</t>
  </si>
  <si>
    <t>Table40!$AG$31</t>
  </si>
  <si>
    <t>Table40!$AI$31</t>
  </si>
  <si>
    <t>Table40!$AK$31</t>
  </si>
  <si>
    <t>Table40!$AM$31</t>
  </si>
  <si>
    <t>Table40!$AO$31</t>
  </si>
  <si>
    <t>Table40!$AQ$31</t>
  </si>
  <si>
    <t>Table40!$U$32</t>
  </si>
  <si>
    <t>Table40!$W$32</t>
  </si>
  <si>
    <t>Table40!$Y$32</t>
  </si>
  <si>
    <t>Table40!$AA$32</t>
  </si>
  <si>
    <t>Table40!$AC$32</t>
  </si>
  <si>
    <t>Table40!$AE$32</t>
  </si>
  <si>
    <t>Table40!$AG$32</t>
  </si>
  <si>
    <t>Table40!$AI$32</t>
  </si>
  <si>
    <t>Table40!$AK$32</t>
  </si>
  <si>
    <t>Table40!$AM$32</t>
  </si>
  <si>
    <t>Table40!$AO$32</t>
  </si>
  <si>
    <t>Table40!$AQ$32</t>
  </si>
  <si>
    <t>Table41!$U$12</t>
  </si>
  <si>
    <t>Table41!$W$12</t>
  </si>
  <si>
    <t>Table41!$Y$12</t>
  </si>
  <si>
    <t>Table41!$AA$12</t>
  </si>
  <si>
    <t>Table41!$AC$12</t>
  </si>
  <si>
    <t>Table41!$AE$12</t>
  </si>
  <si>
    <t>Table41!$AG$12</t>
  </si>
  <si>
    <t>Table41!$AI$12</t>
  </si>
  <si>
    <t>Table41!$AK$12</t>
  </si>
  <si>
    <t>Table41!$AM$12</t>
  </si>
  <si>
    <t>Table41!$AO$12</t>
  </si>
  <si>
    <t>Table41!$AQ$12</t>
  </si>
  <si>
    <t>Table41!$U$13</t>
  </si>
  <si>
    <t>Table41!$W$13</t>
  </si>
  <si>
    <t>Table41!$Y$13</t>
  </si>
  <si>
    <t>Table41!$AA$13</t>
  </si>
  <si>
    <t>Table41!$AC$13</t>
  </si>
  <si>
    <t>Table41!$AE$13</t>
  </si>
  <si>
    <t>Table41!$AG$13</t>
  </si>
  <si>
    <t>Table41!$AI$13</t>
  </si>
  <si>
    <t>Table41!$AK$13</t>
  </si>
  <si>
    <t>Table41!$AM$13</t>
  </si>
  <si>
    <t>Table41!$AO$13</t>
  </si>
  <si>
    <t>Table41!$AQ$13</t>
  </si>
  <si>
    <t>Table41!$U$14</t>
  </si>
  <si>
    <t>Table41!$W$14</t>
  </si>
  <si>
    <t>Table41!$Y$14</t>
  </si>
  <si>
    <t>Table41!$AA$14</t>
  </si>
  <si>
    <t>Table41!$AC$14</t>
  </si>
  <si>
    <t>Table41!$AE$14</t>
  </si>
  <si>
    <t>Table41!$AG$14</t>
  </si>
  <si>
    <t>Table41!$AI$14</t>
  </si>
  <si>
    <t>Table41!$AK$14</t>
  </si>
  <si>
    <t>Table41!$AM$14</t>
  </si>
  <si>
    <t>Table41!$AO$14</t>
  </si>
  <si>
    <t>Table41!$AQ$14</t>
  </si>
  <si>
    <t>Table41!$U$15</t>
  </si>
  <si>
    <t>Table41!$W$15</t>
  </si>
  <si>
    <t>Table41!$Y$15</t>
  </si>
  <si>
    <t>Table41!$AA$15</t>
  </si>
  <si>
    <t>Table41!$AC$15</t>
  </si>
  <si>
    <t>Table41!$AE$15</t>
  </si>
  <si>
    <t>Table41!$AG$15</t>
  </si>
  <si>
    <t>Table41!$AI$15</t>
  </si>
  <si>
    <t>Table41!$AK$15</t>
  </si>
  <si>
    <t>Table41!$AM$15</t>
  </si>
  <si>
    <t>Table41!$AO$15</t>
  </si>
  <si>
    <t>Table41!$AQ$15</t>
  </si>
  <si>
    <t>Table41!$U$16</t>
  </si>
  <si>
    <t>Table41!$W$16</t>
  </si>
  <si>
    <t>Table41!$Y$16</t>
  </si>
  <si>
    <t>Table41!$AA$16</t>
  </si>
  <si>
    <t>Table41!$AC$16</t>
  </si>
  <si>
    <t>Table41!$AE$16</t>
  </si>
  <si>
    <t>Table41!$AG$16</t>
  </si>
  <si>
    <t>Table41!$AI$16</t>
  </si>
  <si>
    <t>Table41!$AK$16</t>
  </si>
  <si>
    <t>Table41!$AM$16</t>
  </si>
  <si>
    <t>Table41!$AO$16</t>
  </si>
  <si>
    <t>Table41!$AQ$16</t>
  </si>
  <si>
    <t>Box28_part1'!$D$31</t>
  </si>
  <si>
    <t>Box28_part1'!$G$31</t>
  </si>
  <si>
    <t>Box28_part1'!$M$31</t>
  </si>
  <si>
    <t>Box28_part1'!$P$31</t>
  </si>
  <si>
    <t>Box28_part1'!$S$31</t>
  </si>
  <si>
    <t>Box28_part1'!$V$31</t>
  </si>
  <si>
    <t>Box28_part1'!$Y$31</t>
  </si>
  <si>
    <t>Box28_part1'!$D$37</t>
  </si>
  <si>
    <t>Box28_part1'!$I$37</t>
  </si>
  <si>
    <t>Box28_part1'!$N$37</t>
  </si>
  <si>
    <t>Box28_part1'!$S$37</t>
  </si>
  <si>
    <t>Box28_part1'!$D$10</t>
  </si>
  <si>
    <t>Box28_part1'!$D$11</t>
  </si>
  <si>
    <t>Box28_part1'!$D$12</t>
  </si>
  <si>
    <t>Box28_part1'!$D$13</t>
  </si>
  <si>
    <t>Box28_part1'!$D$14</t>
  </si>
  <si>
    <t>Box28_part1'!$D$15</t>
  </si>
  <si>
    <t>Box28_part1'!$D$16</t>
  </si>
  <si>
    <t>Box28_part1'!$D$17</t>
  </si>
  <si>
    <t>Box28_part1'!$D$18</t>
  </si>
  <si>
    <t>Box28_part1'!$D$19</t>
  </si>
  <si>
    <t>Box28_part1'!$D$20</t>
  </si>
  <si>
    <t>Box28_part1'!$D$22</t>
  </si>
  <si>
    <t>Box28_part1'!$D$23</t>
  </si>
  <si>
    <t>Box28_part1'!$D$24</t>
  </si>
  <si>
    <t>Box28_part1'!$D$25</t>
  </si>
  <si>
    <t>Box28_part1'!$D$26</t>
  </si>
  <si>
    <t>Box28_part1'!$J$31</t>
  </si>
  <si>
    <t>jhs_enabling_comprehensiveDRRMplan2</t>
  </si>
  <si>
    <t>Box28_part1'!$SX$37</t>
  </si>
  <si>
    <t>Box28_part5'!$D$4</t>
  </si>
  <si>
    <t>Box28_part5'!$D$5</t>
  </si>
  <si>
    <t>Box28_part5'!$J$12</t>
  </si>
  <si>
    <t>Box28_part5'!$P$12</t>
  </si>
  <si>
    <t>Box28_part5'!$AB$14</t>
  </si>
  <si>
    <t>Box28_part2_4'!$D$4</t>
  </si>
  <si>
    <t>Box28_part2_4'!$G$6</t>
  </si>
  <si>
    <t>Box28_part2_4'!$N$6</t>
  </si>
  <si>
    <t>Box28_part2_4'!$S$6</t>
  </si>
  <si>
    <t>Box28_part2_4'!$W$6</t>
  </si>
  <si>
    <t>Box28_part2_4'!$D$7</t>
  </si>
  <si>
    <t>Box28_part2_4'!$D$8</t>
  </si>
  <si>
    <t>Box28_part2_4'!$D$9</t>
  </si>
  <si>
    <t>Box28_part2_4'!$D$10</t>
  </si>
  <si>
    <t>Box28_part2_4'!$D$15</t>
  </si>
  <si>
    <t>Box28_part2_4'!$G$15</t>
  </si>
  <si>
    <t>Box28_part2_4'!$J$15</t>
  </si>
  <si>
    <t>Box28_part2_4'!$M$15</t>
  </si>
  <si>
    <t>Box28_part2_4'!$P$15</t>
  </si>
  <si>
    <t>Box28_part2_4'!$S$15</t>
  </si>
  <si>
    <t>Box28_part2_4'!$V$15</t>
  </si>
  <si>
    <t>Box28_part2_4'!$Y$15</t>
  </si>
  <si>
    <t>Box28_part2_4'!$D$22</t>
  </si>
  <si>
    <t>Box28_part2_4'!$D$23</t>
  </si>
  <si>
    <t>Box28_part2_4'!$D$27</t>
  </si>
  <si>
    <t>Box28_part2_4'!$G$27</t>
  </si>
  <si>
    <t>Box28_part2_4'!$J$27</t>
  </si>
  <si>
    <t>Box28_part2_4'!$M$27</t>
  </si>
  <si>
    <t>Box28_part2_4'!$P$27</t>
  </si>
  <si>
    <t>Box28_part2_4'!$S$27</t>
  </si>
  <si>
    <t>Box28_part2_4'!$V$27</t>
  </si>
  <si>
    <t>Box28_part2_4'!$Y$27</t>
  </si>
  <si>
    <t>Box28_part2_4'!$AB$27</t>
  </si>
  <si>
    <t>Box28_part2_4'!$D$36</t>
  </si>
  <si>
    <t>Box28_part2_4'!$G$36</t>
  </si>
  <si>
    <t>Box28_part2_4'!$M$36</t>
  </si>
  <si>
    <t>Box28_part2_4'!$AB$38</t>
  </si>
  <si>
    <t>Box28_part2_4'!$AB$40</t>
  </si>
  <si>
    <t>Box28_part2_4'!$AB$42</t>
  </si>
  <si>
    <t>Box28_part2_4'!$D$44</t>
  </si>
  <si>
    <t>Box29_part1'!$K$10</t>
  </si>
  <si>
    <t>Box29_part1'!$Q$10</t>
  </si>
  <si>
    <t>Box29_part1'!$K$11</t>
  </si>
  <si>
    <t>Box29_part1'!$Q$11</t>
  </si>
  <si>
    <t>Box29_part1'!$AB$15</t>
  </si>
  <si>
    <t>Box29_part1'!$AB$17</t>
  </si>
  <si>
    <t>Box29_part1'!$AB$19</t>
  </si>
  <si>
    <t>Box29_part1'!$AB$13</t>
  </si>
  <si>
    <t>Box29_part1'!$G$22</t>
  </si>
  <si>
    <t>Box29_part1'!$G$23</t>
  </si>
  <si>
    <t>Box29_part1'!$G$24</t>
  </si>
  <si>
    <t>Box29_part1'!$S$22</t>
  </si>
  <si>
    <t>Box29_part1'!$S$23</t>
  </si>
  <si>
    <t>Box29_part1'!$S$26</t>
  </si>
  <si>
    <t>Box29_part1'!$S$27</t>
  </si>
  <si>
    <t>Box29_part1'!$X$23</t>
  </si>
  <si>
    <t>Box29_part1'!$G$26</t>
  </si>
  <si>
    <t>Box29_part1'!$G$27</t>
  </si>
  <si>
    <t>Box29_part1'!$G$28</t>
  </si>
  <si>
    <t>Box29_part1'!$X$27</t>
  </si>
  <si>
    <t>Box29_part1'!$D$28</t>
  </si>
  <si>
    <t>Box29_part1'!$D$29</t>
  </si>
  <si>
    <t>Box29_part1'!$D$30</t>
  </si>
  <si>
    <t>Box29_part1'!$M$36</t>
  </si>
  <si>
    <t>Box29_part1'!$P$36</t>
  </si>
  <si>
    <t>Box29_part1'!$S$36</t>
  </si>
  <si>
    <t>Box29_part1'!$V$36</t>
  </si>
  <si>
    <t>Box29_part1'!$Y$36</t>
  </si>
  <si>
    <t>Box29_part1'!$AB$36</t>
  </si>
  <si>
    <t>Box29_part1'!$M$38</t>
  </si>
  <si>
    <t>Box29_part1'!$S$38</t>
  </si>
  <si>
    <t>Box29_part1'!$V$38</t>
  </si>
  <si>
    <t>Box29_part1'!$Y$38</t>
  </si>
  <si>
    <t>Box29_part1'!$AB$38</t>
  </si>
  <si>
    <t>Box29_part2'!$K$9</t>
  </si>
  <si>
    <t>Box29_part2'!$P$9</t>
  </si>
  <si>
    <t>Box29_part2'!$U$9</t>
  </si>
  <si>
    <t>Box29_part2'!$Z$9</t>
  </si>
  <si>
    <t>Box29_part2'!$K$10</t>
  </si>
  <si>
    <t>Box29_part2'!$P$10</t>
  </si>
  <si>
    <t>Box29_part2'!$U$10</t>
  </si>
  <si>
    <t>Box29_part2'!$Z$10</t>
  </si>
  <si>
    <t>Box29_part2'!$K$12</t>
  </si>
  <si>
    <t>Box29_part2'!$P$12</t>
  </si>
  <si>
    <t>Box29_part2'!$U$12</t>
  </si>
  <si>
    <t>Box29_part2'!$Z$12</t>
  </si>
  <si>
    <t>Box29_part2'!$K$13</t>
  </si>
  <si>
    <t>Box29_part2'!$P$13</t>
  </si>
  <si>
    <t>Box29_part2'!$U$13</t>
  </si>
  <si>
    <t>Box29_part2'!$Z$13</t>
  </si>
  <si>
    <t>Box30_part1'!$D$7</t>
  </si>
  <si>
    <t>Box30_part1'!$D$8</t>
  </si>
  <si>
    <t>Box30_part1'!$D$10</t>
  </si>
  <si>
    <t>Box30_part1'!$D$12</t>
  </si>
  <si>
    <t>Box30_part1'!$D$14</t>
  </si>
  <si>
    <t>Box30_part1'!$D$18</t>
  </si>
  <si>
    <t>Box30_part1'!$D$19</t>
  </si>
  <si>
    <t>Box30_part1'!$D$20</t>
  </si>
  <si>
    <t>Box30_part1'!$D$21</t>
  </si>
  <si>
    <t>Box30_part1'!$D$22</t>
  </si>
  <si>
    <t>Box30_part1'!$J$18</t>
  </si>
  <si>
    <t>Box30_part1'!$J$19</t>
  </si>
  <si>
    <t>Box30_part1'!$J$20</t>
  </si>
  <si>
    <t>Box30_part1'!$J$22</t>
  </si>
  <si>
    <t>Box30_part1'!$O$22</t>
  </si>
  <si>
    <t>Box30_part1'!$V$18</t>
  </si>
  <si>
    <t>Box30_part1'!$V$19</t>
  </si>
  <si>
    <t>Box30_part1'!$V$20</t>
  </si>
  <si>
    <t>Box30_part1'!$V$21</t>
  </si>
  <si>
    <t>Box30_part1'!$V$22</t>
  </si>
  <si>
    <t>Box30_part1'!$AA$22</t>
  </si>
  <si>
    <t>Box30_part1'!$D$26</t>
  </si>
  <si>
    <t>Box30_part1'!$D$28</t>
  </si>
  <si>
    <t>Box30_part1'!$D$29</t>
  </si>
  <si>
    <t>Box30_part1'!$D$31</t>
  </si>
  <si>
    <t>Box30_part1'!$D$33</t>
  </si>
  <si>
    <t>Box30_part1'!$D$34</t>
  </si>
  <si>
    <t>Box30_part1'!$D$36</t>
  </si>
  <si>
    <t>Box30_part1'!$T$26</t>
  </si>
  <si>
    <t>Box30_part1'!$T$29</t>
  </si>
  <si>
    <t>Box30_part1'!$T$30</t>
  </si>
  <si>
    <t>Box30_part1'!$T$32</t>
  </si>
  <si>
    <t>Box30_part1'!$T$34</t>
  </si>
  <si>
    <t>Box30_part1'!$T$36</t>
  </si>
  <si>
    <t>Box30_part1'!$D$39</t>
  </si>
  <si>
    <t>Box30_part1'!$D$42</t>
  </si>
  <si>
    <t>Box30_part1'!$T$39</t>
  </si>
  <si>
    <t>Box30_part1'!$T$41</t>
  </si>
  <si>
    <t>Box30_part1'!$G$45</t>
  </si>
  <si>
    <t>Box30_part1'!$L$45</t>
  </si>
  <si>
    <t>Box30_part1'!$R$45</t>
  </si>
  <si>
    <t>Box30_part1'!$W$45</t>
  </si>
  <si>
    <t>Box30_part1'!$AB$45</t>
  </si>
  <si>
    <t>Box30_part1'!$D$46</t>
  </si>
  <si>
    <t>Box30_part1'!$D$48</t>
  </si>
  <si>
    <t>Box30_part1'!$D$50</t>
  </si>
  <si>
    <t>Box30_part1'!$D$51</t>
  </si>
  <si>
    <t>Box30_part1'!$D$52</t>
  </si>
  <si>
    <t>Box30_part1'!$D$53</t>
  </si>
  <si>
    <t>Box30_part1'!$D$54</t>
  </si>
  <si>
    <t>Box30_part1'!$AA$56</t>
  </si>
  <si>
    <t>Box30_part1'!$AA$58</t>
  </si>
  <si>
    <t>Box30_part1'!$AA$60</t>
  </si>
  <si>
    <t>Box30_part1'!$AA$62</t>
  </si>
  <si>
    <t>Box30_part2'!$F$4</t>
  </si>
  <si>
    <t>Box30_part2'!$F$5</t>
  </si>
  <si>
    <t>Box30_part2'!$F$7</t>
  </si>
  <si>
    <t>Box30_part2'!$N$11</t>
  </si>
  <si>
    <t>Box30_part2'!$Q$11</t>
  </si>
  <si>
    <t>Box30_part2'!$N$12</t>
  </si>
  <si>
    <t>Box30_part2'!$Q$12</t>
  </si>
  <si>
    <t>Box30_part2'!$N$13</t>
  </si>
  <si>
    <t>Box30_part2'!$Q$13</t>
  </si>
  <si>
    <t>Box30_part2'!$N$14</t>
  </si>
  <si>
    <t>Box30_part2'!$Q$14</t>
  </si>
  <si>
    <t>Box30_part2'!$N$15</t>
  </si>
  <si>
    <t>Box30_part2'!$Q$15</t>
  </si>
  <si>
    <t>Box30_part2'!$N$16</t>
  </si>
  <si>
    <t>Box30_part2'!$Q$16</t>
  </si>
  <si>
    <t>Box30_part2'!$N$17</t>
  </si>
  <si>
    <t>Box30_part2'!$Q$17</t>
  </si>
  <si>
    <t>Box30_part2'!$N$18</t>
  </si>
  <si>
    <t>Box30_part2'!$Q$18</t>
  </si>
  <si>
    <t>Box30_part2'!$N$19</t>
  </si>
  <si>
    <t>Box30_part2'!$Q$19</t>
  </si>
  <si>
    <t>Box30_part2'!$N$20</t>
  </si>
  <si>
    <t>Box30_part2'!$Q$20</t>
  </si>
  <si>
    <t>Box30_part2'!$N$22</t>
  </si>
  <si>
    <t>Box30_part2'!$Q$22</t>
  </si>
  <si>
    <t>Box30_part2'!$N$24</t>
  </si>
  <si>
    <t>Box30_part2'!$Q$24</t>
  </si>
  <si>
    <t>Box30_part2'!$N$26</t>
  </si>
  <si>
    <t>Box30_part2'!$Q$26</t>
  </si>
  <si>
    <t>Box30_part2'!$N$27</t>
  </si>
  <si>
    <t>Box30_part2'!$Q$27</t>
  </si>
  <si>
    <t>Box30_part2'!$N$28</t>
  </si>
  <si>
    <t>Box30_part2'!$Q$28</t>
  </si>
  <si>
    <t>Box30_part2'!$N$29</t>
  </si>
  <si>
    <t>Box30_part2'!$Q$29</t>
  </si>
  <si>
    <t>Box30_part2'!$N$30</t>
  </si>
  <si>
    <t>Box30_part2'!$Q$30</t>
  </si>
  <si>
    <t>Box30_part2'!$N$31</t>
  </si>
  <si>
    <t>Box30_part2'!$Q$31</t>
  </si>
  <si>
    <t>Box30_part2'!$N$33</t>
  </si>
  <si>
    <t>Box30_part2'!$Q$33</t>
  </si>
  <si>
    <t>Box30_part2'!$N$34</t>
  </si>
  <si>
    <t>Box30_part2'!$Q$34</t>
  </si>
  <si>
    <t>Box30_part2'!$N$35</t>
  </si>
  <si>
    <t>Box30_part2'!$Q$35</t>
  </si>
  <si>
    <t>Box30_part2'!$N$36</t>
  </si>
  <si>
    <t>Box30_part2'!$Q$36</t>
  </si>
  <si>
    <t>Box30_part2'!$N$37</t>
  </si>
  <si>
    <t>Box30_part2'!$Q$37</t>
  </si>
  <si>
    <t>Box30_part2'!$N$38</t>
  </si>
  <si>
    <t>Box30_part2'!$Q$38</t>
  </si>
  <si>
    <t>Box30_part2'!$N$39</t>
  </si>
  <si>
    <t>Box30_part2'!$Q$39</t>
  </si>
  <si>
    <t>Box30_part2'!$N$40</t>
  </si>
  <si>
    <t>Box30_part2'!$Q$40</t>
  </si>
  <si>
    <t>Box30_part2'!$N$41</t>
  </si>
  <si>
    <t>Box30_part2'!$Q$41</t>
  </si>
  <si>
    <t>Box30_part2'!$N$42</t>
  </si>
  <si>
    <t>Box30_part2'!$Q$42</t>
  </si>
  <si>
    <t>Box30_part2'!$N$44</t>
  </si>
  <si>
    <t>Box30_part2'!$Q$44</t>
  </si>
  <si>
    <t>Box30_part2'!$AF$11</t>
  </si>
  <si>
    <t>Box30_part2'!$AI$11</t>
  </si>
  <si>
    <t>Box30_part2'!$AF$12</t>
  </si>
  <si>
    <t>Box30_part2'!$AI$12</t>
  </si>
  <si>
    <t>Box30_part2'!$AF$13</t>
  </si>
  <si>
    <t>Box30_part2'!$AI$13</t>
  </si>
  <si>
    <t>Box30_part2'!$AF$14</t>
  </si>
  <si>
    <t>Box30_part2'!$AI$14</t>
  </si>
  <si>
    <t>Box30_part2'!$AF$15</t>
  </si>
  <si>
    <t>Box30_part2'!$AI$15</t>
  </si>
  <si>
    <t>Box30_part2'!$AF$17</t>
  </si>
  <si>
    <t>Box30_part2'!$AI$17</t>
  </si>
  <si>
    <t>Box30_part2'!$AF$19</t>
  </si>
  <si>
    <t>Box30_part2'!$AI$19</t>
  </si>
  <si>
    <t>Box30_part2'!$N$48</t>
  </si>
  <si>
    <t>Box30_part2'!$P$48</t>
  </si>
  <si>
    <t>Box30_part2'!$R$48</t>
  </si>
  <si>
    <t>Box30_part2'!$T$48</t>
  </si>
  <si>
    <t>Box30_part2'!$V$48</t>
  </si>
  <si>
    <t>Box30_part2'!$X$48</t>
  </si>
  <si>
    <t>Box30_part2'!$Z$48</t>
  </si>
  <si>
    <t>Box30_part2'!$AB$48</t>
  </si>
  <si>
    <t>Box30_part2'!$AD$48</t>
  </si>
  <si>
    <t>Box30_part2'!$AF$48</t>
  </si>
  <si>
    <t>Box30_part2'!$AH$48</t>
  </si>
  <si>
    <t>Box30_part2'!$AJ$48</t>
  </si>
  <si>
    <t>Box30_part2'!$N$49</t>
  </si>
  <si>
    <t>Box30_part2'!$P$49</t>
  </si>
  <si>
    <t>Box30_part2'!$R$49</t>
  </si>
  <si>
    <t>Box30_part2'!$T$49</t>
  </si>
  <si>
    <t>Box30_part2'!$V$49</t>
  </si>
  <si>
    <t>Box30_part2'!$X$49</t>
  </si>
  <si>
    <t>Box30_part2'!$Z$49</t>
  </si>
  <si>
    <t>Box30_part2'!$AB$49</t>
  </si>
  <si>
    <t>Box30_part2'!$AD$49</t>
  </si>
  <si>
    <t>Box30_part2'!$AF$49</t>
  </si>
  <si>
    <t>Box30_part2'!$AH$49</t>
  </si>
  <si>
    <t>Box30_part2'!$AJ$49</t>
  </si>
  <si>
    <t>Box30_part2'!$N$50</t>
  </si>
  <si>
    <t>Box30_part2'!$P$50</t>
  </si>
  <si>
    <t>Box30_part2'!$R$50</t>
  </si>
  <si>
    <t>Box30_part2'!$T$50</t>
  </si>
  <si>
    <t>Box30_part2'!$V$50</t>
  </si>
  <si>
    <t>Box30_part2'!$X$50</t>
  </si>
  <si>
    <t>Box30_part2'!$Z$50</t>
  </si>
  <si>
    <t>Box30_part2'!$AB$50</t>
  </si>
  <si>
    <t>Box30_part2'!$AD$50</t>
  </si>
  <si>
    <t>Box30_part2'!$AF$50</t>
  </si>
  <si>
    <t>Box30_part2'!$AH$50</t>
  </si>
  <si>
    <t>Box30_part2'!$AJ$50</t>
  </si>
  <si>
    <t>Box30_part2'!$N$51</t>
  </si>
  <si>
    <t>Box30_part2'!$P$51</t>
  </si>
  <si>
    <t>Box30_part2'!$R$51</t>
  </si>
  <si>
    <t>Box30_part2'!$T$51</t>
  </si>
  <si>
    <t>Box30_part2'!$V$51</t>
  </si>
  <si>
    <t>Box30_part2'!$X$51</t>
  </si>
  <si>
    <t>Box30_part2'!$Z$51</t>
  </si>
  <si>
    <t>Box30_part2'!$AB$51</t>
  </si>
  <si>
    <t>Box30_part2'!$AD$51</t>
  </si>
  <si>
    <t>Box30_part2'!$AF$51</t>
  </si>
  <si>
    <t>Box30_part2'!$AH$51</t>
  </si>
  <si>
    <t>Box30_part2'!$AJ$51</t>
  </si>
  <si>
    <t>Box30_part2'!$N$52</t>
  </si>
  <si>
    <t>Box30_part2'!$P$52</t>
  </si>
  <si>
    <t>Box30_part2'!$R$52</t>
  </si>
  <si>
    <t>Box30_part2'!$T$52</t>
  </si>
  <si>
    <t>Box30_part2'!$V$52</t>
  </si>
  <si>
    <t>Box30_part2'!$X$52</t>
  </si>
  <si>
    <t>Box30_part2'!$Z$52</t>
  </si>
  <si>
    <t>Box30_part2'!$AB$52</t>
  </si>
  <si>
    <t>Box30_part2'!$AD$52</t>
  </si>
  <si>
    <t>Box30_part2'!$AF$52</t>
  </si>
  <si>
    <t>Box30_part2'!$AH$52</t>
  </si>
  <si>
    <t>Box30_part2'!$AJ$52</t>
  </si>
  <si>
    <t>Box30_part2'!$N$53</t>
  </si>
  <si>
    <t>Box30_part2'!$P$53</t>
  </si>
  <si>
    <t>Box30_part2'!$R$53</t>
  </si>
  <si>
    <t>Box30_part2'!$T$53</t>
  </si>
  <si>
    <t>Box30_part2'!$V$53</t>
  </si>
  <si>
    <t>Box30_part2'!$X$53</t>
  </si>
  <si>
    <t>Box30_part2'!$Z$53</t>
  </si>
  <si>
    <t>Box30_part2'!$AB$53</t>
  </si>
  <si>
    <t>Box30_part2'!$AD$53</t>
  </si>
  <si>
    <t>Box30_part2'!$AF$53</t>
  </si>
  <si>
    <t>Box30_part2'!$AH$53</t>
  </si>
  <si>
    <t>Box30_part2'!$AJ$53</t>
  </si>
  <si>
    <t>Box30_part2'!$F$59</t>
  </si>
  <si>
    <t>Box30_part2'!$I$59</t>
  </si>
  <si>
    <t>Box30_part2'!$L$59</t>
  </si>
  <si>
    <t>Box30_part2'!$O$59</t>
  </si>
  <si>
    <t>Box30_part2'!$F$65</t>
  </si>
  <si>
    <t>Box30_part2'!$I$65</t>
  </si>
  <si>
    <t>Box30_part2'!$L$65</t>
  </si>
  <si>
    <t>Box30_part2'!$O$65</t>
  </si>
  <si>
    <t>Box30_part2'!$R$65</t>
  </si>
  <si>
    <t>Box30_part2'!$U$65</t>
  </si>
  <si>
    <t>Box30_part2'!$X$65</t>
  </si>
  <si>
    <t>Box30_part2'!$AA$65</t>
  </si>
  <si>
    <t>Box30_part3a'!$E$4</t>
  </si>
  <si>
    <t>Box30_part3a'!$AI$5</t>
  </si>
  <si>
    <t>Box30_part3a'!$E$7</t>
  </si>
  <si>
    <t>Box30_part3a'!$M$13</t>
  </si>
  <si>
    <t>Box30_part3a'!$R$13</t>
  </si>
  <si>
    <t>Box30_part3a'!$M$15</t>
  </si>
  <si>
    <t>Box30_part3a'!$R$15</t>
  </si>
  <si>
    <t>Box30_part3a'!$M$17</t>
  </si>
  <si>
    <t>Box30_part3a'!$R$17</t>
  </si>
  <si>
    <t>Box30_part3a'!$M$19</t>
  </si>
  <si>
    <t>Box30_part3a'!$R$19</t>
  </si>
  <si>
    <t>Box30_part3a'!$M$21</t>
  </si>
  <si>
    <t>Box30_part3a'!$R$21</t>
  </si>
  <si>
    <t>Box30_part3a'!$M$22</t>
  </si>
  <si>
    <t>Box30_part3a'!$R$22</t>
  </si>
  <si>
    <t>Box30_part3a'!$M$23</t>
  </si>
  <si>
    <t>Box30_part3a'!$R$23</t>
  </si>
  <si>
    <t>Box30_part3a'!$M$24</t>
  </si>
  <si>
    <t>Box30_part3a'!$R$24</t>
  </si>
  <si>
    <t>Box30_part3a'!$AI$13</t>
  </si>
  <si>
    <t>Box30_part3a'!$AI$14</t>
  </si>
  <si>
    <t>Box30_part3a'!$AI$15</t>
  </si>
  <si>
    <t>Box30_part3a'!$AI$16</t>
  </si>
  <si>
    <t>Box30_part3a'!$AI$17</t>
  </si>
  <si>
    <t>Box30_part3a'!$AI$18</t>
  </si>
  <si>
    <t>Box30_part3a'!$AI$20</t>
  </si>
  <si>
    <t>Box30_part3a'!$AI$21</t>
  </si>
  <si>
    <t>Box30_part3a'!$AI$23</t>
  </si>
  <si>
    <t>Box30_part3a'!$O$31</t>
  </si>
  <si>
    <t>Box30_part3a'!$R$31</t>
  </si>
  <si>
    <t>Box30_part3a'!$O$32</t>
  </si>
  <si>
    <t>Box30_part3a'!$R$32</t>
  </si>
  <si>
    <t>Box30_part3a'!$E$34</t>
  </si>
  <si>
    <t>Box30_part3a'!$E$36</t>
  </si>
  <si>
    <t>Box30_part3a'!$E$41</t>
  </si>
  <si>
    <t>Box30_part3a'!$M$41</t>
  </si>
  <si>
    <t>Box30_part3a'!$E$42</t>
  </si>
  <si>
    <t>Box30_part3a'!$M$42</t>
  </si>
  <si>
    <t>Box30_part3a'!$E$43</t>
  </si>
  <si>
    <t>Box30_part3a'!$M$43</t>
  </si>
  <si>
    <t>Box30_part3a'!$E$44</t>
  </si>
  <si>
    <t>Box30_part3a'!$M$44</t>
  </si>
  <si>
    <t>Box30_part3a'!$E$45</t>
  </si>
  <si>
    <t>Box30_part3a'!$M$45</t>
  </si>
  <si>
    <t>Box30_part3a'!$E$46</t>
  </si>
  <si>
    <t>Box30_part3a'!$M$46</t>
  </si>
  <si>
    <t>Box30_part3a'!$Z$44</t>
  </si>
  <si>
    <t>Box30_part3a'!$Z$41</t>
  </si>
  <si>
    <t>Box30_part3a'!$AH$41</t>
  </si>
  <si>
    <t>Box30_part3a'!$Z$42</t>
  </si>
  <si>
    <t>Box30_part3a'!$AH$42</t>
  </si>
  <si>
    <t>Box30_part3a'!$Z$43</t>
  </si>
  <si>
    <t>Box30_part3a'!$AH$43</t>
  </si>
  <si>
    <t>Box30_part3a'!$AH$44</t>
  </si>
  <si>
    <t>Box30_part3a'!$Z$45</t>
  </si>
  <si>
    <t>Box30_part3a'!$AH$45</t>
  </si>
  <si>
    <t>Box30_part3a'!$O$53</t>
  </si>
  <si>
    <t>Box30_part3a'!$R$53</t>
  </si>
  <si>
    <t>Box30_part3a'!$U$53</t>
  </si>
  <si>
    <t>Box30_part3a'!$X$53</t>
  </si>
  <si>
    <t>Box30_part3a'!$AA$53</t>
  </si>
  <si>
    <t>Box30_part3a'!$AD$53</t>
  </si>
  <si>
    <t>Box30_part3a'!$AG$53</t>
  </si>
  <si>
    <t>Box30_part3a'!$AJ$53</t>
  </si>
  <si>
    <t>Box30_part3a'!$O$54</t>
  </si>
  <si>
    <t>Box30_part3a'!$R$54</t>
  </si>
  <si>
    <t>Box30_part3a'!$U$54</t>
  </si>
  <si>
    <t>Box30_part3a'!$X$54</t>
  </si>
  <si>
    <t>Box30_part3a'!$AA$54</t>
  </si>
  <si>
    <t>Box30_part3a'!$AD$54</t>
  </si>
  <si>
    <t>Box30_part3a'!$AG$54</t>
  </si>
  <si>
    <t>Box30_part3a'!$AJ$54</t>
  </si>
  <si>
    <t>Box30_part3a'!$O$55</t>
  </si>
  <si>
    <t>Box30_part3a'!$R$55</t>
  </si>
  <si>
    <t>Box30_part3a'!$U$55</t>
  </si>
  <si>
    <t>Box30_part3a'!$X$55</t>
  </si>
  <si>
    <t>Box30_part3a'!$AA$55</t>
  </si>
  <si>
    <t>Box30_part3a'!$AD$55</t>
  </si>
  <si>
    <t>Box30_part3a'!$AG$55</t>
  </si>
  <si>
    <t>Box30_part3a'!$AJ$55</t>
  </si>
  <si>
    <t>Box30_part3a'!$O$56</t>
  </si>
  <si>
    <t>Box30_part3a'!$R$56</t>
  </si>
  <si>
    <t>Box30_part3a'!$U$56</t>
  </si>
  <si>
    <t>Box30_part3a'!$X$56</t>
  </si>
  <si>
    <t>Box30_part3a'!$AA$56</t>
  </si>
  <si>
    <t>Box30_part3a'!$AD$56</t>
  </si>
  <si>
    <t>Box30_part3a'!$AG$56</t>
  </si>
  <si>
    <t>Box30_part3a'!$AJ$56</t>
  </si>
  <si>
    <t>Box30_part3b'!$N$10</t>
  </si>
  <si>
    <t>Box30_part3b'!$Q$10</t>
  </si>
  <si>
    <t>Box30_part3b'!$T$10</t>
  </si>
  <si>
    <t>Box30_part3b'!$W$10</t>
  </si>
  <si>
    <t>Box30_part3b'!$N$12</t>
  </si>
  <si>
    <t>Box30_part3b'!$Q$12</t>
  </si>
  <si>
    <t>Box30_part3b'!$T$12</t>
  </si>
  <si>
    <t>Box30_part3b'!$W$12</t>
  </si>
  <si>
    <t>Box30_part3b'!$N$15</t>
  </si>
  <si>
    <t>Box30_part3b'!$Q$15</t>
  </si>
  <si>
    <t>Box30_part3b'!$T$15</t>
  </si>
  <si>
    <t>Box30_part3b'!$W$15</t>
  </si>
  <si>
    <t>Box30_part3b'!$AW$5</t>
  </si>
  <si>
    <t>Box30_part3b'!$AW$7</t>
  </si>
  <si>
    <t>Box30_part3b'!$AF$10</t>
  </si>
  <si>
    <t>Box30_part3b'!$AF$12</t>
  </si>
  <si>
    <t>Box30_part3b'!$AF$14</t>
  </si>
  <si>
    <t>Box30_part3b'!$AF$16</t>
  </si>
  <si>
    <t>jhs_disaster_risk_education</t>
  </si>
  <si>
    <t>Box31_part1&amp;2'!$R$11</t>
  </si>
  <si>
    <t>Box31_part1&amp;2'!$U$11</t>
  </si>
  <si>
    <t>Box31_part1&amp;2'!$X$11</t>
  </si>
  <si>
    <t>Box31_part1&amp;2'!$AA$11</t>
  </si>
  <si>
    <t>Box31_part1&amp;2'!$AD$11</t>
  </si>
  <si>
    <t>Box31_part1&amp;2'!$AG$11</t>
  </si>
  <si>
    <t>Box31_part1&amp;2'!$AJ$11</t>
  </si>
  <si>
    <t>Box31_part1&amp;2'!$AM$11</t>
  </si>
  <si>
    <t>Box31_part1&amp;2'!$AP$11</t>
  </si>
  <si>
    <t>Box31_part1&amp;2'!$AS$11</t>
  </si>
  <si>
    <t>Box31_part1&amp;2'!$AV$11</t>
  </si>
  <si>
    <t>Box31_part1&amp;2'!$AY$11</t>
  </si>
  <si>
    <t>Box31_part1&amp;2'!$R$12</t>
  </si>
  <si>
    <t>Box31_part1&amp;2'!$U$12</t>
  </si>
  <si>
    <t>Box31_part1&amp;2'!$X$12</t>
  </si>
  <si>
    <t>Box31_part1&amp;2'!$AA$12</t>
  </si>
  <si>
    <t>Box31_part1&amp;2'!$AD$12</t>
  </si>
  <si>
    <t>Box31_part1&amp;2'!$AG$12</t>
  </si>
  <si>
    <t>Box31_part1&amp;2'!$AJ$12</t>
  </si>
  <si>
    <t>Box31_part1&amp;2'!$AM$12</t>
  </si>
  <si>
    <t>Box31_part1&amp;2'!$AP$12</t>
  </si>
  <si>
    <t>Box31_part1&amp;2'!$AS$12</t>
  </si>
  <si>
    <t>Box31_part1&amp;2'!$AV$12</t>
  </si>
  <si>
    <t>Box31_part1&amp;2'!$AY$12</t>
  </si>
  <si>
    <t>Box31_part1&amp;2'!$R$13</t>
  </si>
  <si>
    <t>Box31_part1&amp;2'!$U$13</t>
  </si>
  <si>
    <t>Box31_part1&amp;2'!$X$13</t>
  </si>
  <si>
    <t>Box31_part1&amp;2'!$AA$13</t>
  </si>
  <si>
    <t>Box31_part1&amp;2'!$AD$13</t>
  </si>
  <si>
    <t>Box31_part1&amp;2'!$AG$13</t>
  </si>
  <si>
    <t>Box31_part1&amp;2'!$AJ$13</t>
  </si>
  <si>
    <t>Box31_part1&amp;2'!$AM$13</t>
  </si>
  <si>
    <t>Box31_part1&amp;2'!$AP$13</t>
  </si>
  <si>
    <t>Box31_part1&amp;2'!$AS$13</t>
  </si>
  <si>
    <t>Box31_part1&amp;2'!$AV$13</t>
  </si>
  <si>
    <t>Box31_part1&amp;2'!$AY$13</t>
  </si>
  <si>
    <t>Box31_part1&amp;2'!$R$14</t>
  </si>
  <si>
    <t>Box31_part1&amp;2'!$U$14</t>
  </si>
  <si>
    <t>Box31_part1&amp;2'!$X$14</t>
  </si>
  <si>
    <t>Box31_part1&amp;2'!$AA$14</t>
  </si>
  <si>
    <t>Box31_part1&amp;2'!$AD$14</t>
  </si>
  <si>
    <t>Box31_part1&amp;2'!$AG$14</t>
  </si>
  <si>
    <t>Box31_part1&amp;2'!$AJ$14</t>
  </si>
  <si>
    <t>Box31_part1&amp;2'!$AM$14</t>
  </si>
  <si>
    <t>Box31_part1&amp;2'!$AP$14</t>
  </si>
  <si>
    <t>Box31_part1&amp;2'!$AS$14</t>
  </si>
  <si>
    <t>Box31_part1&amp;2'!$AV$14</t>
  </si>
  <si>
    <t>Box31_part1&amp;2'!$AY$14</t>
  </si>
  <si>
    <t>Box31_part1&amp;2'!$R$15</t>
  </si>
  <si>
    <t>Box31_part1&amp;2'!$U$15</t>
  </si>
  <si>
    <t>Box31_part1&amp;2'!$X$15</t>
  </si>
  <si>
    <t>Box31_part1&amp;2'!$AA$15</t>
  </si>
  <si>
    <t>Box31_part1&amp;2'!$AD$15</t>
  </si>
  <si>
    <t>Box31_part1&amp;2'!$AG$15</t>
  </si>
  <si>
    <t>Box31_part1&amp;2'!$AJ$15</t>
  </si>
  <si>
    <t>Box31_part1&amp;2'!$AM$15</t>
  </si>
  <si>
    <t>Box31_part1&amp;2'!$AP$15</t>
  </si>
  <si>
    <t>Box31_part1&amp;2'!$AS$15</t>
  </si>
  <si>
    <t>Box31_part1&amp;2'!$AV$15</t>
  </si>
  <si>
    <t>Box31_part1&amp;2'!$AY$15</t>
  </si>
  <si>
    <t>Box31_part1&amp;2'!$R$16</t>
  </si>
  <si>
    <t>Box31_part1&amp;2'!$U$16</t>
  </si>
  <si>
    <t>Box31_part1&amp;2'!$X$16</t>
  </si>
  <si>
    <t>Box31_part1&amp;2'!$AA$16</t>
  </si>
  <si>
    <t>Box31_part1&amp;2'!$AD$16</t>
  </si>
  <si>
    <t>Box31_part1&amp;2'!$AG$16</t>
  </si>
  <si>
    <t>Box31_part1&amp;2'!$AJ$16</t>
  </si>
  <si>
    <t>Box31_part1&amp;2'!$AM$16</t>
  </si>
  <si>
    <t>Box31_part1&amp;2'!$AP$16</t>
  </si>
  <si>
    <t>Box31_part1&amp;2'!$AS$16</t>
  </si>
  <si>
    <t>Box31_part1&amp;2'!$AV$16</t>
  </si>
  <si>
    <t>Box31_part1&amp;2'!$AY$16</t>
  </si>
  <si>
    <t>Box31_part1&amp;2'!$R$17</t>
  </si>
  <si>
    <t>Box31_part1&amp;2'!$U$17</t>
  </si>
  <si>
    <t>Box31_part1&amp;2'!$X$17</t>
  </si>
  <si>
    <t>Box31_part1&amp;2'!$AA$17</t>
  </si>
  <si>
    <t>Box31_part1&amp;2'!$AD$17</t>
  </si>
  <si>
    <t>Box31_part1&amp;2'!$AG$17</t>
  </si>
  <si>
    <t>Box31_part1&amp;2'!$AJ$17</t>
  </si>
  <si>
    <t>Box31_part1&amp;2'!$AM$17</t>
  </si>
  <si>
    <t>Box31_part1&amp;2'!$AP$17</t>
  </si>
  <si>
    <t>Box31_part1&amp;2'!$AS$17</t>
  </si>
  <si>
    <t>Box31_part1&amp;2'!$AV$17</t>
  </si>
  <si>
    <t>Box31_part1&amp;2'!$AY$17</t>
  </si>
  <si>
    <t>Box31_part1&amp;2'!$I$23</t>
  </si>
  <si>
    <t>Box31_part1&amp;2'!$N$23</t>
  </si>
  <si>
    <t>Box31_part1&amp;2'!$S$23</t>
  </si>
  <si>
    <t>Box31_part1&amp;2'!$X$23</t>
  </si>
  <si>
    <t>Box31_part1&amp;2'!$AC$23</t>
  </si>
  <si>
    <t>Box31_part1&amp;2'!$AH$23</t>
  </si>
  <si>
    <t>Box31_part1&amp;2'!$I$24</t>
  </si>
  <si>
    <t>Box31_part1&amp;2'!$N$24</t>
  </si>
  <si>
    <t>Box31_part1&amp;2'!$S$24</t>
  </si>
  <si>
    <t>Box31_part1&amp;2'!$X$24</t>
  </si>
  <si>
    <t>Box31_part1&amp;2'!$AC$24</t>
  </si>
  <si>
    <t>Box31_part1&amp;2'!$AH$24</t>
  </si>
  <si>
    <t>Box31_part1&amp;2'!$I$25</t>
  </si>
  <si>
    <t>Box31_part1&amp;2'!$N$25</t>
  </si>
  <si>
    <t>Box31_part1&amp;2'!$S$25</t>
  </si>
  <si>
    <t>Box31_part1&amp;2'!$X$25</t>
  </si>
  <si>
    <t>Box31_part1&amp;2'!$AC$25</t>
  </si>
  <si>
    <t>Box31_part1&amp;2'!$AH$25</t>
  </si>
  <si>
    <t>Box31_part1&amp;2'!$D$27</t>
  </si>
  <si>
    <t>Box31_part1&amp;2'!$D$32</t>
  </si>
  <si>
    <t>Box31_part1&amp;2'!$D$36</t>
  </si>
  <si>
    <t>Box31_part1&amp;2'!$AF$39</t>
  </si>
  <si>
    <t>Box31_part1&amp;2'!$AI$39</t>
  </si>
  <si>
    <t>Box31_part1&amp;2'!$AL$39</t>
  </si>
  <si>
    <t>Box31_part1&amp;2'!$AO$39</t>
  </si>
  <si>
    <t>Box31_part1&amp;2'!$N$45</t>
  </si>
  <si>
    <t>Box31_part1&amp;2'!$Q$45</t>
  </si>
  <si>
    <t>Box31_part1&amp;2'!$T$45</t>
  </si>
  <si>
    <t>Box31_part1&amp;2'!$W$45</t>
  </si>
  <si>
    <t>Box31_part1&amp;2'!$Z$45</t>
  </si>
  <si>
    <t>Box31_part1&amp;2'!$AC$45</t>
  </si>
  <si>
    <t>Box31_part1&amp;2'!$AF$45</t>
  </si>
  <si>
    <t>Box31_part1&amp;2'!$AI$45</t>
  </si>
  <si>
    <t>Box31_part1&amp;2'!$N$46</t>
  </si>
  <si>
    <t>Box31_part1&amp;2'!$Q$46</t>
  </si>
  <si>
    <t>Box31_part1&amp;2'!$T$46</t>
  </si>
  <si>
    <t>Box31_part1&amp;2'!$W$46</t>
  </si>
  <si>
    <t>Box31_part1&amp;2'!$Z$46</t>
  </si>
  <si>
    <t>Box31_part1&amp;2'!$AC$46</t>
  </si>
  <si>
    <t>Box31_part1&amp;2'!$AF$46</t>
  </si>
  <si>
    <t>Box31_part1&amp;2'!$AI$46</t>
  </si>
  <si>
    <t>Box31_part1&amp;2'!$N$47</t>
  </si>
  <si>
    <t>Box31_part1&amp;2'!$Q$47</t>
  </si>
  <si>
    <t>Box31_part1&amp;2'!$T$47</t>
  </si>
  <si>
    <t>Box31_part1&amp;2'!$W$47</t>
  </si>
  <si>
    <t>Box31_part1&amp;2'!$Z$47</t>
  </si>
  <si>
    <t>Box31_part1&amp;2'!$AC$47</t>
  </si>
  <si>
    <t>Box31_part1&amp;2'!$AF$47</t>
  </si>
  <si>
    <t>Box31_part1&amp;2'!$AI$47</t>
  </si>
  <si>
    <t>Box31_part1&amp;2'!$N$48</t>
  </si>
  <si>
    <t>Box31_part1&amp;2'!$Q$48</t>
  </si>
  <si>
    <t>Box31_part1&amp;2'!$T$48</t>
  </si>
  <si>
    <t>Box31_part1&amp;2'!$W$48</t>
  </si>
  <si>
    <t>Box31_part1&amp;2'!$Z$48</t>
  </si>
  <si>
    <t>Box31_part1&amp;2'!$AC$48</t>
  </si>
  <si>
    <t>Box31_part1&amp;2'!$AF$48</t>
  </si>
  <si>
    <t>Box31_part1&amp;2'!$AI$48</t>
  </si>
  <si>
    <t>Box31_part3a'!$F$8</t>
  </si>
  <si>
    <t>Box31_part3a'!$I$8</t>
  </si>
  <si>
    <t>Box31_part3a'!$L$8</t>
  </si>
  <si>
    <t>Box31_part3a'!$O$8</t>
  </si>
  <si>
    <t>Box31_part3a'!$F$13</t>
  </si>
  <si>
    <t>Box31_part3a'!$K$13</t>
  </si>
  <si>
    <t>Box31_part3a'!$P$13</t>
  </si>
  <si>
    <t>Box31_part3a'!$U$13</t>
  </si>
  <si>
    <t>Box31_part3a'!$Z$13</t>
  </si>
  <si>
    <t>Box31_part3a'!$Z$20</t>
  </si>
  <si>
    <t>Box31_part3a'!$AC$20</t>
  </si>
  <si>
    <t>Box31_part3a'!$AF$20</t>
  </si>
  <si>
    <t>Box31_part3a'!$AI$20</t>
  </si>
  <si>
    <t>Box31_part3a'!$Z$27</t>
  </si>
  <si>
    <t>Box31_part3a'!$Z$34</t>
  </si>
  <si>
    <t>Box31_part3a'!$AC$21</t>
  </si>
  <si>
    <t>Box31_part3a'!$AF$21</t>
  </si>
  <si>
    <t>Box31_part3a'!$AI$21</t>
  </si>
  <si>
    <t>Box31_part3a'!$Z$41</t>
  </si>
  <si>
    <t>Box31_part3a'!$Z$48</t>
  </si>
  <si>
    <t>Box31_part3a'!$AC$22</t>
  </si>
  <si>
    <t>Box31_part3a'!$AF$22</t>
  </si>
  <si>
    <t>Box31_part3a'!$AI$22</t>
  </si>
  <si>
    <t>Box31_part3a'!$Z$21</t>
  </si>
  <si>
    <t>Box31_part3a'!$Z$22</t>
  </si>
  <si>
    <t>Box31_part3a'!$Z$23</t>
  </si>
  <si>
    <t>Box31_part3a'!$AC$23</t>
  </si>
  <si>
    <t>Box31_part3a'!$AF$23</t>
  </si>
  <si>
    <t>Box31_part3a'!$AI$23</t>
  </si>
  <si>
    <t>Box31_part3a'!$Z$24</t>
  </si>
  <si>
    <t>Box31_part3a'!$AC$24</t>
  </si>
  <si>
    <t>Box31_part3a'!$AF$24</t>
  </si>
  <si>
    <t>Box31_part3a'!$AI$24</t>
  </si>
  <si>
    <t>Box31_part3a'!$Z$25</t>
  </si>
  <si>
    <t>Box31_part3a'!$AC$25</t>
  </si>
  <si>
    <t>Box31_part3a'!$AF$25</t>
  </si>
  <si>
    <t>Box31_part3a'!$AI$25</t>
  </si>
  <si>
    <t>Box31_part3a'!$Z$26</t>
  </si>
  <si>
    <t>Box31_part3a'!$AC$26</t>
  </si>
  <si>
    <t>Box31_part3a'!$AF$26</t>
  </si>
  <si>
    <t>Box31_part3a'!$AI$26</t>
  </si>
  <si>
    <t>Box31_part3a'!$AC$27</t>
  </si>
  <si>
    <t>Box31_part3a'!$AF$27</t>
  </si>
  <si>
    <t>Box31_part3a'!$AI$27</t>
  </si>
  <si>
    <t>Box31_part3a'!$Z$28</t>
  </si>
  <si>
    <t>Box31_part3a'!$AC$28</t>
  </si>
  <si>
    <t>Box31_part3a'!$AF$28</t>
  </si>
  <si>
    <t>Box31_part3a'!$AI$28</t>
  </si>
  <si>
    <t>Box31_part3a'!$K$28</t>
  </si>
  <si>
    <t>Box31_part3a'!$Z$31</t>
  </si>
  <si>
    <t>Box31_part3a'!$AC$31</t>
  </si>
  <si>
    <t>Box31_part3a'!$AF$31</t>
  </si>
  <si>
    <t>Box31_part3a'!$AI$31</t>
  </si>
  <si>
    <t>Box31_part3a'!$Z$32</t>
  </si>
  <si>
    <t>Box31_part3a'!$AC$32</t>
  </si>
  <si>
    <t>Box31_part3a'!$AF$32</t>
  </si>
  <si>
    <t>Box31_part3a'!$AI$32</t>
  </si>
  <si>
    <t>Box31_part3a'!$Z$33</t>
  </si>
  <si>
    <t>Box31_part3a'!$AC$33</t>
  </si>
  <si>
    <t>Box31_part3a'!$AF$33</t>
  </si>
  <si>
    <t>Box31_part3a'!$AI$33</t>
  </si>
  <si>
    <t>Box31_part3a'!$AC$34</t>
  </si>
  <si>
    <t>Box31_part3a'!$AF$34</t>
  </si>
  <si>
    <t>Box31_part3a'!$AI$34</t>
  </si>
  <si>
    <t>Box31_part3a'!$Z$35</t>
  </si>
  <si>
    <t>Box31_part3a'!$AC$35</t>
  </si>
  <si>
    <t>Box31_part3a'!$AF$35</t>
  </si>
  <si>
    <t>Box31_part3a'!$AI$35</t>
  </si>
  <si>
    <t>Box31_part3a'!$Z$36</t>
  </si>
  <si>
    <t>Box31_part3a'!$AC$36</t>
  </si>
  <si>
    <t>Box31_part3a'!$AF$36</t>
  </si>
  <si>
    <t>Box31_part3a'!$AI$36</t>
  </si>
  <si>
    <t>Box31_part3a'!$Z$37</t>
  </si>
  <si>
    <t>Box31_part3a'!$AC$37</t>
  </si>
  <si>
    <t>Box31_part3a'!$AF$37</t>
  </si>
  <si>
    <t>Box31_part3a'!$AI$37</t>
  </si>
  <si>
    <t>Box31_part3a'!$Z$38</t>
  </si>
  <si>
    <t>Box31_part3a'!$AC$38</t>
  </si>
  <si>
    <t>Box31_part3a'!$AF$38</t>
  </si>
  <si>
    <t>Box31_part3a'!$AI$38</t>
  </si>
  <si>
    <t>Box31_part3a'!$Z$39</t>
  </si>
  <si>
    <t>Box31_part3a'!$AC$39</t>
  </si>
  <si>
    <t>Box31_part3a'!$AF$39</t>
  </si>
  <si>
    <t>Box31_part3a'!$AI$39</t>
  </si>
  <si>
    <t>Box31_part3a'!$Z$40</t>
  </si>
  <si>
    <t>Box31_part3a'!$AC$40</t>
  </si>
  <si>
    <t>Box31_part3a'!$AF$40</t>
  </si>
  <si>
    <t>Box31_part3a'!$AI$40</t>
  </si>
  <si>
    <t>Box31_part3a'!$AC$41</t>
  </si>
  <si>
    <t>Box31_part3a'!$AF$41</t>
  </si>
  <si>
    <t>Box31_part3a'!$AI$41</t>
  </si>
  <si>
    <t>Box31_part3a'!$Z$42</t>
  </si>
  <si>
    <t>Box31_part3a'!$AC$42</t>
  </si>
  <si>
    <t>Box31_part3a'!$AF$42</t>
  </si>
  <si>
    <t>Box31_part3a'!$AI$42</t>
  </si>
  <si>
    <t>Box31_part3a'!$Z$43</t>
  </si>
  <si>
    <t>Box31_part3a'!$AC$43</t>
  </si>
  <si>
    <t>Box31_part3a'!$AF$43</t>
  </si>
  <si>
    <t>Box31_part3a'!$AI$43</t>
  </si>
  <si>
    <t>Box31_part3a'!$Z$44</t>
  </si>
  <si>
    <t>Box31_part3a'!$AC$44</t>
  </si>
  <si>
    <t>Box31_part3a'!$AF$44</t>
  </si>
  <si>
    <t>Box31_part3a'!$AI$44</t>
  </si>
  <si>
    <t>Box31_part3a'!$K$44</t>
  </si>
  <si>
    <t>Box31_part3a'!$Z$47</t>
  </si>
  <si>
    <t>Box31_part3a'!$AC$47</t>
  </si>
  <si>
    <t>Box31_part3a'!$AF$47</t>
  </si>
  <si>
    <t>Box31_part3a'!$AI$47</t>
  </si>
  <si>
    <t>Box31_part3a'!$AC$48</t>
  </si>
  <si>
    <t>Box31_part3a'!$AF$48</t>
  </si>
  <si>
    <t>Box31_part3a'!$AI$48</t>
  </si>
  <si>
    <t>Box31_part3a'!$Z$49</t>
  </si>
  <si>
    <t>Box31_part3a'!$AC$49</t>
  </si>
  <si>
    <t>Box31_part3a'!$AF$49</t>
  </si>
  <si>
    <t>Box31_part3a'!$AI$49</t>
  </si>
  <si>
    <t>Box31_part3a'!$Z$50</t>
  </si>
  <si>
    <t>Box31_part3a'!$AC$50</t>
  </si>
  <si>
    <t>Box31_part3a'!$AF$50</t>
  </si>
  <si>
    <t>Box31_part3a'!$AI$50</t>
  </si>
  <si>
    <t>Box31_part3a'!$Z$51</t>
  </si>
  <si>
    <t>Box31_part3a'!$AC$51</t>
  </si>
  <si>
    <t>Box31_part3a'!$AF$51</t>
  </si>
  <si>
    <t>Box31_part3a'!$AI$51</t>
  </si>
  <si>
    <t>Box31_part3a'!$K$51</t>
  </si>
  <si>
    <t>Box31_part3b'!$P$9</t>
  </si>
  <si>
    <t>Box31_part3b'!$S$9</t>
  </si>
  <si>
    <t>Box31_part3b'!$V$9</t>
  </si>
  <si>
    <t>Box31_part3b'!$Y$9</t>
  </si>
  <si>
    <t>Box31_part3b'!$AB$9</t>
  </si>
  <si>
    <t>Box31_part3b'!$AE$9</t>
  </si>
  <si>
    <t>Box31_part3b'!$AH$9</t>
  </si>
  <si>
    <t>Box31_part3b'!$AK$9</t>
  </si>
  <si>
    <t>Box31_part3b'!$P$10</t>
  </si>
  <si>
    <t>Box31_part3b'!$S$10</t>
  </si>
  <si>
    <t>Box31_part3b'!$V$10</t>
  </si>
  <si>
    <t>Box31_part3b'!$Y$10</t>
  </si>
  <si>
    <t>Box31_part3b'!$AB$10</t>
  </si>
  <si>
    <t>Box31_part3b'!$AE$10</t>
  </si>
  <si>
    <t>Box31_part3b'!$AH$10</t>
  </si>
  <si>
    <t>Box31_part3b'!$AK$10</t>
  </si>
  <si>
    <t>Box31_part3b'!$P$11</t>
  </si>
  <si>
    <t>Box31_part3b'!$S$11</t>
  </si>
  <si>
    <t>Box31_part3b'!$V$11</t>
  </si>
  <si>
    <t>Box31_part3b'!$Y$11</t>
  </si>
  <si>
    <t>Box31_part3b'!$AB$11</t>
  </si>
  <si>
    <t>Box31_part3b'!$AE$11</t>
  </si>
  <si>
    <t>Box31_part3b'!$AH$11</t>
  </si>
  <si>
    <t>Box31_part3b'!$AK$11</t>
  </si>
  <si>
    <t>Box31_part3b'!$P$12</t>
  </si>
  <si>
    <t>Box31_part3b'!$S$12</t>
  </si>
  <si>
    <t>Box31_part3b'!$V$12</t>
  </si>
  <si>
    <t>Box31_part3b'!$Y$12</t>
  </si>
  <si>
    <t>Box31_part3b'!$AB$12</t>
  </si>
  <si>
    <t>Box31_part3b'!$AE$12</t>
  </si>
  <si>
    <t>Box31_part3b'!$AH$12</t>
  </si>
  <si>
    <t>Box31_part3b'!$AK$12</t>
  </si>
  <si>
    <t>Box31_part3b'!$P$13</t>
  </si>
  <si>
    <t>Box31_part3b'!$S$13</t>
  </si>
  <si>
    <t>Box31_part3b'!$V$13</t>
  </si>
  <si>
    <t>Box31_part3b'!$Y$13</t>
  </si>
  <si>
    <t>Box31_part3b'!$AB$13</t>
  </si>
  <si>
    <t>Box31_part3b'!$AE$13</t>
  </si>
  <si>
    <t>Box31_part3b'!$AH$13</t>
  </si>
  <si>
    <t>Box31_part3b'!$AK$13</t>
  </si>
  <si>
    <t>Box31_part3b'!$P$14</t>
  </si>
  <si>
    <t>Box31_part3b'!$S$14</t>
  </si>
  <si>
    <t>Box31_part3b'!$V$14</t>
  </si>
  <si>
    <t>Box31_part3b'!$Y$14</t>
  </si>
  <si>
    <t>Box31_part3b'!$AB$14</t>
  </si>
  <si>
    <t>Box31_part3b'!$AE$14</t>
  </si>
  <si>
    <t>Box31_part3b'!$AH$14</t>
  </si>
  <si>
    <t>Box31_part3b'!$AK$14</t>
  </si>
  <si>
    <t>Box31_part3b'!$P$15</t>
  </si>
  <si>
    <t>Box31_part3b'!$S$15</t>
  </si>
  <si>
    <t>Box31_part3b'!$V$15</t>
  </si>
  <si>
    <t>Box31_part3b'!$Y$15</t>
  </si>
  <si>
    <t>Box31_part3b'!$AB$15</t>
  </si>
  <si>
    <t>Box31_part3b'!$AE$15</t>
  </si>
  <si>
    <t>Box31_part3b'!$AH$15</t>
  </si>
  <si>
    <t>Box31_part3b'!$AK$15</t>
  </si>
  <si>
    <t>Box31_part3b'!$P$16</t>
  </si>
  <si>
    <t>Box31_part3b'!$S$16</t>
  </si>
  <si>
    <t>Box31_part3b'!$V$16</t>
  </si>
  <si>
    <t>Box31_part3b'!$Y$16</t>
  </si>
  <si>
    <t>Box31_part3b'!$AB$16</t>
  </si>
  <si>
    <t>Box31_part3b'!$AE$16</t>
  </si>
  <si>
    <t>Box31_part3b'!$AH$16</t>
  </si>
  <si>
    <t>Box31_part3b'!$AK$16</t>
  </si>
  <si>
    <t>Box31_part3b'!$P$17</t>
  </si>
  <si>
    <t>Box31_part3b'!$S$17</t>
  </si>
  <si>
    <t>Box31_part3b'!$V$17</t>
  </si>
  <si>
    <t>Box31_part3b'!$Y$17</t>
  </si>
  <si>
    <t>Box31_part3b'!$AB$17</t>
  </si>
  <si>
    <t>Box31_part3b'!$AE$17</t>
  </si>
  <si>
    <t>Box31_part3b'!$AH$17</t>
  </si>
  <si>
    <t>Box31_part3b'!$AK$17</t>
  </si>
  <si>
    <t>Box31_part3b'!$P$18</t>
  </si>
  <si>
    <t>Box31_part3b'!$S$18</t>
  </si>
  <si>
    <t>Box31_part3b'!$V$18</t>
  </si>
  <si>
    <t>Box31_part3b'!$Y$18</t>
  </si>
  <si>
    <t>Box31_part3b'!$AB$18</t>
  </si>
  <si>
    <t>Box31_part3b'!$AE$18</t>
  </si>
  <si>
    <t>Box31_part3b'!$AH$18</t>
  </si>
  <si>
    <t>Box31_part3b'!$AK$18</t>
  </si>
  <si>
    <t>Box31_part3b'!$P$19</t>
  </si>
  <si>
    <t>Box31_part3b'!$P$22</t>
  </si>
  <si>
    <t>Box31_part3b'!$S$22</t>
  </si>
  <si>
    <t>Box31_part3b'!$V$22</t>
  </si>
  <si>
    <t>Box31_part3b'!$Y$22</t>
  </si>
  <si>
    <t>Box31_part3b'!$AB$22</t>
  </si>
  <si>
    <t>Box31_part3b'!$AE$22</t>
  </si>
  <si>
    <t>Box31_part3b'!$AH$22</t>
  </si>
  <si>
    <t>Box31_part3b'!$AK$22</t>
  </si>
  <si>
    <t>Box31_part3b'!$P$23</t>
  </si>
  <si>
    <t>Box31_part3b'!$S$23</t>
  </si>
  <si>
    <t>Box31_part3b'!$V$23</t>
  </si>
  <si>
    <t>Box31_part3b'!$Y$23</t>
  </si>
  <si>
    <t>Box31_part3b'!$AB$23</t>
  </si>
  <si>
    <t>Box31_part3b'!$AE$23</t>
  </si>
  <si>
    <t>Box31_part3b'!$AH$23</t>
  </si>
  <si>
    <t>Box31_part3b'!$AK$23</t>
  </si>
  <si>
    <t>Box31_part3b'!$P$24</t>
  </si>
  <si>
    <t>Box31_part3b'!$S$24</t>
  </si>
  <si>
    <t>Box31_part3b'!$V$24</t>
  </si>
  <si>
    <t>Box31_part3b'!$Y$24</t>
  </si>
  <si>
    <t>Box31_part3b'!$AB$24</t>
  </si>
  <si>
    <t>Box31_part3b'!$AE$24</t>
  </si>
  <si>
    <t>Box31_part3b'!$AH$24</t>
  </si>
  <si>
    <t>Box31_part3b'!$AK$24</t>
  </si>
  <si>
    <t>Box31_part3b'!$P$25</t>
  </si>
  <si>
    <t>Box31_part3b'!$S$25</t>
  </si>
  <si>
    <t>Box31_part3b'!$V$25</t>
  </si>
  <si>
    <t>Box31_part3b'!$Y$25</t>
  </si>
  <si>
    <t>Box31_part3b'!$AB$25</t>
  </si>
  <si>
    <t>Box31_part3b'!$AE$25</t>
  </si>
  <si>
    <t>Box31_part3b'!$AH$25</t>
  </si>
  <si>
    <t>Box31_part3b'!$AK$25</t>
  </si>
  <si>
    <t>Box31_part3b'!$P$26</t>
  </si>
  <si>
    <t>Box31_part3b'!$S$26</t>
  </si>
  <si>
    <t>Box31_part3b'!$V$26</t>
  </si>
  <si>
    <t>Box31_part3b'!$Y$26</t>
  </si>
  <si>
    <t>Box31_part3b'!$AB$26</t>
  </si>
  <si>
    <t>Box31_part3b'!$AE$26</t>
  </si>
  <si>
    <t>Box31_part3b'!$AH$26</t>
  </si>
  <si>
    <t>Box31_part3b'!$AK$26</t>
  </si>
  <si>
    <t>Box31_part3b'!$P$27</t>
  </si>
  <si>
    <t>Box31_part3b'!$S$27</t>
  </si>
  <si>
    <t>Box31_part3b'!$V$27</t>
  </si>
  <si>
    <t>Box31_part3b'!$Y$27</t>
  </si>
  <si>
    <t>Box31_part3b'!$AB$27</t>
  </si>
  <si>
    <t>Box31_part3b'!$AE$27</t>
  </si>
  <si>
    <t>Box31_part3b'!$AH$27</t>
  </si>
  <si>
    <t>Box31_part3b'!$AK$27</t>
  </si>
  <si>
    <t>Box31_part3b'!$P$28</t>
  </si>
  <si>
    <t>Box31_part3b'!$S$28</t>
  </si>
  <si>
    <t>Box31_part3b'!$V$28</t>
  </si>
  <si>
    <t>Box31_part3b'!$Y$28</t>
  </si>
  <si>
    <t>Box31_part3b'!$AB$28</t>
  </si>
  <si>
    <t>Box31_part3b'!$AE$28</t>
  </si>
  <si>
    <t>Box31_part3b'!$AH$28</t>
  </si>
  <si>
    <t>Box31_part3b'!$AK$28</t>
  </si>
  <si>
    <t>Box31_part3b'!$P$29</t>
  </si>
  <si>
    <t>Box31_part3b'!$S$29</t>
  </si>
  <si>
    <t>Box31_part3b'!$V$29</t>
  </si>
  <si>
    <t>Box31_part3b'!$Y$29</t>
  </si>
  <si>
    <t>Box31_part3b'!$AB$29</t>
  </si>
  <si>
    <t>Box31_part3b'!$AE$29</t>
  </si>
  <si>
    <t>Box31_part3b'!$AH$29</t>
  </si>
  <si>
    <t>Box31_part3b'!$AK$29</t>
  </si>
  <si>
    <t>Box31_part3b'!$P$30</t>
  </si>
  <si>
    <t>Box31_part3b'!$S$30</t>
  </si>
  <si>
    <t>Box31_part3b'!$V$30</t>
  </si>
  <si>
    <t>Box31_part3b'!$Y$30</t>
  </si>
  <si>
    <t>Box31_part3b'!$AB$30</t>
  </si>
  <si>
    <t>Box31_part3b'!$AE$30</t>
  </si>
  <si>
    <t>Box31_part3b'!$AH$30</t>
  </si>
  <si>
    <t>Box31_part3b'!$AK$30</t>
  </si>
  <si>
    <t>Box31_part3b'!$P$31</t>
  </si>
  <si>
    <t>Box31_part3b'!$S$31</t>
  </si>
  <si>
    <t>Box31_part3b'!$V$31</t>
  </si>
  <si>
    <t>Box31_part3b'!$Y$31</t>
  </si>
  <si>
    <t>Box31_part3b'!$AB$31</t>
  </si>
  <si>
    <t>Box31_part3b'!$AE$31</t>
  </si>
  <si>
    <t>Box31_part3b'!$AH$31</t>
  </si>
  <si>
    <t>Box31_part3b'!$AK$31</t>
  </si>
  <si>
    <t>Box31_part3b'!$P$32</t>
  </si>
  <si>
    <t>Box31_part3b'!$S$32</t>
  </si>
  <si>
    <t>Box31_part3b'!$V$32</t>
  </si>
  <si>
    <t>Box31_part3b'!$Y$32</t>
  </si>
  <si>
    <t>Box31_part3b'!$AB$32</t>
  </si>
  <si>
    <t>Box31_part3b'!$AE$32</t>
  </si>
  <si>
    <t>Box31_part3b'!$AH$32</t>
  </si>
  <si>
    <t>Box31_part3b'!$AK$32</t>
  </si>
  <si>
    <t>Box31_part3b'!$P$33</t>
  </si>
  <si>
    <t>Box31_part3b'!$S$33</t>
  </si>
  <si>
    <t>Box31_part3b'!$V$33</t>
  </si>
  <si>
    <t>Box31_part3b'!$Y$33</t>
  </si>
  <si>
    <t>Box31_part3b'!$AB$33</t>
  </si>
  <si>
    <t>Box31_part3b'!$AE$33</t>
  </si>
  <si>
    <t>Box31_part3b'!$AH$33</t>
  </si>
  <si>
    <t>Box31_part3b'!$AK$33</t>
  </si>
  <si>
    <t>Box31_part3b'!$E$34</t>
  </si>
  <si>
    <t>Box31_part3b'!$P$37</t>
  </si>
  <si>
    <t>Box31_part3b'!$S$37</t>
  </si>
  <si>
    <t>Box31_part3b'!$V$37</t>
  </si>
  <si>
    <t>Box31_part3b'!$Y$37</t>
  </si>
  <si>
    <t>Box31_part3b'!$AB$37</t>
  </si>
  <si>
    <t>Box31_part3b'!$AE$37</t>
  </si>
  <si>
    <t>Box31_part3b'!$AH$37</t>
  </si>
  <si>
    <t>Box31_part3b'!$AK$37</t>
  </si>
  <si>
    <t>Box31_part3b'!$P$38</t>
  </si>
  <si>
    <t>Box31_part3b'!$S$38</t>
  </si>
  <si>
    <t>Box31_part3b'!$V$38</t>
  </si>
  <si>
    <t>Box31_part3b'!$Y$38</t>
  </si>
  <si>
    <t>Box31_part3b'!$AB$38</t>
  </si>
  <si>
    <t>Box31_part3b'!$AE$38</t>
  </si>
  <si>
    <t>Box31_part3b'!$AH$38</t>
  </si>
  <si>
    <t>Box31_part3b'!$AK$38</t>
  </si>
  <si>
    <t>Box31_part3b'!$P$39</t>
  </si>
  <si>
    <t>Box31_part3b'!$S$39</t>
  </si>
  <si>
    <t>Box31_part3b'!$V$39</t>
  </si>
  <si>
    <t>Box31_part3b'!$Y$39</t>
  </si>
  <si>
    <t>Box31_part3b'!$AB$39</t>
  </si>
  <si>
    <t>Box31_part3b'!$AE$39</t>
  </si>
  <si>
    <t>Box31_part3b'!$AH$39</t>
  </si>
  <si>
    <t>Box31_part3b'!$AK$39</t>
  </si>
  <si>
    <t>Box31_part3b'!$P$40</t>
  </si>
  <si>
    <t>Box31_part3b'!$S$40</t>
  </si>
  <si>
    <t>Box31_part3b'!$V$40</t>
  </si>
  <si>
    <t>Box31_part3b'!$Y$40</t>
  </si>
  <si>
    <t>Box31_part3b'!$AB$40</t>
  </si>
  <si>
    <t>Box31_part3b'!$AE$40</t>
  </si>
  <si>
    <t>Box31_part3b'!$AH$40</t>
  </si>
  <si>
    <t>Box31_part3b'!$AK$40</t>
  </si>
  <si>
    <t>Box31_part3b'!$P$41</t>
  </si>
  <si>
    <t>Box31_part3b'!$S$41</t>
  </si>
  <si>
    <t>Box31_part3b'!$V$41</t>
  </si>
  <si>
    <t>Box31_part3b'!$Y$41</t>
  </si>
  <si>
    <t>Box31_part3b'!$AB$41</t>
  </si>
  <si>
    <t>Box31_part3b'!$AE$41</t>
  </si>
  <si>
    <t>Box31_part3b'!$AH$41</t>
  </si>
  <si>
    <t>Box31_part3b'!$AK$41</t>
  </si>
  <si>
    <t>Box31_part3b'!$P$42</t>
  </si>
  <si>
    <t>Box31_part3b'!$D$47</t>
  </si>
  <si>
    <t>Box31_part3b'!$K$52</t>
  </si>
  <si>
    <t>Box31_part3b'!$K$53</t>
  </si>
  <si>
    <t>Box31_part3b'!$K$54</t>
  </si>
  <si>
    <t>number_trained_module_terminologies_teaching_m</t>
  </si>
  <si>
    <t>number_trained_module_terminologies_teaching_f</t>
  </si>
  <si>
    <t>number_trained_module_terminologies_nonteaching_m</t>
  </si>
  <si>
    <t>number_trained_module_terminologies_nonteaching_f</t>
  </si>
  <si>
    <t>number_trained_module_intl_ntl_foundations_teaching_m</t>
  </si>
  <si>
    <t>number_trained_module_intl_ntl_foundations_teaching_f</t>
  </si>
  <si>
    <t>number_trained_module_intl_ntl_foundations_nonteaching_m</t>
  </si>
  <si>
    <t>number_trained_module_intl_ntl_foundations_nonteaching_f</t>
  </si>
  <si>
    <t>number_trained_module_cdrrmef_teaching_m</t>
  </si>
  <si>
    <t>number_trained_module_cdrrmef_teaching_f</t>
  </si>
  <si>
    <t>number_trained_module_cdrrmef_nonteaching_m</t>
  </si>
  <si>
    <t>number_trained_module_cdrrmef_nonteaching_f</t>
  </si>
  <si>
    <t>number_trained_module_inclusive_childcenter_teaching_m</t>
  </si>
  <si>
    <t>number_trained_module_inclusive_childcenter_teaching_f</t>
  </si>
  <si>
    <t>number_trained_module_inclusive_childcenter_nonteaching_m</t>
  </si>
  <si>
    <t>number_trained_module_inclusive_childcenter_nonteaching_f</t>
  </si>
  <si>
    <t>number_trained_module_eie_teaching_m</t>
  </si>
  <si>
    <t>number_trained_module_eie_teaching_f</t>
  </si>
  <si>
    <t>number_trained_module_eie_nonteaching_m</t>
  </si>
  <si>
    <t>number_trained_module_eie_nonteaching_f</t>
  </si>
  <si>
    <t>number_trained_module_adm_teaching_m</t>
  </si>
  <si>
    <t>number_trained_module_adm_teaching_f</t>
  </si>
  <si>
    <t>number_trained_module_adm_nonteaching_m</t>
  </si>
  <si>
    <t>number_trained_module_adm_nonteaching_f</t>
  </si>
  <si>
    <t>number_trained_module_im_teaching_m</t>
  </si>
  <si>
    <t>number_trained_module_im_teaching_f</t>
  </si>
  <si>
    <t>number_trained_module_im_nonteaching_m</t>
  </si>
  <si>
    <t>number_trained_module_im_nonteaching_f</t>
  </si>
  <si>
    <t>number_trained_module_schoolbased_teaching_m</t>
  </si>
  <si>
    <t>number_trained_module_schoolbased_teaching_f</t>
  </si>
  <si>
    <t>number_trained_module_schoolbased_nonteaching_m</t>
  </si>
  <si>
    <t>number_trained_module_schoolbased_nonteaching_f</t>
  </si>
  <si>
    <t>number_trained_module_camp_mgmt_teaching_m</t>
  </si>
  <si>
    <t>number_trained_module_camp_mgmt_teaching_f</t>
  </si>
  <si>
    <t>number_trained_module_camp_mgmt_nonteaching_m</t>
  </si>
  <si>
    <t>number_trained_module_camp_mgmt_nonteaching_f</t>
  </si>
  <si>
    <t>number_trained_module_tls_teaching_m</t>
  </si>
  <si>
    <t>number_trained_module_tls_teaching_f</t>
  </si>
  <si>
    <t>number_trained_module_tls_nonteaching_m</t>
  </si>
  <si>
    <t>number_trained_module_tls_nonteaching_f</t>
  </si>
  <si>
    <t>number_trained_module_beie_teaching_m</t>
  </si>
  <si>
    <t>number_trained_module_beie_teaching_f</t>
  </si>
  <si>
    <t>number_trained_module_beie_nonteaching_m</t>
  </si>
  <si>
    <t>number_trained_module_beie_nonteaching_f</t>
  </si>
  <si>
    <t>number_trained_module_resource_mobil_teaching_m</t>
  </si>
  <si>
    <t>number_trained_module_resource_mobil_teaching_f</t>
  </si>
  <si>
    <t>number_trained_module_resource_mobil_nonteaching_m</t>
  </si>
  <si>
    <t>number_trained_module_resource_mobil_nonteaching_f</t>
  </si>
  <si>
    <t>number_trained_module_contingency_teaching_m</t>
  </si>
  <si>
    <t>number_trained_module_contingency_teaching_f</t>
  </si>
  <si>
    <t>number_trained_module_contingency_nonteaching_m</t>
  </si>
  <si>
    <t>number_trained_module_contingency_nonteaching_f</t>
  </si>
  <si>
    <t>number_trained_module_common_hazards_teaching_m</t>
  </si>
  <si>
    <t>number_trained_module_common_hazards_teaching_f</t>
  </si>
  <si>
    <t>number_trained_module_common_hazards_nonteaching_m</t>
  </si>
  <si>
    <t>number_trained_module_common_hazards_nonteaching_f</t>
  </si>
  <si>
    <t>number_trained_module_mainstream_planning_teaching_m</t>
  </si>
  <si>
    <t>number_trained_module_mainstream_planning_teaching_f</t>
  </si>
  <si>
    <t>number_trained_module_mainstream_planning_nonteaching_m</t>
  </si>
  <si>
    <t>number_trained_module_mainstream_planning_nonteaching_f</t>
  </si>
  <si>
    <t>number_trained_module_understand_cchange_teaching_m</t>
  </si>
  <si>
    <t>number_trained_module_understand_cchange_teaching_f</t>
  </si>
  <si>
    <t>number_trained_module_understand_cchange_nonteaching_m</t>
  </si>
  <si>
    <t>number_trained_module_understand_cchange_nonteaching_f</t>
  </si>
  <si>
    <t>number_trained_module_cchange_global_teaching_m</t>
  </si>
  <si>
    <t>number_trained_module_cchange_global_teaching_f</t>
  </si>
  <si>
    <t>number_trained_module_cchange_global_nonteaching_m</t>
  </si>
  <si>
    <t>number_trained_module_cchange_global_nonteaching_f</t>
  </si>
  <si>
    <t>number_trained_module_peace_conflict_teaching_m</t>
  </si>
  <si>
    <t>number_trained_module_peace_conflict_teaching_f</t>
  </si>
  <si>
    <t>number_trained_module_peace_conflict_nonteaching_m</t>
  </si>
  <si>
    <t>number_trained_module_peace_conflict_nonteaching_f</t>
  </si>
  <si>
    <t>number_trained_module_sensitive_educ_teaching_m</t>
  </si>
  <si>
    <t>number_trained_module_sensitive_educ_teaching_f</t>
  </si>
  <si>
    <t>number_trained_module_sensitive_educ_nonteaching_m</t>
  </si>
  <si>
    <t>number_trained_module_sensitive_educ_nonteaching_f</t>
  </si>
  <si>
    <t>number_trained_module_mhpss_teaching_m</t>
  </si>
  <si>
    <t>number_trained_module_mhpss_teaching_f</t>
  </si>
  <si>
    <t>number_trained_module_mhpss_nonteaching_m</t>
  </si>
  <si>
    <t>number_trained_module_mhpss_nonteaching_f</t>
  </si>
  <si>
    <t>number_trained_module_life_support_teaching_m</t>
  </si>
  <si>
    <t>number_trained_module_life_support_teaching_f</t>
  </si>
  <si>
    <t>number_trained_module_life_support_nonteaching_m</t>
  </si>
  <si>
    <t>number_trained_module_life_support_nonteaching_f</t>
  </si>
  <si>
    <t>number_trained_module_staff_safety_teaching_m</t>
  </si>
  <si>
    <t>number_trained_module_staff_safety_teaching_f</t>
  </si>
  <si>
    <t>number_trained_module_staff_safety_nonteaching_m</t>
  </si>
  <si>
    <t>number_trained_module_staff_safety_nonteaching_f</t>
  </si>
  <si>
    <t>number_trained_module_others_specify</t>
  </si>
  <si>
    <t>number_trained_module_others_teaching_m</t>
  </si>
  <si>
    <t>number_trained_module_others_teaching_f</t>
  </si>
  <si>
    <t>number_trained_module_others_nonteaching_m</t>
  </si>
  <si>
    <t>number_trained_module_others_nonteaching_f</t>
  </si>
  <si>
    <t>Box31_part3c'!$Y$29</t>
  </si>
  <si>
    <t>Box31_part3c'!$AB$29</t>
  </si>
  <si>
    <t>Box31_part3c'!$AE$29</t>
  </si>
  <si>
    <t>Box31_part3c'!$AH$29</t>
  </si>
  <si>
    <t>Box31_part3c'!$Y$30</t>
  </si>
  <si>
    <t>Box31_part3c'!$AB$30</t>
  </si>
  <si>
    <t>Box31_part3c'!$AE$30</t>
  </si>
  <si>
    <t>Box31_part3c'!$AH$30</t>
  </si>
  <si>
    <t>Box31_part3c'!$Y$31</t>
  </si>
  <si>
    <t>Box31_part3c'!$AB$31</t>
  </si>
  <si>
    <t>Box31_part3c'!$AE$31</t>
  </si>
  <si>
    <t>Box31_part3c'!$AH$31</t>
  </si>
  <si>
    <t>Box31_part3c'!$Y$32</t>
  </si>
  <si>
    <t>Box31_part3c'!$AB$32</t>
  </si>
  <si>
    <t>Box31_part3c'!$AE$32</t>
  </si>
  <si>
    <t>Box31_part3c'!$AH$32</t>
  </si>
  <si>
    <t>Box31_part3c'!$Y$33</t>
  </si>
  <si>
    <t>Box31_part3c'!$AB$33</t>
  </si>
  <si>
    <t>Box31_part3c'!$AE$33</t>
  </si>
  <si>
    <t>Box31_part3c'!$AH$33</t>
  </si>
  <si>
    <t>Box31_part3c'!$Y$34</t>
  </si>
  <si>
    <t>Box31_part3c'!$AB$34</t>
  </si>
  <si>
    <t>Box31_part3c'!$AE$34</t>
  </si>
  <si>
    <t>Box31_part3c'!$AH$34</t>
  </si>
  <si>
    <t>Box31_part3c'!$Y$35</t>
  </si>
  <si>
    <t>Box31_part3c'!$AB$35</t>
  </si>
  <si>
    <t>Box31_part3c'!$AE$35</t>
  </si>
  <si>
    <t>Box31_part3c'!$AH$35</t>
  </si>
  <si>
    <t>Box31_part3c'!$Y$36</t>
  </si>
  <si>
    <t>Box31_part3c'!$AB$36</t>
  </si>
  <si>
    <t>Box31_part3c'!$AE$36</t>
  </si>
  <si>
    <t>Box31_part3c'!$AH$36</t>
  </si>
  <si>
    <t>Box31_part3c'!$Y$37</t>
  </si>
  <si>
    <t>Box31_part3c'!$AB$37</t>
  </si>
  <si>
    <t>Box31_part3c'!$AE$37</t>
  </si>
  <si>
    <t>Box31_part3c'!$AH$37</t>
  </si>
  <si>
    <t>Box31_part3c'!$Y$38</t>
  </si>
  <si>
    <t>Box31_part3c'!$AB$38</t>
  </si>
  <si>
    <t>Box31_part3c'!$AE$38</t>
  </si>
  <si>
    <t>Box31_part3c'!$AH$38</t>
  </si>
  <si>
    <t>Box31_part3c'!$Y$39</t>
  </si>
  <si>
    <t>Box31_part3c'!$AB$39</t>
  </si>
  <si>
    <t>Box31_part3c'!$AE$39</t>
  </si>
  <si>
    <t>Box31_part3c'!$AH$39</t>
  </si>
  <si>
    <t>Box31_part3c'!$Y$40</t>
  </si>
  <si>
    <t>Box31_part3c'!$AB$40</t>
  </si>
  <si>
    <t>Box31_part3c'!$AE$40</t>
  </si>
  <si>
    <t>Box31_part3c'!$AH$40</t>
  </si>
  <si>
    <t>Box31_part3c'!$Y$41</t>
  </si>
  <si>
    <t>Box31_part3c'!$AB$41</t>
  </si>
  <si>
    <t>Box31_part3c'!$AE$41</t>
  </si>
  <si>
    <t>Box31_part3c'!$AH$41</t>
  </si>
  <si>
    <t>Box31_part3c'!$Y$42</t>
  </si>
  <si>
    <t>Box31_part3c'!$AB$42</t>
  </si>
  <si>
    <t>Box31_part3c'!$AE$42</t>
  </si>
  <si>
    <t>Box31_part3c'!$AH$42</t>
  </si>
  <si>
    <t>Box31_part3c'!$Y$43</t>
  </si>
  <si>
    <t>Box31_part3c'!$AB$43</t>
  </si>
  <si>
    <t>Box31_part3c'!$AE$43</t>
  </si>
  <si>
    <t>Box31_part3c'!$AH$43</t>
  </si>
  <si>
    <t>Box31_part3c'!$Y$44</t>
  </si>
  <si>
    <t>Box31_part3c'!$AB$44</t>
  </si>
  <si>
    <t>Box31_part3c'!$AE$44</t>
  </si>
  <si>
    <t>Box31_part3c'!$AH$44</t>
  </si>
  <si>
    <t>Box31_part3c'!$Y$45</t>
  </si>
  <si>
    <t>Box31_part3c'!$AB$45</t>
  </si>
  <si>
    <t>Box31_part3c'!$AE$45</t>
  </si>
  <si>
    <t>Box31_part3c'!$AH$45</t>
  </si>
  <si>
    <t>Box31_part3c'!$Y$46</t>
  </si>
  <si>
    <t>Box31_part3c'!$AB$46</t>
  </si>
  <si>
    <t>Box31_part3c'!$AE$46</t>
  </si>
  <si>
    <t>Box31_part3c'!$AH$46</t>
  </si>
  <si>
    <t>Box31_part3c'!$Y$47</t>
  </si>
  <si>
    <t>Box31_part3c'!$AB$47</t>
  </si>
  <si>
    <t>Box31_part3c'!$AE$47</t>
  </si>
  <si>
    <t>Box31_part3c'!$AH$47</t>
  </si>
  <si>
    <t>Box31_part3c'!$Y$48</t>
  </si>
  <si>
    <t>Box31_part3c'!$AB$48</t>
  </si>
  <si>
    <t>Box31_part3c'!$AE$48</t>
  </si>
  <si>
    <t>Box31_part3c'!$AH$48</t>
  </si>
  <si>
    <t>Box31_part3c'!$Y$49</t>
  </si>
  <si>
    <t>Box31_part3c'!$AB$49</t>
  </si>
  <si>
    <t>Box31_part3c'!$AE$49</t>
  </si>
  <si>
    <t>Box31_part3c'!$AH$49</t>
  </si>
  <si>
    <t>Box31_part3c'!$Y$50</t>
  </si>
  <si>
    <t>Box31_part3c'!$AB$50</t>
  </si>
  <si>
    <t>Box31_part3c'!$AE$50</t>
  </si>
  <si>
    <t>Box31_part3c'!$AH$50</t>
  </si>
  <si>
    <t>Box31_part3c'!$F$52</t>
  </si>
  <si>
    <t>Box31_part3c'!$Y$51</t>
  </si>
  <si>
    <t>Box31_part3c'!$AB$51</t>
  </si>
  <si>
    <t>Box31_part3c'!$AE$51</t>
  </si>
  <si>
    <t>Box31_part3c'!$AH$51</t>
  </si>
  <si>
    <t>Box31_part3c'!$O$8</t>
  </si>
  <si>
    <t>Box31_part3c'!$R$8</t>
  </si>
  <si>
    <t>Box31_part3c'!$U$8</t>
  </si>
  <si>
    <t>Box31_part3c'!$X$8</t>
  </si>
  <si>
    <t>Box31_part3c'!$AA$8</t>
  </si>
  <si>
    <t>Box31_part3c'!$AD$8</t>
  </si>
  <si>
    <t>Box31_part3c'!$AG$8</t>
  </si>
  <si>
    <t>Box31_part3c'!$AJ$8</t>
  </si>
  <si>
    <t>Box31_part3c'!$O$9</t>
  </si>
  <si>
    <t>Box31_part3c'!$R$9</t>
  </si>
  <si>
    <t>Box31_part3c'!$U$9</t>
  </si>
  <si>
    <t>Box31_part3c'!$X$9</t>
  </si>
  <si>
    <t>Box31_part3c'!$AA$9</t>
  </si>
  <si>
    <t>Box31_part3c'!$AD$9</t>
  </si>
  <si>
    <t>Box31_part3c'!$AG$9</t>
  </si>
  <si>
    <t>Box31_part3c'!$AJ$9</t>
  </si>
  <si>
    <t>Box31_part3c'!$O$10</t>
  </si>
  <si>
    <t>Box31_part3c'!$R$10</t>
  </si>
  <si>
    <t>Box31_part3c'!$U$10</t>
  </si>
  <si>
    <t>Box31_part3c'!$X$10</t>
  </si>
  <si>
    <t>Box31_part3c'!$AA$10</t>
  </si>
  <si>
    <t>Box31_part3c'!$AD$10</t>
  </si>
  <si>
    <t>Box31_part3c'!$AG$10</t>
  </si>
  <si>
    <t>Box31_part3c'!$AJ$10</t>
  </si>
  <si>
    <t>Box31_part3c'!$O$11</t>
  </si>
  <si>
    <t>Box31_part3c'!$R$11</t>
  </si>
  <si>
    <t>Box31_part3c'!$U$11</t>
  </si>
  <si>
    <t>Box31_part3c'!$X$11</t>
  </si>
  <si>
    <t>Box31_part3c'!$AA$11</t>
  </si>
  <si>
    <t>Box31_part3c'!$AD$11</t>
  </si>
  <si>
    <t>Box31_part3c'!$AG$11</t>
  </si>
  <si>
    <t>Box31_part3c'!$AJ$11</t>
  </si>
  <si>
    <t>Box31_part3c'!$K$19</t>
  </si>
  <si>
    <t>Box31_part3c'!$K$20</t>
  </si>
  <si>
    <t>Box31_part3c'!$K$21</t>
  </si>
  <si>
    <t>Box31_part3c'!$E$22</t>
  </si>
  <si>
    <t>Box31_part3d'!$D$10</t>
  </si>
  <si>
    <t>Box31_part3d'!$G$10</t>
  </si>
  <si>
    <t>Box31_part3d'!$J$10</t>
  </si>
  <si>
    <t>Box31_part3d'!$M$10</t>
  </si>
  <si>
    <t>Box31_part3d'!$X$10</t>
  </si>
  <si>
    <t>Box31_part3d'!$AB$10</t>
  </si>
  <si>
    <t>Box31_part3d'!$D$12</t>
  </si>
  <si>
    <t>Box31_part3d'!$I$18</t>
  </si>
  <si>
    <t>Box31_part3d'!$N$18</t>
  </si>
  <si>
    <t>Box31_part3d'!$I$19</t>
  </si>
  <si>
    <t>Box31_part3d'!$N$19</t>
  </si>
  <si>
    <t>Box31_part3d'!$I$20</t>
  </si>
  <si>
    <t>Box31_part3d'!$N$20</t>
  </si>
  <si>
    <t>Box31_part3d'!$Y$20</t>
  </si>
  <si>
    <t>Box31_part3d'!$AB$20</t>
  </si>
  <si>
    <t>Box31_part3d'!$AE$20</t>
  </si>
  <si>
    <t>Box31_part3d'!$AH$20</t>
  </si>
  <si>
    <t>Box31_part3d'!$D$26</t>
  </si>
  <si>
    <t>Box31_part3d'!$J$26</t>
  </si>
  <si>
    <t>Box31_part3d'!$G$26</t>
  </si>
  <si>
    <t>Box31_part3d'!$M$26</t>
  </si>
  <si>
    <t>Box31_part3d'!$P$26</t>
  </si>
  <si>
    <t>Box31_part3d'!$S$26</t>
  </si>
  <si>
    <t>Box31_part3d'!$V$26</t>
  </si>
  <si>
    <t>Box31_part3d'!$Y$26</t>
  </si>
  <si>
    <t>Tables7-8'!$AI$5</t>
  </si>
  <si>
    <t>Tables7-8'!$AM$7</t>
  </si>
  <si>
    <t>Box32'!$D$7</t>
  </si>
  <si>
    <t>Box32'!$D$9</t>
  </si>
  <si>
    <t>Box32'!$D$11</t>
  </si>
  <si>
    <t>Box32'!$N$21</t>
  </si>
  <si>
    <t>Box32'!$Q$21</t>
  </si>
  <si>
    <t>Box32'!$T$21</t>
  </si>
  <si>
    <t>Box32'!$W$21</t>
  </si>
  <si>
    <t>Box32'!$Z$21</t>
  </si>
  <si>
    <t>Box32'!$AC$21</t>
  </si>
  <si>
    <t>Box32'!$AF$21</t>
  </si>
  <si>
    <t>Box32'!$AI$21</t>
  </si>
  <si>
    <t>Box32'!$N$22</t>
  </si>
  <si>
    <t>Box32'!$Q$22</t>
  </si>
  <si>
    <t>Box32'!$T$22</t>
  </si>
  <si>
    <t>Box32'!$W$22</t>
  </si>
  <si>
    <t>Box32'!$Z$22</t>
  </si>
  <si>
    <t>Box32'!$AC$22</t>
  </si>
  <si>
    <t>Box32'!$AF$22</t>
  </si>
  <si>
    <t>Box32'!$AI$22</t>
  </si>
  <si>
    <t>Box32'!$AK$25</t>
  </si>
  <si>
    <t>Box32'!$O$28</t>
  </si>
  <si>
    <t>Box32'!$AK$28</t>
  </si>
  <si>
    <t>Box32'!$O$30</t>
  </si>
  <si>
    <t>Box32'!$AK$30</t>
  </si>
  <si>
    <t>Box32'!$O$31</t>
  </si>
  <si>
    <t>Box32'!$D$37</t>
  </si>
  <si>
    <t>Box32'!$G$37</t>
  </si>
  <si>
    <t>Box32'!$J$37</t>
  </si>
  <si>
    <t>Box32'!$M$37</t>
  </si>
  <si>
    <t>Box32'!$P$37</t>
  </si>
  <si>
    <t>Box32'!$S$37</t>
  </si>
  <si>
    <t>Box32'!$V$37</t>
  </si>
  <si>
    <t>Box32'!$Y$37</t>
  </si>
  <si>
    <t>Box32'!$D$42</t>
  </si>
  <si>
    <t>Box32'!$I$42</t>
  </si>
  <si>
    <t>Box32'!$Z$42</t>
  </si>
  <si>
    <t>Box32'!$AE$42</t>
  </si>
  <si>
    <t>Box32'!$L$48</t>
  </si>
  <si>
    <t>Box32'!$O$48</t>
  </si>
  <si>
    <t>Box32'!$L$49</t>
  </si>
  <si>
    <t>Box32'!$O$49</t>
  </si>
  <si>
    <t>Box32'!$AK$44</t>
  </si>
  <si>
    <t>Value should only be “True” or “False”.</t>
  </si>
  <si>
    <t>personnel_teach_instructor3_psipop</t>
  </si>
  <si>
    <t>personnel_teach_instructor2_psipop</t>
  </si>
  <si>
    <t>personnel_teach_instructor1_psipop</t>
  </si>
  <si>
    <t>personnel_teach_mt4_psipop</t>
  </si>
  <si>
    <t>personnel_teach_mt3_psipop</t>
  </si>
  <si>
    <t>personnel_teach_mt2_psipop</t>
  </si>
  <si>
    <t>personnel_teach_mt1_psipop</t>
  </si>
  <si>
    <t>personnel_teach_t3_psipop</t>
  </si>
  <si>
    <t>personnel_teach_t2_psipop</t>
  </si>
  <si>
    <t>personnel_teach_t1_psipop</t>
  </si>
  <si>
    <t>personnel_teach_sst1_psipop</t>
  </si>
  <si>
    <t>personnel_teach_spedt5_psipop</t>
  </si>
  <si>
    <t>personnel_teach_spedt4_psipop</t>
  </si>
  <si>
    <t>personnel_teach_spedt3_psipop</t>
  </si>
  <si>
    <t>personnel_teach_spedt2_psipop</t>
  </si>
  <si>
    <t>personnel_teach_spedt1_psipop</t>
  </si>
  <si>
    <t>lac_session_last_sy</t>
  </si>
  <si>
    <t>lac_session_plan_curr_sy</t>
  </si>
  <si>
    <t>action_research_last_sy</t>
  </si>
  <si>
    <t>sch_intercon_isp_subscribe_yes</t>
  </si>
  <si>
    <t>Box7-Table27'!$AA$10</t>
  </si>
  <si>
    <t>jhs_nutritional_status</t>
  </si>
  <si>
    <t>disastercalamities_human_induced_jun_shooting_insch</t>
  </si>
  <si>
    <t>disastercalamities_human_induced_jul_schooting_insch</t>
  </si>
  <si>
    <t>disastercalamities_human_induced_aug_schooting_insch</t>
  </si>
  <si>
    <t>disastercalamities_human_induced_sep_schooting_insch</t>
  </si>
  <si>
    <t>disastercalamities_human_induced_oct_schooting_insch</t>
  </si>
  <si>
    <t>disastercalamities_human_induced_nov_schooting_insch</t>
  </si>
  <si>
    <t>disastercalamities_human_induced_dec_schooting_insch</t>
  </si>
  <si>
    <t>disastercalamities_human_induced_jan_schooting_insch</t>
  </si>
  <si>
    <t>disastercalamities_human_induced_feb_schooting_insch</t>
  </si>
  <si>
    <t>disastercalamities_human_induced_mar_schooting_insch</t>
  </si>
  <si>
    <t>disastercalamities_human_induced_apr_schooting_insch</t>
  </si>
  <si>
    <t>disastercalamities_human_induced_may_schooting_insch</t>
  </si>
  <si>
    <t>Table39!$W$29</t>
  </si>
  <si>
    <t>Table39!$Y$29</t>
  </si>
  <si>
    <t>Table39!$AA$29</t>
  </si>
  <si>
    <t>Table39!$AC$29</t>
  </si>
  <si>
    <t>Table39!$AE$29</t>
  </si>
  <si>
    <t>Table39!$AG$29</t>
  </si>
  <si>
    <t>Table39!$AI$29</t>
  </si>
  <si>
    <t>Table39!$AK$29</t>
  </si>
  <si>
    <t>Table39!$AM$29</t>
  </si>
  <si>
    <t>Table39!$AO$29</t>
  </si>
  <si>
    <t>Table39!$AQ$29</t>
  </si>
  <si>
    <t>Table39!$C$31</t>
  </si>
  <si>
    <t>Table39!$U$30</t>
  </si>
  <si>
    <t>Table39!$W$30</t>
  </si>
  <si>
    <t>Table39!$Y$30</t>
  </si>
  <si>
    <t>Table39!$AA$30</t>
  </si>
  <si>
    <t>Table39!$AC$30</t>
  </si>
  <si>
    <t>Table39!$AE$30</t>
  </si>
  <si>
    <t>Table39!$AG$30</t>
  </si>
  <si>
    <t>Table39!$AI$30</t>
  </si>
  <si>
    <t>Table39!$AK$30</t>
  </si>
  <si>
    <t>Table39!$AM$30</t>
  </si>
  <si>
    <t>Table39!$AO$30</t>
  </si>
  <si>
    <t>Table39!$AQ$30</t>
  </si>
  <si>
    <t>mathnsciteach_eng_othermajmin_fulltime</t>
  </si>
  <si>
    <t>mathnsciteach_fil_othermajmin_fulltime</t>
  </si>
  <si>
    <t>mathnsciteach_math_othermajmin_fulltime</t>
  </si>
  <si>
    <t>mathnsciteach_sci_othermajmin_fulltime</t>
  </si>
  <si>
    <t>safelearn_facilities_instructional_safe</t>
  </si>
  <si>
    <t>safelearn_facilities_instructional_unsafe</t>
  </si>
  <si>
    <t>safelearn_facilities_noninstructional_safe</t>
  </si>
  <si>
    <t>safelearn_facilities_noninstructional_unsafe</t>
  </si>
  <si>
    <t>Please enter the name of the school.</t>
  </si>
  <si>
    <t>School ID is invalid.</t>
  </si>
  <si>
    <t>Victorias City</t>
  </si>
  <si>
    <r>
      <rPr>
        <b/>
        <i/>
        <sz val="11"/>
        <rFont val="Times New Roman"/>
        <family val="1"/>
      </rPr>
      <t>1. Cellular Service Provider</t>
    </r>
    <r>
      <rPr>
        <sz val="11"/>
        <rFont val="Times New Roman"/>
        <family val="1"/>
      </rPr>
      <t xml:space="preserve"> - refers to an authorized telecommunication company to provide cellular, mobile, and telephone service in a specified service area.</t>
    </r>
  </si>
  <si>
    <r>
      <t>Certificate of Ancestral Domain Titles (CADT)</t>
    </r>
    <r>
      <rPr>
        <sz val="11"/>
        <rFont val="Times New Roman"/>
        <family val="1"/>
      </rPr>
      <t xml:space="preserve"> - refers to a title formally recognizing the rights of possession and ownership of ICCs/IPs over their ancestral domains identified and delineated in accordance with RA No. 837 otherwise known as the Indigenous People’s Rights Act of 1973.</t>
    </r>
  </si>
  <si>
    <t>Number of school personnel that participated in DRRM, CCAM, and Peacebuilding activities</t>
  </si>
  <si>
    <t xml:space="preserve">          Important:  Read the definitions/instructions found at the bottom of each table before filling out the form.  No item shall be left blank.  Instead, "zero ( 0 )" or "not applicable (n/a)" shall be written.  Shaded boxes shall not be filled.</t>
  </si>
  <si>
    <t>Note:  This table shall be filled out if the school subscribe to any internet service provider or if the answer is "YES" in Box 7 Item number 2.</t>
  </si>
  <si>
    <t>Table23-Box2!$P$17</t>
  </si>
  <si>
    <t>Box12-Table34'!$I$13</t>
  </si>
  <si>
    <t>Box13'!$AA$5</t>
  </si>
  <si>
    <t>Box13'!$AA$7</t>
  </si>
  <si>
    <t>Box13'!$L$12</t>
  </si>
  <si>
    <t>Box13'!$L$13</t>
  </si>
  <si>
    <t>Box13'!$L$14</t>
  </si>
  <si>
    <t>Box13'!$L$15</t>
  </si>
  <si>
    <t>Box13'!$AA$18</t>
  </si>
  <si>
    <t>Box13'!$AA$20</t>
  </si>
  <si>
    <t>Box13'!$AF$22</t>
  </si>
  <si>
    <t>Box13'!$I$26</t>
  </si>
  <si>
    <t>Box13'!$N$26</t>
  </si>
  <si>
    <t>Box13'!$S$26</t>
  </si>
  <si>
    <t>Box13'!$X$26</t>
  </si>
  <si>
    <t>Box13'!$AC$26</t>
  </si>
  <si>
    <t>Box13'!$AH$26</t>
  </si>
  <si>
    <t>Box13'!$I$27</t>
  </si>
  <si>
    <t>Box13'!$N$27</t>
  </si>
  <si>
    <t>Box13'!$S$27</t>
  </si>
  <si>
    <t>Box13'!$X$27</t>
  </si>
  <si>
    <t>Box13'!$AC$27</t>
  </si>
  <si>
    <t>Box13'!$AH$27</t>
  </si>
  <si>
    <t>Box13'!$I$28</t>
  </si>
  <si>
    <t>Box13'!$N$28</t>
  </si>
  <si>
    <t>Box13'!$S$28</t>
  </si>
  <si>
    <t>Box13'!$X$28</t>
  </si>
  <si>
    <t>Box13'!$AC$28</t>
  </si>
  <si>
    <t>Box13'!$AH$28</t>
  </si>
  <si>
    <t>Box13'!$I$29</t>
  </si>
  <si>
    <t>Box13'!$N$29</t>
  </si>
  <si>
    <t>Box13'!$S$29</t>
  </si>
  <si>
    <t>Box13'!$X$29</t>
  </si>
  <si>
    <t>Box13'!$AC$29</t>
  </si>
  <si>
    <t>Box13'!$AH$29</t>
  </si>
  <si>
    <t>Box13'!$AF$32</t>
  </si>
  <si>
    <t>Box13'!$I$36</t>
  </si>
  <si>
    <t>Box13'!$N$36</t>
  </si>
  <si>
    <t>Box13'!$S$36</t>
  </si>
  <si>
    <t>Box13'!$X$36</t>
  </si>
  <si>
    <t>Box13'!$AC$36</t>
  </si>
  <si>
    <t>Box13'!$AH$36</t>
  </si>
  <si>
    <t>Box13'!$I$37</t>
  </si>
  <si>
    <t>Box13'!$N$37</t>
  </si>
  <si>
    <t>Box13'!$S$37</t>
  </si>
  <si>
    <t>Box13'!$X$37</t>
  </si>
  <si>
    <t>Box13'!$AC$37</t>
  </si>
  <si>
    <t>Box13'!$AH$37</t>
  </si>
  <si>
    <t>Box13'!$I$38</t>
  </si>
  <si>
    <t>Box13'!$N$38</t>
  </si>
  <si>
    <t>Box13'!$S$38</t>
  </si>
  <si>
    <t>Box13'!$X$38</t>
  </si>
  <si>
    <t>Box13'!$AC$38</t>
  </si>
  <si>
    <t>Box13'!$AH$38</t>
  </si>
  <si>
    <t>Box13'!$I$39</t>
  </si>
  <si>
    <t>Box13'!$N$39</t>
  </si>
  <si>
    <t>Box13'!$S$39</t>
  </si>
  <si>
    <t>Box13'!$X$39</t>
  </si>
  <si>
    <t>Box13'!$AC$39</t>
  </si>
  <si>
    <t>Box13'!$AH$39</t>
  </si>
  <si>
    <t>Box29_part2'!$D$4</t>
  </si>
  <si>
    <t>Table4$Y$8</t>
  </si>
  <si>
    <t>learners_tle_he_beautycare_f_g8</t>
  </si>
  <si>
    <t>learners_tle_he_caregiving_f_g8</t>
  </si>
  <si>
    <t>Table4$Y$9</t>
  </si>
  <si>
    <t>learners_tle_he_cookery_f_g8</t>
  </si>
  <si>
    <t>Table4$Y$10</t>
  </si>
  <si>
    <t>learners_tle_ict_compsystemservicing_f_g8</t>
  </si>
  <si>
    <t>Table4$Y$32</t>
  </si>
  <si>
    <t>learners_tle_ict_contactcenterservices_f_g8</t>
  </si>
  <si>
    <t>Table4$Y$33</t>
  </si>
  <si>
    <t>learners_tle_ict_illustration_f_g8</t>
  </si>
  <si>
    <t>Table4$Y$34</t>
  </si>
  <si>
    <t>learners_tle_ict_techdrafting_f_g8</t>
  </si>
  <si>
    <t>Table4$Y$35</t>
  </si>
  <si>
    <t>Table 40. DISASTERS/CALAMITIES (Human-Induced Hazards - Armed Conflict and Grave Child Rights Violations) For the months of June 2020 to May 2021</t>
  </si>
  <si>
    <t>Number of female learners given WIFA Supplements from July to September 2020</t>
  </si>
  <si>
    <t>Number of female learners given WIFA Supplements from January to March 2021</t>
  </si>
  <si>
    <t xml:space="preserve">Gulayan sa Paaralan, </t>
  </si>
  <si>
    <r>
      <t xml:space="preserve">If </t>
    </r>
    <r>
      <rPr>
        <i/>
        <sz val="12"/>
        <rFont val="Times New Roman"/>
        <family val="1"/>
      </rPr>
      <t>check</t>
    </r>
    <r>
      <rPr>
        <sz val="12"/>
        <rFont val="Times New Roman"/>
        <family val="1"/>
      </rPr>
      <t>, which of the following types of vegetables are present in the school garden?</t>
    </r>
  </si>
  <si>
    <t>Laser Printer</t>
  </si>
  <si>
    <t>School has integrated DRRM, CCAM, and Peacebuilding into the School Improvement Plan (SIP)</t>
  </si>
  <si>
    <t>GOVERNMENT JUNIOR HIGH SCHOOL PROFILE, SY 2022-2023</t>
  </si>
  <si>
    <t>No Changes</t>
  </si>
  <si>
    <t>Revised title header &amp; add reminder</t>
  </si>
  <si>
    <t>Revised title header</t>
  </si>
  <si>
    <t>GJHSPv2022.12.02</t>
  </si>
  <si>
    <t>SY 2022-2023</t>
  </si>
  <si>
    <t xml:space="preserve">Table 1. LEARNERS BY SPECIAL PROGRAM, SY 2022-2023 (As of October 31, 2022) </t>
  </si>
  <si>
    <t xml:space="preserve">Table 2. LEARNERS BY SPECIAL PROGRAM FOR TECHNICAL VOCATIONAL EDUCATION (SPTVE), SY 2022-2023 (As of October 31, 2022) </t>
  </si>
  <si>
    <t>Table 3. LEARNERS WHO PASSED THE PROFICIENCY EXAMINATION IN THE FOREIGN LANGUAGE, SY 2022-2023 (As of October 31, 2022)</t>
  </si>
  <si>
    <t xml:space="preserve">Table 4. LEARNERS IN TECHNOLOGY AND LIVELIHOOD EDUCATION (TLE), SY 2022-2023 (As of October 31, 2022) </t>
  </si>
  <si>
    <t>Table 5. LEARNERS WITH DISABILITIES (LWDs) UNDER THE HOMEBOUND AND HOSPITAL BOUND PROGRAM, SY 2022-2023 (As of October 31, 2022)</t>
  </si>
  <si>
    <t>SY 2022-2023 (As of October 31, 2022)</t>
  </si>
  <si>
    <t>Table 9. TEACHING RELATED AND NON-TEACHING PERSONNEL (Nationally-funded), SY 2022-2023 (As of October 31, 2022)</t>
  </si>
  <si>
    <t>Table 10. TEACHING PERSONNEL (Nationally-funded), SY 2022-2023 (As of October 31, 2022)</t>
  </si>
  <si>
    <t>Table 11. TEACHER ASSIGNMENTS (Nationally-funded teachers working in the school), SY 2022-2023 (As of October 31, 2022)</t>
  </si>
  <si>
    <t>IN-SERVICE FROM JULY 2021 TO JUNE 2022</t>
  </si>
  <si>
    <t>(Nationally-funded teachers working in the school), SY 2022-2023 (As of October 31, 2022)</t>
  </si>
  <si>
    <t>Table 17. NUMBER OF TEACHERS BY TEACHING ASSIGNMENT, BY GRADE LEVEL AND SEX (Nationally-funded teachers only), SY 2022-2023 (As of October 31, 2022)</t>
  </si>
  <si>
    <t xml:space="preserve">Totals of the Number of Teachers (counted only once) shall tally with the totals in Handling
Grades 7-10 in Table 10b. </t>
  </si>
  <si>
    <r>
      <t xml:space="preserve">** Number of teachers that can be </t>
    </r>
    <r>
      <rPr>
        <b/>
        <i/>
        <u/>
        <sz val="12"/>
        <rFont val="Times New Roman"/>
        <family val="1"/>
      </rPr>
      <t>counted more than once</t>
    </r>
    <r>
      <rPr>
        <b/>
        <i/>
        <sz val="12"/>
        <rFont val="Times New Roman"/>
        <family val="1"/>
      </rPr>
      <t xml:space="preserve">
If a teacher is teaching more than one grade level, he/she can be counted in all the grade levels that he/she is handling. In the case of a teacher teaching one grade level only, he/she shall also be counted in the grade level that he/she is handling in table "Counted more than once".</t>
    </r>
  </si>
  <si>
    <t>Number of Teachers counted more than once shall be greater than or equal to the Number of Teachers "Counted only once".</t>
  </si>
  <si>
    <t>(Nationally-funded teachers only), SY 2022-2023 (As of October 31, 2022)</t>
  </si>
  <si>
    <t>Table 20. NUMBER OF TEACHERS BY TEACHING ASSIGNMENT AND AREA OF SPECIALIZATION (Nationally-funded teachers only), SY 2022-2023 (As of October 31, 2022)</t>
  </si>
  <si>
    <t>Table 21. NUMBER OF ENGLISH, FILIPINO, MATHEMATICS AND SCIENCE TEACHERS BY SPECIALIZATION (Nationally-funded teachers working in the school), SY 2022-2023 (As of October 31, 2022)</t>
  </si>
  <si>
    <t xml:space="preserve">Table 22. TEACHERS WHO HAVE SPECIALIZATION IN TLE SUBJECTS THEY ARE TEACHING, SY 2022-2023 (As of October 31, 2022) </t>
  </si>
  <si>
    <t>(Nationally-funded teachers working in the school), SY 2021-2023 (As of October 31, 2022)</t>
  </si>
  <si>
    <t>Box 1. LEARNING ACTION CELL (LAC) SESSION, SY 2022-2023 (As of October 31, 2022)</t>
  </si>
  <si>
    <t>Conducted last SY 2021-2022</t>
  </si>
  <si>
    <t>Planned to be conducted this SY 2022-2023</t>
  </si>
  <si>
    <t>Completed last SY 2021-2022</t>
  </si>
  <si>
    <t>Box 2. ACTION RESEARCH, SY 2022-2023 (As of October 31, 2022)</t>
  </si>
  <si>
    <t>PREVIOUS SY 2021-2022</t>
  </si>
  <si>
    <t>Box 3. NATIONALLY-FUNDED TEACHERS WHO USED DEPED TV AS PART OF INSTRUCTIONAL STRATEGY IN DELIVERING DISTANCE LEARNING, SY 2022-2023 (As of October 31, 2022)</t>
  </si>
  <si>
    <t>Box 4. SCHOOL GOVERNMENT PROGRAM (SGP), SY 2022-2023 (As of October 31, 2022)</t>
  </si>
  <si>
    <t>Box 5. SUPREME STUDENT GOVERNMENT (SSG) ACTIVITIES, SY 2022-2023 (As of October 31, 2022)</t>
  </si>
  <si>
    <t>Box 6. CAREER GUIDANCE PROGRAM, SY 2022-2023 (As of October 31, 2022)</t>
  </si>
  <si>
    <t>Table 25. NUMBER OF FUNCTIONAL COMPUTERS BY FUNDING SOURCE, SY 2022-2023 (As of October 31, 2022)</t>
  </si>
  <si>
    <t>Table 26. NUMBER OF FUNCTIONAL ICT EQUIPMENT BY FUNDING SOURCE, SY 2022-2023 (As of October 31, 2022)</t>
  </si>
  <si>
    <t>Box 7. INTERNET CONNECTIVITY, SY 2022-2023 (As of October 31, 2022)</t>
  </si>
  <si>
    <t>Table 27. AVERAGE MONTHLY EXPENSE (IN PESOS) OF INTERNET CONNECTION BY FUNDING SOURCE, SY 2022-2023 (As of October 31, 2022)</t>
  </si>
  <si>
    <t>Table 28. CELLULAR COMMUNICATION, SY 2022-2023 (As of October 31, 2022)</t>
  </si>
  <si>
    <t>Table 29. AVAILABILITY OF PRINTER / PHOTOCOPIER, SY 2022-2023 (As of October 31, 2022)</t>
  </si>
  <si>
    <t>Table 30. BROADCASTING STATION, SY 2022-2023 (As of October 31, 2022)</t>
  </si>
  <si>
    <t>Table 31. SCHOOL RADIO, SY 2022-2023 (As of October 31, 2022)</t>
  </si>
  <si>
    <t>FROM JANUARY 2021 TO DECEMBER 2021</t>
  </si>
  <si>
    <t>Box 8. AVAILABILITY OF ELECTRICAL SUPPLY, SY 2022-2023 (As of October 31, 2022)</t>
  </si>
  <si>
    <t>Box 9. SCHOOL SITE, SY 2022-2023 (As of October 31, 2022)</t>
  </si>
  <si>
    <t>Box 10. SCHOOL LOCATION, SY 2022-2023 (As of October 31, 2022)</t>
  </si>
  <si>
    <t>Table 33. HEALTH AND NUTRITION, SY 2022-2023 (As of December 31, 2022)</t>
  </si>
  <si>
    <t>Box 11. SCHOOL CLINIC, SY 2022-2023 (As of December 31, 2022)</t>
  </si>
  <si>
    <t>Box 12. AVAILABILITY OF WATER SUPPLY, SY 2022-2023 (As of December 31, 2022)</t>
  </si>
  <si>
    <t>Table 34. NUMBER OF EXISTING WASH FACILITIES, SY 2022-2023 (As of December 31, 2022)</t>
  </si>
  <si>
    <t>Table 35. ORAL HEALTH, PREVIOUS SY 2021-2022</t>
  </si>
  <si>
    <t>Table 36. MEDICAL AND NURSING SERVICES, PREVIOUS SY 2021-2022</t>
  </si>
  <si>
    <t>Box 13. SCHOOL MENTAL HEALTH, PREVIOUS SY 2021-2022</t>
  </si>
  <si>
    <t>Box 14. CANCER CASES, PREVIOUS SY 2021-2022</t>
  </si>
  <si>
    <t>Box 15. ADOLESCENT REPRODUCTIVE HEALTH, PREVIOUS SY 2021-2022</t>
  </si>
  <si>
    <t>Box 16. COMPREHENSIVE TOBACCO CONTROL, SY 2022-2023 (As of December 31, 2022)</t>
  </si>
  <si>
    <t>How many partnerships did the school have from January to December 2022?</t>
  </si>
  <si>
    <t>Box 17. NATIONAL PREVENTIVE DRUG EDUCATION, SY 2022-2023 (As of December 31, 2022)</t>
  </si>
  <si>
    <t>Box 18. OK sa DepEd PROGRAM, SY 2022-2023 (As of December 31, 2022)</t>
  </si>
  <si>
    <t>Box 19. FEEDING PROGRAM, SY 2022-2023 (As of December 31, 2022)</t>
  </si>
  <si>
    <t>Box 20. FOOD HANDLING, SY 2022-2023 (As of December 31, 2022)</t>
  </si>
  <si>
    <t>Box 21. SOLID WASTE MANAGEMENT, SY 2022-2023 (As of December 31, 2022)</t>
  </si>
  <si>
    <t>Box 22. OPERATION AND MAINTENANCE OF SANITATION FACILITIES, SY 2022-2023 (As of December 31, 2022)</t>
  </si>
  <si>
    <t>Box 23. MENSTRUAL HYGIENE, SY 2022-2023 (As of December 31, 2022)</t>
  </si>
  <si>
    <t>Box 24. CHILD PROTECTION, PREVIOUS SY 2021-2022</t>
  </si>
  <si>
    <t>Box 25. CHILD PROTECTION: VIOLENCE AGAINST CHILDREN, PREVIOUS SY 2021-2022</t>
  </si>
  <si>
    <t>Box 26. CHILD PROTECTION: BULLYING, PREVIOUS SY 2021-2022</t>
  </si>
  <si>
    <t>Box 27. SCHOOL SPORTS PROGRAM: AVAILABLE SPORTS EVENTS, CLUBS, AND FACILITIES, SY 2022-2023 (As of October 31, 2022)</t>
  </si>
  <si>
    <t>Table 38. SCHOOL SPORTS PROGRAM: SPORTS PERSONNEL (DepEd Funded), SY 2022-2023 (As of October 31, 2022)</t>
  </si>
  <si>
    <t>Table 39. DISASTERS/CALAMITIES, For the months of June 2021 to May 2022</t>
  </si>
  <si>
    <t>Table 40. DISASTERS/CALAMITIES (Human-Induced Hazards - Armed Conflict and Grave Child Rights Violations), For the months of June 2021 to May 2022</t>
  </si>
  <si>
    <t>Table 41. RESULT OF DISASTER INCIDENCES, For the months of June 2021 to May 2022</t>
  </si>
  <si>
    <t>Box 28. ENABLING ENVIRONMENT, For the months of June 2021 to May 2022</t>
  </si>
  <si>
    <t>Box 29. PILLAR 1. SAFE LEARNING FACILITIES, For the months of June 2021 to May 2022</t>
  </si>
  <si>
    <t>Box 30. PILLAR 2. DISASTER RISK MANAGEMENT, For the months of June 2021 to May 2022</t>
  </si>
  <si>
    <t>Box 31. PILLAR 3. RISK REDUCTION AND RESILIENCE EDUCATION, For the months of June 2021 to May 2022</t>
  </si>
  <si>
    <t>Box 32. INDIGENOUS PEOPLES EDUCATION (IPEd) PROGRAM, SY 2022-2023 (As of October 31, 2022)</t>
  </si>
  <si>
    <t>Table 6. NUMBER OF FUNCTIONAL ASSISTIVE TECHNOLOGY AND ADAPTIVE DEVICES FOR LEARNERS WITH DISABILITIES
SY 2022-2023 (As of October 31, 2022)</t>
  </si>
  <si>
    <t>Table 7. LOCALLY-FUNDED TEACHERS WORKING IN THE SCHOOL BY FUNDING SOURCE, SY 2022-2023 (As of October 31, 2022)</t>
  </si>
  <si>
    <t>Table 8. LOCALLY-FUNDED TEACHERS WORKING IN THE SCHOOL WHO ARE QUALIFIED AND TRAINED, SY 2022-2023 (As of October 31, 2022)</t>
  </si>
  <si>
    <t>Table 13. TEACHERS WHO RECEIVED TRAINING ON INFORMATION AND COMMUNICATIONS TECHNOLOGY (ICT)
(Nationally-funded teachers working in the school), SY 2022-2023 (As of October 31, 2022)</t>
  </si>
  <si>
    <t>Table 14. TEACHERS WHO RECEIVED TRAINING ON PEDAGOGY (Nationally-funded teachers working in the school), SY 2022-2023 (As of October 31, 2022)</t>
  </si>
  <si>
    <t>Table 15. TEACHERS WHO RECEIVED TRAINING ON SPECIAL CURRICULAR PROGRAMS
(Nationally-funded teachers working in the school), SY 2022-2023 (As of October 31, 2022)</t>
  </si>
  <si>
    <t>Table 16. NUMBER OF TEACHERS BY GRADE LEVEL AND SEX (Nationally-funded teachers working in the school)
SY 2022-2023 (As of October 31, 2022)</t>
  </si>
  <si>
    <t>Table 17. NUMBER OF TEACHERS BY TEACHING ASSIGNMENT, BY GRADE LEVEL AND SEX (Nationally-funded teachers only)
SY 2022-2023 (As of October 31, 2022)</t>
  </si>
  <si>
    <t>Table 18. NUMBER OF TEACHERS BY HIGHEST EDUCATIONAL ATTAINMENT (Nationally-funded teachers only), SY 2022-2023 (As of October 31, 2022)</t>
  </si>
  <si>
    <t>Table 19. NUMBER OF SCIENCE TEACHERS WITH SCIENCE EDUCATION MAJOR (Nationally-funded teachers only)
SY 2022-2023 (As of October 31, 2022)</t>
  </si>
  <si>
    <t>Table 20. NUMBER OF TEACHERS BY TEACHING ASSIGNMENT AND AREA OF SPECIALIZATION (Nationally-funded teachers only)
SY 2022-2023 (As of October 31, 2022)</t>
  </si>
  <si>
    <t>Table 21. NUMBER OF ENGLISH, FILIPINO, MATHEMATICS AND SCIENCE TEACHERS BY SPECIALIZATION
(Nationally-funded teachers working in the school), SY 2022-2023 (As of October 31, 2022)</t>
  </si>
  <si>
    <t>Table 23. TEACHERS' WHO PASSED THE PROFICIENCY EXAMINATION IN THE FOREIGN LANGUAGE TAUGHT
(Nationally-funded teachers working in the school), SY 2022-2023 (As of October 31, 2022)</t>
  </si>
  <si>
    <t>Table 24. NUMBER OF OPEN EDUCATIONAL RESOURCES (OERs) USED AS DISTANCE LEARNING MODALITY DEVELOPED BY TEACHERS
SY 2022-2023 (As of October 31, 2022)</t>
  </si>
  <si>
    <t>Box 3. NATIONALLY-FUNDED TEACHERS WHO USED DEPED TV AS PART OF INSTRUCTIONAL STRATEGY IN DELIVERING DISTANCE LEARNING
SY 2022-2023 (As of October 31, 2022)</t>
  </si>
  <si>
    <t>Table 33. HEALTH AND NUTRITION, SY 2022-2023</t>
  </si>
  <si>
    <t>D. Number of female learners who received Weekly Iron Folic Acid (WIFA) Supplementation for the PREVIOUS SY 2021-2022</t>
  </si>
  <si>
    <t>Table 32. MOOE ALLOCATION, UTILIZATION AND LIQUIDATION FROM JANUARY 2021 TO DECEMBER 2021</t>
  </si>
  <si>
    <t>A. Number of learners who were vaccinated by the Department of Health (based on LGU Health Records)</t>
  </si>
  <si>
    <t>Table 37. MENTAL HEALTH, For the months of December 2021 to November 2022</t>
  </si>
  <si>
    <t>San Pedro City</t>
  </si>
  <si>
    <t>No of teachers handling class size of less than  or equal to 40 (≤ 40)</t>
  </si>
  <si>
    <t>No of teachers handling class size of greater than 40 (&gt;40)</t>
  </si>
  <si>
    <r>
      <t xml:space="preserve">2a. For "With Major/Minor", a teacher shall only be counted in his/her highest educational attainment.
2b. For a teacher who is handling both class size </t>
    </r>
    <r>
      <rPr>
        <b/>
        <i/>
        <sz val="12"/>
        <rFont val="Calibri"/>
        <family val="2"/>
      </rPr>
      <t xml:space="preserve">≤ </t>
    </r>
    <r>
      <rPr>
        <b/>
        <i/>
        <sz val="12"/>
        <rFont val="Times New Roman"/>
        <family val="1"/>
      </rPr>
      <t>40</t>
    </r>
    <r>
      <rPr>
        <b/>
        <i/>
        <sz val="12"/>
        <rFont val="Calibri"/>
        <family val="2"/>
      </rPr>
      <t xml:space="preserve"> </t>
    </r>
    <r>
      <rPr>
        <b/>
        <i/>
        <sz val="12"/>
        <rFont val="Times New Roman"/>
        <family val="1"/>
      </rPr>
      <t>and a class size of  &gt; 40, he/she shall be counted</t>
    </r>
    <r>
      <rPr>
        <b/>
        <i/>
        <sz val="12"/>
        <rFont val="Calibri"/>
        <family val="2"/>
      </rPr>
      <t xml:space="preserve"> </t>
    </r>
    <r>
      <rPr>
        <b/>
        <i/>
        <sz val="12"/>
        <rFont val="Times New Roman"/>
        <family val="1"/>
      </rPr>
      <t>in the "Number of  teachers handling  class size of &gt; 40".</t>
    </r>
  </si>
  <si>
    <t>D. Number of female learners who received Weekly Iron Folic Acid (WIFA) Supplementation for the previous SY 2021-2022</t>
  </si>
  <si>
    <t>After SY 2021-2022</t>
  </si>
  <si>
    <t>During SY 2022-2023</t>
  </si>
  <si>
    <t>Aug</t>
  </si>
  <si>
    <t>sch_mh_suicide_learners_aftersy_jun</t>
  </si>
  <si>
    <t>sch_mh_atpsuicide_learners_aftersy_jun</t>
  </si>
  <si>
    <t>sch_mh_suicide_learners_duringsy_aug</t>
  </si>
  <si>
    <t>sch_mh_atpsuicide_learners_duringsy_aug</t>
  </si>
  <si>
    <t>sch_mh_suicide_personnel_aftersy_jun</t>
  </si>
  <si>
    <t>sch_mh_suicide_personnel_duringsy_aug</t>
  </si>
  <si>
    <t>sch_mh_atpsuicide_personnel_aftersy_jun</t>
  </si>
  <si>
    <t>sch_mh_atpsuicide_personnel_duringsy_aug</t>
  </si>
  <si>
    <t>Number of Cases from December 2021 to November 2022</t>
  </si>
  <si>
    <t>Did the school celebrate the National Mental Health Week in October 2021?</t>
  </si>
  <si>
    <r>
      <t xml:space="preserve">Number of conducted regular hazard-specific drills (at least 3 priority hazards based on risk assessment) with the participation of key stakeholders (e.g. BFP, Medic, LGUs, NGOs, community, PTA, alumni, and others) from </t>
    </r>
    <r>
      <rPr>
        <b/>
        <i/>
        <sz val="13"/>
        <rFont val="Times New Roman"/>
        <family val="1"/>
      </rPr>
      <t>January to December 2021</t>
    </r>
  </si>
  <si>
    <r>
      <t>(</t>
    </r>
    <r>
      <rPr>
        <b/>
        <sz val="11.5"/>
        <rFont val="Times New Roman"/>
        <family val="1"/>
      </rPr>
      <t>HH:MM:SS) 24 hrs. format
e.g 1:20 AM = 1:20:00
    1:20 PM = 13:00:00</t>
    </r>
  </si>
  <si>
    <t>(3 kHz to 300 GHz)</t>
  </si>
  <si>
    <t>Special Geographic Area</t>
  </si>
  <si>
    <t>ALORAN TRADE HIGH SCHOOL</t>
  </si>
  <si>
    <t>ALORAN NATIONAL HIGH SCHOOL</t>
  </si>
  <si>
    <t>LABO</t>
  </si>
  <si>
    <t>Aloran</t>
  </si>
  <si>
    <t>088-545-0181</t>
  </si>
  <si>
    <t>N/A</t>
  </si>
  <si>
    <t>Principal IV</t>
  </si>
  <si>
    <t>MICHAEL T. JAMIS   /  March 17, 2023</t>
  </si>
  <si>
    <t>EDWIN R. MARIBOJOC    /    March 17, 2023</t>
  </si>
  <si>
    <t>Schools Division Superintendent</t>
  </si>
  <si>
    <t>RONE RAY M. PORTACION  /  March 17, 2023</t>
  </si>
  <si>
    <t>Education Program Supervisor</t>
  </si>
  <si>
    <t>ELMA CEZARIE Y. ROMERO  /  May 17, 2023</t>
  </si>
  <si>
    <t>Administrative Officer</t>
  </si>
  <si>
    <t>RONE RAY M. PORTACION  /  May 17, 2023</t>
  </si>
  <si>
    <t>Non-Teaching</t>
  </si>
  <si>
    <t>RONE RAY M. PORTACION /  May 17, 2023</t>
  </si>
  <si>
    <t>ANNE VALERIE KERSTEINE I. VILLANUEVA /  May 17, 2022</t>
  </si>
  <si>
    <t>Brother DCP T720DW</t>
  </si>
  <si>
    <t>Epson L3110</t>
  </si>
  <si>
    <t>Epson L6170</t>
  </si>
  <si>
    <t>Epson L360</t>
  </si>
  <si>
    <t>Epson L3120</t>
  </si>
  <si>
    <t>RISO</t>
  </si>
  <si>
    <t>BRYAN REY P. JAMIS</t>
  </si>
  <si>
    <t>Engineer III</t>
  </si>
  <si>
    <t>ROBERTO L. TORRES  / March 17, 2023</t>
  </si>
  <si>
    <t>Division Accountant</t>
  </si>
  <si>
    <t>RACQUEL N. ACOMPAÑADO</t>
  </si>
  <si>
    <t>Nurse II</t>
  </si>
  <si>
    <t>2020</t>
  </si>
  <si>
    <t>As needs arises</t>
  </si>
  <si>
    <t>PARA D. TALIP  /March 17, 2023</t>
  </si>
  <si>
    <t>ELYN KENDRA D. DELA CRUZ  /  March 17, 2023</t>
  </si>
  <si>
    <t>Project Development Officer III</t>
  </si>
  <si>
    <t>MELCHESIEDICK Q. BOLANIO/ March 17, 2023</t>
  </si>
  <si>
    <t>Purok 1</t>
  </si>
  <si>
    <t>304024@deped.gov.ph</t>
  </si>
  <si>
    <t>Project Development Officer I</t>
  </si>
  <si>
    <t>MARIANNE APRIL A. BUTA  /  March 17,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</si>
</sst>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1" formatCode="_-* #,##0_-;\-* #,##0_-;_-* &quot;-&quot;_-;_-@_-"/>
    <numFmt numFmtId="43" formatCode="_-* #,##0.00_-;\-* #,##0.00_-;_-* &quot;-&quot;??_-;_-@_-"/>
    <numFmt numFmtId="164" formatCode="_(&quot;$&quot;* #,##0.00_);_(&quot;$&quot;* \(#,##0.00\);_(&quot;$&quot;* &quot;-&quot;??_);_(@_)"/>
    <numFmt numFmtId="165" formatCode="_(* #,##0.00_);_(* \(#,##0.00\);_(* &quot;-&quot;??_);_(@_)"/>
    <numFmt numFmtId="166" formatCode="_(&quot;Php&quot;* #,##0.00_);_(&quot;Php&quot;* \(#,##0.00\);_(&quot;Php&quot;* &quot;-&quot;??_);_(@_)"/>
    <numFmt numFmtId="167" formatCode="_(* #,##0_);_(* \(#,##0\);_(* &quot;-&quot;??_);_(@_)"/>
    <numFmt numFmtId="168" formatCode="0.00_)"/>
    <numFmt numFmtId="169" formatCode="_-&quot;$&quot;* #,##0_-;\-&quot;$&quot;* #,##0_-;_-&quot;$&quot;* &quot;-&quot;_-;_-@_-"/>
    <numFmt numFmtId="170" formatCode="_-&quot;$&quot;* #,##0.00_-;\-&quot;$&quot;* #,##0.00_-;_-&quot;$&quot;* &quot;-&quot;??_-;_-@_-"/>
    <numFmt numFmtId="171" formatCode="yyyy\-mm\-dd;@"/>
    <numFmt numFmtId="172" formatCode="h:mm:ss;@"/>
    <numFmt numFmtId="173" formatCode="mm/dd/yyyy;@"/>
  </numFmts>
  <fonts count="121" x14ac:knownFonts="1">
    <font>
      <sz val="12"/>
      <name val="Times New Roman"/>
      <family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name val="Times New Roman"/>
      <family val="1"/>
    </font>
    <font>
      <b/>
      <i/>
      <sz val="10"/>
      <name val="Times New Roman"/>
      <family val="1"/>
    </font>
    <font>
      <i/>
      <sz val="12"/>
      <name val="Times New Roman"/>
      <family val="1"/>
    </font>
    <font>
      <b/>
      <u/>
      <sz val="12"/>
      <name val="Times New Roman"/>
      <family val="1"/>
    </font>
    <font>
      <b/>
      <i/>
      <sz val="12"/>
      <name val="Times New Roman"/>
      <family val="1"/>
    </font>
    <font>
      <sz val="10"/>
      <name val="Arial"/>
      <family val="2"/>
    </font>
    <font>
      <b/>
      <i/>
      <sz val="9"/>
      <name val="Times New Roman"/>
      <family val="1"/>
    </font>
    <font>
      <b/>
      <sz val="12"/>
      <name val="Times New Roman"/>
      <family val="1"/>
    </font>
    <font>
      <i/>
      <sz val="9"/>
      <name val="Times New Roman"/>
      <family val="1"/>
    </font>
    <font>
      <i/>
      <sz val="8"/>
      <name val="Times New Roman"/>
      <family val="1"/>
    </font>
    <font>
      <sz val="11"/>
      <name val="Times New Roman"/>
      <family val="1"/>
    </font>
    <font>
      <sz val="10"/>
      <name val="Times New Roman"/>
      <family val="1"/>
    </font>
    <font>
      <b/>
      <sz val="10"/>
      <name val="Times New Roman"/>
      <family val="1"/>
    </font>
    <font>
      <b/>
      <sz val="11"/>
      <name val="Times New Roman"/>
      <family val="1"/>
    </font>
    <font>
      <b/>
      <sz val="8"/>
      <name val="Times New Roman"/>
      <family val="1"/>
    </font>
    <font>
      <b/>
      <i/>
      <sz val="11"/>
      <name val="Times New Roman"/>
      <family val="1"/>
    </font>
    <font>
      <i/>
      <sz val="11"/>
      <name val="Times New Roman"/>
      <family val="1"/>
    </font>
    <font>
      <sz val="8"/>
      <name val="Arial"/>
      <family val="2"/>
    </font>
    <font>
      <b/>
      <i/>
      <sz val="16"/>
      <name val="Helv"/>
    </font>
    <font>
      <sz val="8"/>
      <name val="Times New Roman"/>
      <family val="1"/>
    </font>
    <font>
      <b/>
      <i/>
      <sz val="14"/>
      <name val="Times New Roman"/>
      <family val="1"/>
    </font>
    <font>
      <b/>
      <sz val="13"/>
      <name val="Times New Roman"/>
      <family val="1"/>
    </font>
    <font>
      <sz val="12"/>
      <name val="Times New Roman"/>
      <family val="1"/>
    </font>
    <font>
      <sz val="12"/>
      <name val="Times New Roman"/>
      <family val="1"/>
    </font>
    <font>
      <i/>
      <sz val="14"/>
      <name val="Times New Roman"/>
      <family val="1"/>
    </font>
    <font>
      <sz val="16"/>
      <name val="Wingdings"/>
      <charset val="2"/>
    </font>
    <font>
      <sz val="11"/>
      <name val="Wingdings"/>
      <charset val="2"/>
    </font>
    <font>
      <sz val="14"/>
      <name val="Wingdings"/>
      <charset val="2"/>
    </font>
    <font>
      <b/>
      <sz val="16"/>
      <name val="Times New Roman"/>
      <family val="1"/>
    </font>
    <font>
      <sz val="20"/>
      <name val="Wingdings"/>
      <charset val="2"/>
    </font>
    <font>
      <sz val="12"/>
      <name val="Times New Roman"/>
      <family val="1"/>
    </font>
    <font>
      <sz val="12"/>
      <name val="Times New Roman"/>
      <family val="1"/>
    </font>
    <font>
      <b/>
      <i/>
      <sz val="20"/>
      <name val="Times New Roman"/>
      <family val="1"/>
    </font>
    <font>
      <b/>
      <i/>
      <vertAlign val="subscript"/>
      <sz val="12"/>
      <name val="Times New Roman"/>
      <family val="1"/>
    </font>
    <font>
      <b/>
      <u/>
      <sz val="10"/>
      <name val="Times New Roman"/>
      <family val="1"/>
    </font>
    <font>
      <sz val="12"/>
      <name val="Times New Roman"/>
      <family val="1"/>
    </font>
    <font>
      <sz val="12"/>
      <name val="Times New Roman"/>
      <family val="1"/>
    </font>
    <font>
      <sz val="16"/>
      <name val="Times New Roman"/>
      <family val="1"/>
    </font>
    <font>
      <sz val="12"/>
      <name val="Wingdings"/>
      <charset val="2"/>
    </font>
    <font>
      <sz val="12"/>
      <name val="Calibri"/>
      <family val="2"/>
      <scheme val="minor"/>
    </font>
    <font>
      <sz val="10"/>
      <color rgb="FF000000"/>
      <name val="Calibri"/>
      <family val="2"/>
    </font>
    <font>
      <sz val="11"/>
      <name val="Calibri"/>
      <family val="2"/>
      <scheme val="minor"/>
    </font>
    <font>
      <sz val="12"/>
      <name val="Times New Roman"/>
      <family val="1"/>
    </font>
    <font>
      <sz val="13"/>
      <name val="Times New Roman"/>
      <family val="1"/>
    </font>
    <font>
      <i/>
      <sz val="13"/>
      <name val="Times New Roman"/>
      <family val="1"/>
    </font>
    <font>
      <b/>
      <i/>
      <sz val="13"/>
      <name val="Times New Roman"/>
      <family val="1"/>
    </font>
    <font>
      <b/>
      <sz val="20"/>
      <name val="Wingdings"/>
      <charset val="2"/>
    </font>
    <font>
      <b/>
      <i/>
      <vertAlign val="subscript"/>
      <sz val="13"/>
      <name val="Times New Roman"/>
      <family val="1"/>
    </font>
    <font>
      <b/>
      <sz val="24"/>
      <name val="Times New Roman"/>
      <family val="1"/>
    </font>
    <font>
      <b/>
      <i/>
      <sz val="12"/>
      <name val="Webdings"/>
      <family val="1"/>
      <charset val="2"/>
    </font>
    <font>
      <sz val="16"/>
      <name val="Arial"/>
      <family val="2"/>
    </font>
    <font>
      <sz val="18"/>
      <name val="Times New Roman"/>
      <family val="1"/>
    </font>
    <font>
      <b/>
      <sz val="10.5"/>
      <name val="Times New Roman"/>
      <family val="1"/>
    </font>
    <font>
      <sz val="12"/>
      <name val="Times New Roman"/>
      <family val="1"/>
    </font>
    <font>
      <sz val="11"/>
      <name val="Arial"/>
      <family val="2"/>
    </font>
    <font>
      <sz val="9"/>
      <name val="Times New Roman"/>
      <family val="1"/>
    </font>
    <font>
      <b/>
      <i/>
      <u/>
      <sz val="12"/>
      <name val="Times New Roman"/>
      <family val="1"/>
    </font>
    <font>
      <b/>
      <i/>
      <sz val="26"/>
      <name val="Times New Roman"/>
      <family val="1"/>
    </font>
    <font>
      <b/>
      <sz val="12"/>
      <name val="Wingdings"/>
      <charset val="2"/>
    </font>
    <font>
      <b/>
      <sz val="16"/>
      <name val="Wingdings"/>
      <charset val="2"/>
    </font>
    <font>
      <b/>
      <sz val="20"/>
      <name val="Times New Roman"/>
      <family val="1"/>
    </font>
    <font>
      <i/>
      <sz val="10"/>
      <name val="Times New Roman"/>
      <family val="1"/>
    </font>
    <font>
      <sz val="7"/>
      <name val="Arial"/>
      <family val="2"/>
    </font>
    <font>
      <b/>
      <i/>
      <sz val="13"/>
      <color theme="0"/>
      <name val="Times New Roman"/>
      <family val="1"/>
    </font>
    <font>
      <sz val="13"/>
      <color theme="0"/>
      <name val="Times New Roman"/>
      <family val="1"/>
    </font>
    <font>
      <b/>
      <sz val="13"/>
      <color theme="0"/>
      <name val="Times New Roman"/>
      <family val="1"/>
    </font>
    <font>
      <sz val="12"/>
      <color theme="0"/>
      <name val="Times New Roman"/>
      <family val="1"/>
    </font>
    <font>
      <b/>
      <i/>
      <u/>
      <sz val="13"/>
      <color theme="0"/>
      <name val="Times New Roman"/>
      <family val="1"/>
    </font>
    <font>
      <sz val="12"/>
      <name val="Arial Narrow"/>
      <family val="2"/>
    </font>
    <font>
      <b/>
      <sz val="12"/>
      <name val="Arial Narrow"/>
      <family val="2"/>
    </font>
    <font>
      <sz val="12"/>
      <name val="Arial"/>
      <family val="2"/>
    </font>
    <font>
      <b/>
      <sz val="14"/>
      <name val="Times New Roman"/>
      <family val="1"/>
    </font>
    <font>
      <sz val="14"/>
      <name val="Times New Roman"/>
      <family val="1"/>
    </font>
    <font>
      <sz val="11"/>
      <color rgb="FFFF0000"/>
      <name val="Times New Roman"/>
      <family val="1"/>
    </font>
    <font>
      <b/>
      <sz val="12"/>
      <color rgb="FFFF0000"/>
      <name val="Times New Roman"/>
      <family val="1"/>
    </font>
    <font>
      <b/>
      <i/>
      <sz val="11"/>
      <color rgb="FFFF0000"/>
      <name val="Times New Roman"/>
      <family val="1"/>
    </font>
    <font>
      <sz val="12"/>
      <color rgb="FFFF0000"/>
      <name val="Times New Roman"/>
      <family val="1"/>
    </font>
    <font>
      <sz val="10"/>
      <color rgb="FFFF0000"/>
      <name val="Times New Roman"/>
      <family val="1"/>
    </font>
    <font>
      <sz val="11"/>
      <color rgb="FFFF0000"/>
      <name val="Arial"/>
      <family val="2"/>
    </font>
    <font>
      <b/>
      <i/>
      <sz val="12"/>
      <color rgb="FFFF0000"/>
      <name val="Times New Roman"/>
      <family val="1"/>
    </font>
    <font>
      <b/>
      <sz val="10"/>
      <color theme="1"/>
      <name val="Times New Roman"/>
      <family val="1"/>
    </font>
    <font>
      <b/>
      <sz val="12"/>
      <color theme="1"/>
      <name val="Times New Roman"/>
      <family val="1"/>
    </font>
    <font>
      <b/>
      <u/>
      <sz val="12"/>
      <color theme="1"/>
      <name val="Times New Roman"/>
      <family val="1"/>
    </font>
    <font>
      <sz val="12"/>
      <color theme="1"/>
      <name val="Times New Roman"/>
      <family val="1"/>
    </font>
    <font>
      <b/>
      <sz val="11"/>
      <color theme="1"/>
      <name val="Times New Roman"/>
      <family val="1"/>
    </font>
    <font>
      <sz val="11"/>
      <color theme="1"/>
      <name val="Arial"/>
      <family val="2"/>
    </font>
    <font>
      <b/>
      <i/>
      <sz val="12"/>
      <color theme="1"/>
      <name val="Times New Roman"/>
      <family val="1"/>
    </font>
    <font>
      <sz val="11"/>
      <color rgb="FFFF0000"/>
      <name val="Calibri"/>
      <family val="2"/>
    </font>
    <font>
      <b/>
      <i/>
      <sz val="10"/>
      <color rgb="FFFF0000"/>
      <name val="Times New Roman"/>
      <family val="1"/>
    </font>
    <font>
      <sz val="14"/>
      <color theme="0"/>
      <name val="Times New Roman"/>
      <family val="1"/>
    </font>
    <font>
      <sz val="16"/>
      <color theme="0"/>
      <name val="Times New Roman"/>
      <family val="1"/>
    </font>
    <font>
      <b/>
      <sz val="12"/>
      <color theme="0"/>
      <name val="Times New Roman"/>
      <family val="1"/>
    </font>
    <font>
      <b/>
      <i/>
      <sz val="9"/>
      <color rgb="FFFF0000"/>
      <name val="Times New Roman"/>
      <family val="1"/>
    </font>
    <font>
      <b/>
      <i/>
      <sz val="8"/>
      <color rgb="FFFF0000"/>
      <name val="Times New Roman"/>
      <family val="1"/>
    </font>
    <font>
      <i/>
      <sz val="12"/>
      <color rgb="FFFF0000"/>
      <name val="Times New Roman"/>
      <family val="1"/>
    </font>
    <font>
      <sz val="10"/>
      <color theme="1"/>
      <name val="Times New Roman"/>
      <family val="1"/>
    </font>
    <font>
      <b/>
      <i/>
      <sz val="12"/>
      <name val="Calibri"/>
      <family val="2"/>
    </font>
    <font>
      <sz val="11.5"/>
      <name val="Times New Roman"/>
      <family val="1"/>
    </font>
    <font>
      <b/>
      <sz val="11.5"/>
      <name val="Times New Roman"/>
      <family val="1"/>
    </font>
  </fonts>
  <fills count="9">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theme="1"/>
        <bgColor indexed="64"/>
      </patternFill>
    </fill>
    <fill>
      <patternFill patternType="solid">
        <fgColor theme="0"/>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3" tint="0.79998168889431442"/>
        <bgColor theme="0"/>
      </patternFill>
    </fill>
  </fills>
  <borders count="377">
    <border>
      <left/>
      <right/>
      <top/>
      <bottom/>
      <diagonal/>
    </border>
    <border>
      <left style="thin">
        <color indexed="64"/>
      </left>
      <right style="thin">
        <color indexed="64"/>
      </right>
      <top style="thin">
        <color indexed="64"/>
      </top>
      <bottom style="thin">
        <color indexed="64"/>
      </bottom>
      <diagonal/>
    </border>
    <border>
      <left style="double">
        <color indexed="64"/>
      </left>
      <right/>
      <top style="double">
        <color indexed="64"/>
      </top>
      <bottom/>
      <diagonal/>
    </border>
    <border>
      <left style="double">
        <color indexed="64"/>
      </left>
      <right/>
      <top/>
      <bottom/>
      <diagonal/>
    </border>
    <border>
      <left style="double">
        <color indexed="64"/>
      </left>
      <right/>
      <top/>
      <bottom style="double">
        <color indexed="64"/>
      </bottom>
      <diagonal/>
    </border>
    <border>
      <left/>
      <right/>
      <top style="thin">
        <color indexed="64"/>
      </top>
      <bottom/>
      <diagonal/>
    </border>
    <border>
      <left/>
      <right/>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double">
        <color indexed="64"/>
      </right>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top style="hair">
        <color indexed="64"/>
      </top>
      <bottom style="hair">
        <color indexed="64"/>
      </bottom>
      <diagonal/>
    </border>
    <border>
      <left style="medium">
        <color indexed="64"/>
      </left>
      <right/>
      <top/>
      <bottom style="thin">
        <color indexed="64"/>
      </bottom>
      <diagonal/>
    </border>
    <border>
      <left/>
      <right style="thin">
        <color indexed="64"/>
      </right>
      <top/>
      <bottom style="thin">
        <color indexed="64"/>
      </bottom>
      <diagonal/>
    </border>
    <border>
      <left style="medium">
        <color indexed="64"/>
      </left>
      <right/>
      <top/>
      <bottom style="medium">
        <color indexed="64"/>
      </bottom>
      <diagonal/>
    </border>
    <border>
      <left/>
      <right style="dashed">
        <color indexed="64"/>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style="thin">
        <color indexed="64"/>
      </left>
      <right/>
      <top/>
      <bottom style="medium">
        <color indexed="64"/>
      </bottom>
      <diagonal/>
    </border>
    <border>
      <left style="medium">
        <color indexed="64"/>
      </left>
      <right/>
      <top style="hair">
        <color indexed="64"/>
      </top>
      <bottom style="double">
        <color indexed="64"/>
      </bottom>
      <diagonal/>
    </border>
    <border>
      <left/>
      <right style="medium">
        <color indexed="64"/>
      </right>
      <top style="hair">
        <color indexed="64"/>
      </top>
      <bottom style="double">
        <color indexed="64"/>
      </bottom>
      <diagonal/>
    </border>
    <border>
      <left style="double">
        <color indexed="64"/>
      </left>
      <right/>
      <top/>
      <bottom style="medium">
        <color indexed="64"/>
      </bottom>
      <diagonal/>
    </border>
    <border>
      <left/>
      <right/>
      <top style="hair">
        <color indexed="64"/>
      </top>
      <bottom style="hair">
        <color indexed="64"/>
      </bottom>
      <diagonal/>
    </border>
    <border>
      <left/>
      <right style="medium">
        <color indexed="64"/>
      </right>
      <top style="hair">
        <color indexed="64"/>
      </top>
      <bottom style="hair">
        <color indexed="64"/>
      </bottom>
      <diagonal/>
    </border>
    <border>
      <left style="medium">
        <color indexed="64"/>
      </left>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double">
        <color indexed="64"/>
      </right>
      <top style="medium">
        <color indexed="64"/>
      </top>
      <bottom style="thin">
        <color indexed="64"/>
      </bottom>
      <diagonal/>
    </border>
    <border>
      <left style="double">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double">
        <color indexed="64"/>
      </bottom>
      <diagonal/>
    </border>
    <border>
      <left/>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double">
        <color indexed="64"/>
      </top>
      <bottom style="medium">
        <color indexed="64"/>
      </bottom>
      <diagonal/>
    </border>
    <border>
      <left/>
      <right/>
      <top style="double">
        <color indexed="64"/>
      </top>
      <bottom style="medium">
        <color indexed="64"/>
      </bottom>
      <diagonal/>
    </border>
    <border>
      <left/>
      <right style="thin">
        <color indexed="64"/>
      </right>
      <top style="double">
        <color indexed="64"/>
      </top>
      <bottom style="medium">
        <color indexed="64"/>
      </bottom>
      <diagonal/>
    </border>
    <border>
      <left/>
      <right style="medium">
        <color indexed="64"/>
      </right>
      <top style="double">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right style="double">
        <color indexed="64"/>
      </right>
      <top style="medium">
        <color indexed="64"/>
      </top>
      <bottom/>
      <diagonal/>
    </border>
    <border>
      <left/>
      <right style="medium">
        <color indexed="64"/>
      </right>
      <top style="medium">
        <color indexed="64"/>
      </top>
      <bottom/>
      <diagonal/>
    </border>
    <border>
      <left/>
      <right style="double">
        <color indexed="64"/>
      </right>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hair">
        <color indexed="64"/>
      </bottom>
      <diagonal/>
    </border>
    <border>
      <left/>
      <right/>
      <top/>
      <bottom style="hair">
        <color indexed="64"/>
      </bottom>
      <diagonal/>
    </border>
    <border>
      <left/>
      <right style="medium">
        <color indexed="64"/>
      </right>
      <top/>
      <bottom style="hair">
        <color indexed="64"/>
      </bottom>
      <diagonal/>
    </border>
    <border>
      <left style="medium">
        <color indexed="64"/>
      </left>
      <right/>
      <top/>
      <bottom style="hair">
        <color indexed="64"/>
      </bottom>
      <diagonal/>
    </border>
    <border>
      <left style="medium">
        <color indexed="64"/>
      </left>
      <right/>
      <top style="hair">
        <color indexed="64"/>
      </top>
      <bottom/>
      <diagonal/>
    </border>
    <border>
      <left/>
      <right style="medium">
        <color indexed="64"/>
      </right>
      <top/>
      <bottom/>
      <diagonal/>
    </border>
    <border>
      <left/>
      <right/>
      <top style="hair">
        <color indexed="64"/>
      </top>
      <bottom style="double">
        <color indexed="64"/>
      </bottom>
      <diagonal/>
    </border>
    <border>
      <left style="thin">
        <color indexed="64"/>
      </left>
      <right/>
      <top style="thin">
        <color indexed="64"/>
      </top>
      <bottom style="thin">
        <color indexed="64"/>
      </bottom>
      <diagonal/>
    </border>
    <border>
      <left/>
      <right style="double">
        <color indexed="64"/>
      </right>
      <top style="thin">
        <color indexed="64"/>
      </top>
      <bottom style="thin">
        <color indexed="64"/>
      </bottom>
      <diagonal/>
    </border>
    <border>
      <left/>
      <right style="medium">
        <color indexed="64"/>
      </right>
      <top style="thin">
        <color indexed="64"/>
      </top>
      <bottom/>
      <diagonal/>
    </border>
    <border>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double">
        <color indexed="64"/>
      </right>
      <top style="thin">
        <color indexed="64"/>
      </top>
      <bottom/>
      <diagonal/>
    </border>
    <border>
      <left style="thin">
        <color indexed="64"/>
      </left>
      <right/>
      <top/>
      <bottom/>
      <diagonal/>
    </border>
    <border>
      <left/>
      <right style="thin">
        <color indexed="64"/>
      </right>
      <top/>
      <bottom/>
      <diagonal/>
    </border>
    <border>
      <left/>
      <right style="double">
        <color indexed="64"/>
      </right>
      <top/>
      <bottom/>
      <diagonal/>
    </border>
    <border>
      <left style="dashed">
        <color indexed="64"/>
      </left>
      <right/>
      <top/>
      <bottom/>
      <diagonal/>
    </border>
    <border>
      <left style="thin">
        <color indexed="64"/>
      </left>
      <right/>
      <top/>
      <bottom style="thin">
        <color indexed="64"/>
      </bottom>
      <diagonal/>
    </border>
    <border>
      <left style="double">
        <color indexed="64"/>
      </left>
      <right/>
      <top/>
      <bottom style="thin">
        <color indexed="64"/>
      </bottom>
      <diagonal/>
    </border>
    <border>
      <left/>
      <right/>
      <top/>
      <bottom style="double">
        <color indexed="64"/>
      </bottom>
      <diagonal/>
    </border>
    <border>
      <left/>
      <right style="medium">
        <color indexed="64"/>
      </right>
      <top/>
      <bottom style="double">
        <color indexed="64"/>
      </bottom>
      <diagonal/>
    </border>
    <border>
      <left style="thin">
        <color indexed="64"/>
      </left>
      <right/>
      <top style="medium">
        <color indexed="64"/>
      </top>
      <bottom/>
      <diagonal/>
    </border>
    <border>
      <left style="double">
        <color indexed="64"/>
      </left>
      <right/>
      <top style="medium">
        <color indexed="64"/>
      </top>
      <bottom/>
      <diagonal/>
    </border>
    <border>
      <left style="double">
        <color indexed="64"/>
      </left>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double">
        <color indexed="64"/>
      </right>
      <top style="thin">
        <color indexed="64"/>
      </top>
      <bottom style="medium">
        <color indexed="64"/>
      </bottom>
      <diagonal/>
    </border>
    <border>
      <left/>
      <right/>
      <top style="double">
        <color indexed="64"/>
      </top>
      <bottom/>
      <diagonal/>
    </border>
    <border>
      <left/>
      <right style="double">
        <color indexed="64"/>
      </right>
      <top style="double">
        <color indexed="64"/>
      </top>
      <bottom/>
      <diagonal/>
    </border>
    <border>
      <left/>
      <right style="double">
        <color indexed="64"/>
      </right>
      <top/>
      <bottom style="double">
        <color indexed="64"/>
      </bottom>
      <diagonal/>
    </border>
    <border>
      <left/>
      <right style="dashed">
        <color indexed="64"/>
      </right>
      <top style="thin">
        <color indexed="64"/>
      </top>
      <bottom style="medium">
        <color indexed="64"/>
      </bottom>
      <diagonal/>
    </border>
    <border>
      <left style="dashed">
        <color indexed="64"/>
      </left>
      <right/>
      <top style="thin">
        <color indexed="64"/>
      </top>
      <bottom style="medium">
        <color indexed="64"/>
      </bottom>
      <diagonal/>
    </border>
    <border>
      <left style="thin">
        <color indexed="64"/>
      </left>
      <right style="thin">
        <color indexed="64"/>
      </right>
      <top/>
      <bottom/>
      <diagonal/>
    </border>
    <border>
      <left style="dashed">
        <color indexed="64"/>
      </left>
      <right/>
      <top/>
      <bottom style="medium">
        <color indexed="64"/>
      </bottom>
      <diagonal/>
    </border>
    <border>
      <left/>
      <right style="dashed">
        <color indexed="64"/>
      </right>
      <top style="medium">
        <color indexed="64"/>
      </top>
      <bottom/>
      <diagonal/>
    </border>
    <border>
      <left/>
      <right style="dashed">
        <color indexed="64"/>
      </right>
      <top/>
      <bottom/>
      <diagonal/>
    </border>
    <border>
      <left style="dashed">
        <color indexed="64"/>
      </left>
      <right/>
      <top style="medium">
        <color indexed="64"/>
      </top>
      <bottom/>
      <diagonal/>
    </border>
    <border>
      <left/>
      <right/>
      <top style="hair">
        <color indexed="64"/>
      </top>
      <bottom/>
      <diagonal/>
    </border>
    <border>
      <left/>
      <right style="medium">
        <color indexed="64"/>
      </right>
      <top style="hair">
        <color indexed="64"/>
      </top>
      <bottom/>
      <diagonal/>
    </border>
    <border>
      <left/>
      <right style="thin">
        <color indexed="64"/>
      </right>
      <top style="hair">
        <color indexed="64"/>
      </top>
      <bottom/>
      <diagonal/>
    </border>
    <border>
      <left style="thin">
        <color indexed="64"/>
      </left>
      <right/>
      <top style="hair">
        <color indexed="64"/>
      </top>
      <bottom/>
      <diagonal/>
    </border>
    <border>
      <left style="thin">
        <color indexed="64"/>
      </left>
      <right style="thin">
        <color indexed="64"/>
      </right>
      <top/>
      <bottom style="thin">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double">
        <color indexed="64"/>
      </left>
      <right/>
      <top style="thin">
        <color indexed="64"/>
      </top>
      <bottom style="double">
        <color indexed="64"/>
      </bottom>
      <diagonal/>
    </border>
    <border>
      <left style="medium">
        <color indexed="64"/>
      </left>
      <right style="medium">
        <color indexed="64"/>
      </right>
      <top/>
      <bottom/>
      <diagonal/>
    </border>
    <border>
      <left/>
      <right style="double">
        <color indexed="64"/>
      </right>
      <top style="medium">
        <color indexed="64"/>
      </top>
      <bottom style="medium">
        <color indexed="64"/>
      </bottom>
      <diagonal/>
    </border>
    <border>
      <left style="double">
        <color indexed="64"/>
      </left>
      <right/>
      <top style="medium">
        <color indexed="64"/>
      </top>
      <bottom style="medium">
        <color indexed="64"/>
      </bottom>
      <diagonal/>
    </border>
    <border>
      <left/>
      <right style="dashed">
        <color indexed="64"/>
      </right>
      <top style="thin">
        <color indexed="64"/>
      </top>
      <bottom style="thin">
        <color indexed="64"/>
      </bottom>
      <diagonal/>
    </border>
    <border>
      <left style="dashed">
        <color indexed="64"/>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bottom style="double">
        <color indexed="64"/>
      </bottom>
      <diagonal/>
    </border>
    <border>
      <left style="medium">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style="thin">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thin">
        <color rgb="FF000000"/>
      </right>
      <top/>
      <bottom/>
      <diagonal/>
    </border>
    <border>
      <left style="thin">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thin">
        <color rgb="FF000000"/>
      </right>
      <top style="medium">
        <color rgb="FF000000"/>
      </top>
      <bottom style="hair">
        <color rgb="FF000000"/>
      </bottom>
      <diagonal/>
    </border>
    <border>
      <left style="thin">
        <color rgb="FF000000"/>
      </left>
      <right/>
      <top style="medium">
        <color rgb="FF000000"/>
      </top>
      <bottom style="hair">
        <color rgb="FF000000"/>
      </bottom>
      <diagonal/>
    </border>
    <border>
      <left/>
      <right style="medium">
        <color rgb="FF000000"/>
      </right>
      <top style="medium">
        <color rgb="FF000000"/>
      </top>
      <bottom style="hair">
        <color rgb="FF000000"/>
      </bottom>
      <diagonal/>
    </border>
    <border>
      <left style="medium">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hair">
        <color rgb="FF000000"/>
      </bottom>
      <diagonal/>
    </border>
    <border>
      <left/>
      <right style="medium">
        <color rgb="FF000000"/>
      </right>
      <top style="hair">
        <color rgb="FF000000"/>
      </top>
      <bottom style="hair">
        <color rgb="FF000000"/>
      </bottom>
      <diagonal/>
    </border>
    <border>
      <left style="medium">
        <color rgb="FF000000"/>
      </left>
      <right/>
      <top style="hair">
        <color rgb="FF000000"/>
      </top>
      <bottom style="medium">
        <color rgb="FF000000"/>
      </bottom>
      <diagonal/>
    </border>
    <border>
      <left/>
      <right/>
      <top style="hair">
        <color rgb="FF000000"/>
      </top>
      <bottom style="medium">
        <color rgb="FF000000"/>
      </bottom>
      <diagonal/>
    </border>
    <border>
      <left/>
      <right style="thin">
        <color rgb="FF000000"/>
      </right>
      <top style="hair">
        <color rgb="FF000000"/>
      </top>
      <bottom style="medium">
        <color rgb="FF000000"/>
      </bottom>
      <diagonal/>
    </border>
    <border>
      <left style="thin">
        <color rgb="FF000000"/>
      </left>
      <right/>
      <top style="hair">
        <color rgb="FF000000"/>
      </top>
      <bottom style="medium">
        <color rgb="FF000000"/>
      </bottom>
      <diagonal/>
    </border>
    <border>
      <left/>
      <right style="medium">
        <color rgb="FF000000"/>
      </right>
      <top style="hair">
        <color rgb="FF000000"/>
      </top>
      <bottom style="medium">
        <color rgb="FF000000"/>
      </bottom>
      <diagonal/>
    </border>
    <border>
      <left style="thick">
        <color indexed="64"/>
      </left>
      <right/>
      <top style="thick">
        <color indexed="64"/>
      </top>
      <bottom/>
      <diagonal/>
    </border>
    <border>
      <left/>
      <right/>
      <top style="thick">
        <color indexed="64"/>
      </top>
      <bottom/>
      <diagonal/>
    </border>
    <border>
      <left/>
      <right style="medium">
        <color indexed="64"/>
      </right>
      <top style="thick">
        <color indexed="64"/>
      </top>
      <bottom/>
      <diagonal/>
    </border>
    <border>
      <left style="medium">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bottom/>
      <diagonal/>
    </border>
    <border>
      <left/>
      <right style="thick">
        <color indexed="64"/>
      </right>
      <top style="medium">
        <color indexed="64"/>
      </top>
      <bottom/>
      <diagonal/>
    </border>
    <border>
      <left/>
      <right style="thick">
        <color indexed="64"/>
      </right>
      <top/>
      <bottom/>
      <diagonal/>
    </border>
    <border>
      <left/>
      <right style="thick">
        <color indexed="64"/>
      </right>
      <top/>
      <bottom style="thin">
        <color indexed="64"/>
      </bottom>
      <diagonal/>
    </border>
    <border>
      <left/>
      <right style="thick">
        <color indexed="64"/>
      </right>
      <top style="thin">
        <color indexed="64"/>
      </top>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thin">
        <color indexed="64"/>
      </top>
      <bottom/>
      <diagonal/>
    </border>
    <border>
      <left style="thick">
        <color indexed="64"/>
      </left>
      <right/>
      <top/>
      <bottom style="thin">
        <color indexed="64"/>
      </bottom>
      <diagonal/>
    </border>
    <border>
      <left style="thick">
        <color indexed="64"/>
      </left>
      <right/>
      <top/>
      <bottom style="hair">
        <color indexed="64"/>
      </bottom>
      <diagonal/>
    </border>
    <border>
      <left/>
      <right style="thick">
        <color indexed="64"/>
      </right>
      <top/>
      <bottom style="hair">
        <color indexed="64"/>
      </bottom>
      <diagonal/>
    </border>
    <border>
      <left/>
      <right style="thick">
        <color indexed="64"/>
      </right>
      <top style="hair">
        <color indexed="64"/>
      </top>
      <bottom/>
      <diagonal/>
    </border>
    <border>
      <left style="thick">
        <color indexed="64"/>
      </left>
      <right/>
      <top style="thin">
        <color indexed="64"/>
      </top>
      <bottom style="thin">
        <color indexed="64"/>
      </bottom>
      <diagonal/>
    </border>
    <border>
      <left/>
      <right style="thick">
        <color indexed="64"/>
      </right>
      <top style="thin">
        <color indexed="64"/>
      </top>
      <bottom style="thin">
        <color indexed="64"/>
      </bottom>
      <diagonal/>
    </border>
    <border>
      <left style="thick">
        <color indexed="64"/>
      </left>
      <right/>
      <top style="double">
        <color indexed="64"/>
      </top>
      <bottom style="thick">
        <color indexed="64"/>
      </bottom>
      <diagonal/>
    </border>
    <border>
      <left/>
      <right/>
      <top style="double">
        <color indexed="64"/>
      </top>
      <bottom style="thick">
        <color indexed="64"/>
      </bottom>
      <diagonal/>
    </border>
    <border>
      <left/>
      <right style="medium">
        <color indexed="64"/>
      </right>
      <top style="double">
        <color indexed="64"/>
      </top>
      <bottom style="thick">
        <color indexed="64"/>
      </bottom>
      <diagonal/>
    </border>
    <border>
      <left style="medium">
        <color indexed="64"/>
      </left>
      <right/>
      <top style="double">
        <color indexed="64"/>
      </top>
      <bottom style="thick">
        <color indexed="64"/>
      </bottom>
      <diagonal/>
    </border>
    <border>
      <left style="thin">
        <color indexed="64"/>
      </left>
      <right/>
      <top style="double">
        <color indexed="64"/>
      </top>
      <bottom style="thick">
        <color indexed="64"/>
      </bottom>
      <diagonal/>
    </border>
    <border>
      <left/>
      <right style="double">
        <color indexed="64"/>
      </right>
      <top style="double">
        <color indexed="64"/>
      </top>
      <bottom style="thick">
        <color indexed="64"/>
      </bottom>
      <diagonal/>
    </border>
    <border>
      <left/>
      <right style="thin">
        <color indexed="64"/>
      </right>
      <top style="double">
        <color indexed="64"/>
      </top>
      <bottom style="thick">
        <color indexed="64"/>
      </bottom>
      <diagonal/>
    </border>
    <border>
      <left style="double">
        <color indexed="64"/>
      </left>
      <right/>
      <top style="double">
        <color indexed="64"/>
      </top>
      <bottom style="thick">
        <color indexed="64"/>
      </bottom>
      <diagonal/>
    </border>
    <border>
      <left/>
      <right style="thick">
        <color indexed="64"/>
      </right>
      <top style="double">
        <color indexed="64"/>
      </top>
      <bottom style="thick">
        <color indexed="64"/>
      </bottom>
      <diagonal/>
    </border>
    <border>
      <left style="thin">
        <color indexed="64"/>
      </left>
      <right style="double">
        <color indexed="64"/>
      </right>
      <top/>
      <bottom/>
      <diagonal/>
    </border>
    <border>
      <left style="thick">
        <color indexed="64"/>
      </left>
      <right/>
      <top/>
      <bottom style="thick">
        <color indexed="64"/>
      </bottom>
      <diagonal/>
    </border>
    <border>
      <left/>
      <right/>
      <top/>
      <bottom style="thick">
        <color indexed="64"/>
      </bottom>
      <diagonal/>
    </border>
    <border>
      <left/>
      <right style="medium">
        <color indexed="64"/>
      </right>
      <top/>
      <bottom style="thick">
        <color indexed="64"/>
      </bottom>
      <diagonal/>
    </border>
    <border>
      <left style="medium">
        <color indexed="64"/>
      </left>
      <right/>
      <top/>
      <bottom style="thick">
        <color indexed="64"/>
      </bottom>
      <diagonal/>
    </border>
    <border>
      <left style="thin">
        <color indexed="64"/>
      </left>
      <right/>
      <top/>
      <bottom style="thick">
        <color indexed="64"/>
      </bottom>
      <diagonal/>
    </border>
    <border>
      <left/>
      <right style="double">
        <color indexed="64"/>
      </right>
      <top/>
      <bottom style="thick">
        <color indexed="64"/>
      </bottom>
      <diagonal/>
    </border>
    <border>
      <left/>
      <right style="thin">
        <color indexed="64"/>
      </right>
      <top/>
      <bottom style="thick">
        <color indexed="64"/>
      </bottom>
      <diagonal/>
    </border>
    <border>
      <left style="double">
        <color indexed="64"/>
      </left>
      <right/>
      <top/>
      <bottom style="thick">
        <color indexed="64"/>
      </bottom>
      <diagonal/>
    </border>
    <border>
      <left/>
      <right style="thick">
        <color indexed="64"/>
      </right>
      <top/>
      <bottom style="thick">
        <color indexed="64"/>
      </bottom>
      <diagonal/>
    </border>
    <border>
      <left style="thick">
        <color indexed="64"/>
      </left>
      <right/>
      <top style="thin">
        <color indexed="64"/>
      </top>
      <bottom style="medium">
        <color indexed="64"/>
      </bottom>
      <diagonal/>
    </border>
    <border>
      <left style="thick">
        <color indexed="64"/>
      </left>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top style="medium">
        <color indexed="64"/>
      </top>
      <bottom style="thin">
        <color indexed="64"/>
      </bottom>
      <diagonal/>
    </border>
    <border>
      <left/>
      <right style="thick">
        <color indexed="64"/>
      </right>
      <top style="medium">
        <color indexed="64"/>
      </top>
      <bottom style="thin">
        <color indexed="64"/>
      </bottom>
      <diagonal/>
    </border>
    <border>
      <left style="thick">
        <color indexed="64"/>
      </left>
      <right/>
      <top style="hair">
        <color indexed="64"/>
      </top>
      <bottom/>
      <diagonal/>
    </border>
    <border>
      <left/>
      <right style="thick">
        <color indexed="64"/>
      </right>
      <top style="thin">
        <color indexed="64"/>
      </top>
      <bottom style="double">
        <color indexed="64"/>
      </bottom>
      <diagonal/>
    </border>
    <border>
      <left style="thick">
        <color indexed="64"/>
      </left>
      <right/>
      <top style="thick">
        <color indexed="64"/>
      </top>
      <bottom style="medium">
        <color indexed="64"/>
      </bottom>
      <diagonal/>
    </border>
    <border>
      <left style="thick">
        <color indexed="64"/>
      </left>
      <right/>
      <top/>
      <bottom style="double">
        <color indexed="64"/>
      </bottom>
      <diagonal/>
    </border>
    <border>
      <left style="thick">
        <color indexed="64"/>
      </left>
      <right/>
      <top style="double">
        <color indexed="64"/>
      </top>
      <bottom/>
      <diagonal/>
    </border>
    <border>
      <left/>
      <right style="medium">
        <color indexed="64"/>
      </right>
      <top style="double">
        <color indexed="64"/>
      </top>
      <bottom/>
      <diagonal/>
    </border>
    <border>
      <left style="medium">
        <color indexed="64"/>
      </left>
      <right/>
      <top style="thick">
        <color indexed="64"/>
      </top>
      <bottom/>
      <diagonal/>
    </border>
    <border>
      <left style="thin">
        <color indexed="64"/>
      </left>
      <right/>
      <top style="thick">
        <color indexed="64"/>
      </top>
      <bottom/>
      <diagonal/>
    </border>
    <border>
      <left/>
      <right style="double">
        <color indexed="64"/>
      </right>
      <top style="thick">
        <color indexed="64"/>
      </top>
      <bottom/>
      <diagonal/>
    </border>
    <border>
      <left style="double">
        <color indexed="64"/>
      </left>
      <right/>
      <top style="thick">
        <color indexed="64"/>
      </top>
      <bottom/>
      <diagonal/>
    </border>
    <border>
      <left/>
      <right style="thick">
        <color indexed="64"/>
      </right>
      <top style="thick">
        <color indexed="64"/>
      </top>
      <bottom/>
      <diagonal/>
    </border>
    <border>
      <left style="thick">
        <color indexed="64"/>
      </left>
      <right/>
      <top style="medium">
        <color indexed="64"/>
      </top>
      <bottom/>
      <diagonal/>
    </border>
    <border>
      <left/>
      <right style="dashed">
        <color indexed="64"/>
      </right>
      <top/>
      <bottom style="thick">
        <color indexed="64"/>
      </bottom>
      <diagonal/>
    </border>
    <border>
      <left style="dashed">
        <color indexed="64"/>
      </left>
      <right/>
      <top/>
      <bottom style="thick">
        <color indexed="64"/>
      </bottom>
      <diagonal/>
    </border>
    <border>
      <left/>
      <right style="thin">
        <color indexed="64"/>
      </right>
      <top style="thick">
        <color indexed="64"/>
      </top>
      <bottom style="medium">
        <color indexed="64"/>
      </bottom>
      <diagonal/>
    </border>
    <border>
      <left style="thin">
        <color indexed="64"/>
      </left>
      <right/>
      <top style="thick">
        <color indexed="64"/>
      </top>
      <bottom style="medium">
        <color indexed="64"/>
      </bottom>
      <diagonal/>
    </border>
    <border>
      <left style="medium">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style="double">
        <color indexed="64"/>
      </left>
      <right/>
      <top style="thin">
        <color indexed="64"/>
      </top>
      <bottom style="thick">
        <color indexed="64"/>
      </bottom>
      <diagonal/>
    </border>
    <border>
      <left/>
      <right/>
      <top style="thin">
        <color indexed="64"/>
      </top>
      <bottom style="thick">
        <color indexed="64"/>
      </bottom>
      <diagonal/>
    </border>
    <border>
      <left/>
      <right style="thick">
        <color indexed="64"/>
      </right>
      <top style="thin">
        <color indexed="64"/>
      </top>
      <bottom style="thick">
        <color indexed="64"/>
      </bottom>
      <diagonal/>
    </border>
    <border>
      <left style="medium">
        <color indexed="64"/>
      </left>
      <right/>
      <top style="thin">
        <color indexed="64"/>
      </top>
      <bottom style="thick">
        <color indexed="64"/>
      </bottom>
      <diagonal/>
    </border>
    <border>
      <left/>
      <right style="thin">
        <color indexed="64"/>
      </right>
      <top style="thin">
        <color indexed="64"/>
      </top>
      <bottom style="thick">
        <color indexed="64"/>
      </bottom>
      <diagonal/>
    </border>
    <border>
      <left style="thin">
        <color indexed="64"/>
      </left>
      <right/>
      <top style="thin">
        <color indexed="64"/>
      </top>
      <bottom style="thick">
        <color indexed="64"/>
      </bottom>
      <diagonal/>
    </border>
    <border>
      <left/>
      <right style="double">
        <color indexed="64"/>
      </right>
      <top style="thin">
        <color indexed="64"/>
      </top>
      <bottom style="thick">
        <color indexed="64"/>
      </bottom>
      <diagonal/>
    </border>
    <border>
      <left/>
      <right style="medium">
        <color indexed="64"/>
      </right>
      <top style="thick">
        <color indexed="64"/>
      </top>
      <bottom style="medium">
        <color indexed="64"/>
      </bottom>
      <diagonal/>
    </border>
    <border>
      <left style="medium">
        <color indexed="64"/>
      </left>
      <right/>
      <top style="medium">
        <color indexed="64"/>
      </top>
      <bottom style="thick">
        <color indexed="64"/>
      </bottom>
      <diagonal/>
    </border>
    <border>
      <left/>
      <right/>
      <top style="medium">
        <color indexed="64"/>
      </top>
      <bottom style="thick">
        <color indexed="64"/>
      </bottom>
      <diagonal/>
    </border>
    <border>
      <left/>
      <right style="thin">
        <color indexed="64"/>
      </right>
      <top style="medium">
        <color indexed="64"/>
      </top>
      <bottom style="thick">
        <color indexed="64"/>
      </bottom>
      <diagonal/>
    </border>
    <border>
      <left style="thin">
        <color indexed="64"/>
      </left>
      <right/>
      <top style="medium">
        <color indexed="64"/>
      </top>
      <bottom style="thick">
        <color indexed="64"/>
      </bottom>
      <diagonal/>
    </border>
    <border>
      <left/>
      <right style="double">
        <color indexed="64"/>
      </right>
      <top style="medium">
        <color indexed="64"/>
      </top>
      <bottom style="thick">
        <color indexed="64"/>
      </bottom>
      <diagonal/>
    </border>
    <border>
      <left style="double">
        <color indexed="64"/>
      </left>
      <right/>
      <top style="medium">
        <color indexed="64"/>
      </top>
      <bottom style="thick">
        <color indexed="64"/>
      </bottom>
      <diagonal/>
    </border>
    <border>
      <left/>
      <right style="medium">
        <color indexed="64"/>
      </right>
      <top style="medium">
        <color indexed="64"/>
      </top>
      <bottom style="thick">
        <color indexed="64"/>
      </bottom>
      <diagonal/>
    </border>
    <border>
      <left/>
      <right style="thick">
        <color indexed="64"/>
      </right>
      <top style="medium">
        <color indexed="64"/>
      </top>
      <bottom style="thick">
        <color indexed="64"/>
      </bottom>
      <diagonal/>
    </border>
    <border>
      <left/>
      <right style="medium">
        <color indexed="64"/>
      </right>
      <top style="thin">
        <color indexed="64"/>
      </top>
      <bottom style="thick">
        <color indexed="64"/>
      </bottom>
      <diagonal/>
    </border>
    <border>
      <left/>
      <right style="medium">
        <color indexed="64"/>
      </right>
      <top style="thick">
        <color indexed="64"/>
      </top>
      <bottom style="thin">
        <color indexed="64"/>
      </bottom>
      <diagonal/>
    </border>
    <border>
      <left/>
      <right style="double">
        <color indexed="64"/>
      </right>
      <top style="thick">
        <color indexed="64"/>
      </top>
      <bottom style="thin">
        <color indexed="64"/>
      </bottom>
      <diagonal/>
    </border>
    <border>
      <left/>
      <right style="thin">
        <color indexed="64"/>
      </right>
      <top style="thick">
        <color indexed="64"/>
      </top>
      <bottom style="thin">
        <color indexed="64"/>
      </bottom>
      <diagonal/>
    </border>
    <border>
      <left style="thin">
        <color indexed="64"/>
      </left>
      <right/>
      <top style="thick">
        <color indexed="64"/>
      </top>
      <bottom style="thin">
        <color indexed="64"/>
      </bottom>
      <diagonal/>
    </border>
    <border>
      <left style="double">
        <color indexed="64"/>
      </left>
      <right/>
      <top style="thick">
        <color indexed="64"/>
      </top>
      <bottom style="thin">
        <color indexed="64"/>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000000"/>
      </left>
      <right/>
      <top style="thin">
        <color rgb="FF000000"/>
      </top>
      <bottom style="thin">
        <color rgb="FF000000"/>
      </bottom>
      <diagonal/>
    </border>
    <border>
      <left/>
      <right/>
      <top style="thin">
        <color rgb="FF000000"/>
      </top>
      <bottom style="thin">
        <color rgb="FF000000"/>
      </bottom>
      <diagonal/>
    </border>
    <border>
      <left/>
      <right style="thick">
        <color rgb="FF000000"/>
      </right>
      <top style="thin">
        <color rgb="FF000000"/>
      </top>
      <bottom style="thin">
        <color rgb="FF000000"/>
      </bottom>
      <diagonal/>
    </border>
    <border>
      <left style="medium">
        <color rgb="FF000000"/>
      </left>
      <right/>
      <top style="thick">
        <color rgb="FF000000"/>
      </top>
      <bottom/>
      <diagonal/>
    </border>
    <border>
      <left/>
      <right style="medium">
        <color rgb="FF000000"/>
      </right>
      <top style="thick">
        <color rgb="FF000000"/>
      </top>
      <bottom/>
      <diagonal/>
    </border>
    <border>
      <left style="medium">
        <color rgb="FF000000"/>
      </left>
      <right/>
      <top/>
      <bottom style="thick">
        <color rgb="FF000000"/>
      </bottom>
      <diagonal/>
    </border>
    <border>
      <left/>
      <right style="medium">
        <color rgb="FF000000"/>
      </right>
      <top/>
      <bottom style="thick">
        <color rgb="FF000000"/>
      </bottom>
      <diagonal/>
    </border>
    <border>
      <left style="medium">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thick">
        <color indexed="64"/>
      </left>
      <right/>
      <top style="thick">
        <color indexed="64"/>
      </top>
      <bottom style="thin">
        <color indexed="64"/>
      </bottom>
      <diagonal/>
    </border>
    <border>
      <left style="thick">
        <color indexed="64"/>
      </left>
      <right/>
      <top style="thin">
        <color indexed="64"/>
      </top>
      <bottom style="thick">
        <color indexed="64"/>
      </bottom>
      <diagonal/>
    </border>
    <border>
      <left style="thick">
        <color indexed="64"/>
      </left>
      <right style="medium">
        <color indexed="64"/>
      </right>
      <top style="thick">
        <color indexed="64"/>
      </top>
      <bottom/>
      <diagonal/>
    </border>
    <border>
      <left style="medium">
        <color indexed="64"/>
      </left>
      <right style="medium">
        <color indexed="64"/>
      </right>
      <top style="thick">
        <color indexed="64"/>
      </top>
      <bottom/>
      <diagonal/>
    </border>
    <border>
      <left style="medium">
        <color indexed="64"/>
      </left>
      <right style="thick">
        <color indexed="64"/>
      </right>
      <top style="thick">
        <color indexed="64"/>
      </top>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style="medium">
        <color indexed="64"/>
      </left>
      <right style="thick">
        <color indexed="64"/>
      </right>
      <top/>
      <bottom style="thick">
        <color indexed="64"/>
      </bottom>
      <diagonal/>
    </border>
    <border>
      <left style="medium">
        <color indexed="64"/>
      </left>
      <right style="double">
        <color indexed="64"/>
      </right>
      <top style="thick">
        <color indexed="64"/>
      </top>
      <bottom/>
      <diagonal/>
    </border>
    <border>
      <left style="thick">
        <color indexed="64"/>
      </left>
      <right style="medium">
        <color indexed="64"/>
      </right>
      <top/>
      <bottom/>
      <diagonal/>
    </border>
    <border>
      <left style="medium">
        <color indexed="64"/>
      </left>
      <right style="double">
        <color indexed="64"/>
      </right>
      <top/>
      <bottom/>
      <diagonal/>
    </border>
    <border>
      <left style="medium">
        <color indexed="64"/>
      </left>
      <right style="thick">
        <color indexed="64"/>
      </right>
      <top/>
      <bottom/>
      <diagonal/>
    </border>
    <border>
      <left style="medium">
        <color indexed="64"/>
      </left>
      <right style="thick">
        <color indexed="64"/>
      </right>
      <top style="medium">
        <color indexed="64"/>
      </top>
      <bottom style="thick">
        <color indexed="64"/>
      </bottom>
      <diagonal/>
    </border>
    <border>
      <left style="medium">
        <color indexed="64"/>
      </left>
      <right style="medium">
        <color indexed="64"/>
      </right>
      <top style="medium">
        <color indexed="64"/>
      </top>
      <bottom style="thick">
        <color indexed="64"/>
      </bottom>
      <diagonal/>
    </border>
    <border>
      <left style="medium">
        <color indexed="64"/>
      </left>
      <right style="double">
        <color indexed="64"/>
      </right>
      <top style="medium">
        <color indexed="64"/>
      </top>
      <bottom style="thick">
        <color indexed="64"/>
      </bottom>
      <diagonal/>
    </border>
    <border>
      <left style="medium">
        <color indexed="64"/>
      </left>
      <right style="thin">
        <color indexed="64"/>
      </right>
      <top style="thick">
        <color indexed="64"/>
      </top>
      <bottom/>
      <diagonal/>
    </border>
    <border>
      <left style="thin">
        <color indexed="64"/>
      </left>
      <right style="thin">
        <color indexed="64"/>
      </right>
      <top style="thick">
        <color indexed="64"/>
      </top>
      <bottom/>
      <diagonal/>
    </border>
    <border>
      <left style="thin">
        <color indexed="64"/>
      </left>
      <right style="double">
        <color indexed="64"/>
      </right>
      <top style="thick">
        <color indexed="64"/>
      </top>
      <bottom/>
      <diagonal/>
    </border>
    <border>
      <left/>
      <right style="thin">
        <color indexed="64"/>
      </right>
      <top style="thick">
        <color indexed="64"/>
      </top>
      <bottom/>
      <diagonal/>
    </border>
    <border>
      <left style="medium">
        <color indexed="64"/>
      </left>
      <right style="thin">
        <color indexed="64"/>
      </right>
      <top/>
      <bottom/>
      <diagonal/>
    </border>
    <border>
      <left style="thick">
        <color indexed="64"/>
      </left>
      <right/>
      <top style="thin">
        <color indexed="64"/>
      </top>
      <bottom style="double">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medium">
        <color indexed="64"/>
      </right>
      <top style="thick">
        <color indexed="64"/>
      </top>
      <bottom style="thick">
        <color indexed="64"/>
      </bottom>
      <diagonal/>
    </border>
    <border>
      <left style="medium">
        <color indexed="64"/>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style="hair">
        <color indexed="64"/>
      </top>
      <bottom style="hair">
        <color indexed="64"/>
      </bottom>
      <diagonal/>
    </border>
    <border>
      <left/>
      <right style="thick">
        <color indexed="64"/>
      </right>
      <top style="hair">
        <color indexed="64"/>
      </top>
      <bottom style="hair">
        <color indexed="64"/>
      </bottom>
      <diagonal/>
    </border>
    <border>
      <left style="medium">
        <color indexed="64"/>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medium">
        <color indexed="64"/>
      </right>
      <top/>
      <bottom style="thick">
        <color indexed="64"/>
      </bottom>
      <diagonal/>
    </border>
    <border>
      <left style="thin">
        <color indexed="64"/>
      </left>
      <right style="thick">
        <color indexed="64"/>
      </right>
      <top/>
      <bottom style="thick">
        <color indexed="64"/>
      </bottom>
      <diagonal/>
    </border>
    <border>
      <left style="thin">
        <color indexed="64"/>
      </left>
      <right style="medium">
        <color indexed="64"/>
      </right>
      <top/>
      <bottom/>
      <diagonal/>
    </border>
    <border>
      <left style="thin">
        <color indexed="64"/>
      </left>
      <right style="thick">
        <color indexed="64"/>
      </right>
      <top/>
      <bottom/>
      <diagonal/>
    </border>
    <border>
      <left/>
      <right style="thin">
        <color indexed="64"/>
      </right>
      <top style="thick">
        <color indexed="64"/>
      </top>
      <bottom style="thick">
        <color indexed="64"/>
      </bottom>
      <diagonal/>
    </border>
    <border>
      <left style="thin">
        <color indexed="64"/>
      </left>
      <right/>
      <top style="thick">
        <color indexed="64"/>
      </top>
      <bottom style="thick">
        <color indexed="64"/>
      </bottom>
      <diagonal/>
    </border>
    <border>
      <left style="thick">
        <color indexed="64"/>
      </left>
      <right/>
      <top style="medium">
        <color indexed="64"/>
      </top>
      <bottom style="thick">
        <color indexed="64"/>
      </bottom>
      <diagonal/>
    </border>
    <border>
      <left style="thin">
        <color indexed="64"/>
      </left>
      <right style="thin">
        <color indexed="64"/>
      </right>
      <top style="thick">
        <color indexed="64"/>
      </top>
      <bottom style="thick">
        <color indexed="64"/>
      </bottom>
      <diagonal/>
    </border>
    <border>
      <left style="medium">
        <color indexed="64"/>
      </left>
      <right style="thin">
        <color indexed="64"/>
      </right>
      <top style="thick">
        <color indexed="64"/>
      </top>
      <bottom style="thick">
        <color indexed="64"/>
      </bottom>
      <diagonal/>
    </border>
    <border>
      <left style="thin">
        <color indexed="64"/>
      </left>
      <right style="medium">
        <color indexed="64"/>
      </right>
      <top style="thick">
        <color indexed="64"/>
      </top>
      <bottom style="thick">
        <color indexed="64"/>
      </bottom>
      <diagonal/>
    </border>
    <border>
      <left style="thin">
        <color indexed="64"/>
      </left>
      <right style="thick">
        <color indexed="64"/>
      </right>
      <top/>
      <bottom style="thin">
        <color indexed="64"/>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style="thin">
        <color indexed="64"/>
      </top>
      <bottom style="thick">
        <color indexed="64"/>
      </bottom>
      <diagonal/>
    </border>
    <border>
      <left style="thin">
        <color indexed="64"/>
      </left>
      <right style="thick">
        <color indexed="64"/>
      </right>
      <top style="thick">
        <color indexed="64"/>
      </top>
      <bottom style="thick">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ck">
        <color indexed="64"/>
      </bottom>
      <diagonal/>
    </border>
    <border>
      <left style="thin">
        <color indexed="64"/>
      </left>
      <right style="medium">
        <color indexed="64"/>
      </right>
      <top style="thin">
        <color indexed="64"/>
      </top>
      <bottom style="thick">
        <color indexed="64"/>
      </bottom>
      <diagonal/>
    </border>
    <border>
      <left style="thin">
        <color indexed="64"/>
      </left>
      <right style="medium">
        <color indexed="64"/>
      </right>
      <top style="thick">
        <color indexed="64"/>
      </top>
      <bottom/>
      <diagonal/>
    </border>
    <border>
      <left/>
      <right style="double">
        <color indexed="64"/>
      </right>
      <top style="thick">
        <color indexed="64"/>
      </top>
      <bottom style="thick">
        <color indexed="64"/>
      </bottom>
      <diagonal/>
    </border>
    <border>
      <left style="double">
        <color indexed="64"/>
      </left>
      <right/>
      <top style="thick">
        <color indexed="64"/>
      </top>
      <bottom style="thick">
        <color indexed="64"/>
      </bottom>
      <diagonal/>
    </border>
    <border>
      <left style="thick">
        <color indexed="64"/>
      </left>
      <right style="thin">
        <color indexed="64"/>
      </right>
      <top/>
      <bottom style="thin">
        <color indexed="64"/>
      </bottom>
      <diagonal/>
    </border>
    <border>
      <left style="thick">
        <color indexed="64"/>
      </left>
      <right style="thin">
        <color indexed="64"/>
      </right>
      <top/>
      <bottom style="thick">
        <color indexed="64"/>
      </bottom>
      <diagonal/>
    </border>
    <border>
      <left style="medium">
        <color indexed="64"/>
      </left>
      <right style="thick">
        <color indexed="64"/>
      </right>
      <top style="thick">
        <color indexed="64"/>
      </top>
      <bottom style="thick">
        <color indexed="64"/>
      </bottom>
      <diagonal/>
    </border>
    <border>
      <left style="medium">
        <color indexed="64"/>
      </left>
      <right style="medium">
        <color indexed="64"/>
      </right>
      <top style="thick">
        <color indexed="64"/>
      </top>
      <bottom style="thick">
        <color indexed="64"/>
      </bottom>
      <diagonal/>
    </border>
    <border>
      <left style="medium">
        <color indexed="64"/>
      </left>
      <right style="medium">
        <color indexed="64"/>
      </right>
      <top style="thin">
        <color indexed="64"/>
      </top>
      <bottom style="thin">
        <color indexed="64"/>
      </bottom>
      <diagonal/>
    </border>
    <border>
      <left style="medium">
        <color indexed="64"/>
      </left>
      <right style="thick">
        <color indexed="64"/>
      </right>
      <top style="thin">
        <color indexed="64"/>
      </top>
      <bottom style="thin">
        <color indexed="64"/>
      </bottom>
      <diagonal/>
    </border>
    <border>
      <left style="thick">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
      <left style="thin">
        <color theme="0" tint="-0.14999847407452621"/>
      </left>
      <right style="thin">
        <color theme="0" tint="-0.14999847407452621"/>
      </right>
      <top/>
      <bottom style="thin">
        <color theme="0" tint="-0.14999847407452621"/>
      </bottom>
      <diagonal/>
    </border>
    <border>
      <left/>
      <right/>
      <top/>
      <bottom style="medium">
        <color theme="1"/>
      </bottom>
      <diagonal/>
    </border>
    <border>
      <left style="thin">
        <color theme="0" tint="-0.14999847407452621"/>
      </left>
      <right style="thin">
        <color theme="0" tint="-0.14999847407452621"/>
      </right>
      <top style="thin">
        <color theme="0" tint="-0.14999847407452621"/>
      </top>
      <bottom style="medium">
        <color indexed="64"/>
      </bottom>
      <diagonal/>
    </border>
    <border>
      <left style="thin">
        <color theme="0" tint="-0.14999847407452621"/>
      </left>
      <right style="thin">
        <color theme="0" tint="-0.14999847407452621"/>
      </right>
      <top style="medium">
        <color indexed="64"/>
      </top>
      <bottom/>
      <diagonal/>
    </border>
    <border>
      <left style="thin">
        <color theme="0" tint="-0.14999847407452621"/>
      </left>
      <right style="thin">
        <color theme="0" tint="-0.14999847407452621"/>
      </right>
      <top/>
      <bottom style="medium">
        <color indexed="64"/>
      </bottom>
      <diagonal/>
    </border>
    <border>
      <left style="thin">
        <color indexed="64"/>
      </left>
      <right/>
      <top style="double">
        <color indexed="64"/>
      </top>
      <bottom style="medium">
        <color indexed="64"/>
      </bottom>
      <diagonal/>
    </border>
    <border>
      <left style="double">
        <color indexed="64"/>
      </left>
      <right/>
      <top style="double">
        <color indexed="64"/>
      </top>
      <bottom style="medium">
        <color indexed="64"/>
      </bottom>
      <diagonal/>
    </border>
    <border>
      <left style="thin">
        <color indexed="64"/>
      </left>
      <right style="thick">
        <color indexed="64"/>
      </right>
      <top style="thin">
        <color indexed="64"/>
      </top>
      <bottom style="double">
        <color indexed="64"/>
      </bottom>
      <diagonal/>
    </border>
    <border>
      <left style="double">
        <color indexed="64"/>
      </left>
      <right style="thin">
        <color indexed="64"/>
      </right>
      <top/>
      <bottom style="thick">
        <color indexed="64"/>
      </bottom>
      <diagonal/>
    </border>
    <border>
      <left style="thin">
        <color indexed="64"/>
      </left>
      <right style="thin">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medium">
        <color indexed="64"/>
      </left>
      <right style="thin">
        <color indexed="64"/>
      </right>
      <top style="thin">
        <color indexed="64"/>
      </top>
      <bottom style="double">
        <color indexed="64"/>
      </bottom>
      <diagonal/>
    </border>
    <border>
      <left style="double">
        <color indexed="64"/>
      </left>
      <right style="thin">
        <color indexed="64"/>
      </right>
      <top style="medium">
        <color indexed="64"/>
      </top>
      <bottom style="thin">
        <color indexed="64"/>
      </bottom>
      <diagonal/>
    </border>
    <border>
      <left style="double">
        <color indexed="64"/>
      </left>
      <right style="thin">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double">
        <color indexed="64"/>
      </bottom>
      <diagonal/>
    </border>
    <border>
      <left style="thin">
        <color indexed="64"/>
      </left>
      <right style="double">
        <color indexed="64"/>
      </right>
      <top style="medium">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style="thick">
        <color indexed="64"/>
      </bottom>
      <diagonal/>
    </border>
    <border>
      <left style="double">
        <color indexed="64"/>
      </left>
      <right style="thin">
        <color indexed="64"/>
      </right>
      <top style="double">
        <color indexed="64"/>
      </top>
      <bottom style="thick">
        <color indexed="64"/>
      </bottom>
      <diagonal/>
    </border>
    <border>
      <left style="double">
        <color indexed="64"/>
      </left>
      <right style="thin">
        <color indexed="64"/>
      </right>
      <top style="thin">
        <color indexed="64"/>
      </top>
      <bottom style="thick">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right style="thick">
        <color indexed="64"/>
      </right>
      <top style="thin">
        <color indexed="64"/>
      </top>
      <bottom style="medium">
        <color indexed="64"/>
      </bottom>
      <diagonal/>
    </border>
    <border>
      <left/>
      <right style="dashed">
        <color indexed="64"/>
      </right>
      <top style="thick">
        <color indexed="64"/>
      </top>
      <bottom/>
      <diagonal/>
    </border>
    <border>
      <left style="dashed">
        <color indexed="64"/>
      </left>
      <right/>
      <top style="thick">
        <color indexed="64"/>
      </top>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right style="dashed">
        <color indexed="64"/>
      </right>
      <top/>
      <bottom style="thin">
        <color indexed="64"/>
      </bottom>
      <diagonal/>
    </border>
    <border>
      <left style="dashed">
        <color indexed="64"/>
      </left>
      <right/>
      <top/>
      <bottom style="thin">
        <color indexed="64"/>
      </bottom>
      <diagonal/>
    </border>
    <border>
      <left style="thin">
        <color indexed="64"/>
      </left>
      <right style="thick">
        <color indexed="64"/>
      </right>
      <top style="thin">
        <color indexed="64"/>
      </top>
      <bottom style="medium">
        <color indexed="64"/>
      </bottom>
      <diagonal/>
    </border>
    <border>
      <left style="thin">
        <color indexed="64"/>
      </left>
      <right style="thick">
        <color indexed="64"/>
      </right>
      <top style="double">
        <color indexed="64"/>
      </top>
      <bottom style="thick">
        <color indexed="64"/>
      </bottom>
      <diagonal/>
    </border>
    <border>
      <left style="double">
        <color indexed="64"/>
      </left>
      <right style="thin">
        <color indexed="64"/>
      </right>
      <top style="thick">
        <color indexed="64"/>
      </top>
      <bottom style="thin">
        <color indexed="64"/>
      </bottom>
      <diagonal/>
    </border>
    <border>
      <left style="double">
        <color indexed="64"/>
      </left>
      <right/>
      <top style="thin">
        <color indexed="64"/>
      </top>
      <bottom/>
      <diagonal/>
    </border>
    <border>
      <left style="thin">
        <color indexed="64"/>
      </left>
      <right style="thin">
        <color indexed="64"/>
      </right>
      <top style="thin">
        <color indexed="64"/>
      </top>
      <bottom style="thick">
        <color indexed="64"/>
      </bottom>
      <diagonal/>
    </border>
    <border>
      <left/>
      <right/>
      <top style="medium">
        <color theme="1"/>
      </top>
      <bottom/>
      <diagonal/>
    </border>
    <border>
      <left style="medium">
        <color indexed="64"/>
      </left>
      <right style="thin">
        <color indexed="64"/>
      </right>
      <top style="thick">
        <color indexed="64"/>
      </top>
      <bottom style="thin">
        <color indexed="64"/>
      </bottom>
      <diagonal/>
    </border>
    <border>
      <left style="thick">
        <color indexed="64"/>
      </left>
      <right style="thin">
        <color indexed="64"/>
      </right>
      <top style="thick">
        <color indexed="64"/>
      </top>
      <bottom style="thin">
        <color indexed="64"/>
      </bottom>
      <diagonal/>
    </border>
    <border>
      <left style="thin">
        <color indexed="64"/>
      </left>
      <right style="medium">
        <color indexed="64"/>
      </right>
      <top style="thick">
        <color indexed="64"/>
      </top>
      <bottom style="thin">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ck">
        <color indexed="64"/>
      </left>
      <right/>
      <top style="hair">
        <color indexed="64"/>
      </top>
      <bottom style="thin">
        <color indexed="64"/>
      </bottom>
      <diagonal/>
    </border>
    <border>
      <left/>
      <right/>
      <top style="hair">
        <color indexed="64"/>
      </top>
      <bottom style="thin">
        <color indexed="64"/>
      </bottom>
      <diagonal/>
    </border>
    <border>
      <left/>
      <right style="medium">
        <color indexed="64"/>
      </right>
      <top style="hair">
        <color indexed="64"/>
      </top>
      <bottom style="thin">
        <color indexed="64"/>
      </bottom>
      <diagonal/>
    </border>
    <border>
      <left style="thick">
        <color auto="1"/>
      </left>
      <right style="medium">
        <color auto="1"/>
      </right>
      <top style="thick">
        <color auto="1"/>
      </top>
      <bottom style="medium">
        <color auto="1"/>
      </bottom>
      <diagonal/>
    </border>
    <border>
      <left style="medium">
        <color auto="1"/>
      </left>
      <right style="medium">
        <color auto="1"/>
      </right>
      <top style="thick">
        <color auto="1"/>
      </top>
      <bottom style="medium">
        <color auto="1"/>
      </bottom>
      <diagonal/>
    </border>
    <border>
      <left style="medium">
        <color auto="1"/>
      </left>
      <right style="thick">
        <color auto="1"/>
      </right>
      <top style="thick">
        <color auto="1"/>
      </top>
      <bottom style="medium">
        <color auto="1"/>
      </bottom>
      <diagonal/>
    </border>
    <border>
      <left style="thick">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thick">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thick">
        <color indexed="64"/>
      </right>
      <top style="medium">
        <color auto="1"/>
      </top>
      <bottom style="thin">
        <color auto="1"/>
      </bottom>
      <diagonal/>
    </border>
    <border>
      <left style="medium">
        <color auto="1"/>
      </left>
      <right style="medium">
        <color indexed="64"/>
      </right>
      <top style="thin">
        <color auto="1"/>
      </top>
      <bottom style="thick">
        <color indexed="64"/>
      </bottom>
      <diagonal/>
    </border>
    <border>
      <left style="medium">
        <color indexed="64"/>
      </left>
      <right style="thick">
        <color indexed="64"/>
      </right>
      <top style="thin">
        <color auto="1"/>
      </top>
      <bottom style="thick">
        <color indexed="64"/>
      </bottom>
      <diagonal/>
    </border>
    <border>
      <left style="thick">
        <color auto="1"/>
      </left>
      <right style="medium">
        <color auto="1"/>
      </right>
      <top style="medium">
        <color auto="1"/>
      </top>
      <bottom style="thin">
        <color auto="1"/>
      </bottom>
      <diagonal/>
    </border>
    <border>
      <left style="thick">
        <color auto="1"/>
      </left>
      <right style="medium">
        <color auto="1"/>
      </right>
      <top style="thin">
        <color auto="1"/>
      </top>
      <bottom style="thin">
        <color auto="1"/>
      </bottom>
      <diagonal/>
    </border>
    <border>
      <left style="thick">
        <color auto="1"/>
      </left>
      <right style="medium">
        <color auto="1"/>
      </right>
      <top style="thin">
        <color auto="1"/>
      </top>
      <bottom style="thick">
        <color indexed="64"/>
      </bottom>
      <diagonal/>
    </border>
    <border>
      <left style="thin">
        <color indexed="64"/>
      </left>
      <right style="thin">
        <color indexed="64"/>
      </right>
      <top style="medium">
        <color indexed="64"/>
      </top>
      <bottom/>
      <diagonal/>
    </border>
    <border>
      <left style="medium">
        <color indexed="64"/>
      </left>
      <right style="thin">
        <color indexed="64"/>
      </right>
      <top style="double">
        <color indexed="64"/>
      </top>
      <bottom style="medium">
        <color indexed="64"/>
      </bottom>
      <diagonal/>
    </border>
    <border>
      <left style="thin">
        <color indexed="64"/>
      </left>
      <right style="thin">
        <color indexed="64"/>
      </right>
      <top style="double">
        <color indexed="64"/>
      </top>
      <bottom style="medium">
        <color indexed="64"/>
      </bottom>
      <diagonal/>
    </border>
    <border>
      <left style="thin">
        <color indexed="64"/>
      </left>
      <right style="medium">
        <color indexed="64"/>
      </right>
      <top style="double">
        <color indexed="64"/>
      </top>
      <bottom style="medium">
        <color indexed="64"/>
      </bottom>
      <diagonal/>
    </border>
    <border>
      <left style="medium">
        <color indexed="64"/>
      </left>
      <right style="thin">
        <color indexed="64"/>
      </right>
      <top style="double">
        <color indexed="64"/>
      </top>
      <bottom style="thick">
        <color indexed="64"/>
      </bottom>
      <diagonal/>
    </border>
    <border>
      <left style="thin">
        <color indexed="64"/>
      </left>
      <right style="medium">
        <color indexed="64"/>
      </right>
      <top style="double">
        <color indexed="64"/>
      </top>
      <bottom style="thick">
        <color indexed="64"/>
      </bottom>
      <diagonal/>
    </border>
    <border>
      <left style="thin">
        <color indexed="64"/>
      </left>
      <right style="thick">
        <color indexed="64"/>
      </right>
      <top style="medium">
        <color indexed="64"/>
      </top>
      <bottom style="medium">
        <color indexed="64"/>
      </bottom>
      <diagonal/>
    </border>
  </borders>
  <cellStyleXfs count="87">
    <xf numFmtId="0" fontId="0" fillId="0" borderId="0"/>
    <xf numFmtId="165" fontId="22" fillId="0" borderId="0" applyFont="0" applyFill="0" applyBorder="0" applyAlignment="0" applyProtection="0"/>
    <xf numFmtId="38" fontId="39" fillId="2" borderId="0" applyNumberFormat="0" applyBorder="0" applyAlignment="0" applyProtection="0"/>
    <xf numFmtId="10" fontId="39" fillId="3" borderId="1" applyNumberFormat="0" applyBorder="0" applyAlignment="0" applyProtection="0"/>
    <xf numFmtId="168" fontId="40" fillId="0" borderId="0"/>
    <xf numFmtId="0" fontId="22" fillId="0" borderId="0"/>
    <xf numFmtId="0" fontId="27" fillId="0" borderId="0"/>
    <xf numFmtId="0" fontId="44" fillId="0" borderId="0"/>
    <xf numFmtId="0" fontId="45" fillId="0" borderId="0"/>
    <xf numFmtId="0" fontId="22" fillId="0" borderId="0"/>
    <xf numFmtId="0" fontId="33" fillId="0" borderId="0"/>
    <xf numFmtId="0" fontId="33" fillId="0" borderId="0"/>
    <xf numFmtId="0" fontId="33" fillId="0" borderId="0"/>
    <xf numFmtId="0" fontId="27" fillId="0" borderId="0"/>
    <xf numFmtId="0" fontId="27" fillId="0" borderId="0"/>
    <xf numFmtId="0" fontId="27" fillId="0" borderId="0"/>
    <xf numFmtId="10" fontId="27" fillId="0" borderId="0" applyFont="0" applyFill="0" applyBorder="0" applyAlignment="0" applyProtection="0"/>
    <xf numFmtId="41" fontId="27" fillId="0" borderId="0" applyFont="0" applyFill="0" applyBorder="0" applyAlignment="0" applyProtection="0"/>
    <xf numFmtId="43" fontId="27" fillId="0" borderId="0" applyFont="0" applyFill="0" applyBorder="0" applyAlignment="0" applyProtection="0"/>
    <xf numFmtId="169" fontId="27" fillId="0" borderId="0" applyFont="0" applyFill="0" applyBorder="0" applyAlignment="0" applyProtection="0"/>
    <xf numFmtId="170" fontId="27" fillId="0" borderId="0" applyFont="0" applyFill="0" applyBorder="0" applyAlignment="0" applyProtection="0"/>
    <xf numFmtId="0" fontId="52" fillId="0" borderId="0"/>
    <xf numFmtId="0" fontId="22" fillId="0" borderId="0"/>
    <xf numFmtId="0" fontId="22" fillId="0" borderId="0"/>
    <xf numFmtId="166" fontId="53" fillId="0" borderId="0" applyFont="0" applyFill="0" applyBorder="0" applyAlignment="0" applyProtection="0"/>
    <xf numFmtId="0" fontId="22" fillId="0" borderId="0"/>
    <xf numFmtId="0" fontId="22" fillId="0" borderId="0"/>
    <xf numFmtId="0" fontId="22" fillId="0" borderId="0"/>
    <xf numFmtId="0" fontId="57" fillId="0" borderId="0"/>
    <xf numFmtId="0" fontId="58" fillId="0" borderId="0"/>
    <xf numFmtId="0" fontId="21" fillId="0" borderId="0"/>
    <xf numFmtId="0" fontId="21" fillId="0" borderId="0"/>
    <xf numFmtId="0" fontId="22" fillId="0" borderId="0"/>
    <xf numFmtId="0" fontId="62" fillId="0" borderId="0"/>
    <xf numFmtId="0" fontId="20" fillId="0" borderId="0"/>
    <xf numFmtId="164" fontId="27" fillId="0" borderId="0" applyFont="0" applyFill="0" applyBorder="0" applyAlignment="0" applyProtection="0"/>
    <xf numFmtId="0" fontId="22" fillId="0" borderId="0"/>
    <xf numFmtId="0" fontId="22" fillId="0" borderId="0"/>
    <xf numFmtId="0" fontId="64" fillId="0" borderId="0"/>
    <xf numFmtId="0" fontId="19" fillId="0" borderId="0"/>
    <xf numFmtId="0" fontId="22" fillId="0" borderId="0"/>
    <xf numFmtId="0" fontId="19" fillId="0" borderId="0"/>
    <xf numFmtId="9" fontId="22" fillId="0" borderId="0" applyFont="0" applyFill="0" applyBorder="0" applyAlignment="0" applyProtection="0"/>
    <xf numFmtId="0" fontId="18" fillId="0" borderId="0"/>
    <xf numFmtId="0" fontId="17" fillId="0" borderId="0"/>
    <xf numFmtId="0" fontId="16" fillId="0" borderId="0"/>
    <xf numFmtId="0" fontId="16" fillId="0" borderId="0"/>
    <xf numFmtId="0" fontId="16" fillId="0" borderId="0"/>
    <xf numFmtId="0" fontId="16" fillId="0" borderId="0"/>
    <xf numFmtId="0" fontId="22" fillId="0" borderId="0"/>
    <xf numFmtId="0" fontId="16" fillId="0" borderId="0"/>
    <xf numFmtId="0" fontId="15"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3" fillId="0" borderId="0"/>
    <xf numFmtId="0" fontId="12" fillId="0" borderId="0"/>
    <xf numFmtId="0" fontId="11" fillId="0" borderId="0"/>
    <xf numFmtId="0" fontId="11" fillId="0" borderId="0"/>
    <xf numFmtId="0" fontId="11" fillId="0" borderId="0"/>
    <xf numFmtId="0" fontId="11" fillId="0" borderId="0"/>
    <xf numFmtId="0" fontId="11" fillId="0" borderId="0"/>
    <xf numFmtId="0" fontId="10" fillId="0" borderId="0"/>
    <xf numFmtId="0" fontId="75" fillId="0" borderId="0"/>
    <xf numFmtId="0" fontId="9" fillId="0" borderId="0"/>
    <xf numFmtId="0" fontId="9" fillId="0" borderId="0"/>
    <xf numFmtId="0" fontId="8" fillId="0" borderId="0"/>
    <xf numFmtId="0" fontId="7" fillId="0" borderId="0"/>
    <xf numFmtId="0" fontId="6" fillId="0" borderId="0"/>
    <xf numFmtId="0" fontId="5" fillId="0" borderId="0"/>
    <xf numFmtId="0" fontId="5" fillId="0" borderId="0"/>
    <xf numFmtId="0" fontId="4" fillId="0" borderId="0"/>
    <xf numFmtId="0" fontId="3" fillId="0" borderId="0"/>
    <xf numFmtId="0" fontId="2" fillId="0" borderId="0"/>
    <xf numFmtId="0" fontId="1" fillId="0" borderId="0"/>
    <xf numFmtId="0" fontId="1" fillId="0" borderId="0"/>
    <xf numFmtId="0" fontId="1" fillId="0" borderId="0"/>
    <xf numFmtId="0" fontId="107" fillId="0" borderId="0"/>
  </cellStyleXfs>
  <cellXfs count="4253">
    <xf numFmtId="0" fontId="0" fillId="0" borderId="0" xfId="0"/>
    <xf numFmtId="0" fontId="22" fillId="0" borderId="0" xfId="0" applyFont="1"/>
    <xf numFmtId="0" fontId="22" fillId="0" borderId="0" xfId="0" applyFont="1" applyAlignment="1">
      <alignment horizontal="center"/>
    </xf>
    <xf numFmtId="0" fontId="85" fillId="4" borderId="30" xfId="13" applyFont="1" applyFill="1" applyBorder="1" applyAlignment="1">
      <alignment vertical="center"/>
    </xf>
    <xf numFmtId="0" fontId="86" fillId="4" borderId="30" xfId="13" applyFont="1" applyFill="1" applyBorder="1" applyAlignment="1">
      <alignment vertical="center"/>
    </xf>
    <xf numFmtId="0" fontId="86" fillId="4" borderId="31" xfId="13" applyFont="1" applyFill="1" applyBorder="1" applyAlignment="1">
      <alignment vertical="center"/>
    </xf>
    <xf numFmtId="0" fontId="87" fillId="4" borderId="6" xfId="13" quotePrefix="1" applyFont="1" applyFill="1" applyBorder="1" applyAlignment="1">
      <alignment horizontal="right" vertical="center"/>
    </xf>
    <xf numFmtId="0" fontId="90" fillId="0" borderId="0" xfId="0" applyFont="1"/>
    <xf numFmtId="0" fontId="90" fillId="0" borderId="0" xfId="0" applyFont="1" applyAlignment="1">
      <alignment vertical="center" wrapText="1"/>
    </xf>
    <xf numFmtId="0" fontId="91" fillId="0" borderId="0" xfId="23" applyFont="1" applyAlignment="1">
      <alignment vertical="center" wrapText="1"/>
    </xf>
    <xf numFmtId="0" fontId="87" fillId="4" borderId="57" xfId="13" quotePrefix="1" applyFont="1" applyFill="1" applyBorder="1" applyAlignment="1">
      <alignment horizontal="right" vertical="center"/>
    </xf>
    <xf numFmtId="0" fontId="87" fillId="4" borderId="0" xfId="13" quotePrefix="1" applyFont="1" applyFill="1" applyAlignment="1">
      <alignment horizontal="right" vertical="center"/>
    </xf>
    <xf numFmtId="0" fontId="87" fillId="4" borderId="0" xfId="13" quotePrefix="1" applyFont="1" applyFill="1" applyAlignment="1">
      <alignment vertical="center"/>
    </xf>
    <xf numFmtId="0" fontId="88" fillId="4" borderId="0" xfId="13" applyFont="1" applyFill="1" applyAlignment="1">
      <alignment vertical="center"/>
    </xf>
    <xf numFmtId="0" fontId="89" fillId="4" borderId="0" xfId="13" applyFont="1" applyFill="1" applyAlignment="1">
      <alignment vertical="center"/>
    </xf>
    <xf numFmtId="0" fontId="85" fillId="4" borderId="272" xfId="13" applyFont="1" applyFill="1" applyBorder="1" applyAlignment="1">
      <alignment vertical="center"/>
    </xf>
    <xf numFmtId="0" fontId="85" fillId="4" borderId="159" xfId="13" applyFont="1" applyFill="1" applyBorder="1" applyAlignment="1">
      <alignment vertical="center"/>
    </xf>
    <xf numFmtId="0" fontId="85" fillId="4" borderId="57" xfId="13" applyFont="1" applyFill="1" applyBorder="1" applyAlignment="1">
      <alignment vertical="center"/>
    </xf>
    <xf numFmtId="0" fontId="86" fillId="4" borderId="57" xfId="13" applyFont="1" applyFill="1" applyBorder="1" applyAlignment="1">
      <alignment vertical="center"/>
    </xf>
    <xf numFmtId="0" fontId="86" fillId="4" borderId="58" xfId="13" applyFont="1" applyFill="1" applyBorder="1" applyAlignment="1">
      <alignment vertical="center"/>
    </xf>
    <xf numFmtId="0" fontId="91" fillId="0" borderId="298" xfId="0" applyFont="1" applyBorder="1" applyAlignment="1">
      <alignment horizontal="center" vertical="center"/>
    </xf>
    <xf numFmtId="0" fontId="91" fillId="0" borderId="267" xfId="0" applyFont="1" applyBorder="1" applyAlignment="1">
      <alignment horizontal="center" vertical="center" wrapText="1"/>
    </xf>
    <xf numFmtId="0" fontId="91" fillId="0" borderId="271" xfId="0" applyFont="1" applyBorder="1" applyAlignment="1">
      <alignment horizontal="center" vertical="center"/>
    </xf>
    <xf numFmtId="0" fontId="91" fillId="0" borderId="299" xfId="0" applyFont="1" applyBorder="1" applyAlignment="1">
      <alignment horizontal="center" vertical="center"/>
    </xf>
    <xf numFmtId="0" fontId="91" fillId="0" borderId="299" xfId="0" applyFont="1" applyBorder="1" applyAlignment="1">
      <alignment horizontal="center" vertical="center" wrapText="1"/>
    </xf>
    <xf numFmtId="0" fontId="90" fillId="0" borderId="150" xfId="0" applyFont="1" applyBorder="1" applyAlignment="1">
      <alignment horizontal="center" vertical="center" wrapText="1"/>
    </xf>
    <xf numFmtId="0" fontId="90" fillId="0" borderId="104" xfId="0" applyFont="1" applyBorder="1" applyAlignment="1">
      <alignment horizontal="center" vertical="center" wrapText="1"/>
    </xf>
    <xf numFmtId="0" fontId="90" fillId="0" borderId="104" xfId="0" applyFont="1" applyBorder="1" applyAlignment="1">
      <alignment horizontal="center" vertical="center"/>
    </xf>
    <xf numFmtId="0" fontId="90" fillId="0" borderId="257" xfId="0" applyFont="1" applyBorder="1" applyAlignment="1">
      <alignment vertical="center" wrapText="1"/>
    </xf>
    <xf numFmtId="0" fontId="90" fillId="0" borderId="152" xfId="0" applyFont="1" applyBorder="1" applyAlignment="1">
      <alignment horizontal="center" vertical="center" wrapText="1"/>
    </xf>
    <xf numFmtId="0" fontId="90" fillId="0" borderId="174" xfId="0" applyFont="1" applyBorder="1" applyAlignment="1">
      <alignment horizontal="center" vertical="center" wrapText="1"/>
    </xf>
    <xf numFmtId="0" fontId="90" fillId="0" borderId="252" xfId="0" applyFont="1" applyBorder="1" applyAlignment="1">
      <alignment horizontal="center" vertical="center" wrapText="1"/>
    </xf>
    <xf numFmtId="0" fontId="90" fillId="0" borderId="252" xfId="0" applyFont="1" applyBorder="1" applyAlignment="1">
      <alignment horizontal="center" vertical="center"/>
    </xf>
    <xf numFmtId="0" fontId="90" fillId="0" borderId="253" xfId="0" applyFont="1" applyBorder="1" applyAlignment="1">
      <alignment vertical="center" wrapText="1"/>
    </xf>
    <xf numFmtId="0" fontId="90" fillId="0" borderId="182" xfId="0" applyFont="1" applyBorder="1" applyAlignment="1">
      <alignment horizontal="center" vertical="center" wrapText="1"/>
    </xf>
    <xf numFmtId="0" fontId="90" fillId="0" borderId="162" xfId="0" applyFont="1" applyBorder="1" applyAlignment="1">
      <alignment horizontal="center" vertical="center" wrapText="1"/>
    </xf>
    <xf numFmtId="0" fontId="90" fillId="0" borderId="300" xfId="0" applyFont="1" applyBorder="1" applyAlignment="1">
      <alignment horizontal="center" vertical="center" wrapText="1"/>
    </xf>
    <xf numFmtId="0" fontId="90" fillId="0" borderId="300" xfId="0" applyFont="1" applyBorder="1" applyAlignment="1">
      <alignment horizontal="center" vertical="center"/>
    </xf>
    <xf numFmtId="0" fontId="90" fillId="0" borderId="301" xfId="0" applyFont="1" applyBorder="1" applyAlignment="1">
      <alignment vertical="center" wrapText="1"/>
    </xf>
    <xf numFmtId="0" fontId="90" fillId="0" borderId="163" xfId="0" applyFont="1" applyBorder="1" applyAlignment="1">
      <alignment horizontal="center" vertical="center" wrapText="1"/>
    </xf>
    <xf numFmtId="16" fontId="90" fillId="0" borderId="300" xfId="0" quotePrefix="1" applyNumberFormat="1" applyFont="1" applyBorder="1" applyAlignment="1">
      <alignment horizontal="center" vertical="center"/>
    </xf>
    <xf numFmtId="0" fontId="90" fillId="0" borderId="300" xfId="0" quotePrefix="1" applyFont="1" applyBorder="1" applyAlignment="1">
      <alignment horizontal="center" vertical="center"/>
    </xf>
    <xf numFmtId="0" fontId="29" fillId="0" borderId="0" xfId="0" applyFont="1" applyAlignment="1">
      <alignment horizontal="center"/>
    </xf>
    <xf numFmtId="0" fontId="87" fillId="4" borderId="0" xfId="13" applyFont="1" applyFill="1" applyAlignment="1">
      <alignment vertical="center"/>
    </xf>
    <xf numFmtId="0" fontId="22" fillId="7" borderId="0" xfId="0" applyFont="1" applyFill="1"/>
    <xf numFmtId="0" fontId="79" fillId="7" borderId="0" xfId="0" applyFont="1" applyFill="1" applyAlignment="1">
      <alignment vertical="center"/>
    </xf>
    <xf numFmtId="0" fontId="23" fillId="7" borderId="0" xfId="0" applyFont="1" applyFill="1" applyAlignment="1">
      <alignment horizontal="centerContinuous"/>
    </xf>
    <xf numFmtId="0" fontId="22" fillId="7" borderId="0" xfId="0" applyFont="1" applyFill="1" applyAlignment="1">
      <alignment horizontal="centerContinuous"/>
    </xf>
    <xf numFmtId="0" fontId="24" fillId="7" borderId="0" xfId="0" applyFont="1" applyFill="1" applyAlignment="1">
      <alignment horizontal="centerContinuous"/>
    </xf>
    <xf numFmtId="0" fontId="29" fillId="7" borderId="0" xfId="0" applyFont="1" applyFill="1"/>
    <xf numFmtId="0" fontId="34" fillId="7" borderId="0" xfId="0" applyFont="1" applyFill="1"/>
    <xf numFmtId="0" fontId="37" fillId="7" borderId="0" xfId="0" applyFont="1" applyFill="1"/>
    <xf numFmtId="0" fontId="29" fillId="7" borderId="0" xfId="0" applyFont="1" applyFill="1" applyAlignment="1">
      <alignment horizontal="centerContinuous"/>
    </xf>
    <xf numFmtId="0" fontId="42" fillId="7" borderId="0" xfId="0" applyFont="1" applyFill="1"/>
    <xf numFmtId="0" fontId="24" fillId="7" borderId="2" xfId="0" applyFont="1" applyFill="1" applyBorder="1"/>
    <xf numFmtId="0" fontId="24" fillId="7" borderId="0" xfId="0" applyFont="1" applyFill="1"/>
    <xf numFmtId="0" fontId="24" fillId="7" borderId="3" xfId="0" applyFont="1" applyFill="1" applyBorder="1"/>
    <xf numFmtId="0" fontId="22" fillId="7" borderId="73" xfId="0" applyFont="1" applyFill="1" applyBorder="1" applyAlignment="1">
      <alignment vertical="top" wrapText="1" shrinkToFit="1"/>
    </xf>
    <xf numFmtId="0" fontId="24" fillId="7" borderId="4" xfId="0" applyFont="1" applyFill="1" applyBorder="1"/>
    <xf numFmtId="0" fontId="26" fillId="7" borderId="88" xfId="0" applyFont="1" applyFill="1" applyBorder="1" applyAlignment="1">
      <alignment vertical="top" wrapText="1" shrinkToFit="1"/>
    </xf>
    <xf numFmtId="0" fontId="26" fillId="7" borderId="0" xfId="15" applyFont="1" applyFill="1"/>
    <xf numFmtId="0" fontId="26" fillId="7" borderId="0" xfId="15" applyFont="1" applyFill="1" applyAlignment="1">
      <alignment horizontal="right"/>
    </xf>
    <xf numFmtId="0" fontId="24" fillId="7" borderId="0" xfId="15" applyFont="1" applyFill="1"/>
    <xf numFmtId="0" fontId="28" fillId="7" borderId="0" xfId="15" applyFont="1" applyFill="1" applyAlignment="1">
      <alignment horizontal="center" vertical="top"/>
    </xf>
    <xf numFmtId="0" fontId="28" fillId="7" borderId="0" xfId="15" applyFont="1" applyFill="1" applyAlignment="1">
      <alignment horizontal="center"/>
    </xf>
    <xf numFmtId="0" fontId="28" fillId="7" borderId="0" xfId="15" applyFont="1" applyFill="1" applyAlignment="1">
      <alignment vertical="top"/>
    </xf>
    <xf numFmtId="0" fontId="26" fillId="7" borderId="0" xfId="37" applyFont="1" applyFill="1"/>
    <xf numFmtId="0" fontId="22" fillId="7" borderId="0" xfId="37" applyFill="1"/>
    <xf numFmtId="0" fontId="28" fillId="7" borderId="0" xfId="0" applyFont="1" applyFill="1"/>
    <xf numFmtId="0" fontId="30" fillId="7" borderId="0" xfId="15" applyFont="1" applyFill="1" applyAlignment="1">
      <alignment horizontal="centerContinuous"/>
    </xf>
    <xf numFmtId="0" fontId="22" fillId="7" borderId="0" xfId="37" applyFill="1" applyAlignment="1">
      <alignment vertical="center"/>
    </xf>
    <xf numFmtId="0" fontId="29" fillId="7" borderId="0" xfId="37" applyFont="1" applyFill="1" applyAlignment="1">
      <alignment vertical="center"/>
    </xf>
    <xf numFmtId="0" fontId="22" fillId="7" borderId="0" xfId="0" applyFont="1" applyFill="1" applyAlignment="1">
      <alignment vertical="center"/>
    </xf>
    <xf numFmtId="0" fontId="32" fillId="7" borderId="0" xfId="0" applyFont="1" applyFill="1"/>
    <xf numFmtId="0" fontId="37" fillId="7" borderId="0" xfId="15" applyFont="1" applyFill="1"/>
    <xf numFmtId="0" fontId="37" fillId="7" borderId="0" xfId="10" applyFont="1" applyFill="1"/>
    <xf numFmtId="0" fontId="37" fillId="7" borderId="0" xfId="15" applyFont="1" applyFill="1" applyAlignment="1">
      <alignment horizontal="center"/>
    </xf>
    <xf numFmtId="0" fontId="23" fillId="7" borderId="0" xfId="15" applyFont="1" applyFill="1"/>
    <xf numFmtId="0" fontId="23" fillId="7" borderId="0" xfId="0" applyFont="1" applyFill="1"/>
    <xf numFmtId="0" fontId="23" fillId="7" borderId="0" xfId="15" applyFont="1" applyFill="1" applyAlignment="1">
      <alignment horizontal="center"/>
    </xf>
    <xf numFmtId="0" fontId="0" fillId="7" borderId="0" xfId="0" applyFill="1"/>
    <xf numFmtId="0" fontId="23" fillId="7" borderId="0" xfId="0" applyFont="1" applyFill="1" applyAlignment="1">
      <alignment vertical="center"/>
    </xf>
    <xf numFmtId="0" fontId="88" fillId="0" borderId="0" xfId="37" applyFont="1" applyAlignment="1" applyProtection="1">
      <alignment vertical="center"/>
      <protection locked="0"/>
    </xf>
    <xf numFmtId="0" fontId="22" fillId="0" borderId="6" xfId="15" applyFont="1" applyBorder="1" applyAlignment="1" applyProtection="1">
      <alignment horizontal="center"/>
      <protection locked="0"/>
    </xf>
    <xf numFmtId="0" fontId="33" fillId="7" borderId="0" xfId="11" applyFill="1" applyAlignment="1">
      <alignment vertical="center"/>
    </xf>
    <xf numFmtId="0" fontId="26" fillId="7" borderId="0" xfId="11" applyFont="1" applyFill="1" applyAlignment="1">
      <alignment vertical="center"/>
    </xf>
    <xf numFmtId="0" fontId="23" fillId="7" borderId="0" xfId="11" applyFont="1" applyFill="1" applyAlignment="1">
      <alignment vertical="center"/>
    </xf>
    <xf numFmtId="0" fontId="32" fillId="7" borderId="0" xfId="11" applyFont="1" applyFill="1"/>
    <xf numFmtId="0" fontId="37" fillId="7" borderId="0" xfId="11" applyFont="1" applyFill="1" applyAlignment="1">
      <alignment horizontal="justify" vertical="top" wrapText="1"/>
    </xf>
    <xf numFmtId="0" fontId="22" fillId="7" borderId="0" xfId="11" applyFont="1" applyFill="1"/>
    <xf numFmtId="0" fontId="29" fillId="7" borderId="0" xfId="15" applyFont="1" applyFill="1" applyAlignment="1">
      <alignment horizontal="left" indent="1"/>
    </xf>
    <xf numFmtId="0" fontId="26" fillId="7" borderId="0" xfId="11" quotePrefix="1" applyFont="1" applyFill="1" applyAlignment="1">
      <alignment horizontal="right" vertical="top"/>
    </xf>
    <xf numFmtId="0" fontId="22" fillId="7" borderId="0" xfId="11" applyFont="1" applyFill="1" applyAlignment="1">
      <alignment wrapText="1"/>
    </xf>
    <xf numFmtId="0" fontId="26" fillId="7" borderId="0" xfId="11" quotePrefix="1" applyFont="1" applyFill="1" applyAlignment="1">
      <alignment horizontal="right" vertical="top" wrapText="1"/>
    </xf>
    <xf numFmtId="0" fontId="26" fillId="7" borderId="0" xfId="11" quotePrefix="1" applyFont="1" applyFill="1" applyAlignment="1">
      <alignment vertical="top" wrapText="1"/>
    </xf>
    <xf numFmtId="0" fontId="34" fillId="7" borderId="0" xfId="11" applyFont="1" applyFill="1" applyAlignment="1">
      <alignment horizontal="center" vertical="center"/>
    </xf>
    <xf numFmtId="0" fontId="26" fillId="7" borderId="0" xfId="11" applyFont="1" applyFill="1"/>
    <xf numFmtId="0" fontId="33" fillId="7" borderId="0" xfId="11" applyFill="1"/>
    <xf numFmtId="0" fontId="22" fillId="7" borderId="0" xfId="23" applyFill="1"/>
    <xf numFmtId="0" fontId="35" fillId="7" borderId="0" xfId="23" applyFont="1" applyFill="1" applyAlignment="1">
      <alignment horizontal="center" vertical="top"/>
    </xf>
    <xf numFmtId="0" fontId="32" fillId="7" borderId="0" xfId="11" applyFont="1" applyFill="1" applyAlignment="1">
      <alignment vertical="center"/>
    </xf>
    <xf numFmtId="0" fontId="37" fillId="7" borderId="0" xfId="11" applyFont="1" applyFill="1" applyAlignment="1">
      <alignment vertical="center"/>
    </xf>
    <xf numFmtId="0" fontId="65" fillId="7" borderId="7" xfId="0" quotePrefix="1" applyFont="1" applyFill="1" applyBorder="1" applyAlignment="1">
      <alignment horizontal="right" vertical="center" wrapText="1"/>
    </xf>
    <xf numFmtId="0" fontId="65" fillId="7" borderId="12" xfId="0" applyFont="1" applyFill="1" applyBorder="1" applyAlignment="1">
      <alignment vertical="center"/>
    </xf>
    <xf numFmtId="0" fontId="65" fillId="7" borderId="13" xfId="0" applyFont="1" applyFill="1" applyBorder="1" applyAlignment="1">
      <alignment vertical="center"/>
    </xf>
    <xf numFmtId="0" fontId="65" fillId="7" borderId="17" xfId="0" quotePrefix="1" applyFont="1" applyFill="1" applyBorder="1" applyAlignment="1">
      <alignment horizontal="right" vertical="center" wrapText="1"/>
    </xf>
    <xf numFmtId="0" fontId="65" fillId="7" borderId="16" xfId="0" quotePrefix="1" applyFont="1" applyFill="1" applyBorder="1" applyAlignment="1">
      <alignment vertical="center"/>
    </xf>
    <xf numFmtId="0" fontId="65" fillId="7" borderId="16" xfId="0" applyFont="1" applyFill="1" applyBorder="1" applyAlignment="1">
      <alignment vertical="center"/>
    </xf>
    <xf numFmtId="0" fontId="65" fillId="7" borderId="55" xfId="0" applyFont="1" applyFill="1" applyBorder="1" applyAlignment="1">
      <alignment vertical="center"/>
    </xf>
    <xf numFmtId="0" fontId="65" fillId="7" borderId="17" xfId="0" quotePrefix="1" applyFont="1" applyFill="1" applyBorder="1" applyAlignment="1">
      <alignment horizontal="right" vertical="top" wrapText="1"/>
    </xf>
    <xf numFmtId="0" fontId="65" fillId="7" borderId="0" xfId="0" applyFont="1" applyFill="1"/>
    <xf numFmtId="0" fontId="43" fillId="7" borderId="0" xfId="0" applyFont="1" applyFill="1"/>
    <xf numFmtId="0" fontId="65" fillId="7" borderId="0" xfId="0" applyFont="1" applyFill="1" applyAlignment="1">
      <alignment vertical="center"/>
    </xf>
    <xf numFmtId="0" fontId="22" fillId="4" borderId="17" xfId="0" applyFont="1" applyFill="1" applyBorder="1" applyAlignment="1">
      <alignment vertical="center"/>
    </xf>
    <xf numFmtId="0" fontId="22" fillId="4" borderId="16" xfId="0" applyFont="1" applyFill="1" applyBorder="1" applyAlignment="1">
      <alignment vertical="center"/>
    </xf>
    <xf numFmtId="0" fontId="22" fillId="4" borderId="66" xfId="0" applyFont="1" applyFill="1" applyBorder="1" applyAlignment="1">
      <alignment vertical="center"/>
    </xf>
    <xf numFmtId="0" fontId="22" fillId="4" borderId="63" xfId="0" applyFont="1" applyFill="1" applyBorder="1" applyAlignment="1">
      <alignment vertical="center"/>
    </xf>
    <xf numFmtId="0" fontId="22" fillId="4" borderId="55" xfId="0" applyFont="1" applyFill="1" applyBorder="1" applyAlignment="1">
      <alignment vertical="center"/>
    </xf>
    <xf numFmtId="0" fontId="22" fillId="4" borderId="64" xfId="0" applyFont="1" applyFill="1" applyBorder="1" applyAlignment="1">
      <alignment vertical="center"/>
    </xf>
    <xf numFmtId="0" fontId="65" fillId="7" borderId="0" xfId="0" applyFont="1" applyFill="1" applyAlignment="1">
      <alignment horizontal="left" vertical="center"/>
    </xf>
    <xf numFmtId="0" fontId="65" fillId="7" borderId="0" xfId="0" applyFont="1" applyFill="1" applyAlignment="1">
      <alignment horizontal="center" vertical="center"/>
    </xf>
    <xf numFmtId="0" fontId="26" fillId="7" borderId="0" xfId="11" quotePrefix="1" applyFont="1" applyFill="1" applyAlignment="1">
      <alignment horizontal="right"/>
    </xf>
    <xf numFmtId="0" fontId="26" fillId="7" borderId="0" xfId="11" applyFont="1" applyFill="1" applyAlignment="1">
      <alignment horizontal="justify" vertical="center" wrapText="1"/>
    </xf>
    <xf numFmtId="0" fontId="26" fillId="7" borderId="0" xfId="12" applyFont="1" applyFill="1" applyAlignment="1">
      <alignment vertical="center"/>
    </xf>
    <xf numFmtId="0" fontId="33" fillId="7" borderId="0" xfId="12" applyFill="1"/>
    <xf numFmtId="0" fontId="65" fillId="7" borderId="17" xfId="0" applyFont="1" applyFill="1" applyBorder="1" applyAlignment="1">
      <alignment horizontal="left" vertical="center"/>
    </xf>
    <xf numFmtId="0" fontId="65" fillId="7" borderId="16" xfId="0" applyFont="1" applyFill="1" applyBorder="1" applyAlignment="1">
      <alignment horizontal="left" vertical="center"/>
    </xf>
    <xf numFmtId="0" fontId="65" fillId="7" borderId="22" xfId="0" applyFont="1" applyFill="1" applyBorder="1" applyAlignment="1">
      <alignment horizontal="left" vertical="center"/>
    </xf>
    <xf numFmtId="0" fontId="65" fillId="7" borderId="9" xfId="0" applyFont="1" applyFill="1" applyBorder="1" applyAlignment="1">
      <alignment horizontal="left" vertical="center"/>
    </xf>
    <xf numFmtId="0" fontId="65" fillId="7" borderId="10" xfId="0" applyFont="1" applyFill="1" applyBorder="1" applyAlignment="1">
      <alignment vertical="center"/>
    </xf>
    <xf numFmtId="0" fontId="34" fillId="7" borderId="0" xfId="12" applyFont="1" applyFill="1" applyAlignment="1">
      <alignment vertical="center"/>
    </xf>
    <xf numFmtId="0" fontId="35" fillId="7" borderId="0" xfId="0" applyFont="1" applyFill="1" applyAlignment="1">
      <alignment wrapText="1"/>
    </xf>
    <xf numFmtId="0" fontId="22" fillId="7" borderId="0" xfId="0" applyFont="1" applyFill="1" applyAlignment="1">
      <alignment horizontal="center"/>
    </xf>
    <xf numFmtId="0" fontId="29" fillId="0" borderId="0" xfId="0" applyFont="1" applyAlignment="1">
      <alignment horizontal="left" vertical="center"/>
    </xf>
    <xf numFmtId="0" fontId="29" fillId="0" borderId="308" xfId="0" applyFont="1" applyBorder="1" applyAlignment="1">
      <alignment horizontal="left" vertical="center"/>
    </xf>
    <xf numFmtId="0" fontId="0" fillId="0" borderId="305" xfId="0" applyBorder="1" applyAlignment="1">
      <alignment horizontal="left" vertical="center"/>
    </xf>
    <xf numFmtId="0" fontId="29" fillId="7" borderId="0" xfId="15" applyFont="1" applyFill="1"/>
    <xf numFmtId="0" fontId="32" fillId="7" borderId="0" xfId="0" applyFont="1" applyFill="1" applyAlignment="1">
      <alignment vertical="center"/>
    </xf>
    <xf numFmtId="0" fontId="22" fillId="7" borderId="0" xfId="0" applyFont="1" applyFill="1" applyAlignment="1">
      <alignment vertical="top"/>
    </xf>
    <xf numFmtId="0" fontId="32" fillId="7" borderId="0" xfId="0" applyFont="1" applyFill="1" applyAlignment="1">
      <alignment vertical="top"/>
    </xf>
    <xf numFmtId="0" fontId="65" fillId="7" borderId="0" xfId="11" applyFont="1" applyFill="1"/>
    <xf numFmtId="0" fontId="43" fillId="7" borderId="0" xfId="23" applyFont="1" applyFill="1"/>
    <xf numFmtId="0" fontId="65" fillId="7" borderId="0" xfId="11" applyFont="1" applyFill="1" applyAlignment="1">
      <alignment horizontal="justify" vertical="top"/>
    </xf>
    <xf numFmtId="0" fontId="43" fillId="7" borderId="148" xfId="0" applyFont="1" applyFill="1" applyBorder="1" applyAlignment="1">
      <alignment horizontal="center" vertical="center"/>
    </xf>
    <xf numFmtId="0" fontId="0" fillId="0" borderId="309" xfId="0" applyBorder="1" applyAlignment="1">
      <alignment horizontal="left" vertical="center"/>
    </xf>
    <xf numFmtId="0" fontId="0" fillId="0" borderId="310" xfId="0" applyBorder="1" applyAlignment="1">
      <alignment horizontal="left" vertical="center"/>
    </xf>
    <xf numFmtId="0" fontId="65" fillId="7" borderId="16" xfId="0" applyFont="1" applyFill="1" applyBorder="1" applyAlignment="1">
      <alignment horizontal="left" vertical="center" indent="1"/>
    </xf>
    <xf numFmtId="0" fontId="65" fillId="7" borderId="9" xfId="0" applyFont="1" applyFill="1" applyBorder="1" applyAlignment="1">
      <alignment horizontal="left" vertical="center" indent="1"/>
    </xf>
    <xf numFmtId="0" fontId="43" fillId="7" borderId="0" xfId="0" applyFont="1" applyFill="1" applyAlignment="1">
      <alignment horizontal="center" vertical="center"/>
    </xf>
    <xf numFmtId="0" fontId="43" fillId="7" borderId="0" xfId="0" applyFont="1" applyFill="1" applyAlignment="1">
      <alignment horizontal="center" vertical="center" wrapText="1"/>
    </xf>
    <xf numFmtId="0" fontId="22" fillId="7" borderId="0" xfId="64" applyFont="1" applyFill="1" applyAlignment="1">
      <alignment vertical="center"/>
    </xf>
    <xf numFmtId="0" fontId="29" fillId="7" borderId="0" xfId="64" applyFont="1" applyFill="1" applyAlignment="1">
      <alignment horizontal="center" vertical="center"/>
    </xf>
    <xf numFmtId="0" fontId="22" fillId="7" borderId="0" xfId="64" applyFont="1" applyFill="1" applyAlignment="1">
      <alignment horizontal="center" vertical="center" wrapText="1"/>
    </xf>
    <xf numFmtId="0" fontId="29" fillId="7" borderId="0" xfId="23" applyFont="1" applyFill="1" applyAlignment="1">
      <alignment vertical="center"/>
    </xf>
    <xf numFmtId="0" fontId="22" fillId="7" borderId="0" xfId="23" applyFill="1" applyAlignment="1">
      <alignment horizontal="left" vertical="center"/>
    </xf>
    <xf numFmtId="0" fontId="32" fillId="7" borderId="0" xfId="23" applyFont="1" applyFill="1" applyAlignment="1">
      <alignment horizontal="left" vertical="center"/>
    </xf>
    <xf numFmtId="0" fontId="32" fillId="7" borderId="0" xfId="23" applyFont="1" applyFill="1" applyAlignment="1">
      <alignment vertical="center"/>
    </xf>
    <xf numFmtId="0" fontId="32" fillId="7" borderId="0" xfId="23" applyFont="1" applyFill="1"/>
    <xf numFmtId="0" fontId="22" fillId="7" borderId="0" xfId="23" applyFill="1" applyAlignment="1">
      <alignment vertical="center"/>
    </xf>
    <xf numFmtId="0" fontId="26" fillId="7" borderId="0" xfId="11" applyFont="1" applyFill="1" applyAlignment="1">
      <alignment vertical="center" wrapText="1"/>
    </xf>
    <xf numFmtId="0" fontId="67" fillId="7" borderId="0" xfId="11" applyFont="1" applyFill="1" applyAlignment="1">
      <alignment vertical="center" wrapText="1"/>
    </xf>
    <xf numFmtId="0" fontId="65" fillId="7" borderId="0" xfId="23" applyFont="1" applyFill="1"/>
    <xf numFmtId="0" fontId="22" fillId="7" borderId="0" xfId="11" applyFont="1" applyFill="1" applyAlignment="1">
      <alignment vertical="center"/>
    </xf>
    <xf numFmtId="0" fontId="26" fillId="7" borderId="0" xfId="11" quotePrefix="1" applyFont="1" applyFill="1" applyAlignment="1">
      <alignment horizontal="right" vertical="center"/>
    </xf>
    <xf numFmtId="0" fontId="65" fillId="7" borderId="0" xfId="11" applyFont="1" applyFill="1" applyAlignment="1">
      <alignment vertical="center"/>
    </xf>
    <xf numFmtId="0" fontId="26" fillId="7" borderId="0" xfId="23" applyFont="1" applyFill="1" applyAlignment="1">
      <alignment vertical="center"/>
    </xf>
    <xf numFmtId="0" fontId="26" fillId="7" borderId="0" xfId="0" applyFont="1" applyFill="1" applyAlignment="1">
      <alignment vertical="center"/>
    </xf>
    <xf numFmtId="0" fontId="26" fillId="7" borderId="0" xfId="0" quotePrefix="1" applyFont="1" applyFill="1" applyAlignment="1">
      <alignment horizontal="right" vertical="center"/>
    </xf>
    <xf numFmtId="0" fontId="67" fillId="7" borderId="0" xfId="23" applyFont="1" applyFill="1" applyAlignment="1">
      <alignment vertical="center"/>
    </xf>
    <xf numFmtId="0" fontId="67" fillId="7" borderId="0" xfId="0" applyFont="1" applyFill="1" applyAlignment="1">
      <alignment vertical="center"/>
    </xf>
    <xf numFmtId="0" fontId="67" fillId="7" borderId="0" xfId="0" quotePrefix="1" applyFont="1" applyFill="1" applyAlignment="1">
      <alignment horizontal="right" vertical="center"/>
    </xf>
    <xf numFmtId="0" fontId="67" fillId="7" borderId="0" xfId="23" applyFont="1" applyFill="1" applyAlignment="1">
      <alignment horizontal="left" vertical="center"/>
    </xf>
    <xf numFmtId="0" fontId="23" fillId="7" borderId="0" xfId="15" applyFont="1" applyFill="1" applyAlignment="1">
      <alignment vertical="top"/>
    </xf>
    <xf numFmtId="0" fontId="22" fillId="7" borderId="0" xfId="64" applyFont="1" applyFill="1"/>
    <xf numFmtId="0" fontId="22" fillId="7" borderId="48" xfId="64" quotePrefix="1" applyFont="1" applyFill="1" applyBorder="1" applyAlignment="1">
      <alignment horizontal="right" vertical="center"/>
    </xf>
    <xf numFmtId="0" fontId="22" fillId="7" borderId="17" xfId="64" applyFont="1" applyFill="1" applyBorder="1" applyAlignment="1">
      <alignment horizontal="right" vertical="center"/>
    </xf>
    <xf numFmtId="0" fontId="22" fillId="7" borderId="17" xfId="64" applyFont="1" applyFill="1" applyBorder="1" applyAlignment="1">
      <alignment horizontal="right" vertical="top" wrapText="1"/>
    </xf>
    <xf numFmtId="0" fontId="22" fillId="7" borderId="17" xfId="64" applyFont="1" applyFill="1" applyBorder="1" applyAlignment="1">
      <alignment horizontal="right" vertical="center" wrapText="1"/>
    </xf>
    <xf numFmtId="0" fontId="22" fillId="7" borderId="32" xfId="64" applyFont="1" applyFill="1" applyBorder="1" applyAlignment="1">
      <alignment horizontal="right" vertical="center"/>
    </xf>
    <xf numFmtId="0" fontId="29" fillId="7" borderId="0" xfId="64" applyFont="1" applyFill="1"/>
    <xf numFmtId="0" fontId="22" fillId="7" borderId="17" xfId="64" quotePrefix="1" applyFont="1" applyFill="1" applyBorder="1" applyAlignment="1">
      <alignment horizontal="right" vertical="center"/>
    </xf>
    <xf numFmtId="0" fontId="22" fillId="7" borderId="22" xfId="64" quotePrefix="1" applyFont="1" applyFill="1" applyBorder="1" applyAlignment="1">
      <alignment horizontal="right" vertical="center"/>
    </xf>
    <xf numFmtId="0" fontId="29" fillId="7" borderId="0" xfId="64" applyFont="1" applyFill="1" applyAlignment="1">
      <alignment vertical="center"/>
    </xf>
    <xf numFmtId="0" fontId="110" fillId="7" borderId="0" xfId="64" applyFont="1" applyFill="1" applyAlignment="1">
      <alignment horizontal="left" vertical="top"/>
    </xf>
    <xf numFmtId="0" fontId="65" fillId="7" borderId="0" xfId="78" applyFont="1" applyFill="1" applyAlignment="1">
      <alignment vertical="center"/>
    </xf>
    <xf numFmtId="0" fontId="65" fillId="7" borderId="32" xfId="78" applyFont="1" applyFill="1" applyBorder="1" applyAlignment="1">
      <alignment vertical="center"/>
    </xf>
    <xf numFmtId="0" fontId="67" fillId="7" borderId="0" xfId="78" applyFont="1" applyFill="1" applyAlignment="1">
      <alignment vertical="top" wrapText="1"/>
    </xf>
    <xf numFmtId="0" fontId="65" fillId="7" borderId="59" xfId="78" quotePrefix="1" applyFont="1" applyFill="1" applyBorder="1" applyAlignment="1">
      <alignment horizontal="right" vertical="center"/>
    </xf>
    <xf numFmtId="0" fontId="65" fillId="7" borderId="57" xfId="78" applyFont="1" applyFill="1" applyBorder="1" applyAlignment="1">
      <alignment vertical="center"/>
    </xf>
    <xf numFmtId="0" fontId="65" fillId="7" borderId="14" xfId="78" quotePrefix="1" applyFont="1" applyFill="1" applyBorder="1" applyAlignment="1">
      <alignment horizontal="right" vertical="center"/>
    </xf>
    <xf numFmtId="0" fontId="65" fillId="7" borderId="15" xfId="78" applyFont="1" applyFill="1" applyBorder="1" applyAlignment="1">
      <alignment vertical="center"/>
    </xf>
    <xf numFmtId="0" fontId="32" fillId="7" borderId="0" xfId="23" applyFont="1" applyFill="1" applyAlignment="1">
      <alignment vertical="top"/>
    </xf>
    <xf numFmtId="0" fontId="32" fillId="7" borderId="0" xfId="23" applyFont="1" applyFill="1" applyAlignment="1">
      <alignment vertical="top" wrapText="1"/>
    </xf>
    <xf numFmtId="0" fontId="26" fillId="7" borderId="0" xfId="23" quotePrefix="1" applyFont="1" applyFill="1" applyAlignment="1">
      <alignment horizontal="right" vertical="top"/>
    </xf>
    <xf numFmtId="0" fontId="29" fillId="7" borderId="0" xfId="23" applyFont="1" applyFill="1" applyAlignment="1">
      <alignment horizontal="left" vertical="center"/>
    </xf>
    <xf numFmtId="0" fontId="29" fillId="7" borderId="0" xfId="23" applyFont="1" applyFill="1" applyAlignment="1">
      <alignment horizontal="left" vertical="center" wrapText="1"/>
    </xf>
    <xf numFmtId="0" fontId="29" fillId="7" borderId="0" xfId="23" applyFont="1" applyFill="1" applyAlignment="1">
      <alignment vertical="center" wrapText="1"/>
    </xf>
    <xf numFmtId="0" fontId="35" fillId="7" borderId="0" xfId="23" applyFont="1" applyFill="1" applyAlignment="1">
      <alignment vertical="center" wrapText="1"/>
    </xf>
    <xf numFmtId="0" fontId="26" fillId="7" borderId="0" xfId="64" quotePrefix="1" applyFont="1" applyFill="1" applyAlignment="1">
      <alignment horizontal="right" vertical="top"/>
    </xf>
    <xf numFmtId="0" fontId="29" fillId="7" borderId="0" xfId="64" applyFont="1" applyFill="1" applyAlignment="1">
      <alignment vertical="center" wrapText="1"/>
    </xf>
    <xf numFmtId="0" fontId="22" fillId="7" borderId="0" xfId="64" applyFont="1" applyFill="1" applyAlignment="1">
      <alignment vertical="top"/>
    </xf>
    <xf numFmtId="0" fontId="22" fillId="7" borderId="0" xfId="23" applyFill="1" applyAlignment="1">
      <alignment vertical="top"/>
    </xf>
    <xf numFmtId="0" fontId="26" fillId="7" borderId="0" xfId="64" quotePrefix="1" applyFont="1" applyFill="1" applyAlignment="1">
      <alignment horizontal="right" vertical="center"/>
    </xf>
    <xf numFmtId="0" fontId="29" fillId="7" borderId="0" xfId="64" applyFont="1" applyFill="1" applyAlignment="1">
      <alignment horizontal="justify" vertical="center" wrapText="1"/>
    </xf>
    <xf numFmtId="0" fontId="43" fillId="7" borderId="0" xfId="49" applyFont="1" applyFill="1" applyAlignment="1">
      <alignment vertical="center"/>
    </xf>
    <xf numFmtId="0" fontId="43" fillId="7" borderId="0" xfId="0" applyFont="1" applyFill="1" applyAlignment="1">
      <alignment vertical="center"/>
    </xf>
    <xf numFmtId="0" fontId="35" fillId="7" borderId="0" xfId="0" applyFont="1" applyFill="1" applyAlignment="1">
      <alignment vertical="center"/>
    </xf>
    <xf numFmtId="0" fontId="67" fillId="7" borderId="0" xfId="78" applyFont="1" applyFill="1" applyAlignment="1">
      <alignment horizontal="left" vertical="top"/>
    </xf>
    <xf numFmtId="0" fontId="65" fillId="7" borderId="0" xfId="78" applyFont="1" applyFill="1" applyAlignment="1">
      <alignment horizontal="center"/>
    </xf>
    <xf numFmtId="0" fontId="77" fillId="7" borderId="0" xfId="0" applyFont="1" applyFill="1"/>
    <xf numFmtId="0" fontId="28" fillId="7" borderId="0" xfId="15" applyFont="1" applyFill="1"/>
    <xf numFmtId="0" fontId="22" fillId="7" borderId="0" xfId="11" applyFont="1" applyFill="1" applyAlignment="1">
      <alignment vertical="center" wrapText="1"/>
    </xf>
    <xf numFmtId="0" fontId="22" fillId="7" borderId="0" xfId="11" applyFont="1" applyFill="1" applyAlignment="1">
      <alignment horizontal="justify" vertical="center" wrapText="1"/>
    </xf>
    <xf numFmtId="0" fontId="29" fillId="7" borderId="0" xfId="11" applyFont="1" applyFill="1" applyAlignment="1">
      <alignment horizontal="right" vertical="top"/>
    </xf>
    <xf numFmtId="0" fontId="26" fillId="7" borderId="0" xfId="11" applyFont="1" applyFill="1" applyAlignment="1">
      <alignment horizontal="right" vertical="top"/>
    </xf>
    <xf numFmtId="0" fontId="29" fillId="7" borderId="0" xfId="23" applyFont="1" applyFill="1"/>
    <xf numFmtId="1" fontId="0" fillId="7" borderId="49" xfId="0" applyNumberFormat="1" applyFill="1" applyBorder="1" applyAlignment="1">
      <alignment horizontal="center" vertical="center"/>
    </xf>
    <xf numFmtId="1" fontId="0" fillId="7" borderId="49" xfId="0" applyNumberFormat="1" applyFill="1" applyBorder="1" applyAlignment="1">
      <alignment horizontal="center" vertical="center" wrapText="1"/>
    </xf>
    <xf numFmtId="1" fontId="29" fillId="7" borderId="49" xfId="0" applyNumberFormat="1" applyFont="1" applyFill="1" applyBorder="1" applyAlignment="1">
      <alignment horizontal="center" vertical="center" wrapText="1"/>
    </xf>
    <xf numFmtId="1" fontId="110" fillId="7" borderId="49" xfId="0" applyNumberFormat="1" applyFont="1" applyFill="1" applyBorder="1" applyAlignment="1">
      <alignment horizontal="left" vertical="top"/>
    </xf>
    <xf numFmtId="0" fontId="23" fillId="7" borderId="0" xfId="15" applyFont="1" applyFill="1" applyAlignment="1">
      <alignment horizontal="center" vertical="top"/>
    </xf>
    <xf numFmtId="1" fontId="29" fillId="7" borderId="49" xfId="0" applyNumberFormat="1" applyFont="1" applyFill="1" applyBorder="1" applyAlignment="1">
      <alignment horizontal="center" vertical="center"/>
    </xf>
    <xf numFmtId="0" fontId="29" fillId="7" borderId="0" xfId="0" applyFont="1" applyFill="1" applyAlignment="1">
      <alignment horizontal="center" vertical="center" wrapText="1"/>
    </xf>
    <xf numFmtId="0" fontId="41" fillId="7" borderId="0" xfId="0" applyFont="1" applyFill="1"/>
    <xf numFmtId="0" fontId="65" fillId="7" borderId="162" xfId="0" applyFont="1" applyFill="1" applyBorder="1" applyAlignment="1">
      <alignment vertical="center"/>
    </xf>
    <xf numFmtId="0" fontId="65" fillId="7" borderId="158" xfId="0" applyFont="1" applyFill="1" applyBorder="1" applyAlignment="1">
      <alignment vertical="center"/>
    </xf>
    <xf numFmtId="0" fontId="65" fillId="7" borderId="6" xfId="0" applyFont="1" applyFill="1" applyBorder="1" applyAlignment="1">
      <alignment vertical="center"/>
    </xf>
    <xf numFmtId="0" fontId="67" fillId="7" borderId="0" xfId="11" applyFont="1" applyFill="1" applyAlignment="1">
      <alignment vertical="center"/>
    </xf>
    <xf numFmtId="0" fontId="33" fillId="7" borderId="0" xfId="0" applyFont="1" applyFill="1"/>
    <xf numFmtId="0" fontId="73" fillId="7" borderId="162" xfId="23" quotePrefix="1" applyFont="1" applyFill="1" applyBorder="1" applyAlignment="1">
      <alignment vertical="center"/>
    </xf>
    <xf numFmtId="0" fontId="110" fillId="7" borderId="0" xfId="0" applyFont="1" applyFill="1" applyAlignment="1">
      <alignment vertical="center"/>
    </xf>
    <xf numFmtId="0" fontId="32" fillId="7" borderId="0" xfId="12" applyFont="1" applyFill="1"/>
    <xf numFmtId="0" fontId="37" fillId="7" borderId="0" xfId="11" quotePrefix="1" applyFont="1" applyFill="1" applyAlignment="1">
      <alignment horizontal="right" vertical="top"/>
    </xf>
    <xf numFmtId="0" fontId="37" fillId="7" borderId="0" xfId="11" applyFont="1" applyFill="1" applyAlignment="1">
      <alignment horizontal="justify" vertical="top"/>
    </xf>
    <xf numFmtId="0" fontId="37" fillId="7" borderId="0" xfId="0" applyFont="1" applyFill="1" applyAlignment="1">
      <alignment vertical="center" textRotation="180" wrapText="1"/>
    </xf>
    <xf numFmtId="0" fontId="67" fillId="7" borderId="0" xfId="11" quotePrefix="1" applyFont="1" applyFill="1" applyAlignment="1">
      <alignment horizontal="right" vertical="center"/>
    </xf>
    <xf numFmtId="0" fontId="67" fillId="7" borderId="0" xfId="11" applyFont="1" applyFill="1" applyAlignment="1">
      <alignment horizontal="left" vertical="center"/>
    </xf>
    <xf numFmtId="0" fontId="43" fillId="7" borderId="0" xfId="11" applyFont="1" applyFill="1" applyAlignment="1">
      <alignment horizontal="center" vertical="center"/>
    </xf>
    <xf numFmtId="0" fontId="67" fillId="7" borderId="0" xfId="12" applyFont="1" applyFill="1" applyAlignment="1">
      <alignment vertical="center"/>
    </xf>
    <xf numFmtId="0" fontId="43" fillId="7" borderId="0" xfId="12" applyFont="1" applyFill="1" applyAlignment="1">
      <alignment horizontal="center" vertical="top"/>
    </xf>
    <xf numFmtId="0" fontId="43" fillId="7" borderId="0" xfId="11" quotePrefix="1" applyFont="1" applyFill="1" applyAlignment="1">
      <alignment horizontal="center" vertical="center"/>
    </xf>
    <xf numFmtId="0" fontId="37" fillId="7" borderId="0" xfId="0" applyFont="1" applyFill="1" applyAlignment="1">
      <alignment horizontal="left" vertical="center" shrinkToFit="1"/>
    </xf>
    <xf numFmtId="0" fontId="24" fillId="7" borderId="0" xfId="0" applyFont="1" applyFill="1" applyAlignment="1">
      <alignment vertical="center"/>
    </xf>
    <xf numFmtId="0" fontId="67" fillId="7" borderId="6" xfId="0" applyFont="1" applyFill="1" applyBorder="1" applyAlignment="1">
      <alignment vertical="center"/>
    </xf>
    <xf numFmtId="0" fontId="66" fillId="7" borderId="6" xfId="0" applyFont="1" applyFill="1" applyBorder="1" applyAlignment="1">
      <alignment vertical="center"/>
    </xf>
    <xf numFmtId="0" fontId="65" fillId="7" borderId="54" xfId="0" applyFont="1" applyFill="1" applyBorder="1" applyAlignment="1">
      <alignment vertical="center"/>
    </xf>
    <xf numFmtId="0" fontId="67" fillId="7" borderId="16" xfId="0" applyFont="1" applyFill="1" applyBorder="1" applyAlignment="1">
      <alignment vertical="center"/>
    </xf>
    <xf numFmtId="0" fontId="66" fillId="7" borderId="16" xfId="0" applyFont="1" applyFill="1" applyBorder="1" applyAlignment="1">
      <alignment vertical="center"/>
    </xf>
    <xf numFmtId="0" fontId="65" fillId="7" borderId="55" xfId="0" quotePrefix="1" applyFont="1" applyFill="1" applyBorder="1" applyAlignment="1">
      <alignment horizontal="right" vertical="center"/>
    </xf>
    <xf numFmtId="0" fontId="65" fillId="7" borderId="157" xfId="0" applyFont="1" applyFill="1" applyBorder="1" applyAlignment="1">
      <alignment vertical="center"/>
    </xf>
    <xf numFmtId="0" fontId="65" fillId="7" borderId="5" xfId="0" applyFont="1" applyFill="1" applyBorder="1" applyAlignment="1">
      <alignment vertical="center"/>
    </xf>
    <xf numFmtId="0" fontId="65" fillId="7" borderId="65" xfId="0" quotePrefix="1" applyFont="1" applyFill="1" applyBorder="1" applyAlignment="1">
      <alignment horizontal="right" vertical="center"/>
    </xf>
    <xf numFmtId="0" fontId="67" fillId="7" borderId="190" xfId="0" applyFont="1" applyFill="1" applyBorder="1" applyAlignment="1">
      <alignment vertical="center"/>
    </xf>
    <xf numFmtId="167" fontId="29" fillId="7" borderId="148" xfId="1" applyNumberFormat="1" applyFont="1" applyFill="1" applyBorder="1" applyAlignment="1">
      <alignment horizontal="center" vertical="center"/>
    </xf>
    <xf numFmtId="167" fontId="29" fillId="7" borderId="148" xfId="1" applyNumberFormat="1" applyFont="1" applyFill="1" applyBorder="1" applyAlignment="1">
      <alignment vertical="center"/>
    </xf>
    <xf numFmtId="0" fontId="65" fillId="7" borderId="150" xfId="0" applyFont="1" applyFill="1" applyBorder="1" applyAlignment="1">
      <alignment vertical="center"/>
    </xf>
    <xf numFmtId="0" fontId="65" fillId="7" borderId="61" xfId="0" applyFont="1" applyFill="1" applyBorder="1" applyAlignment="1">
      <alignment vertical="center"/>
    </xf>
    <xf numFmtId="0" fontId="65" fillId="7" borderId="183" xfId="0" applyFont="1" applyFill="1" applyBorder="1" applyAlignment="1">
      <alignment vertical="center"/>
    </xf>
    <xf numFmtId="0" fontId="43" fillId="7" borderId="16" xfId="0" applyFont="1" applyFill="1" applyBorder="1" applyAlignment="1">
      <alignment vertical="center"/>
    </xf>
    <xf numFmtId="0" fontId="65" fillId="7" borderId="184" xfId="0" applyFont="1" applyFill="1" applyBorder="1" applyAlignment="1">
      <alignment vertical="center"/>
    </xf>
    <xf numFmtId="0" fontId="65" fillId="7" borderId="83" xfId="0" applyFont="1" applyFill="1" applyBorder="1" applyAlignment="1">
      <alignment vertical="center"/>
    </xf>
    <xf numFmtId="0" fontId="65" fillId="7" borderId="84" xfId="0" applyFont="1" applyFill="1" applyBorder="1" applyAlignment="1">
      <alignment vertical="center"/>
    </xf>
    <xf numFmtId="0" fontId="65" fillId="7" borderId="191" xfId="0" applyFont="1" applyFill="1" applyBorder="1" applyAlignment="1">
      <alignment vertical="center"/>
    </xf>
    <xf numFmtId="0" fontId="43" fillId="7" borderId="77" xfId="0" applyFont="1" applyFill="1" applyBorder="1" applyAlignment="1">
      <alignment vertical="center"/>
    </xf>
    <xf numFmtId="0" fontId="65" fillId="7" borderId="77" xfId="0" applyFont="1" applyFill="1" applyBorder="1" applyAlignment="1">
      <alignment vertical="center"/>
    </xf>
    <xf numFmtId="0" fontId="43" fillId="7" borderId="78" xfId="0" quotePrefix="1" applyFont="1" applyFill="1" applyBorder="1" applyAlignment="1">
      <alignment horizontal="right" vertical="center"/>
    </xf>
    <xf numFmtId="0" fontId="67" fillId="7" borderId="148" xfId="0" applyFont="1" applyFill="1" applyBorder="1" applyAlignment="1">
      <alignment vertical="center"/>
    </xf>
    <xf numFmtId="0" fontId="66" fillId="7" borderId="148" xfId="0" applyFont="1" applyFill="1" applyBorder="1" applyAlignment="1">
      <alignment vertical="center"/>
    </xf>
    <xf numFmtId="0" fontId="65" fillId="7" borderId="148" xfId="0" applyFont="1" applyFill="1" applyBorder="1" applyAlignment="1">
      <alignment vertical="center"/>
    </xf>
    <xf numFmtId="0" fontId="46" fillId="7" borderId="0" xfId="0" applyFont="1" applyFill="1" applyAlignment="1">
      <alignment vertical="center" textRotation="180" wrapText="1"/>
    </xf>
    <xf numFmtId="0" fontId="35" fillId="7" borderId="0" xfId="0" applyFont="1" applyFill="1" applyAlignment="1">
      <alignment horizontal="center" vertical="center" shrinkToFit="1"/>
    </xf>
    <xf numFmtId="167" fontId="29" fillId="7" borderId="0" xfId="1" applyNumberFormat="1" applyFont="1" applyFill="1" applyBorder="1" applyAlignment="1">
      <alignment vertical="center"/>
    </xf>
    <xf numFmtId="167" fontId="22" fillId="7" borderId="0" xfId="1" applyNumberFormat="1" applyFont="1" applyFill="1" applyBorder="1" applyAlignment="1">
      <alignment vertical="center"/>
    </xf>
    <xf numFmtId="0" fontId="37" fillId="7" borderId="0" xfId="11" quotePrefix="1" applyFont="1" applyFill="1" applyAlignment="1">
      <alignment horizontal="right"/>
    </xf>
    <xf numFmtId="0" fontId="23" fillId="7" borderId="0" xfId="23" applyFont="1" applyFill="1" applyAlignment="1">
      <alignment vertical="center" textRotation="180" wrapText="1"/>
    </xf>
    <xf numFmtId="0" fontId="34" fillId="7" borderId="0" xfId="11" applyFont="1" applyFill="1" applyAlignment="1">
      <alignment horizontal="center" vertical="top"/>
    </xf>
    <xf numFmtId="0" fontId="26" fillId="7" borderId="0" xfId="23" applyFont="1" applyFill="1" applyAlignment="1">
      <alignment horizontal="left" shrinkToFit="1"/>
    </xf>
    <xf numFmtId="0" fontId="26" fillId="7" borderId="0" xfId="23" applyFont="1" applyFill="1" applyAlignment="1">
      <alignment vertical="center" textRotation="180" wrapText="1"/>
    </xf>
    <xf numFmtId="0" fontId="32" fillId="7" borderId="0" xfId="5" applyFont="1" applyFill="1"/>
    <xf numFmtId="0" fontId="84" fillId="7" borderId="0" xfId="0" applyFont="1" applyFill="1"/>
    <xf numFmtId="0" fontId="22" fillId="7" borderId="150" xfId="0" applyFont="1" applyFill="1" applyBorder="1" applyAlignment="1">
      <alignment vertical="center"/>
    </xf>
    <xf numFmtId="0" fontId="32" fillId="7" borderId="162" xfId="0" applyFont="1" applyFill="1" applyBorder="1" applyAlignment="1">
      <alignment vertical="center"/>
    </xf>
    <xf numFmtId="0" fontId="32" fillId="7" borderId="16" xfId="0" applyFont="1" applyFill="1" applyBorder="1" applyAlignment="1">
      <alignment vertical="center"/>
    </xf>
    <xf numFmtId="167" fontId="32" fillId="7" borderId="55" xfId="1" applyNumberFormat="1" applyFont="1" applyFill="1" applyBorder="1" applyAlignment="1">
      <alignment vertical="center"/>
    </xf>
    <xf numFmtId="0" fontId="32" fillId="7" borderId="183" xfId="0" applyFont="1" applyFill="1" applyBorder="1" applyAlignment="1">
      <alignment vertical="center"/>
    </xf>
    <xf numFmtId="0" fontId="32" fillId="7" borderId="12" xfId="0" applyFont="1" applyFill="1" applyBorder="1" applyAlignment="1">
      <alignment vertical="center"/>
    </xf>
    <xf numFmtId="167" fontId="32" fillId="7" borderId="13" xfId="1" applyNumberFormat="1" applyFont="1" applyFill="1" applyBorder="1" applyAlignment="1">
      <alignment vertical="center"/>
    </xf>
    <xf numFmtId="0" fontId="32" fillId="7" borderId="150" xfId="0" applyFont="1" applyFill="1" applyBorder="1" applyAlignment="1">
      <alignment vertical="center"/>
    </xf>
    <xf numFmtId="167" fontId="32" fillId="7" borderId="61" xfId="1" applyNumberFormat="1" applyFont="1" applyFill="1" applyBorder="1" applyAlignment="1">
      <alignment vertical="center"/>
    </xf>
    <xf numFmtId="0" fontId="32" fillId="7" borderId="186" xfId="0" applyFont="1" applyFill="1" applyBorder="1" applyAlignment="1">
      <alignment vertical="center"/>
    </xf>
    <xf numFmtId="0" fontId="32" fillId="7" borderId="15" xfId="0" applyFont="1" applyFill="1" applyBorder="1" applyAlignment="1">
      <alignment vertical="center"/>
    </xf>
    <xf numFmtId="167" fontId="32" fillId="7" borderId="37" xfId="1" applyNumberFormat="1" applyFont="1" applyFill="1" applyBorder="1" applyAlignment="1">
      <alignment vertical="center"/>
    </xf>
    <xf numFmtId="0" fontId="32" fillId="7" borderId="158" xfId="0" applyFont="1" applyFill="1" applyBorder="1" applyAlignment="1">
      <alignment vertical="center"/>
    </xf>
    <xf numFmtId="0" fontId="32" fillId="7" borderId="6" xfId="0" applyFont="1" applyFill="1" applyBorder="1" applyAlignment="1">
      <alignment vertical="center"/>
    </xf>
    <xf numFmtId="167" fontId="32" fillId="7" borderId="78" xfId="1" applyNumberFormat="1" applyFont="1" applyFill="1" applyBorder="1" applyAlignment="1">
      <alignment vertical="center"/>
    </xf>
    <xf numFmtId="0" fontId="29" fillId="7" borderId="0" xfId="23" applyFont="1" applyFill="1" applyAlignment="1">
      <alignment horizontal="left"/>
    </xf>
    <xf numFmtId="0" fontId="35" fillId="7" borderId="0" xfId="0" applyFont="1" applyFill="1"/>
    <xf numFmtId="0" fontId="43" fillId="7" borderId="0" xfId="0" applyFont="1" applyFill="1" applyAlignment="1">
      <alignment horizontal="centerContinuous"/>
    </xf>
    <xf numFmtId="0" fontId="35" fillId="7" borderId="0" xfId="0" applyFont="1" applyFill="1" applyAlignment="1">
      <alignment vertical="center" wrapText="1"/>
    </xf>
    <xf numFmtId="0" fontId="31" fillId="7" borderId="0" xfId="0" applyFont="1" applyFill="1" applyAlignment="1">
      <alignment vertical="center" textRotation="180" wrapText="1"/>
    </xf>
    <xf numFmtId="0" fontId="67" fillId="7" borderId="0" xfId="11" quotePrefix="1" applyFont="1" applyFill="1" applyAlignment="1">
      <alignment horizontal="right" vertical="top"/>
    </xf>
    <xf numFmtId="0" fontId="65" fillId="7" borderId="0" xfId="0" applyFont="1" applyFill="1" applyAlignment="1">
      <alignment vertical="top"/>
    </xf>
    <xf numFmtId="0" fontId="65" fillId="7" borderId="0" xfId="11" applyFont="1" applyFill="1" applyAlignment="1">
      <alignment horizontal="justify" vertical="top" wrapText="1"/>
    </xf>
    <xf numFmtId="0" fontId="67" fillId="7" borderId="0" xfId="15" applyFont="1" applyFill="1" applyAlignment="1">
      <alignment horizontal="center"/>
    </xf>
    <xf numFmtId="0" fontId="67" fillId="7" borderId="0" xfId="0" applyFont="1" applyFill="1"/>
    <xf numFmtId="0" fontId="67" fillId="7" borderId="0" xfId="15" applyFont="1" applyFill="1"/>
    <xf numFmtId="0" fontId="67" fillId="7" borderId="0" xfId="11" quotePrefix="1" applyFont="1" applyFill="1" applyAlignment="1">
      <alignment vertical="top"/>
    </xf>
    <xf numFmtId="0" fontId="67" fillId="7" borderId="0" xfId="11" applyFont="1" applyFill="1" applyAlignment="1">
      <alignment horizontal="justify" vertical="top" wrapText="1"/>
    </xf>
    <xf numFmtId="167" fontId="65" fillId="7" borderId="0" xfId="1" applyNumberFormat="1" applyFont="1" applyFill="1" applyBorder="1" applyAlignment="1">
      <alignment vertical="center"/>
    </xf>
    <xf numFmtId="0" fontId="65" fillId="7" borderId="0" xfId="11" applyFont="1" applyFill="1" applyAlignment="1">
      <alignment vertical="top" wrapText="1"/>
    </xf>
    <xf numFmtId="0" fontId="43" fillId="7" borderId="0" xfId="23" applyFont="1" applyFill="1" applyAlignment="1">
      <alignment vertical="center"/>
    </xf>
    <xf numFmtId="0" fontId="67" fillId="7" borderId="0" xfId="11" quotePrefix="1" applyFont="1" applyFill="1" applyAlignment="1">
      <alignment horizontal="right" vertical="top" wrapText="1"/>
    </xf>
    <xf numFmtId="0" fontId="65" fillId="7" borderId="0" xfId="23" applyFont="1" applyFill="1" applyAlignment="1">
      <alignment vertical="top"/>
    </xf>
    <xf numFmtId="0" fontId="65" fillId="7" borderId="150" xfId="23" applyFont="1" applyFill="1" applyBorder="1" applyAlignment="1">
      <alignment vertical="center"/>
    </xf>
    <xf numFmtId="0" fontId="65" fillId="7" borderId="0" xfId="23" applyFont="1" applyFill="1" applyAlignment="1">
      <alignment vertical="center"/>
    </xf>
    <xf numFmtId="0" fontId="65" fillId="7" borderId="61" xfId="23" applyFont="1" applyFill="1" applyBorder="1" applyAlignment="1">
      <alignment vertical="center"/>
    </xf>
    <xf numFmtId="0" fontId="65" fillId="7" borderId="162" xfId="23" applyFont="1" applyFill="1" applyBorder="1" applyAlignment="1">
      <alignment vertical="center"/>
    </xf>
    <xf numFmtId="0" fontId="65" fillId="7" borderId="16" xfId="23" applyFont="1" applyFill="1" applyBorder="1" applyAlignment="1">
      <alignment horizontal="left" vertical="center"/>
    </xf>
    <xf numFmtId="0" fontId="65" fillId="7" borderId="16" xfId="23" applyFont="1" applyFill="1" applyBorder="1" applyAlignment="1">
      <alignment vertical="center"/>
    </xf>
    <xf numFmtId="0" fontId="65" fillId="7" borderId="55" xfId="23" applyFont="1" applyFill="1" applyBorder="1" applyAlignment="1">
      <alignment vertical="center"/>
    </xf>
    <xf numFmtId="0" fontId="65" fillId="7" borderId="150" xfId="23" applyFont="1" applyFill="1" applyBorder="1" applyAlignment="1">
      <alignment horizontal="center" vertical="center"/>
    </xf>
    <xf numFmtId="0" fontId="65" fillId="7" borderId="0" xfId="23" applyFont="1" applyFill="1" applyAlignment="1">
      <alignment horizontal="left" vertical="center"/>
    </xf>
    <xf numFmtId="0" fontId="65" fillId="7" borderId="0" xfId="23" applyFont="1" applyFill="1" applyAlignment="1">
      <alignment horizontal="center" vertical="center"/>
    </xf>
    <xf numFmtId="0" fontId="65" fillId="7" borderId="61" xfId="23" applyFont="1" applyFill="1" applyBorder="1" applyAlignment="1">
      <alignment horizontal="center" vertical="center"/>
    </xf>
    <xf numFmtId="0" fontId="65" fillId="7" borderId="159" xfId="23" applyFont="1" applyFill="1" applyBorder="1" applyAlignment="1">
      <alignment vertical="center"/>
    </xf>
    <xf numFmtId="0" fontId="65" fillId="7" borderId="57" xfId="23" applyFont="1" applyFill="1" applyBorder="1" applyAlignment="1">
      <alignment vertical="center"/>
    </xf>
    <xf numFmtId="0" fontId="65" fillId="7" borderId="58" xfId="23" applyFont="1" applyFill="1" applyBorder="1" applyAlignment="1">
      <alignment vertical="center"/>
    </xf>
    <xf numFmtId="167" fontId="65" fillId="7" borderId="55" xfId="1" applyNumberFormat="1" applyFont="1" applyFill="1" applyBorder="1" applyAlignment="1">
      <alignment vertical="center"/>
    </xf>
    <xf numFmtId="167" fontId="65" fillId="7" borderId="13" xfId="1" applyNumberFormat="1" applyFont="1" applyFill="1" applyBorder="1" applyAlignment="1">
      <alignment vertical="center"/>
    </xf>
    <xf numFmtId="167" fontId="65" fillId="7" borderId="61" xfId="1" applyNumberFormat="1" applyFont="1" applyFill="1" applyBorder="1" applyAlignment="1">
      <alignment vertical="center"/>
    </xf>
    <xf numFmtId="0" fontId="65" fillId="7" borderId="186" xfId="0" applyFont="1" applyFill="1" applyBorder="1" applyAlignment="1">
      <alignment vertical="center"/>
    </xf>
    <xf numFmtId="0" fontId="65" fillId="7" borderId="15" xfId="0" applyFont="1" applyFill="1" applyBorder="1" applyAlignment="1">
      <alignment vertical="center"/>
    </xf>
    <xf numFmtId="167" fontId="65" fillId="7" borderId="37" xfId="1" applyNumberFormat="1" applyFont="1" applyFill="1" applyBorder="1" applyAlignment="1">
      <alignment vertical="center"/>
    </xf>
    <xf numFmtId="167" fontId="65" fillId="7" borderId="78" xfId="1" applyNumberFormat="1" applyFont="1" applyFill="1" applyBorder="1" applyAlignment="1">
      <alignment vertical="center"/>
    </xf>
    <xf numFmtId="0" fontId="43" fillId="7" borderId="0" xfId="0" applyFont="1" applyFill="1" applyAlignment="1">
      <alignment vertical="center" wrapText="1"/>
    </xf>
    <xf numFmtId="0" fontId="43" fillId="7" borderId="0" xfId="23" applyFont="1" applyFill="1" applyAlignment="1">
      <alignment horizontal="left"/>
    </xf>
    <xf numFmtId="0" fontId="67" fillId="7" borderId="0" xfId="11" applyFont="1" applyFill="1" applyAlignment="1">
      <alignment horizontal="left" vertical="top" wrapText="1"/>
    </xf>
    <xf numFmtId="0" fontId="43" fillId="7" borderId="0" xfId="23" applyFont="1" applyFill="1" applyAlignment="1">
      <alignment vertical="center" wrapText="1"/>
    </xf>
    <xf numFmtId="0" fontId="43" fillId="7" borderId="0" xfId="23" applyFont="1" applyFill="1" applyAlignment="1">
      <alignment horizontal="left" vertical="center" wrapText="1"/>
    </xf>
    <xf numFmtId="0" fontId="65" fillId="7" borderId="0" xfId="12" applyFont="1" applyFill="1"/>
    <xf numFmtId="0" fontId="22" fillId="7" borderId="174" xfId="0" applyFont="1" applyFill="1" applyBorder="1" applyAlignment="1">
      <alignment horizontal="right" vertical="center"/>
    </xf>
    <xf numFmtId="0" fontId="22" fillId="7" borderId="175" xfId="0" applyFont="1" applyFill="1" applyBorder="1" applyAlignment="1">
      <alignment horizontal="left" vertical="center"/>
    </xf>
    <xf numFmtId="0" fontId="22" fillId="7" borderId="175" xfId="0" applyFont="1" applyFill="1" applyBorder="1" applyAlignment="1">
      <alignment vertical="center"/>
    </xf>
    <xf numFmtId="0" fontId="22" fillId="7" borderId="0" xfId="0" applyFont="1" applyFill="1" applyAlignment="1">
      <alignment horizontal="left"/>
    </xf>
    <xf numFmtId="0" fontId="26" fillId="7" borderId="0" xfId="23" applyFont="1" applyFill="1" applyAlignment="1">
      <alignment horizontal="left" vertical="center" shrinkToFit="1"/>
    </xf>
    <xf numFmtId="0" fontId="22" fillId="7" borderId="199" xfId="0" applyFont="1" applyFill="1" applyBorder="1" applyAlignment="1">
      <alignment vertical="center"/>
    </xf>
    <xf numFmtId="0" fontId="22" fillId="7" borderId="49" xfId="0" applyFont="1" applyFill="1" applyBorder="1" applyAlignment="1">
      <alignment vertical="center"/>
    </xf>
    <xf numFmtId="0" fontId="22" fillId="7" borderId="52" xfId="0" applyFont="1" applyFill="1" applyBorder="1" applyAlignment="1">
      <alignment vertical="center"/>
    </xf>
    <xf numFmtId="0" fontId="22" fillId="7" borderId="162" xfId="0" applyFont="1" applyFill="1" applyBorder="1" applyAlignment="1">
      <alignment vertical="center"/>
    </xf>
    <xf numFmtId="0" fontId="22" fillId="7" borderId="16" xfId="0" applyFont="1" applyFill="1" applyBorder="1" applyAlignment="1">
      <alignment vertical="center"/>
    </xf>
    <xf numFmtId="0" fontId="22" fillId="7" borderId="55" xfId="0" applyFont="1" applyFill="1" applyBorder="1" applyAlignment="1">
      <alignment vertical="center"/>
    </xf>
    <xf numFmtId="0" fontId="22" fillId="7" borderId="162" xfId="0" applyFont="1" applyFill="1" applyBorder="1" applyAlignment="1">
      <alignment horizontal="left" vertical="center"/>
    </xf>
    <xf numFmtId="0" fontId="22" fillId="7" borderId="16" xfId="0" applyFont="1" applyFill="1" applyBorder="1" applyAlignment="1">
      <alignment horizontal="left" vertical="center"/>
    </xf>
    <xf numFmtId="0" fontId="22" fillId="7" borderId="55" xfId="0" applyFont="1" applyFill="1" applyBorder="1" applyAlignment="1">
      <alignment horizontal="left" vertical="center"/>
    </xf>
    <xf numFmtId="0" fontId="29" fillId="7" borderId="164" xfId="0" applyFont="1" applyFill="1" applyBorder="1" applyAlignment="1">
      <alignment vertical="center"/>
    </xf>
    <xf numFmtId="0" fontId="29" fillId="7" borderId="165" xfId="0" applyFont="1" applyFill="1" applyBorder="1" applyAlignment="1">
      <alignment vertical="center"/>
    </xf>
    <xf numFmtId="0" fontId="29" fillId="7" borderId="166" xfId="0" applyFont="1" applyFill="1" applyBorder="1" applyAlignment="1">
      <alignment vertical="center"/>
    </xf>
    <xf numFmtId="0" fontId="26" fillId="7" borderId="0" xfId="23" quotePrefix="1" applyFont="1" applyFill="1" applyAlignment="1">
      <alignment horizontal="right"/>
    </xf>
    <xf numFmtId="0" fontId="22" fillId="7" borderId="61" xfId="0" applyFont="1" applyFill="1" applyBorder="1" applyAlignment="1">
      <alignment vertical="center"/>
    </xf>
    <xf numFmtId="0" fontId="22" fillId="7" borderId="0" xfId="23" applyFill="1" applyAlignment="1">
      <alignment horizontal="right" vertical="center"/>
    </xf>
    <xf numFmtId="0" fontId="65" fillId="7" borderId="56" xfId="0" applyFont="1" applyFill="1" applyBorder="1" applyAlignment="1">
      <alignment horizontal="left" vertical="center" indent="1"/>
    </xf>
    <xf numFmtId="0" fontId="65" fillId="7" borderId="30" xfId="0" applyFont="1" applyFill="1" applyBorder="1" applyAlignment="1">
      <alignment horizontal="left" vertical="center" indent="1"/>
    </xf>
    <xf numFmtId="0" fontId="43" fillId="7" borderId="30" xfId="0" applyFont="1" applyFill="1" applyBorder="1" applyAlignment="1">
      <alignment horizontal="left" vertical="center" indent="6"/>
    </xf>
    <xf numFmtId="0" fontId="65" fillId="7" borderId="31" xfId="0" applyFont="1" applyFill="1" applyBorder="1" applyAlignment="1">
      <alignment vertical="center"/>
    </xf>
    <xf numFmtId="0" fontId="65" fillId="7" borderId="19" xfId="0" applyFont="1" applyFill="1" applyBorder="1" applyAlignment="1">
      <alignment horizontal="left" vertical="center" indent="1"/>
    </xf>
    <xf numFmtId="0" fontId="65" fillId="7" borderId="32" xfId="0" applyFont="1" applyFill="1" applyBorder="1" applyAlignment="1">
      <alignment horizontal="left" vertical="center" indent="1"/>
    </xf>
    <xf numFmtId="0" fontId="65" fillId="7" borderId="0" xfId="0" applyFont="1" applyFill="1" applyAlignment="1">
      <alignment horizontal="left" vertical="center" indent="1"/>
    </xf>
    <xf numFmtId="0" fontId="43" fillId="7" borderId="0" xfId="0" applyFont="1" applyFill="1" applyAlignment="1">
      <alignment horizontal="left" vertical="center" indent="6"/>
    </xf>
    <xf numFmtId="0" fontId="65" fillId="7" borderId="27" xfId="0" applyFont="1" applyFill="1" applyBorder="1" applyAlignment="1">
      <alignment horizontal="left" vertical="center" indent="1"/>
    </xf>
    <xf numFmtId="0" fontId="65" fillId="7" borderId="62" xfId="0" applyFont="1" applyFill="1" applyBorder="1" applyAlignment="1">
      <alignment horizontal="left" vertical="center" indent="1"/>
    </xf>
    <xf numFmtId="0" fontId="43" fillId="7" borderId="62" xfId="0" applyFont="1" applyFill="1" applyBorder="1" applyAlignment="1">
      <alignment horizontal="left" vertical="center" indent="6"/>
    </xf>
    <xf numFmtId="0" fontId="65" fillId="7" borderId="28" xfId="0" applyFont="1" applyFill="1" applyBorder="1" applyAlignment="1">
      <alignment vertical="center"/>
    </xf>
    <xf numFmtId="0" fontId="26" fillId="7" borderId="0" xfId="23" quotePrefix="1" applyFont="1" applyFill="1" applyAlignment="1">
      <alignment horizontal="right" vertical="center"/>
    </xf>
    <xf numFmtId="0" fontId="26" fillId="7" borderId="0" xfId="12" applyFont="1" applyFill="1" applyAlignment="1">
      <alignment horizontal="justify" vertical="center" wrapText="1"/>
    </xf>
    <xf numFmtId="0" fontId="37" fillId="7" borderId="0" xfId="12" applyFont="1" applyFill="1" applyAlignment="1">
      <alignment vertical="center" wrapText="1"/>
    </xf>
    <xf numFmtId="0" fontId="26" fillId="7" borderId="0" xfId="12" applyFont="1" applyFill="1" applyAlignment="1">
      <alignment vertical="center" wrapText="1"/>
    </xf>
    <xf numFmtId="0" fontId="26" fillId="7" borderId="0" xfId="12" applyFont="1" applyFill="1" applyAlignment="1">
      <alignment vertical="top" wrapText="1"/>
    </xf>
    <xf numFmtId="0" fontId="26" fillId="7" borderId="0" xfId="12" applyFont="1" applyFill="1" applyAlignment="1">
      <alignment horizontal="justify" vertical="top" wrapText="1"/>
    </xf>
    <xf numFmtId="0" fontId="67" fillId="7" borderId="0" xfId="23" quotePrefix="1" applyFont="1" applyFill="1" applyAlignment="1">
      <alignment horizontal="right" vertical="center"/>
    </xf>
    <xf numFmtId="0" fontId="26" fillId="7" borderId="0" xfId="0" quotePrefix="1" applyFont="1" applyFill="1" applyAlignment="1">
      <alignment horizontal="right"/>
    </xf>
    <xf numFmtId="0" fontId="43" fillId="7" borderId="0" xfId="0" applyFont="1" applyFill="1" applyAlignment="1">
      <alignment horizontal="left" vertical="center"/>
    </xf>
    <xf numFmtId="0" fontId="32" fillId="7" borderId="0" xfId="0" applyFont="1" applyFill="1" applyAlignment="1">
      <alignment horizontal="justify" vertical="center"/>
    </xf>
    <xf numFmtId="0" fontId="65" fillId="7" borderId="162" xfId="0" applyFont="1" applyFill="1" applyBorder="1" applyAlignment="1">
      <alignment horizontal="left" vertical="center" indent="3"/>
    </xf>
    <xf numFmtId="0" fontId="65" fillId="7" borderId="191" xfId="0" applyFont="1" applyFill="1" applyBorder="1" applyAlignment="1">
      <alignment horizontal="left" vertical="center" indent="3"/>
    </xf>
    <xf numFmtId="0" fontId="65" fillId="7" borderId="78" xfId="0" applyFont="1" applyFill="1" applyBorder="1" applyAlignment="1">
      <alignment vertical="center"/>
    </xf>
    <xf numFmtId="0" fontId="65" fillId="7" borderId="162" xfId="0" applyFont="1" applyFill="1" applyBorder="1" applyAlignment="1">
      <alignment horizontal="left" vertical="center" indent="2"/>
    </xf>
    <xf numFmtId="0" fontId="65" fillId="7" borderId="191" xfId="0" applyFont="1" applyFill="1" applyBorder="1" applyAlignment="1">
      <alignment horizontal="left" vertical="center" indent="2"/>
    </xf>
    <xf numFmtId="0" fontId="65" fillId="7" borderId="150" xfId="0" applyFont="1" applyFill="1" applyBorder="1" applyAlignment="1">
      <alignment horizontal="left" vertical="center" indent="3"/>
    </xf>
    <xf numFmtId="0" fontId="65" fillId="7" borderId="150" xfId="0" applyFont="1" applyFill="1" applyBorder="1" applyAlignment="1">
      <alignment horizontal="left" vertical="center" indent="2"/>
    </xf>
    <xf numFmtId="0" fontId="43" fillId="7" borderId="0" xfId="0" applyFont="1" applyFill="1" applyAlignment="1">
      <alignment wrapText="1"/>
    </xf>
    <xf numFmtId="0" fontId="65" fillId="7" borderId="162" xfId="0" applyFont="1" applyFill="1" applyBorder="1" applyAlignment="1">
      <alignment horizontal="left" vertical="center"/>
    </xf>
    <xf numFmtId="0" fontId="65" fillId="7" borderId="174" xfId="0" applyFont="1" applyFill="1" applyBorder="1" applyAlignment="1">
      <alignment horizontal="left" vertical="center"/>
    </xf>
    <xf numFmtId="0" fontId="65" fillId="7" borderId="175" xfId="0" applyFont="1" applyFill="1" applyBorder="1" applyAlignment="1">
      <alignment horizontal="left" vertical="center" indent="1"/>
    </xf>
    <xf numFmtId="0" fontId="65" fillId="7" borderId="175" xfId="0" applyFont="1" applyFill="1" applyBorder="1" applyAlignment="1">
      <alignment horizontal="left" vertical="center"/>
    </xf>
    <xf numFmtId="0" fontId="65" fillId="7" borderId="176" xfId="0" applyFont="1" applyFill="1" applyBorder="1" applyAlignment="1">
      <alignment vertical="center"/>
    </xf>
    <xf numFmtId="0" fontId="22" fillId="7" borderId="174" xfId="0" applyFont="1" applyFill="1" applyBorder="1"/>
    <xf numFmtId="0" fontId="22" fillId="7" borderId="175" xfId="0" applyFont="1" applyFill="1" applyBorder="1"/>
    <xf numFmtId="0" fontId="22" fillId="7" borderId="182" xfId="0" applyFont="1" applyFill="1" applyBorder="1"/>
    <xf numFmtId="0" fontId="29" fillId="7" borderId="0" xfId="0" applyFont="1" applyFill="1" applyAlignment="1">
      <alignment vertical="top" wrapText="1"/>
    </xf>
    <xf numFmtId="0" fontId="32" fillId="7" borderId="0" xfId="13" applyFont="1" applyFill="1"/>
    <xf numFmtId="0" fontId="32" fillId="7" borderId="0" xfId="13" applyFont="1" applyFill="1" applyAlignment="1">
      <alignment vertical="center"/>
    </xf>
    <xf numFmtId="0" fontId="37" fillId="7" borderId="0" xfId="11" applyFont="1" applyFill="1" applyAlignment="1">
      <alignment horizontal="justify"/>
    </xf>
    <xf numFmtId="0" fontId="22" fillId="7" borderId="0" xfId="13" applyFont="1" applyFill="1" applyAlignment="1">
      <alignment vertical="center"/>
    </xf>
    <xf numFmtId="0" fontId="22" fillId="7" borderId="0" xfId="13" applyFont="1" applyFill="1"/>
    <xf numFmtId="0" fontId="22" fillId="7" borderId="152" xfId="13" applyFont="1" applyFill="1" applyBorder="1" applyAlignment="1">
      <alignment vertical="center"/>
    </xf>
    <xf numFmtId="0" fontId="22" fillId="7" borderId="152" xfId="0" applyFont="1" applyFill="1" applyBorder="1"/>
    <xf numFmtId="0" fontId="22" fillId="7" borderId="174" xfId="13" applyFont="1" applyFill="1" applyBorder="1" applyAlignment="1">
      <alignment vertical="center"/>
    </xf>
    <xf numFmtId="0" fontId="29" fillId="7" borderId="175" xfId="13" applyFont="1" applyFill="1" applyBorder="1" applyAlignment="1">
      <alignment vertical="center"/>
    </xf>
    <xf numFmtId="0" fontId="22" fillId="7" borderId="175" xfId="13" applyFont="1" applyFill="1" applyBorder="1" applyAlignment="1">
      <alignment vertical="center"/>
    </xf>
    <xf numFmtId="0" fontId="22" fillId="7" borderId="182" xfId="13" applyFont="1" applyFill="1" applyBorder="1" applyAlignment="1">
      <alignment vertical="center"/>
    </xf>
    <xf numFmtId="0" fontId="22" fillId="7" borderId="150" xfId="13" applyFont="1" applyFill="1" applyBorder="1" applyAlignment="1">
      <alignment vertical="center"/>
    </xf>
    <xf numFmtId="0" fontId="22" fillId="7" borderId="0" xfId="13" quotePrefix="1" applyFont="1" applyFill="1" applyAlignment="1">
      <alignment horizontal="right" vertical="center"/>
    </xf>
    <xf numFmtId="0" fontId="22" fillId="7" borderId="150" xfId="0" applyFont="1" applyFill="1" applyBorder="1"/>
    <xf numFmtId="0" fontId="29" fillId="7" borderId="0" xfId="13" applyFont="1" applyFill="1" applyAlignment="1">
      <alignment vertical="center"/>
    </xf>
    <xf numFmtId="0" fontId="22" fillId="7" borderId="0" xfId="34" applyFont="1" applyFill="1" applyAlignment="1">
      <alignment vertical="center"/>
    </xf>
    <xf numFmtId="0" fontId="29" fillId="7" borderId="0" xfId="0" applyFont="1" applyFill="1" applyAlignment="1">
      <alignment vertical="center"/>
    </xf>
    <xf numFmtId="0" fontId="22" fillId="7" borderId="0" xfId="11" applyFont="1" applyFill="1" applyAlignment="1">
      <alignment horizontal="justify" vertical="top"/>
    </xf>
    <xf numFmtId="0" fontId="26" fillId="7" borderId="0" xfId="11" applyFont="1" applyFill="1" applyAlignment="1">
      <alignment vertical="top"/>
    </xf>
    <xf numFmtId="0" fontId="29" fillId="7" borderId="0" xfId="25" applyFont="1" applyFill="1" applyAlignment="1">
      <alignment vertical="center"/>
    </xf>
    <xf numFmtId="0" fontId="26" fillId="7" borderId="0" xfId="13" applyFont="1" applyFill="1" applyAlignment="1">
      <alignment vertical="center"/>
    </xf>
    <xf numFmtId="0" fontId="29" fillId="7" borderId="144" xfId="13" applyFont="1" applyFill="1" applyBorder="1" applyAlignment="1">
      <alignment vertical="center"/>
    </xf>
    <xf numFmtId="0" fontId="29" fillId="7" borderId="145" xfId="13" applyFont="1" applyFill="1" applyBorder="1" applyAlignment="1">
      <alignment vertical="center"/>
    </xf>
    <xf numFmtId="0" fontId="22" fillId="7" borderId="145" xfId="13" applyFont="1" applyFill="1" applyBorder="1" applyAlignment="1">
      <alignment vertical="center"/>
    </xf>
    <xf numFmtId="0" fontId="22" fillId="7" borderId="198" xfId="13" applyFont="1" applyFill="1" applyBorder="1" applyAlignment="1">
      <alignment vertical="center"/>
    </xf>
    <xf numFmtId="0" fontId="22" fillId="7" borderId="144" xfId="13" applyFont="1" applyFill="1" applyBorder="1" applyAlignment="1">
      <alignment vertical="center"/>
    </xf>
    <xf numFmtId="0" fontId="47" fillId="7" borderId="0" xfId="13" applyFont="1" applyFill="1" applyAlignment="1">
      <alignment horizontal="right" vertical="center"/>
    </xf>
    <xf numFmtId="0" fontId="22" fillId="7" borderId="0" xfId="29" applyFont="1" applyFill="1" applyAlignment="1">
      <alignment vertical="center"/>
    </xf>
    <xf numFmtId="0" fontId="0" fillId="7" borderId="0" xfId="0" quotePrefix="1" applyFill="1" applyAlignment="1">
      <alignment vertical="center"/>
    </xf>
    <xf numFmtId="0" fontId="0" fillId="7" borderId="0" xfId="0" applyFill="1" applyAlignment="1">
      <alignment vertical="center"/>
    </xf>
    <xf numFmtId="0" fontId="29" fillId="7" borderId="0" xfId="0" applyFont="1" applyFill="1" applyAlignment="1">
      <alignment vertical="center" wrapText="1"/>
    </xf>
    <xf numFmtId="0" fontId="0" fillId="7" borderId="16" xfId="0" quotePrefix="1" applyFill="1" applyBorder="1" applyAlignment="1">
      <alignment vertical="center"/>
    </xf>
    <xf numFmtId="0" fontId="0" fillId="7" borderId="16" xfId="0" applyFill="1" applyBorder="1" applyAlignment="1">
      <alignment vertical="center"/>
    </xf>
    <xf numFmtId="0" fontId="29" fillId="7" borderId="16" xfId="0" applyFont="1" applyFill="1" applyBorder="1" applyAlignment="1">
      <alignment vertical="center" wrapText="1"/>
    </xf>
    <xf numFmtId="0" fontId="22" fillId="7" borderId="174" xfId="0" applyFont="1" applyFill="1" applyBorder="1" applyAlignment="1">
      <alignment vertical="center"/>
    </xf>
    <xf numFmtId="0" fontId="0" fillId="7" borderId="175" xfId="0" quotePrefix="1" applyFill="1" applyBorder="1" applyAlignment="1">
      <alignment vertical="center"/>
    </xf>
    <xf numFmtId="0" fontId="0" fillId="7" borderId="175" xfId="0" applyFill="1" applyBorder="1" applyAlignment="1">
      <alignment vertical="center"/>
    </xf>
    <xf numFmtId="0" fontId="29" fillId="7" borderId="175" xfId="0" applyFont="1" applyFill="1" applyBorder="1" applyAlignment="1">
      <alignment vertical="center"/>
    </xf>
    <xf numFmtId="0" fontId="59" fillId="7" borderId="0" xfId="13" applyFont="1" applyFill="1" applyAlignment="1">
      <alignment horizontal="right" vertical="center"/>
    </xf>
    <xf numFmtId="0" fontId="22" fillId="7" borderId="0" xfId="13" applyFont="1" applyFill="1" applyAlignment="1">
      <alignment horizontal="right" vertical="center"/>
    </xf>
    <xf numFmtId="0" fontId="88" fillId="0" borderId="0" xfId="13" applyFont="1" applyAlignment="1">
      <alignment horizontal="right" vertical="center"/>
    </xf>
    <xf numFmtId="0" fontId="111" fillId="0" borderId="0" xfId="13" applyFont="1" applyAlignment="1" applyProtection="1">
      <alignment horizontal="right" vertical="center"/>
      <protection locked="0"/>
    </xf>
    <xf numFmtId="0" fontId="88" fillId="0" borderId="0" xfId="13" applyFont="1" applyAlignment="1" applyProtection="1">
      <alignment horizontal="right" vertical="center"/>
      <protection locked="0"/>
    </xf>
    <xf numFmtId="0" fontId="98" fillId="7" borderId="0" xfId="13" applyFont="1" applyFill="1"/>
    <xf numFmtId="0" fontId="101" fillId="7" borderId="0" xfId="5" applyFont="1" applyFill="1" applyAlignment="1">
      <alignment vertical="center"/>
    </xf>
    <xf numFmtId="0" fontId="96" fillId="7" borderId="0" xfId="23" applyFont="1" applyFill="1"/>
    <xf numFmtId="0" fontId="98" fillId="7" borderId="0" xfId="23" applyFont="1" applyFill="1" applyAlignment="1">
      <alignment wrapText="1"/>
    </xf>
    <xf numFmtId="0" fontId="99" fillId="7" borderId="0" xfId="12" applyFont="1" applyFill="1"/>
    <xf numFmtId="0" fontId="95" fillId="7" borderId="0" xfId="13" applyFont="1" applyFill="1"/>
    <xf numFmtId="0" fontId="22" fillId="7" borderId="191" xfId="0" applyFont="1" applyFill="1" applyBorder="1" applyAlignment="1">
      <alignment vertical="center"/>
    </xf>
    <xf numFmtId="0" fontId="22" fillId="7" borderId="77" xfId="0" applyFont="1" applyFill="1" applyBorder="1" applyAlignment="1">
      <alignment vertical="center"/>
    </xf>
    <xf numFmtId="0" fontId="22" fillId="7" borderId="78" xfId="0" applyFont="1" applyFill="1" applyBorder="1" applyAlignment="1">
      <alignment vertical="center"/>
    </xf>
    <xf numFmtId="0" fontId="26" fillId="7" borderId="0" xfId="12" applyFont="1" applyFill="1" applyAlignment="1">
      <alignment wrapText="1"/>
    </xf>
    <xf numFmtId="0" fontId="32" fillId="7" borderId="0" xfId="13" applyFont="1" applyFill="1" applyAlignment="1">
      <alignment horizontal="right"/>
    </xf>
    <xf numFmtId="0" fontId="37" fillId="7" borderId="0" xfId="12" quotePrefix="1" applyFont="1" applyFill="1" applyAlignment="1">
      <alignment horizontal="right" vertical="top"/>
    </xf>
    <xf numFmtId="0" fontId="37" fillId="7" borderId="0" xfId="12" applyFont="1" applyFill="1" applyAlignment="1">
      <alignment vertical="top"/>
    </xf>
    <xf numFmtId="0" fontId="95" fillId="7" borderId="0" xfId="13" applyFont="1" applyFill="1" applyAlignment="1">
      <alignment horizontal="right"/>
    </xf>
    <xf numFmtId="0" fontId="97" fillId="7" borderId="0" xfId="12" quotePrefix="1" applyFont="1" applyFill="1" applyAlignment="1">
      <alignment horizontal="right" vertical="top"/>
    </xf>
    <xf numFmtId="0" fontId="95" fillId="7" borderId="0" xfId="12" applyFont="1" applyFill="1" applyAlignment="1">
      <alignment horizontal="left" vertical="top"/>
    </xf>
    <xf numFmtId="0" fontId="97" fillId="7" borderId="0" xfId="12" applyFont="1" applyFill="1" applyAlignment="1">
      <alignment horizontal="left" vertical="top" wrapText="1"/>
    </xf>
    <xf numFmtId="0" fontId="29" fillId="7" borderId="0" xfId="9" applyFont="1" applyFill="1"/>
    <xf numFmtId="0" fontId="29" fillId="7" borderId="0" xfId="9" applyFont="1" applyFill="1" applyAlignment="1">
      <alignment wrapText="1"/>
    </xf>
    <xf numFmtId="0" fontId="26" fillId="7" borderId="0" xfId="5" applyFont="1" applyFill="1" applyAlignment="1">
      <alignment vertical="center"/>
    </xf>
    <xf numFmtId="0" fontId="47" fillId="7" borderId="145" xfId="13" applyFont="1" applyFill="1" applyBorder="1" applyAlignment="1">
      <alignment horizontal="right" vertical="center"/>
    </xf>
    <xf numFmtId="0" fontId="0" fillId="7" borderId="145" xfId="13" applyFont="1" applyFill="1" applyBorder="1" applyAlignment="1">
      <alignment vertical="center"/>
    </xf>
    <xf numFmtId="0" fontId="22" fillId="7" borderId="144" xfId="13" applyFont="1" applyFill="1" applyBorder="1"/>
    <xf numFmtId="0" fontId="49" fillId="7" borderId="145" xfId="13" applyFont="1" applyFill="1" applyBorder="1" applyAlignment="1">
      <alignment horizontal="right" vertical="center"/>
    </xf>
    <xf numFmtId="0" fontId="35" fillId="7" borderId="145" xfId="13" applyFont="1" applyFill="1" applyBorder="1" applyAlignment="1">
      <alignment vertical="center" wrapText="1"/>
    </xf>
    <xf numFmtId="0" fontId="22" fillId="7" borderId="145" xfId="13" applyFont="1" applyFill="1" applyBorder="1"/>
    <xf numFmtId="0" fontId="22" fillId="7" borderId="198" xfId="13" applyFont="1" applyFill="1" applyBorder="1"/>
    <xf numFmtId="0" fontId="22" fillId="7" borderId="152" xfId="13" applyFont="1" applyFill="1" applyBorder="1"/>
    <xf numFmtId="0" fontId="22" fillId="7" borderId="174" xfId="13" applyFont="1" applyFill="1" applyBorder="1"/>
    <xf numFmtId="0" fontId="35" fillId="7" borderId="175" xfId="13" applyFont="1" applyFill="1" applyBorder="1" applyAlignment="1">
      <alignment vertical="center" wrapText="1"/>
    </xf>
    <xf numFmtId="0" fontId="22" fillId="7" borderId="175" xfId="13" applyFont="1" applyFill="1" applyBorder="1"/>
    <xf numFmtId="0" fontId="22" fillId="7" borderId="182" xfId="13" applyFont="1" applyFill="1" applyBorder="1"/>
    <xf numFmtId="0" fontId="22" fillId="7" borderId="150" xfId="13" applyFont="1" applyFill="1" applyBorder="1"/>
    <xf numFmtId="0" fontId="37" fillId="7" borderId="152" xfId="12" applyFont="1" applyFill="1" applyBorder="1" applyAlignment="1">
      <alignment vertical="top"/>
    </xf>
    <xf numFmtId="0" fontId="0" fillId="7" borderId="0" xfId="13" applyFont="1" applyFill="1" applyAlignment="1">
      <alignment vertical="center"/>
    </xf>
    <xf numFmtId="0" fontId="37" fillId="7" borderId="150" xfId="12" quotePrefix="1" applyFont="1" applyFill="1" applyBorder="1" applyAlignment="1">
      <alignment horizontal="right" vertical="top"/>
    </xf>
    <xf numFmtId="0" fontId="32" fillId="7" borderId="144" xfId="13" applyFont="1" applyFill="1" applyBorder="1"/>
    <xf numFmtId="0" fontId="49" fillId="7" borderId="145" xfId="13" applyFont="1" applyFill="1" applyBorder="1" applyAlignment="1">
      <alignment vertical="center"/>
    </xf>
    <xf numFmtId="0" fontId="22" fillId="7" borderId="145" xfId="13" applyFont="1" applyFill="1" applyBorder="1" applyAlignment="1">
      <alignment vertical="center" wrapText="1"/>
    </xf>
    <xf numFmtId="0" fontId="49" fillId="7" borderId="150" xfId="13" applyFont="1" applyFill="1" applyBorder="1" applyAlignment="1">
      <alignment vertical="center"/>
    </xf>
    <xf numFmtId="0" fontId="22" fillId="7" borderId="152" xfId="13" applyFont="1" applyFill="1" applyBorder="1" applyAlignment="1">
      <alignment horizontal="center" vertical="center"/>
    </xf>
    <xf numFmtId="0" fontId="32" fillId="7" borderId="152" xfId="13" applyFont="1" applyFill="1" applyBorder="1"/>
    <xf numFmtId="0" fontId="22" fillId="7" borderId="0" xfId="13" applyFont="1" applyFill="1" applyAlignment="1">
      <alignment horizontal="center"/>
    </xf>
    <xf numFmtId="0" fontId="109" fillId="7" borderId="0" xfId="0" applyFont="1" applyFill="1" applyAlignment="1">
      <alignment vertical="center"/>
    </xf>
    <xf numFmtId="0" fontId="22" fillId="7" borderId="0" xfId="13" applyFont="1" applyFill="1" applyAlignment="1">
      <alignment horizontal="center" vertical="center"/>
    </xf>
    <xf numFmtId="0" fontId="32" fillId="7" borderId="152" xfId="13" applyFont="1" applyFill="1" applyBorder="1" applyAlignment="1">
      <alignment horizontal="center"/>
    </xf>
    <xf numFmtId="0" fontId="49" fillId="7" borderId="0" xfId="13" applyFont="1" applyFill="1" applyAlignment="1">
      <alignment horizontal="center" vertical="center"/>
    </xf>
    <xf numFmtId="0" fontId="49" fillId="7" borderId="174" xfId="13" applyFont="1" applyFill="1" applyBorder="1" applyAlignment="1">
      <alignment vertical="center"/>
    </xf>
    <xf numFmtId="0" fontId="49" fillId="7" borderId="175" xfId="13" applyFont="1" applyFill="1" applyBorder="1" applyAlignment="1">
      <alignment horizontal="center" vertical="center"/>
    </xf>
    <xf numFmtId="0" fontId="22" fillId="7" borderId="175" xfId="13" applyFont="1" applyFill="1" applyBorder="1" applyAlignment="1">
      <alignment horizontal="justify" vertical="center" wrapText="1"/>
    </xf>
    <xf numFmtId="0" fontId="22" fillId="7" borderId="175" xfId="13" applyFont="1" applyFill="1" applyBorder="1" applyAlignment="1">
      <alignment horizontal="center"/>
    </xf>
    <xf numFmtId="0" fontId="22" fillId="7" borderId="175" xfId="13" applyFont="1" applyFill="1" applyBorder="1" applyAlignment="1">
      <alignment horizontal="center" vertical="center"/>
    </xf>
    <xf numFmtId="0" fontId="32" fillId="7" borderId="182" xfId="13" applyFont="1" applyFill="1" applyBorder="1" applyAlignment="1">
      <alignment horizontal="center"/>
    </xf>
    <xf numFmtId="0" fontId="22" fillId="7" borderId="145" xfId="13" applyFont="1" applyFill="1" applyBorder="1" applyAlignment="1">
      <alignment horizontal="right" vertical="center"/>
    </xf>
    <xf numFmtId="0" fontId="22" fillId="7" borderId="175" xfId="13" applyFont="1" applyFill="1" applyBorder="1" applyAlignment="1">
      <alignment horizontal="right" vertical="center"/>
    </xf>
    <xf numFmtId="0" fontId="88" fillId="0" borderId="145" xfId="13" applyFont="1" applyBorder="1" applyAlignment="1" applyProtection="1">
      <alignment horizontal="right" vertical="center"/>
      <protection locked="0"/>
    </xf>
    <xf numFmtId="0" fontId="88" fillId="0" borderId="175" xfId="13" applyFont="1" applyBorder="1" applyAlignment="1" applyProtection="1">
      <alignment horizontal="right" vertical="center"/>
      <protection locked="0"/>
    </xf>
    <xf numFmtId="0" fontId="88" fillId="0" borderId="0" xfId="13" applyFont="1" applyAlignment="1" applyProtection="1">
      <alignment vertical="center"/>
      <protection locked="0"/>
    </xf>
    <xf numFmtId="0" fontId="110" fillId="7" borderId="0" xfId="13" applyFont="1" applyFill="1" applyAlignment="1">
      <alignment horizontal="left" vertical="center"/>
    </xf>
    <xf numFmtId="0" fontId="22" fillId="7" borderId="0" xfId="36" applyFill="1"/>
    <xf numFmtId="0" fontId="29" fillId="7" borderId="0" xfId="25" applyFont="1" applyFill="1"/>
    <xf numFmtId="0" fontId="29" fillId="7" borderId="0" xfId="25" applyFont="1" applyFill="1" applyAlignment="1">
      <alignment wrapText="1"/>
    </xf>
    <xf numFmtId="0" fontId="26" fillId="7" borderId="0" xfId="25" applyFont="1" applyFill="1"/>
    <xf numFmtId="0" fontId="29" fillId="7" borderId="144" xfId="25" applyFont="1" applyFill="1" applyBorder="1" applyAlignment="1">
      <alignment vertical="center"/>
    </xf>
    <xf numFmtId="0" fontId="29" fillId="7" borderId="145" xfId="25" applyFont="1" applyFill="1" applyBorder="1" applyAlignment="1">
      <alignment vertical="center" wrapText="1"/>
    </xf>
    <xf numFmtId="0" fontId="29" fillId="7" borderId="145" xfId="13" applyFont="1" applyFill="1" applyBorder="1" applyAlignment="1">
      <alignment horizontal="left" vertical="center" wrapText="1"/>
    </xf>
    <xf numFmtId="0" fontId="22" fillId="7" borderId="198" xfId="13" applyFont="1" applyFill="1" applyBorder="1" applyAlignment="1">
      <alignment horizontal="right" vertical="center"/>
    </xf>
    <xf numFmtId="0" fontId="22" fillId="7" borderId="0" xfId="36" applyFill="1" applyAlignment="1">
      <alignment vertical="center"/>
    </xf>
    <xf numFmtId="0" fontId="22" fillId="7" borderId="150" xfId="25" applyFill="1" applyBorder="1" applyAlignment="1">
      <alignment horizontal="left" vertical="center"/>
    </xf>
    <xf numFmtId="0" fontId="22" fillId="7" borderId="0" xfId="36" quotePrefix="1" applyFill="1" applyAlignment="1">
      <alignment horizontal="right" vertical="center"/>
    </xf>
    <xf numFmtId="0" fontId="22" fillId="7" borderId="0" xfId="25" applyFill="1" applyAlignment="1">
      <alignment vertical="center"/>
    </xf>
    <xf numFmtId="0" fontId="22" fillId="7" borderId="0" xfId="25" applyFill="1" applyAlignment="1">
      <alignment vertical="center" wrapText="1"/>
    </xf>
    <xf numFmtId="0" fontId="22" fillId="7" borderId="152" xfId="13" applyFont="1" applyFill="1" applyBorder="1" applyAlignment="1">
      <alignment horizontal="right" vertical="center"/>
    </xf>
    <xf numFmtId="0" fontId="22" fillId="7" borderId="150" xfId="36" applyFill="1" applyBorder="1" applyAlignment="1">
      <alignment vertical="center"/>
    </xf>
    <xf numFmtId="0" fontId="22" fillId="7" borderId="0" xfId="36" applyFill="1" applyAlignment="1">
      <alignment horizontal="right" vertical="center"/>
    </xf>
    <xf numFmtId="0" fontId="22" fillId="7" borderId="0" xfId="36" quotePrefix="1" applyFill="1" applyAlignment="1">
      <alignment vertical="center"/>
    </xf>
    <xf numFmtId="0" fontId="22" fillId="7" borderId="0" xfId="36" applyFill="1" applyAlignment="1">
      <alignment horizontal="left" vertical="center"/>
    </xf>
    <xf numFmtId="0" fontId="22" fillId="7" borderId="152" xfId="36" applyFill="1" applyBorder="1" applyAlignment="1">
      <alignment vertical="center"/>
    </xf>
    <xf numFmtId="0" fontId="22" fillId="7" borderId="0" xfId="25" applyFill="1" applyAlignment="1">
      <alignment horizontal="left" vertical="center"/>
    </xf>
    <xf numFmtId="0" fontId="22" fillId="7" borderId="0" xfId="25" applyFill="1" applyAlignment="1">
      <alignment horizontal="left" vertical="center" wrapText="1"/>
    </xf>
    <xf numFmtId="0" fontId="22" fillId="7" borderId="0" xfId="13" applyFont="1" applyFill="1" applyAlignment="1">
      <alignment horizontal="left" vertical="center" wrapText="1"/>
    </xf>
    <xf numFmtId="0" fontId="22" fillId="7" borderId="150" xfId="25" applyFill="1" applyBorder="1" applyAlignment="1">
      <alignment vertical="center" wrapText="1"/>
    </xf>
    <xf numFmtId="0" fontId="22" fillId="7" borderId="0" xfId="14" applyFont="1" applyFill="1" applyAlignment="1">
      <alignment horizontal="left" vertical="center"/>
    </xf>
    <xf numFmtId="0" fontId="22" fillId="7" borderId="0" xfId="36" quotePrefix="1" applyFill="1" applyAlignment="1">
      <alignment horizontal="right" vertical="top"/>
    </xf>
    <xf numFmtId="0" fontId="22" fillId="7" borderId="150" xfId="25" applyFill="1" applyBorder="1" applyAlignment="1">
      <alignment vertical="top" wrapText="1"/>
    </xf>
    <xf numFmtId="0" fontId="22" fillId="7" borderId="0" xfId="25" applyFill="1" applyAlignment="1">
      <alignment vertical="top" wrapText="1"/>
    </xf>
    <xf numFmtId="0" fontId="22" fillId="7" borderId="174" xfId="25" applyFill="1" applyBorder="1" applyAlignment="1">
      <alignment vertical="top" wrapText="1"/>
    </xf>
    <xf numFmtId="0" fontId="22" fillId="7" borderId="175" xfId="25" applyFill="1" applyBorder="1" applyAlignment="1">
      <alignment vertical="top" wrapText="1"/>
    </xf>
    <xf numFmtId="0" fontId="22" fillId="7" borderId="0" xfId="13" applyFont="1" applyFill="1" applyAlignment="1">
      <alignment horizontal="left" vertical="center" indent="4"/>
    </xf>
    <xf numFmtId="0" fontId="22" fillId="7" borderId="0" xfId="13" applyFont="1" applyFill="1" applyAlignment="1">
      <alignment vertical="center" wrapText="1"/>
    </xf>
    <xf numFmtId="0" fontId="22" fillId="7" borderId="174" xfId="36" applyFill="1" applyBorder="1"/>
    <xf numFmtId="0" fontId="22" fillId="7" borderId="144" xfId="36" applyFill="1" applyBorder="1"/>
    <xf numFmtId="0" fontId="61" fillId="7" borderId="145" xfId="36" applyFont="1" applyFill="1" applyBorder="1"/>
    <xf numFmtId="0" fontId="22" fillId="7" borderId="145" xfId="36" applyFill="1" applyBorder="1"/>
    <xf numFmtId="0" fontId="22" fillId="7" borderId="198" xfId="36" applyFill="1" applyBorder="1"/>
    <xf numFmtId="0" fontId="22" fillId="7" borderId="150" xfId="25" applyFill="1" applyBorder="1" applyAlignment="1">
      <alignment horizontal="left" vertical="center" indent="1"/>
    </xf>
    <xf numFmtId="0" fontId="60" fillId="7" borderId="0" xfId="13" applyFont="1" applyFill="1" applyAlignment="1">
      <alignment horizontal="right" vertical="center"/>
    </xf>
    <xf numFmtId="0" fontId="60" fillId="7" borderId="152" xfId="13" applyFont="1" applyFill="1" applyBorder="1" applyAlignment="1">
      <alignment horizontal="right" vertical="center"/>
    </xf>
    <xf numFmtId="0" fontId="83" fillId="7" borderId="150" xfId="25" applyFont="1" applyFill="1" applyBorder="1" applyAlignment="1">
      <alignment horizontal="left" vertical="top" indent="1"/>
    </xf>
    <xf numFmtId="0" fontId="23" fillId="7" borderId="0" xfId="25" applyFont="1" applyFill="1" applyAlignment="1">
      <alignment vertical="top"/>
    </xf>
    <xf numFmtId="0" fontId="59" fillId="7" borderId="0" xfId="36" applyFont="1" applyFill="1"/>
    <xf numFmtId="0" fontId="22" fillId="7" borderId="175" xfId="36" applyFill="1" applyBorder="1"/>
    <xf numFmtId="0" fontId="22" fillId="7" borderId="182" xfId="36" applyFill="1" applyBorder="1"/>
    <xf numFmtId="0" fontId="32" fillId="7" borderId="0" xfId="0" applyFont="1" applyFill="1" applyAlignment="1">
      <alignment horizontal="center"/>
    </xf>
    <xf numFmtId="0" fontId="22" fillId="7" borderId="0" xfId="29" applyFont="1" applyFill="1"/>
    <xf numFmtId="0" fontId="22" fillId="7" borderId="0" xfId="52" applyFont="1" applyFill="1"/>
    <xf numFmtId="0" fontId="110" fillId="7" borderId="0" xfId="0" applyFont="1" applyFill="1" applyAlignment="1">
      <alignment vertical="top"/>
    </xf>
    <xf numFmtId="0" fontId="29" fillId="7" borderId="164" xfId="13" applyFont="1" applyFill="1" applyBorder="1" applyAlignment="1">
      <alignment vertical="center"/>
    </xf>
    <xf numFmtId="0" fontId="29" fillId="7" borderId="165" xfId="13" applyFont="1" applyFill="1" applyBorder="1" applyAlignment="1">
      <alignment vertical="center"/>
    </xf>
    <xf numFmtId="0" fontId="29" fillId="7" borderId="166" xfId="13" applyFont="1" applyFill="1" applyBorder="1" applyAlignment="1">
      <alignment vertical="center"/>
    </xf>
    <xf numFmtId="0" fontId="29" fillId="7" borderId="0" xfId="0" applyFont="1" applyFill="1" applyAlignment="1">
      <alignment vertical="center" wrapText="1" shrinkToFit="1"/>
    </xf>
    <xf numFmtId="0" fontId="22" fillId="7" borderId="162" xfId="13" applyFont="1" applyFill="1" applyBorder="1" applyAlignment="1">
      <alignment horizontal="left" vertical="center" indent="3"/>
    </xf>
    <xf numFmtId="0" fontId="22" fillId="7" borderId="16" xfId="13" applyFont="1" applyFill="1" applyBorder="1" applyAlignment="1">
      <alignment horizontal="left" vertical="center" indent="3"/>
    </xf>
    <xf numFmtId="0" fontId="22" fillId="7" borderId="55" xfId="13" applyFont="1" applyFill="1" applyBorder="1" applyAlignment="1">
      <alignment horizontal="left" vertical="center"/>
    </xf>
    <xf numFmtId="0" fontId="0" fillId="7" borderId="162" xfId="13" applyFont="1" applyFill="1" applyBorder="1" applyAlignment="1">
      <alignment horizontal="left" vertical="center" indent="3"/>
    </xf>
    <xf numFmtId="0" fontId="22" fillId="7" borderId="150" xfId="13" applyFont="1" applyFill="1" applyBorder="1" applyAlignment="1">
      <alignment horizontal="left" vertical="center" indent="3"/>
    </xf>
    <xf numFmtId="0" fontId="22" fillId="7" borderId="0" xfId="13" applyFont="1" applyFill="1" applyAlignment="1">
      <alignment horizontal="left" vertical="center" indent="3"/>
    </xf>
    <xf numFmtId="0" fontId="22" fillId="7" borderId="78" xfId="13" applyFont="1" applyFill="1" applyBorder="1" applyAlignment="1">
      <alignment horizontal="left" vertical="center"/>
    </xf>
    <xf numFmtId="0" fontId="22" fillId="7" borderId="0" xfId="0" applyFont="1" applyFill="1" applyAlignment="1">
      <alignment wrapText="1"/>
    </xf>
    <xf numFmtId="0" fontId="32" fillId="7" borderId="0" xfId="11" quotePrefix="1" applyFont="1" applyFill="1"/>
    <xf numFmtId="0" fontId="37" fillId="7" borderId="0" xfId="11" quotePrefix="1" applyFont="1" applyFill="1" applyAlignment="1">
      <alignment horizontal="right" wrapText="1"/>
    </xf>
    <xf numFmtId="0" fontId="35" fillId="7" borderId="0" xfId="11" applyFont="1" applyFill="1" applyAlignment="1">
      <alignment wrapText="1"/>
    </xf>
    <xf numFmtId="0" fontId="37" fillId="7" borderId="0" xfId="11" applyFont="1" applyFill="1" applyAlignment="1">
      <alignment wrapText="1"/>
    </xf>
    <xf numFmtId="0" fontId="32" fillId="7" borderId="0" xfId="11" applyFont="1" applyFill="1" applyAlignment="1">
      <alignment wrapText="1"/>
    </xf>
    <xf numFmtId="0" fontId="22" fillId="7" borderId="162" xfId="13" applyFont="1" applyFill="1" applyBorder="1" applyAlignment="1">
      <alignment horizontal="left" vertical="center" indent="4"/>
    </xf>
    <xf numFmtId="0" fontId="22" fillId="7" borderId="16" xfId="13" applyFont="1" applyFill="1" applyBorder="1" applyAlignment="1">
      <alignment horizontal="left" vertical="center" indent="6"/>
    </xf>
    <xf numFmtId="0" fontId="22" fillId="7" borderId="150" xfId="13" applyFont="1" applyFill="1" applyBorder="1" applyAlignment="1">
      <alignment horizontal="left" vertical="center" indent="4"/>
    </xf>
    <xf numFmtId="0" fontId="22" fillId="7" borderId="0" xfId="13" applyFont="1" applyFill="1" applyAlignment="1">
      <alignment horizontal="left" vertical="center" indent="6"/>
    </xf>
    <xf numFmtId="0" fontId="0" fillId="7" borderId="162" xfId="13" applyFont="1" applyFill="1" applyBorder="1" applyAlignment="1">
      <alignment horizontal="left" vertical="center" indent="4"/>
    </xf>
    <xf numFmtId="0" fontId="35" fillId="7" borderId="0" xfId="11" quotePrefix="1" applyFont="1" applyFill="1" applyAlignment="1">
      <alignment horizontal="justify" wrapText="1"/>
    </xf>
    <xf numFmtId="0" fontId="32" fillId="7" borderId="174" xfId="13" applyFont="1" applyFill="1" applyBorder="1"/>
    <xf numFmtId="0" fontId="32" fillId="7" borderId="175" xfId="13" applyFont="1" applyFill="1" applyBorder="1"/>
    <xf numFmtId="0" fontId="32" fillId="7" borderId="182" xfId="13" applyFont="1" applyFill="1" applyBorder="1"/>
    <xf numFmtId="0" fontId="35" fillId="7" borderId="0" xfId="11" applyFont="1" applyFill="1" applyAlignment="1">
      <alignment horizontal="left" indent="2"/>
    </xf>
    <xf numFmtId="0" fontId="29" fillId="7" borderId="0" xfId="0" applyFont="1" applyFill="1" applyAlignment="1">
      <alignment horizontal="left" vertical="center"/>
    </xf>
    <xf numFmtId="0" fontId="37" fillId="7" borderId="0" xfId="13" applyFont="1" applyFill="1"/>
    <xf numFmtId="0" fontId="32" fillId="7" borderId="0" xfId="14" applyFont="1" applyFill="1" applyAlignment="1">
      <alignment horizontal="left"/>
    </xf>
    <xf numFmtId="0" fontId="32" fillId="7" borderId="0" xfId="14" applyFont="1" applyFill="1" applyAlignment="1">
      <alignment horizontal="right"/>
    </xf>
    <xf numFmtId="0" fontId="22" fillId="7" borderId="150" xfId="0" applyFont="1" applyFill="1" applyBorder="1" applyAlignment="1">
      <alignment horizontal="left"/>
    </xf>
    <xf numFmtId="0" fontId="32" fillId="7" borderId="150" xfId="14" applyFont="1" applyFill="1" applyBorder="1"/>
    <xf numFmtId="0" fontId="32" fillId="7" borderId="0" xfId="14" applyFont="1" applyFill="1"/>
    <xf numFmtId="0" fontId="48" fillId="7" borderId="0" xfId="14" applyFont="1" applyFill="1"/>
    <xf numFmtId="0" fontId="48" fillId="7" borderId="0" xfId="14" applyFont="1" applyFill="1" applyAlignment="1">
      <alignment horizontal="left"/>
    </xf>
    <xf numFmtId="0" fontId="48" fillId="7" borderId="0" xfId="14" applyFont="1" applyFill="1" applyAlignment="1">
      <alignment vertical="top"/>
    </xf>
    <xf numFmtId="0" fontId="48" fillId="7" borderId="0" xfId="14" applyFont="1" applyFill="1" applyAlignment="1">
      <alignment vertical="center"/>
    </xf>
    <xf numFmtId="0" fontId="22" fillId="7" borderId="0" xfId="0" quotePrefix="1" applyFont="1" applyFill="1" applyAlignment="1">
      <alignment horizontal="right"/>
    </xf>
    <xf numFmtId="0" fontId="0" fillId="7" borderId="0" xfId="14" applyFont="1" applyFill="1" applyAlignment="1">
      <alignment horizontal="right"/>
    </xf>
    <xf numFmtId="0" fontId="0" fillId="7" borderId="0" xfId="14" applyFont="1" applyFill="1" applyAlignment="1">
      <alignment horizontal="left"/>
    </xf>
    <xf numFmtId="0" fontId="22" fillId="7" borderId="0" xfId="13" applyFont="1" applyFill="1" applyAlignment="1">
      <alignment horizontal="left" vertical="center"/>
    </xf>
    <xf numFmtId="0" fontId="48" fillId="7" borderId="0" xfId="14" applyFont="1" applyFill="1" applyAlignment="1">
      <alignment horizontal="right"/>
    </xf>
    <xf numFmtId="0" fontId="0" fillId="7" borderId="0" xfId="14" applyFont="1" applyFill="1"/>
    <xf numFmtId="0" fontId="22" fillId="7" borderId="0" xfId="14" applyFont="1" applyFill="1"/>
    <xf numFmtId="0" fontId="29" fillId="7" borderId="0" xfId="0" applyFont="1" applyFill="1" applyAlignment="1">
      <alignment wrapText="1"/>
    </xf>
    <xf numFmtId="0" fontId="22" fillId="7" borderId="144" xfId="0" applyFont="1" applyFill="1" applyBorder="1"/>
    <xf numFmtId="0" fontId="22" fillId="7" borderId="145" xfId="0" applyFont="1" applyFill="1" applyBorder="1"/>
    <xf numFmtId="0" fontId="32" fillId="7" borderId="145" xfId="13" applyFont="1" applyFill="1" applyBorder="1" applyAlignment="1">
      <alignment vertical="center"/>
    </xf>
    <xf numFmtId="0" fontId="29" fillId="7" borderId="145" xfId="0" applyFont="1" applyFill="1" applyBorder="1" applyAlignment="1">
      <alignment wrapText="1"/>
    </xf>
    <xf numFmtId="0" fontId="32" fillId="7" borderId="145" xfId="13" applyFont="1" applyFill="1" applyBorder="1"/>
    <xf numFmtId="0" fontId="32" fillId="7" borderId="198" xfId="13" applyFont="1" applyFill="1" applyBorder="1"/>
    <xf numFmtId="0" fontId="22" fillId="7" borderId="150" xfId="0" applyFont="1" applyFill="1" applyBorder="1" applyAlignment="1">
      <alignment horizontal="left" vertical="center"/>
    </xf>
    <xf numFmtId="0" fontId="22" fillId="7" borderId="0" xfId="0" applyFont="1" applyFill="1" applyAlignment="1">
      <alignment horizontal="left" vertical="center"/>
    </xf>
    <xf numFmtId="0" fontId="0" fillId="7" borderId="0" xfId="14" applyFont="1" applyFill="1" applyAlignment="1">
      <alignment vertical="center"/>
    </xf>
    <xf numFmtId="0" fontId="22" fillId="7" borderId="0" xfId="14" applyFont="1" applyFill="1" applyAlignment="1">
      <alignment horizontal="left"/>
    </xf>
    <xf numFmtId="0" fontId="88" fillId="0" borderId="0" xfId="14" applyFont="1" applyProtection="1">
      <protection locked="0"/>
    </xf>
    <xf numFmtId="0" fontId="88" fillId="0" borderId="32" xfId="14" applyFont="1" applyBorder="1" applyAlignment="1" applyProtection="1">
      <alignment vertical="center"/>
      <protection locked="0"/>
    </xf>
    <xf numFmtId="0" fontId="88" fillId="0" borderId="60" xfId="14" applyFont="1" applyBorder="1" applyAlignment="1" applyProtection="1">
      <alignment vertical="center"/>
      <protection locked="0"/>
    </xf>
    <xf numFmtId="0" fontId="88" fillId="0" borderId="59" xfId="14" applyFont="1" applyBorder="1" applyAlignment="1" applyProtection="1">
      <alignment vertical="center"/>
      <protection locked="0"/>
    </xf>
    <xf numFmtId="0" fontId="88" fillId="0" borderId="177" xfId="14" applyFont="1" applyBorder="1" applyAlignment="1" applyProtection="1">
      <alignment vertical="center"/>
      <protection locked="0"/>
    </xf>
    <xf numFmtId="0" fontId="88" fillId="0" borderId="0" xfId="14" applyFont="1" applyAlignment="1" applyProtection="1">
      <alignment vertical="center"/>
      <protection locked="0"/>
    </xf>
    <xf numFmtId="0" fontId="88" fillId="0" borderId="96" xfId="14" applyFont="1" applyBorder="1" applyAlignment="1" applyProtection="1">
      <alignment vertical="center"/>
      <protection locked="0"/>
    </xf>
    <xf numFmtId="0" fontId="37" fillId="7" borderId="0" xfId="11" applyFont="1" applyFill="1"/>
    <xf numFmtId="0" fontId="35" fillId="7" borderId="0" xfId="11" applyFont="1" applyFill="1"/>
    <xf numFmtId="0" fontId="32" fillId="7" borderId="61" xfId="13" applyFont="1" applyFill="1" applyBorder="1" applyAlignment="1">
      <alignment vertical="center"/>
    </xf>
    <xf numFmtId="0" fontId="32" fillId="7" borderId="96" xfId="13" applyFont="1" applyFill="1" applyBorder="1" applyAlignment="1">
      <alignment vertical="center"/>
    </xf>
    <xf numFmtId="0" fontId="32" fillId="7" borderId="97" xfId="13" applyFont="1" applyFill="1" applyBorder="1" applyAlignment="1">
      <alignment vertical="center"/>
    </xf>
    <xf numFmtId="0" fontId="32" fillId="7" borderId="57" xfId="13" applyFont="1" applyFill="1" applyBorder="1" applyAlignment="1">
      <alignment vertical="center"/>
    </xf>
    <xf numFmtId="0" fontId="32" fillId="7" borderId="58" xfId="13" applyFont="1" applyFill="1" applyBorder="1" applyAlignment="1">
      <alignment vertical="center"/>
    </xf>
    <xf numFmtId="0" fontId="32" fillId="7" borderId="175" xfId="13" applyFont="1" applyFill="1" applyBorder="1" applyAlignment="1">
      <alignment vertical="center"/>
    </xf>
    <xf numFmtId="0" fontId="32" fillId="7" borderId="176" xfId="13" applyFont="1" applyFill="1" applyBorder="1" applyAlignment="1">
      <alignment vertical="center"/>
    </xf>
    <xf numFmtId="0" fontId="35" fillId="7" borderId="0" xfId="13" applyFont="1" applyFill="1"/>
    <xf numFmtId="0" fontId="34" fillId="7" borderId="177" xfId="13" applyFont="1" applyFill="1" applyBorder="1" applyAlignment="1">
      <alignment vertical="top" wrapText="1"/>
    </xf>
    <xf numFmtId="0" fontId="34" fillId="7" borderId="175" xfId="13" applyFont="1" applyFill="1" applyBorder="1" applyAlignment="1">
      <alignment vertical="top" wrapText="1"/>
    </xf>
    <xf numFmtId="0" fontId="34" fillId="7" borderId="176" xfId="13" applyFont="1" applyFill="1" applyBorder="1" applyAlignment="1">
      <alignment vertical="top" wrapText="1"/>
    </xf>
    <xf numFmtId="0" fontId="32" fillId="8" borderId="0" xfId="5" applyFont="1" applyFill="1" applyAlignment="1">
      <alignment vertical="center"/>
    </xf>
    <xf numFmtId="0" fontId="37" fillId="8" borderId="0" xfId="5" quotePrefix="1" applyFont="1" applyFill="1" applyAlignment="1">
      <alignment horizontal="right" vertical="center" wrapText="1"/>
    </xf>
    <xf numFmtId="0" fontId="32" fillId="7" borderId="0" xfId="5" applyFont="1" applyFill="1" applyAlignment="1">
      <alignment vertical="center"/>
    </xf>
    <xf numFmtId="0" fontId="22" fillId="7" borderId="0" xfId="5" applyFill="1" applyAlignment="1">
      <alignment vertical="center"/>
    </xf>
    <xf numFmtId="0" fontId="32" fillId="7" borderId="0" xfId="5" applyFont="1" applyFill="1" applyAlignment="1">
      <alignment horizontal="right" vertical="center"/>
    </xf>
    <xf numFmtId="0" fontId="37" fillId="8" borderId="0" xfId="5" applyFont="1" applyFill="1" applyAlignment="1">
      <alignment horizontal="right" vertical="center" wrapText="1"/>
    </xf>
    <xf numFmtId="0" fontId="37" fillId="7" borderId="0" xfId="5" applyFont="1" applyFill="1"/>
    <xf numFmtId="0" fontId="32" fillId="8" borderId="0" xfId="5" applyFont="1" applyFill="1" applyAlignment="1">
      <alignment horizontal="right"/>
    </xf>
    <xf numFmtId="0" fontId="37" fillId="7" borderId="0" xfId="5" quotePrefix="1" applyFont="1" applyFill="1" applyAlignment="1">
      <alignment horizontal="right"/>
    </xf>
    <xf numFmtId="0" fontId="32" fillId="7" borderId="0" xfId="5" applyFont="1" applyFill="1" applyAlignment="1">
      <alignment horizontal="right"/>
    </xf>
    <xf numFmtId="0" fontId="37" fillId="7" borderId="0" xfId="5" applyFont="1" applyFill="1" applyAlignment="1">
      <alignment horizontal="right"/>
    </xf>
    <xf numFmtId="0" fontId="35" fillId="7" borderId="0" xfId="5" applyFont="1" applyFill="1" applyAlignment="1">
      <alignment horizontal="left" wrapText="1"/>
    </xf>
    <xf numFmtId="0" fontId="94" fillId="7" borderId="0" xfId="5" applyFont="1" applyFill="1"/>
    <xf numFmtId="0" fontId="37" fillId="7" borderId="0" xfId="5" applyFont="1" applyFill="1" applyAlignment="1">
      <alignment vertical="center"/>
    </xf>
    <xf numFmtId="0" fontId="37" fillId="7" borderId="0" xfId="5" quotePrefix="1" applyFont="1" applyFill="1" applyAlignment="1">
      <alignment vertical="center"/>
    </xf>
    <xf numFmtId="0" fontId="33" fillId="7" borderId="0" xfId="5" applyFont="1" applyFill="1"/>
    <xf numFmtId="0" fontId="67" fillId="7" borderId="0" xfId="5" applyFont="1" applyFill="1" applyAlignment="1">
      <alignment vertical="center"/>
    </xf>
    <xf numFmtId="0" fontId="28" fillId="7" borderId="0" xfId="5" applyFont="1" applyFill="1"/>
    <xf numFmtId="0" fontId="22" fillId="7" borderId="0" xfId="5" applyFill="1" applyAlignment="1">
      <alignment vertical="top" wrapText="1"/>
    </xf>
    <xf numFmtId="0" fontId="23" fillId="7" borderId="0" xfId="5" applyFont="1" applyFill="1" applyAlignment="1">
      <alignment wrapText="1"/>
    </xf>
    <xf numFmtId="0" fontId="34" fillId="7" borderId="177" xfId="5" applyFont="1" applyFill="1" applyBorder="1" applyAlignment="1">
      <alignment vertical="center" wrapText="1"/>
    </xf>
    <xf numFmtId="0" fontId="34" fillId="7" borderId="175" xfId="5" applyFont="1" applyFill="1" applyBorder="1" applyAlignment="1">
      <alignment vertical="center" wrapText="1"/>
    </xf>
    <xf numFmtId="0" fontId="34" fillId="7" borderId="176" xfId="5" applyFont="1" applyFill="1" applyBorder="1" applyAlignment="1">
      <alignment vertical="center" wrapText="1"/>
    </xf>
    <xf numFmtId="0" fontId="37" fillId="7" borderId="0" xfId="5" quotePrefix="1" applyFont="1" applyFill="1" applyAlignment="1">
      <alignment horizontal="right" wrapText="1"/>
    </xf>
    <xf numFmtId="0" fontId="76" fillId="7" borderId="0" xfId="5" applyFont="1" applyFill="1"/>
    <xf numFmtId="0" fontId="37" fillId="7" borderId="0" xfId="5" applyFont="1" applyFill="1" applyAlignment="1">
      <alignment horizontal="right" wrapText="1"/>
    </xf>
    <xf numFmtId="0" fontId="37" fillId="7" borderId="0" xfId="5" applyFont="1" applyFill="1" applyAlignment="1">
      <alignment horizontal="right" vertical="top"/>
    </xf>
    <xf numFmtId="0" fontId="32" fillId="7" borderId="0" xfId="5" applyFont="1" applyFill="1" applyAlignment="1">
      <alignment vertical="top"/>
    </xf>
    <xf numFmtId="0" fontId="37" fillId="7" borderId="0" xfId="5" quotePrefix="1" applyFont="1" applyFill="1" applyAlignment="1">
      <alignment horizontal="right" vertical="top"/>
    </xf>
    <xf numFmtId="0" fontId="76" fillId="7" borderId="0" xfId="5" applyFont="1" applyFill="1" applyAlignment="1">
      <alignment vertical="top"/>
    </xf>
    <xf numFmtId="0" fontId="37" fillId="8" borderId="0" xfId="5" applyFont="1" applyFill="1"/>
    <xf numFmtId="0" fontId="95" fillId="7" borderId="0" xfId="5" applyFont="1" applyFill="1" applyAlignment="1">
      <alignment vertical="top"/>
    </xf>
    <xf numFmtId="0" fontId="97" fillId="7" borderId="0" xfId="5" quotePrefix="1" applyFont="1" applyFill="1" applyAlignment="1">
      <alignment horizontal="left" vertical="top"/>
    </xf>
    <xf numFmtId="0" fontId="100" fillId="7" borderId="0" xfId="5" applyFont="1" applyFill="1" applyAlignment="1">
      <alignment vertical="top"/>
    </xf>
    <xf numFmtId="0" fontId="29" fillId="7" borderId="0" xfId="0" applyFont="1" applyFill="1" applyAlignment="1">
      <alignment horizontal="left"/>
    </xf>
    <xf numFmtId="0" fontId="29" fillId="7" borderId="0" xfId="0" applyFont="1" applyFill="1" applyAlignment="1">
      <alignment horizontal="justify" vertical="center"/>
    </xf>
    <xf numFmtId="0" fontId="26" fillId="7" borderId="0" xfId="0" applyFont="1" applyFill="1"/>
    <xf numFmtId="0" fontId="29" fillId="7" borderId="144" xfId="0" applyFont="1" applyFill="1" applyBorder="1"/>
    <xf numFmtId="0" fontId="29" fillId="7" borderId="145" xfId="0" applyFont="1" applyFill="1" applyBorder="1" applyAlignment="1">
      <alignment vertical="center"/>
    </xf>
    <xf numFmtId="0" fontId="29" fillId="7" borderId="198" xfId="0" applyFont="1" applyFill="1" applyBorder="1"/>
    <xf numFmtId="0" fontId="29" fillId="7" borderId="150" xfId="0" applyFont="1" applyFill="1" applyBorder="1"/>
    <xf numFmtId="0" fontId="22" fillId="7" borderId="0" xfId="0" quotePrefix="1" applyFont="1" applyFill="1" applyAlignment="1">
      <alignment horizontal="right" vertical="center"/>
    </xf>
    <xf numFmtId="0" fontId="29" fillId="7" borderId="152" xfId="0" applyFont="1" applyFill="1" applyBorder="1"/>
    <xf numFmtId="0" fontId="47" fillId="7" borderId="0" xfId="13" applyFont="1" applyFill="1" applyAlignment="1">
      <alignment horizontal="right"/>
    </xf>
    <xf numFmtId="0" fontId="22" fillId="7" borderId="0" xfId="0" applyFont="1" applyFill="1" applyAlignment="1">
      <alignment horizontal="right"/>
    </xf>
    <xf numFmtId="0" fontId="37" fillId="7" borderId="0" xfId="11" quotePrefix="1" applyFont="1" applyFill="1" applyAlignment="1">
      <alignment vertical="top"/>
    </xf>
    <xf numFmtId="0" fontId="29" fillId="7" borderId="175" xfId="0" applyFont="1" applyFill="1" applyBorder="1" applyAlignment="1">
      <alignment vertical="top" wrapText="1"/>
    </xf>
    <xf numFmtId="0" fontId="47" fillId="7" borderId="175" xfId="13" applyFont="1" applyFill="1" applyBorder="1" applyAlignment="1">
      <alignment horizontal="right" vertical="center"/>
    </xf>
    <xf numFmtId="0" fontId="37" fillId="7" borderId="0" xfId="11" applyFont="1" applyFill="1" applyAlignment="1">
      <alignment horizontal="left" vertical="top" wrapText="1"/>
    </xf>
    <xf numFmtId="0" fontId="37" fillId="7" borderId="0" xfId="11" quotePrefix="1" applyFont="1" applyFill="1" applyAlignment="1">
      <alignment horizontal="right" vertical="center"/>
    </xf>
    <xf numFmtId="0" fontId="37" fillId="7" borderId="0" xfId="11" applyFont="1" applyFill="1" applyAlignment="1">
      <alignment horizontal="justify" vertical="center"/>
    </xf>
    <xf numFmtId="0" fontId="26" fillId="7" borderId="0" xfId="15" applyFont="1" applyFill="1" applyAlignment="1">
      <alignment horizontal="center"/>
    </xf>
    <xf numFmtId="0" fontId="28" fillId="7" borderId="0" xfId="0" applyFont="1" applyFill="1" applyAlignment="1">
      <alignment vertical="top"/>
    </xf>
    <xf numFmtId="0" fontId="77" fillId="7" borderId="0" xfId="0" applyFont="1" applyFill="1" applyAlignment="1">
      <alignment vertical="top"/>
    </xf>
    <xf numFmtId="0" fontId="112" fillId="0" borderId="0" xfId="13" applyFont="1" applyAlignment="1" applyProtection="1">
      <alignment horizontal="right" vertical="center"/>
      <protection locked="0"/>
    </xf>
    <xf numFmtId="0" fontId="88" fillId="0" borderId="0" xfId="13" applyFont="1" applyAlignment="1" applyProtection="1">
      <alignment horizontal="right"/>
      <protection locked="0"/>
    </xf>
    <xf numFmtId="0" fontId="110" fillId="7" borderId="0" xfId="0" applyFont="1" applyFill="1" applyAlignment="1">
      <alignment horizontal="left" vertical="center"/>
    </xf>
    <xf numFmtId="0" fontId="35" fillId="7" borderId="174" xfId="23" applyFont="1" applyFill="1" applyBorder="1" applyAlignment="1">
      <alignment vertical="center"/>
    </xf>
    <xf numFmtId="0" fontId="35" fillId="7" borderId="175" xfId="23" applyFont="1" applyFill="1" applyBorder="1" applyAlignment="1">
      <alignment vertical="center"/>
    </xf>
    <xf numFmtId="0" fontId="22" fillId="7" borderId="175" xfId="23" applyFill="1" applyBorder="1" applyAlignment="1">
      <alignment vertical="center" wrapText="1"/>
    </xf>
    <xf numFmtId="0" fontId="33" fillId="7" borderId="0" xfId="11" applyFill="1" applyAlignment="1">
      <alignment horizontal="justify"/>
    </xf>
    <xf numFmtId="0" fontId="33" fillId="7" borderId="0" xfId="11" applyFill="1" applyAlignment="1">
      <alignment vertical="center" wrapText="1"/>
    </xf>
    <xf numFmtId="0" fontId="35" fillId="7" borderId="0" xfId="11" applyFont="1" applyFill="1" applyAlignment="1">
      <alignment vertical="top"/>
    </xf>
    <xf numFmtId="0" fontId="37" fillId="7" borderId="0" xfId="11" applyFont="1" applyFill="1" applyAlignment="1">
      <alignment vertical="top"/>
    </xf>
    <xf numFmtId="0" fontId="42" fillId="7" borderId="0" xfId="23" applyFont="1" applyFill="1" applyAlignment="1">
      <alignment vertical="center" textRotation="180" wrapText="1"/>
    </xf>
    <xf numFmtId="0" fontId="37" fillId="7" borderId="0" xfId="11" applyFont="1" applyFill="1" applyAlignment="1">
      <alignment horizontal="right" vertical="top"/>
    </xf>
    <xf numFmtId="0" fontId="37" fillId="7" borderId="0" xfId="23" applyFont="1" applyFill="1" applyAlignment="1">
      <alignment vertical="center" textRotation="180" wrapText="1"/>
    </xf>
    <xf numFmtId="0" fontId="38" fillId="7" borderId="0" xfId="11" applyFont="1" applyFill="1" applyAlignment="1">
      <alignment vertical="top"/>
    </xf>
    <xf numFmtId="0" fontId="37" fillId="7" borderId="0" xfId="11" quotePrefix="1" applyFont="1" applyFill="1"/>
    <xf numFmtId="0" fontId="38" fillId="7" borderId="0" xfId="11" applyFont="1" applyFill="1" applyAlignment="1">
      <alignment horizontal="justify" vertical="center"/>
    </xf>
    <xf numFmtId="0" fontId="109" fillId="7" borderId="0" xfId="0" applyFont="1" applyFill="1"/>
    <xf numFmtId="0" fontId="32" fillId="7" borderId="0" xfId="23" applyFont="1" applyFill="1" applyAlignment="1">
      <alignment vertical="center" wrapText="1"/>
    </xf>
    <xf numFmtId="0" fontId="49" fillId="7" borderId="0" xfId="13" applyFont="1" applyFill="1" applyAlignment="1">
      <alignment horizontal="right" vertical="center"/>
    </xf>
    <xf numFmtId="0" fontId="32" fillId="7" borderId="152" xfId="13" applyFont="1" applyFill="1" applyBorder="1" applyAlignment="1">
      <alignment vertical="center"/>
    </xf>
    <xf numFmtId="0" fontId="32" fillId="7" borderId="150" xfId="13" applyFont="1" applyFill="1" applyBorder="1" applyAlignment="1">
      <alignment vertical="center"/>
    </xf>
    <xf numFmtId="0" fontId="35" fillId="7" borderId="0" xfId="13" applyFont="1" applyFill="1" applyAlignment="1">
      <alignment vertical="center" wrapText="1"/>
    </xf>
    <xf numFmtId="0" fontId="49" fillId="7" borderId="174" xfId="13" applyFont="1" applyFill="1" applyBorder="1" applyAlignment="1">
      <alignment horizontal="right" vertical="center"/>
    </xf>
    <xf numFmtId="0" fontId="22" fillId="7" borderId="176" xfId="13" applyFont="1" applyFill="1" applyBorder="1" applyAlignment="1">
      <alignment vertical="center" wrapText="1"/>
    </xf>
    <xf numFmtId="0" fontId="22" fillId="7" borderId="175" xfId="23" applyFill="1" applyBorder="1" applyAlignment="1">
      <alignment vertical="center"/>
    </xf>
    <xf numFmtId="0" fontId="22" fillId="7" borderId="182" xfId="23" applyFill="1" applyBorder="1" applyAlignment="1">
      <alignment vertical="center" wrapText="1"/>
    </xf>
    <xf numFmtId="0" fontId="49" fillId="7" borderId="0" xfId="13" applyFont="1" applyFill="1" applyAlignment="1">
      <alignment vertical="center"/>
    </xf>
    <xf numFmtId="0" fontId="32" fillId="7" borderId="0" xfId="13" applyFont="1" applyFill="1" applyAlignment="1">
      <alignment horizontal="center" vertical="center"/>
    </xf>
    <xf numFmtId="0" fontId="22" fillId="7" borderId="0" xfId="23" applyFill="1" applyAlignment="1">
      <alignment vertical="center" wrapText="1"/>
    </xf>
    <xf numFmtId="0" fontId="32" fillId="7" borderId="0" xfId="13" applyFont="1" applyFill="1" applyAlignment="1">
      <alignment vertical="top"/>
    </xf>
    <xf numFmtId="0" fontId="32" fillId="7" borderId="0" xfId="13" applyFont="1" applyFill="1" applyAlignment="1">
      <alignment vertical="center" wrapText="1"/>
    </xf>
    <xf numFmtId="0" fontId="22" fillId="7" borderId="61" xfId="13" applyFont="1" applyFill="1" applyBorder="1" applyAlignment="1">
      <alignment vertical="center" wrapText="1"/>
    </xf>
    <xf numFmtId="0" fontId="49" fillId="7" borderId="150" xfId="13" applyFont="1" applyFill="1" applyBorder="1" applyAlignment="1">
      <alignment horizontal="right" vertical="center"/>
    </xf>
    <xf numFmtId="0" fontId="32" fillId="7" borderId="0" xfId="13" applyFont="1" applyFill="1" applyAlignment="1">
      <alignment horizontal="left" vertical="center" indent="1"/>
    </xf>
    <xf numFmtId="0" fontId="49" fillId="7" borderId="158" xfId="13" applyFont="1" applyFill="1" applyBorder="1" applyAlignment="1">
      <alignment horizontal="right" vertical="center"/>
    </xf>
    <xf numFmtId="0" fontId="22" fillId="7" borderId="6" xfId="13" applyFont="1" applyFill="1" applyBorder="1" applyAlignment="1">
      <alignment vertical="center"/>
    </xf>
    <xf numFmtId="0" fontId="22" fillId="7" borderId="6" xfId="0" applyFont="1" applyFill="1" applyBorder="1" applyAlignment="1">
      <alignment vertical="center"/>
    </xf>
    <xf numFmtId="0" fontId="22" fillId="7" borderId="6" xfId="23" applyFill="1" applyBorder="1" applyAlignment="1">
      <alignment vertical="center"/>
    </xf>
    <xf numFmtId="0" fontId="32" fillId="7" borderId="6" xfId="13" applyFont="1" applyFill="1" applyBorder="1" applyAlignment="1">
      <alignment vertical="center"/>
    </xf>
    <xf numFmtId="0" fontId="22" fillId="7" borderId="54" xfId="23" applyFill="1" applyBorder="1" applyAlignment="1">
      <alignment vertical="center"/>
    </xf>
    <xf numFmtId="0" fontId="22" fillId="7" borderId="16" xfId="13" applyFont="1" applyFill="1" applyBorder="1" applyAlignment="1">
      <alignment vertical="center"/>
    </xf>
    <xf numFmtId="0" fontId="29" fillId="7" borderId="16" xfId="23" applyFont="1" applyFill="1" applyBorder="1" applyAlignment="1">
      <alignment horizontal="left" vertical="center"/>
    </xf>
    <xf numFmtId="0" fontId="22" fillId="7" borderId="16" xfId="23" applyFill="1" applyBorder="1" applyAlignment="1">
      <alignment vertical="center"/>
    </xf>
    <xf numFmtId="0" fontId="22" fillId="7" borderId="55" xfId="23" applyFill="1" applyBorder="1" applyAlignment="1">
      <alignment vertical="center"/>
    </xf>
    <xf numFmtId="0" fontId="35" fillId="7" borderId="16" xfId="23" applyFont="1" applyFill="1" applyBorder="1" applyAlignment="1">
      <alignment vertical="center"/>
    </xf>
    <xf numFmtId="0" fontId="35" fillId="7" borderId="55" xfId="23" applyFont="1" applyFill="1" applyBorder="1" applyAlignment="1">
      <alignment vertical="center"/>
    </xf>
    <xf numFmtId="0" fontId="32" fillId="7" borderId="16" xfId="13" applyFont="1" applyFill="1" applyBorder="1" applyAlignment="1">
      <alignment vertical="center"/>
    </xf>
    <xf numFmtId="0" fontId="22" fillId="7" borderId="5" xfId="13" applyFont="1" applyFill="1" applyBorder="1" applyAlignment="1">
      <alignment vertical="center"/>
    </xf>
    <xf numFmtId="0" fontId="22" fillId="7" borderId="5" xfId="13" applyFont="1" applyFill="1" applyBorder="1" applyAlignment="1">
      <alignment vertical="center" wrapText="1"/>
    </xf>
    <xf numFmtId="0" fontId="22" fillId="7" borderId="65" xfId="13" applyFont="1" applyFill="1" applyBorder="1" applyAlignment="1">
      <alignment vertical="center" wrapText="1"/>
    </xf>
    <xf numFmtId="0" fontId="35" fillId="7" borderId="0" xfId="13" applyFont="1" applyFill="1" applyAlignment="1">
      <alignment vertical="top"/>
    </xf>
    <xf numFmtId="0" fontId="35" fillId="7" borderId="0" xfId="13" applyFont="1" applyFill="1" applyAlignment="1">
      <alignment vertical="top" wrapText="1"/>
    </xf>
    <xf numFmtId="0" fontId="29" fillId="7" borderId="0" xfId="23" applyFont="1" applyFill="1" applyAlignment="1">
      <alignment wrapText="1"/>
    </xf>
    <xf numFmtId="0" fontId="49" fillId="7" borderId="0" xfId="13" applyFont="1" applyFill="1" applyAlignment="1">
      <alignment horizontal="right" vertical="top"/>
    </xf>
    <xf numFmtId="0" fontId="35" fillId="7" borderId="0" xfId="23" applyFont="1" applyFill="1" applyAlignment="1">
      <alignment vertical="center"/>
    </xf>
    <xf numFmtId="0" fontId="35" fillId="7" borderId="0" xfId="13" applyFont="1" applyFill="1" applyAlignment="1">
      <alignment vertical="center"/>
    </xf>
    <xf numFmtId="0" fontId="29" fillId="7" borderId="145" xfId="23" applyFont="1" applyFill="1" applyBorder="1"/>
    <xf numFmtId="0" fontId="29" fillId="7" borderId="145" xfId="23" applyFont="1" applyFill="1" applyBorder="1" applyAlignment="1">
      <alignment wrapText="1"/>
    </xf>
    <xf numFmtId="0" fontId="88" fillId="0" borderId="0" xfId="13" applyFont="1" applyAlignment="1" applyProtection="1">
      <alignment horizontal="right" vertical="top"/>
      <protection locked="0"/>
    </xf>
    <xf numFmtId="0" fontId="88" fillId="0" borderId="158" xfId="13" applyFont="1" applyBorder="1" applyAlignment="1" applyProtection="1">
      <alignment horizontal="right" vertical="center"/>
      <protection locked="0"/>
    </xf>
    <xf numFmtId="0" fontId="88" fillId="0" borderId="162" xfId="13" applyFont="1" applyBorder="1" applyAlignment="1" applyProtection="1">
      <alignment horizontal="right" vertical="center"/>
      <protection locked="0"/>
    </xf>
    <xf numFmtId="0" fontId="88" fillId="0" borderId="157" xfId="13" applyFont="1" applyBorder="1" applyAlignment="1" applyProtection="1">
      <alignment horizontal="right" vertical="top"/>
      <protection locked="0"/>
    </xf>
    <xf numFmtId="0" fontId="88" fillId="0" borderId="157" xfId="13" applyFont="1" applyBorder="1" applyAlignment="1" applyProtection="1">
      <alignment horizontal="right" vertical="center"/>
      <protection locked="0"/>
    </xf>
    <xf numFmtId="0" fontId="110" fillId="7" borderId="0" xfId="0" applyFont="1" applyFill="1"/>
    <xf numFmtId="0" fontId="110" fillId="7" borderId="0" xfId="13" applyFont="1" applyFill="1" applyAlignment="1">
      <alignment vertical="top"/>
    </xf>
    <xf numFmtId="0" fontId="38" fillId="7" borderId="0" xfId="11" applyFont="1" applyFill="1" applyAlignment="1">
      <alignment horizontal="justify" vertical="top"/>
    </xf>
    <xf numFmtId="0" fontId="35" fillId="7" borderId="0" xfId="11" applyFont="1" applyFill="1" applyAlignment="1">
      <alignment horizontal="justify"/>
    </xf>
    <xf numFmtId="0" fontId="32" fillId="7" borderId="0" xfId="11" applyFont="1" applyFill="1" applyAlignment="1">
      <alignment horizontal="justify"/>
    </xf>
    <xf numFmtId="0" fontId="32" fillId="7" borderId="0" xfId="11" applyFont="1" applyFill="1" applyAlignment="1">
      <alignment horizontal="justify" vertical="center"/>
    </xf>
    <xf numFmtId="0" fontId="22" fillId="7" borderId="0" xfId="9" applyFill="1"/>
    <xf numFmtId="0" fontId="22" fillId="7" borderId="0" xfId="43" applyFont="1" applyFill="1"/>
    <xf numFmtId="0" fontId="22" fillId="7" borderId="0" xfId="81" applyFont="1" applyFill="1"/>
    <xf numFmtId="0" fontId="29" fillId="7" borderId="144" xfId="23" applyFont="1" applyFill="1" applyBorder="1"/>
    <xf numFmtId="0" fontId="22" fillId="7" borderId="150" xfId="43" applyFont="1" applyFill="1" applyBorder="1"/>
    <xf numFmtId="0" fontId="26" fillId="7" borderId="0" xfId="13" applyFont="1" applyFill="1" applyAlignment="1">
      <alignment horizontal="right"/>
    </xf>
    <xf numFmtId="0" fontId="29" fillId="7" borderId="0" xfId="23" applyFont="1" applyFill="1" applyAlignment="1">
      <alignment horizontal="right"/>
    </xf>
    <xf numFmtId="0" fontId="26" fillId="7" borderId="0" xfId="23" quotePrefix="1" applyFont="1" applyFill="1" applyAlignment="1">
      <alignment horizontal="left" vertical="center" indent="1"/>
    </xf>
    <xf numFmtId="0" fontId="29" fillId="7" borderId="0" xfId="23" applyFont="1" applyFill="1" applyAlignment="1">
      <alignment horizontal="left" vertical="center" indent="1"/>
    </xf>
    <xf numFmtId="0" fontId="29" fillId="7" borderId="0" xfId="43" applyFont="1" applyFill="1" applyAlignment="1">
      <alignment horizontal="right"/>
    </xf>
    <xf numFmtId="0" fontId="22" fillId="7" borderId="174" xfId="43" applyFont="1" applyFill="1" applyBorder="1"/>
    <xf numFmtId="0" fontId="29" fillId="7" borderId="175" xfId="23" applyFont="1" applyFill="1" applyBorder="1" applyAlignment="1">
      <alignment horizontal="left" vertical="center" indent="1"/>
    </xf>
    <xf numFmtId="0" fontId="22" fillId="7" borderId="175" xfId="43" applyFont="1" applyFill="1" applyBorder="1"/>
    <xf numFmtId="0" fontId="29" fillId="7" borderId="0" xfId="13" applyFont="1" applyFill="1"/>
    <xf numFmtId="0" fontId="29" fillId="7" borderId="0" xfId="13" applyFont="1" applyFill="1" applyAlignment="1">
      <alignment horizontal="left" vertical="center" wrapText="1"/>
    </xf>
    <xf numFmtId="0" fontId="68" fillId="7" borderId="0" xfId="13" applyFont="1" applyFill="1" applyAlignment="1">
      <alignment horizontal="center" vertical="center"/>
    </xf>
    <xf numFmtId="0" fontId="35" fillId="7" borderId="0" xfId="11" quotePrefix="1" applyFont="1" applyFill="1"/>
    <xf numFmtId="0" fontId="26" fillId="7" borderId="0" xfId="9" applyFont="1" applyFill="1"/>
    <xf numFmtId="0" fontId="22" fillId="7" borderId="158" xfId="13" applyFont="1" applyFill="1" applyBorder="1" applyAlignment="1">
      <alignment horizontal="left" vertical="center" indent="3"/>
    </xf>
    <xf numFmtId="0" fontId="22" fillId="7" borderId="54" xfId="13" applyFont="1" applyFill="1" applyBorder="1" applyAlignment="1">
      <alignment vertical="center" wrapText="1"/>
    </xf>
    <xf numFmtId="0" fontId="22" fillId="7" borderId="55" xfId="13" applyFont="1" applyFill="1" applyBorder="1" applyAlignment="1">
      <alignment vertical="center" wrapText="1"/>
    </xf>
    <xf numFmtId="0" fontId="22" fillId="7" borderId="43" xfId="13" applyFont="1" applyFill="1" applyBorder="1" applyAlignment="1">
      <alignment vertical="center" wrapText="1"/>
    </xf>
    <xf numFmtId="0" fontId="22" fillId="7" borderId="158" xfId="13" applyFont="1" applyFill="1" applyBorder="1" applyAlignment="1">
      <alignment horizontal="left" vertical="center" indent="4"/>
    </xf>
    <xf numFmtId="0" fontId="22" fillId="7" borderId="6" xfId="13" applyFont="1" applyFill="1" applyBorder="1" applyAlignment="1">
      <alignment vertical="center" wrapText="1"/>
    </xf>
    <xf numFmtId="0" fontId="22" fillId="7" borderId="6" xfId="13" applyFont="1" applyFill="1" applyBorder="1" applyAlignment="1">
      <alignment horizontal="left" vertical="center" indent="3"/>
    </xf>
    <xf numFmtId="0" fontId="22" fillId="7" borderId="54" xfId="13" applyFont="1" applyFill="1" applyBorder="1" applyAlignment="1">
      <alignment horizontal="left" vertical="center" indent="3"/>
    </xf>
    <xf numFmtId="0" fontId="22" fillId="7" borderId="174" xfId="13" applyFont="1" applyFill="1" applyBorder="1" applyAlignment="1">
      <alignment horizontal="left" vertical="center" indent="4"/>
    </xf>
    <xf numFmtId="0" fontId="22" fillId="7" borderId="208" xfId="13" applyFont="1" applyFill="1" applyBorder="1" applyAlignment="1">
      <alignment vertical="center" wrapText="1"/>
    </xf>
    <xf numFmtId="0" fontId="22" fillId="7" borderId="176" xfId="13" applyFont="1" applyFill="1" applyBorder="1" applyAlignment="1">
      <alignment vertical="center"/>
    </xf>
    <xf numFmtId="0" fontId="22" fillId="7" borderId="174" xfId="29" applyFont="1" applyFill="1" applyBorder="1"/>
    <xf numFmtId="0" fontId="47" fillId="7" borderId="175" xfId="13" applyFont="1" applyFill="1" applyBorder="1" applyAlignment="1">
      <alignment vertical="center"/>
    </xf>
    <xf numFmtId="0" fontId="22" fillId="7" borderId="150" xfId="29" applyFont="1" applyFill="1" applyBorder="1"/>
    <xf numFmtId="0" fontId="22" fillId="7" borderId="0" xfId="25" applyFill="1" applyAlignment="1">
      <alignment horizontal="left"/>
    </xf>
    <xf numFmtId="0" fontId="22" fillId="7" borderId="0" xfId="25" applyFill="1" applyAlignment="1">
      <alignment horizontal="left" wrapText="1"/>
    </xf>
    <xf numFmtId="0" fontId="59" fillId="7" borderId="0" xfId="13" applyFont="1" applyFill="1" applyAlignment="1">
      <alignment horizontal="left" wrapText="1"/>
    </xf>
    <xf numFmtId="0" fontId="22" fillId="7" borderId="152" xfId="29" applyFont="1" applyFill="1" applyBorder="1"/>
    <xf numFmtId="0" fontId="22" fillId="7" borderId="174" xfId="25" applyFill="1" applyBorder="1" applyAlignment="1">
      <alignment horizontal="left" indent="1"/>
    </xf>
    <xf numFmtId="0" fontId="22" fillId="7" borderId="175" xfId="25" applyFill="1" applyBorder="1" applyAlignment="1">
      <alignment vertical="center"/>
    </xf>
    <xf numFmtId="0" fontId="22" fillId="7" borderId="175" xfId="29" applyFont="1" applyFill="1" applyBorder="1" applyAlignment="1">
      <alignment vertical="center"/>
    </xf>
    <xf numFmtId="0" fontId="22" fillId="7" borderId="176" xfId="29" applyFont="1" applyFill="1" applyBorder="1" applyAlignment="1">
      <alignment vertical="center"/>
    </xf>
    <xf numFmtId="0" fontId="47" fillId="7" borderId="152" xfId="13" applyFont="1" applyFill="1" applyBorder="1" applyAlignment="1">
      <alignment horizontal="right"/>
    </xf>
    <xf numFmtId="0" fontId="22" fillId="7" borderId="0" xfId="25" applyFill="1" applyAlignment="1">
      <alignment wrapText="1"/>
    </xf>
    <xf numFmtId="0" fontId="59" fillId="7" borderId="0" xfId="13" applyFont="1" applyFill="1" applyAlignment="1">
      <alignment horizontal="left" vertical="center" wrapText="1"/>
    </xf>
    <xf numFmtId="0" fontId="22" fillId="7" borderId="144" xfId="29" applyFont="1" applyFill="1" applyBorder="1"/>
    <xf numFmtId="0" fontId="29" fillId="7" borderId="145" xfId="25" applyFont="1" applyFill="1" applyBorder="1" applyAlignment="1">
      <alignment vertical="center"/>
    </xf>
    <xf numFmtId="0" fontId="50" fillId="7" borderId="145" xfId="13" applyFont="1" applyFill="1" applyBorder="1" applyAlignment="1">
      <alignment horizontal="left" vertical="center" wrapText="1"/>
    </xf>
    <xf numFmtId="0" fontId="47" fillId="7" borderId="198" xfId="13" applyFont="1" applyFill="1" applyBorder="1" applyAlignment="1">
      <alignment horizontal="right" vertical="center"/>
    </xf>
    <xf numFmtId="0" fontId="72" fillId="7" borderId="0" xfId="13" applyFont="1" applyFill="1" applyAlignment="1">
      <alignment horizontal="right" vertical="center"/>
    </xf>
    <xf numFmtId="0" fontId="72" fillId="7" borderId="0" xfId="13" applyFont="1" applyFill="1" applyAlignment="1">
      <alignment horizontal="left" vertical="center"/>
    </xf>
    <xf numFmtId="16" fontId="22" fillId="7" borderId="0" xfId="29" quotePrefix="1" applyNumberFormat="1" applyFont="1" applyFill="1"/>
    <xf numFmtId="0" fontId="22" fillId="7" borderId="175" xfId="29" applyFont="1" applyFill="1" applyBorder="1"/>
    <xf numFmtId="0" fontId="29" fillId="7" borderId="175" xfId="29" applyFont="1" applyFill="1" applyBorder="1" applyAlignment="1">
      <alignment horizontal="left" vertical="center"/>
    </xf>
    <xf numFmtId="0" fontId="29" fillId="7" borderId="175" xfId="29" applyFont="1" applyFill="1" applyBorder="1" applyAlignment="1">
      <alignment horizontal="left" vertical="center" wrapText="1"/>
    </xf>
    <xf numFmtId="0" fontId="60" fillId="7" borderId="175" xfId="13" applyFont="1" applyFill="1" applyBorder="1" applyAlignment="1">
      <alignment horizontal="center" vertical="center"/>
    </xf>
    <xf numFmtId="0" fontId="60" fillId="7" borderId="175" xfId="13" applyFont="1" applyFill="1" applyBorder="1" applyAlignment="1">
      <alignment horizontal="right" vertical="center"/>
    </xf>
    <xf numFmtId="0" fontId="61" fillId="7" borderId="0" xfId="29" applyFont="1" applyFill="1"/>
    <xf numFmtId="0" fontId="22" fillId="7" borderId="150" xfId="29" applyFont="1" applyFill="1" applyBorder="1" applyAlignment="1">
      <alignment horizontal="left" vertical="center"/>
    </xf>
    <xf numFmtId="0" fontId="22" fillId="7" borderId="0" xfId="29" applyFont="1" applyFill="1" applyAlignment="1">
      <alignment horizontal="left" vertical="center"/>
    </xf>
    <xf numFmtId="0" fontId="22" fillId="7" borderId="0" xfId="29" applyFont="1" applyFill="1" applyAlignment="1">
      <alignment horizontal="left" vertical="center" wrapText="1"/>
    </xf>
    <xf numFmtId="0" fontId="22" fillId="7" borderId="0" xfId="14" applyFont="1" applyFill="1" applyAlignment="1">
      <alignment vertical="center"/>
    </xf>
    <xf numFmtId="0" fontId="22" fillId="7" borderId="150" xfId="29" applyFont="1" applyFill="1" applyBorder="1" applyAlignment="1">
      <alignment horizontal="left" vertical="center" indent="2"/>
    </xf>
    <xf numFmtId="0" fontId="22" fillId="7" borderId="0" xfId="29" applyFont="1" applyFill="1" applyAlignment="1">
      <alignment horizontal="left" vertical="center" indent="2"/>
    </xf>
    <xf numFmtId="0" fontId="60" fillId="7" borderId="0" xfId="13" applyFont="1" applyFill="1" applyAlignment="1">
      <alignment horizontal="center" vertical="center"/>
    </xf>
    <xf numFmtId="0" fontId="22" fillId="7" borderId="150" xfId="29" applyFont="1" applyFill="1" applyBorder="1" applyAlignment="1">
      <alignment vertical="center"/>
    </xf>
    <xf numFmtId="0" fontId="29" fillId="7" borderId="0" xfId="29" applyFont="1" applyFill="1" applyAlignment="1">
      <alignment vertical="center"/>
    </xf>
    <xf numFmtId="0" fontId="29" fillId="7" borderId="0" xfId="29" applyFont="1" applyFill="1"/>
    <xf numFmtId="0" fontId="29" fillId="7" borderId="144" xfId="29" applyFont="1" applyFill="1" applyBorder="1"/>
    <xf numFmtId="0" fontId="29" fillId="7" borderId="145" xfId="29" applyFont="1" applyFill="1" applyBorder="1"/>
    <xf numFmtId="0" fontId="22" fillId="7" borderId="145" xfId="29" applyFont="1" applyFill="1" applyBorder="1"/>
    <xf numFmtId="0" fontId="22" fillId="7" borderId="198" xfId="29" applyFont="1" applyFill="1" applyBorder="1"/>
    <xf numFmtId="0" fontId="22" fillId="7" borderId="0" xfId="29" applyFont="1" applyFill="1" applyAlignment="1">
      <alignment vertical="center" wrapText="1"/>
    </xf>
    <xf numFmtId="0" fontId="22" fillId="7" borderId="0" xfId="29" applyFont="1" applyFill="1" applyAlignment="1">
      <alignment wrapText="1"/>
    </xf>
    <xf numFmtId="0" fontId="111" fillId="0" borderId="0" xfId="13" applyFont="1" applyAlignment="1" applyProtection="1">
      <alignment horizontal="right"/>
      <protection locked="0"/>
    </xf>
    <xf numFmtId="0" fontId="110" fillId="7" borderId="208" xfId="0" applyFont="1" applyFill="1" applyBorder="1" applyAlignment="1">
      <alignment vertical="top"/>
    </xf>
    <xf numFmtId="0" fontId="110" fillId="7" borderId="0" xfId="29" applyFont="1" applyFill="1" applyAlignment="1">
      <alignment vertical="top"/>
    </xf>
    <xf numFmtId="0" fontId="93" fillId="7" borderId="0" xfId="25" applyFont="1" applyFill="1"/>
    <xf numFmtId="0" fontId="93" fillId="7" borderId="0" xfId="25" applyFont="1" applyFill="1" applyAlignment="1">
      <alignment wrapText="1"/>
    </xf>
    <xf numFmtId="0" fontId="94" fillId="7" borderId="0" xfId="36" applyFont="1" applyFill="1"/>
    <xf numFmtId="0" fontId="26" fillId="7" borderId="0" xfId="13" applyFont="1" applyFill="1" applyAlignment="1">
      <alignment horizontal="left" vertical="center"/>
    </xf>
    <xf numFmtId="1" fontId="37" fillId="7" borderId="0" xfId="12" quotePrefix="1" applyNumberFormat="1" applyFont="1" applyFill="1" applyAlignment="1">
      <alignment horizontal="right" vertical="top"/>
    </xf>
    <xf numFmtId="0" fontId="37" fillId="7" borderId="0" xfId="11" applyFont="1" applyFill="1" applyAlignment="1">
      <alignment vertical="top" wrapText="1"/>
    </xf>
    <xf numFmtId="0" fontId="37" fillId="7" borderId="0" xfId="11" applyFont="1" applyFill="1" applyAlignment="1">
      <alignment vertical="center" wrapText="1"/>
    </xf>
    <xf numFmtId="0" fontId="29" fillId="7" borderId="0" xfId="13" applyFont="1" applyFill="1" applyAlignment="1">
      <alignment horizontal="center" vertical="center" wrapText="1"/>
    </xf>
    <xf numFmtId="0" fontId="22" fillId="7" borderId="0" xfId="25" applyFill="1" applyAlignment="1">
      <alignment horizontal="center" vertical="center" wrapText="1"/>
    </xf>
    <xf numFmtId="0" fontId="29" fillId="7" borderId="0" xfId="25" applyFont="1" applyFill="1" applyAlignment="1">
      <alignment horizontal="center" vertical="center" wrapText="1"/>
    </xf>
    <xf numFmtId="0" fontId="88" fillId="0" borderId="0" xfId="13" applyFont="1" applyAlignment="1" applyProtection="1">
      <alignment horizontal="center" vertical="center"/>
      <protection locked="0"/>
    </xf>
    <xf numFmtId="0" fontId="22" fillId="7" borderId="150" xfId="36" applyFill="1" applyBorder="1"/>
    <xf numFmtId="0" fontId="29" fillId="7" borderId="164" xfId="25" applyFont="1" applyFill="1" applyBorder="1" applyAlignment="1">
      <alignment vertical="center"/>
    </xf>
    <xf numFmtId="0" fontId="29" fillId="7" borderId="165" xfId="25" applyFont="1" applyFill="1" applyBorder="1" applyAlignment="1">
      <alignment vertical="center"/>
    </xf>
    <xf numFmtId="0" fontId="29" fillId="7" borderId="166" xfId="25" applyFont="1" applyFill="1" applyBorder="1" applyAlignment="1">
      <alignment vertical="center"/>
    </xf>
    <xf numFmtId="0" fontId="59" fillId="7" borderId="152" xfId="13" applyFont="1" applyFill="1" applyBorder="1" applyAlignment="1">
      <alignment horizontal="right"/>
    </xf>
    <xf numFmtId="0" fontId="32" fillId="7" borderId="6" xfId="0" applyFont="1" applyFill="1" applyBorder="1"/>
    <xf numFmtId="0" fontId="22" fillId="7" borderId="246" xfId="25" applyFill="1" applyBorder="1" applyAlignment="1">
      <alignment vertical="center"/>
    </xf>
    <xf numFmtId="0" fontId="22" fillId="7" borderId="205" xfId="25" applyFill="1" applyBorder="1" applyAlignment="1">
      <alignment vertical="center"/>
    </xf>
    <xf numFmtId="0" fontId="22" fillId="7" borderId="224" xfId="25" applyFill="1" applyBorder="1" applyAlignment="1">
      <alignment vertical="center"/>
    </xf>
    <xf numFmtId="0" fontId="22" fillId="7" borderId="162" xfId="25" applyFill="1" applyBorder="1" applyAlignment="1">
      <alignment vertical="center"/>
    </xf>
    <xf numFmtId="0" fontId="22" fillId="7" borderId="16" xfId="25" applyFill="1" applyBorder="1" applyAlignment="1">
      <alignment vertical="center"/>
    </xf>
    <xf numFmtId="0" fontId="22" fillId="7" borderId="55" xfId="25" applyFill="1" applyBorder="1" applyAlignment="1">
      <alignment vertical="center"/>
    </xf>
    <xf numFmtId="0" fontId="22" fillId="7" borderId="157" xfId="25" applyFill="1" applyBorder="1" applyAlignment="1">
      <alignment vertical="center"/>
    </xf>
    <xf numFmtId="0" fontId="22" fillId="7" borderId="5" xfId="25" applyFill="1" applyBorder="1" applyAlignment="1">
      <alignment vertical="center"/>
    </xf>
    <xf numFmtId="0" fontId="22" fillId="7" borderId="65" xfId="25" applyFill="1" applyBorder="1" applyAlignment="1">
      <alignment vertical="center"/>
    </xf>
    <xf numFmtId="0" fontId="29" fillId="7" borderId="0" xfId="25" applyFont="1" applyFill="1" applyAlignment="1">
      <alignment horizontal="left"/>
    </xf>
    <xf numFmtId="0" fontId="22" fillId="7" borderId="152" xfId="36" applyFill="1" applyBorder="1"/>
    <xf numFmtId="0" fontId="22" fillId="7" borderId="0" xfId="36" quotePrefix="1" applyFill="1" applyAlignment="1">
      <alignment horizontal="right"/>
    </xf>
    <xf numFmtId="0" fontId="29" fillId="7" borderId="0" xfId="25" applyFont="1" applyFill="1" applyAlignment="1">
      <alignment vertical="center" wrapText="1"/>
    </xf>
    <xf numFmtId="0" fontId="0" fillId="7" borderId="0" xfId="25" applyFont="1" applyFill="1" applyAlignment="1">
      <alignment horizontal="left"/>
    </xf>
    <xf numFmtId="0" fontId="22" fillId="7" borderId="266" xfId="25" applyFill="1" applyBorder="1" applyAlignment="1">
      <alignment vertical="center"/>
    </xf>
    <xf numFmtId="0" fontId="22" fillId="7" borderId="39" xfId="25" applyFill="1" applyBorder="1" applyAlignment="1">
      <alignment vertical="center"/>
    </xf>
    <xf numFmtId="0" fontId="22" fillId="7" borderId="43" xfId="25" applyFill="1" applyBorder="1" applyAlignment="1">
      <alignment vertical="center"/>
    </xf>
    <xf numFmtId="0" fontId="59" fillId="7" borderId="0" xfId="13" applyFont="1" applyFill="1" applyAlignment="1">
      <alignment horizontal="right"/>
    </xf>
    <xf numFmtId="0" fontId="88" fillId="0" borderId="0" xfId="13" applyFont="1" applyAlignment="1">
      <alignment horizontal="right"/>
    </xf>
    <xf numFmtId="0" fontId="22" fillId="0" borderId="0" xfId="13" applyFont="1" applyAlignment="1" applyProtection="1">
      <alignment horizontal="right" vertical="center"/>
      <protection locked="0"/>
    </xf>
    <xf numFmtId="0" fontId="22" fillId="7" borderId="0" xfId="25" applyFill="1" applyAlignment="1">
      <alignment horizontal="center" vertical="center"/>
    </xf>
    <xf numFmtId="0" fontId="22" fillId="7" borderId="152" xfId="25" applyFill="1" applyBorder="1" applyAlignment="1">
      <alignment vertical="center"/>
    </xf>
    <xf numFmtId="0" fontId="82" fillId="7" borderId="0" xfId="13" applyFont="1" applyFill="1" applyAlignment="1">
      <alignment horizontal="center" vertical="center"/>
    </xf>
    <xf numFmtId="1" fontId="37" fillId="7" borderId="0" xfId="12" quotePrefix="1" applyNumberFormat="1" applyFont="1" applyFill="1" applyAlignment="1">
      <alignment horizontal="right" vertical="center"/>
    </xf>
    <xf numFmtId="0" fontId="29" fillId="7" borderId="0" xfId="36" applyFont="1" applyFill="1" applyAlignment="1">
      <alignment vertical="center" wrapText="1"/>
    </xf>
    <xf numFmtId="0" fontId="22" fillId="7" borderId="152" xfId="25" applyFill="1" applyBorder="1" applyAlignment="1">
      <alignment vertical="center" wrapText="1"/>
    </xf>
    <xf numFmtId="0" fontId="22" fillId="7" borderId="0" xfId="25" applyFill="1" applyAlignment="1">
      <alignment horizontal="left" vertical="center" indent="1"/>
    </xf>
    <xf numFmtId="0" fontId="29" fillId="7" borderId="152" xfId="25" applyFont="1" applyFill="1" applyBorder="1" applyAlignment="1">
      <alignment vertical="center" wrapText="1"/>
    </xf>
    <xf numFmtId="0" fontId="29" fillId="7" borderId="150" xfId="36" applyFont="1" applyFill="1" applyBorder="1"/>
    <xf numFmtId="0" fontId="29" fillId="7" borderId="0" xfId="36" applyFont="1" applyFill="1"/>
    <xf numFmtId="0" fontId="81" fillId="7" borderId="0" xfId="13" applyFont="1" applyFill="1" applyAlignment="1">
      <alignment horizontal="right"/>
    </xf>
    <xf numFmtId="0" fontId="81" fillId="7" borderId="152" xfId="13" applyFont="1" applyFill="1" applyBorder="1" applyAlignment="1">
      <alignment horizontal="right"/>
    </xf>
    <xf numFmtId="0" fontId="26" fillId="7" borderId="0" xfId="36" applyFont="1" applyFill="1" applyAlignment="1">
      <alignment vertical="center"/>
    </xf>
    <xf numFmtId="0" fontId="22" fillId="7" borderId="205" xfId="25" applyFill="1" applyBorder="1" applyAlignment="1">
      <alignment vertical="center" wrapText="1"/>
    </xf>
    <xf numFmtId="0" fontId="22" fillId="7" borderId="205" xfId="25" applyFill="1" applyBorder="1" applyAlignment="1">
      <alignment horizontal="left" vertical="center"/>
    </xf>
    <xf numFmtId="0" fontId="22" fillId="7" borderId="224" xfId="25" applyFill="1" applyBorder="1" applyAlignment="1">
      <alignment vertical="center" wrapText="1"/>
    </xf>
    <xf numFmtId="0" fontId="22" fillId="7" borderId="16" xfId="25" applyFill="1" applyBorder="1" applyAlignment="1">
      <alignment horizontal="left" vertical="center"/>
    </xf>
    <xf numFmtId="0" fontId="22" fillId="7" borderId="39" xfId="25" applyFill="1" applyBorder="1" applyAlignment="1">
      <alignment horizontal="left" vertical="center"/>
    </xf>
    <xf numFmtId="0" fontId="22" fillId="7" borderId="0" xfId="36" applyFill="1" applyAlignment="1">
      <alignment horizontal="center" vertical="center"/>
    </xf>
    <xf numFmtId="0" fontId="47" fillId="7" borderId="152" xfId="13" applyFont="1" applyFill="1" applyBorder="1" applyAlignment="1">
      <alignment horizontal="right" vertical="center"/>
    </xf>
    <xf numFmtId="0" fontId="47" fillId="7" borderId="0" xfId="13" applyFont="1" applyFill="1" applyAlignment="1">
      <alignment vertical="center"/>
    </xf>
    <xf numFmtId="0" fontId="22" fillId="7" borderId="0" xfId="36" quotePrefix="1" applyFill="1"/>
    <xf numFmtId="0" fontId="22" fillId="7" borderId="0" xfId="25" quotePrefix="1" applyFill="1" applyAlignment="1">
      <alignment horizontal="right"/>
    </xf>
    <xf numFmtId="0" fontId="22" fillId="7" borderId="0" xfId="25" applyFill="1"/>
    <xf numFmtId="0" fontId="22" fillId="7" borderId="61" xfId="25" applyFill="1" applyBorder="1" applyAlignment="1">
      <alignment vertical="center"/>
    </xf>
    <xf numFmtId="0" fontId="22" fillId="7" borderId="32" xfId="25" applyFill="1" applyBorder="1" applyAlignment="1">
      <alignment vertical="center"/>
    </xf>
    <xf numFmtId="0" fontId="22" fillId="7" borderId="61" xfId="25" applyFill="1" applyBorder="1" applyAlignment="1">
      <alignment vertical="center" wrapText="1"/>
    </xf>
    <xf numFmtId="0" fontId="29" fillId="7" borderId="61" xfId="25" applyFont="1" applyFill="1" applyBorder="1" applyAlignment="1">
      <alignment vertical="center" wrapText="1"/>
    </xf>
    <xf numFmtId="0" fontId="29" fillId="7" borderId="32" xfId="25" applyFont="1" applyFill="1" applyBorder="1" applyAlignment="1">
      <alignment vertical="center"/>
    </xf>
    <xf numFmtId="0" fontId="110" fillId="7" borderId="208" xfId="0" applyFont="1" applyFill="1" applyBorder="1" applyAlignment="1">
      <alignment vertical="center"/>
    </xf>
    <xf numFmtId="0" fontId="22" fillId="7" borderId="174" xfId="25" applyFill="1" applyBorder="1" applyAlignment="1">
      <alignment vertical="center"/>
    </xf>
    <xf numFmtId="0" fontId="22" fillId="7" borderId="175" xfId="25" applyFill="1" applyBorder="1" applyAlignment="1">
      <alignment wrapText="1"/>
    </xf>
    <xf numFmtId="0" fontId="22" fillId="7" borderId="175" xfId="25" applyFill="1" applyBorder="1" applyAlignment="1">
      <alignment vertical="center" wrapText="1"/>
    </xf>
    <xf numFmtId="0" fontId="22" fillId="7" borderId="175" xfId="13" applyFont="1" applyFill="1" applyBorder="1" applyAlignment="1">
      <alignment vertical="top"/>
    </xf>
    <xf numFmtId="0" fontId="22" fillId="7" borderId="175" xfId="36" applyFill="1" applyBorder="1" applyAlignment="1">
      <alignment vertical="top"/>
    </xf>
    <xf numFmtId="0" fontId="47" fillId="7" borderId="182" xfId="13" applyFont="1" applyFill="1" applyBorder="1" applyAlignment="1">
      <alignment horizontal="right"/>
    </xf>
    <xf numFmtId="0" fontId="32" fillId="7" borderId="175" xfId="36" applyFont="1" applyFill="1" applyBorder="1"/>
    <xf numFmtId="0" fontId="22" fillId="7" borderId="61" xfId="36" applyFill="1" applyBorder="1"/>
    <xf numFmtId="0" fontId="22" fillId="7" borderId="0" xfId="13" applyFont="1" applyFill="1" applyAlignment="1">
      <alignment vertical="top"/>
    </xf>
    <xf numFmtId="0" fontId="22" fillId="7" borderId="0" xfId="36" applyFill="1" applyAlignment="1">
      <alignment vertical="top"/>
    </xf>
    <xf numFmtId="0" fontId="22" fillId="7" borderId="150" xfId="25" applyFill="1" applyBorder="1" applyAlignment="1">
      <alignment vertical="center"/>
    </xf>
    <xf numFmtId="0" fontId="22" fillId="7" borderId="158" xfId="25" applyFill="1" applyBorder="1" applyAlignment="1">
      <alignment vertical="center" wrapText="1"/>
    </xf>
    <xf numFmtId="0" fontId="47" fillId="7" borderId="6" xfId="13" applyFont="1" applyFill="1" applyBorder="1" applyAlignment="1">
      <alignment horizontal="right" vertical="center"/>
    </xf>
    <xf numFmtId="0" fontId="22" fillId="7" borderId="6" xfId="36" applyFill="1" applyBorder="1"/>
    <xf numFmtId="0" fontId="22" fillId="7" borderId="6" xfId="25" applyFill="1" applyBorder="1" applyAlignment="1">
      <alignment vertical="center" wrapText="1"/>
    </xf>
    <xf numFmtId="0" fontId="22" fillId="7" borderId="54" xfId="25" applyFill="1" applyBorder="1" applyAlignment="1">
      <alignment vertical="center" wrapText="1"/>
    </xf>
    <xf numFmtId="0" fontId="22" fillId="7" borderId="6" xfId="25" applyFill="1" applyBorder="1" applyAlignment="1">
      <alignment wrapText="1"/>
    </xf>
    <xf numFmtId="0" fontId="22" fillId="7" borderId="6" xfId="13" applyFont="1" applyFill="1" applyBorder="1"/>
    <xf numFmtId="0" fontId="22" fillId="7" borderId="6" xfId="13" applyFont="1" applyFill="1" applyBorder="1" applyAlignment="1">
      <alignment vertical="top"/>
    </xf>
    <xf numFmtId="0" fontId="22" fillId="7" borderId="6" xfId="36" applyFill="1" applyBorder="1" applyAlignment="1">
      <alignment vertical="top"/>
    </xf>
    <xf numFmtId="0" fontId="47" fillId="7" borderId="153" xfId="13" applyFont="1" applyFill="1" applyBorder="1" applyAlignment="1">
      <alignment horizontal="right"/>
    </xf>
    <xf numFmtId="0" fontId="22" fillId="7" borderId="150" xfId="25" applyFill="1" applyBorder="1"/>
    <xf numFmtId="0" fontId="32" fillId="7" borderId="150" xfId="13" applyFont="1" applyFill="1" applyBorder="1"/>
    <xf numFmtId="0" fontId="63" fillId="7" borderId="145" xfId="36" applyFont="1" applyFill="1" applyBorder="1"/>
    <xf numFmtId="0" fontId="32" fillId="7" borderId="145" xfId="36" applyFont="1" applyFill="1" applyBorder="1"/>
    <xf numFmtId="0" fontId="59" fillId="7" borderId="145" xfId="13" applyFont="1" applyFill="1" applyBorder="1" applyAlignment="1">
      <alignment horizontal="right" vertical="center"/>
    </xf>
    <xf numFmtId="0" fontId="32" fillId="7" borderId="0" xfId="36" applyFont="1" applyFill="1" applyAlignment="1">
      <alignment vertical="center"/>
    </xf>
    <xf numFmtId="0" fontId="63" fillId="7" borderId="150" xfId="36" applyFont="1" applyFill="1" applyBorder="1"/>
    <xf numFmtId="0" fontId="63" fillId="7" borderId="0" xfId="36" applyFont="1" applyFill="1"/>
    <xf numFmtId="0" fontId="22" fillId="7" borderId="0" xfId="36" applyFill="1" applyAlignment="1">
      <alignment horizontal="left"/>
    </xf>
    <xf numFmtId="0" fontId="22" fillId="7" borderId="0" xfId="13" applyFont="1" applyFill="1" applyAlignment="1">
      <alignment wrapText="1"/>
    </xf>
    <xf numFmtId="0" fontId="22" fillId="7" borderId="176" xfId="36" applyFill="1" applyBorder="1"/>
    <xf numFmtId="0" fontId="110" fillId="7" borderId="175" xfId="36" applyFont="1" applyFill="1" applyBorder="1" applyAlignment="1">
      <alignment vertical="top"/>
    </xf>
    <xf numFmtId="0" fontId="22" fillId="7" borderId="182" xfId="29" applyFont="1" applyFill="1" applyBorder="1"/>
    <xf numFmtId="0" fontId="29" fillId="7" borderId="0" xfId="11" applyFont="1" applyFill="1"/>
    <xf numFmtId="0" fontId="32" fillId="7" borderId="0" xfId="29" applyFont="1" applyFill="1"/>
    <xf numFmtId="0" fontId="32" fillId="7" borderId="145" xfId="29" applyFont="1" applyFill="1" applyBorder="1"/>
    <xf numFmtId="0" fontId="29" fillId="7" borderId="150" xfId="29" applyFont="1" applyFill="1" applyBorder="1"/>
    <xf numFmtId="0" fontId="63" fillId="7" borderId="150" xfId="29" applyFont="1" applyFill="1" applyBorder="1"/>
    <xf numFmtId="0" fontId="63" fillId="7" borderId="174" xfId="29" applyFont="1" applyFill="1" applyBorder="1"/>
    <xf numFmtId="0" fontId="32" fillId="7" borderId="175" xfId="29" applyFont="1" applyFill="1" applyBorder="1"/>
    <xf numFmtId="0" fontId="22" fillId="7" borderId="150" xfId="29" applyFont="1" applyFill="1" applyBorder="1" applyAlignment="1">
      <alignment vertical="center" wrapText="1"/>
    </xf>
    <xf numFmtId="0" fontId="22" fillId="7" borderId="150" xfId="29" applyFont="1" applyFill="1" applyBorder="1" applyAlignment="1">
      <alignment horizontal="left"/>
    </xf>
    <xf numFmtId="0" fontId="29" fillId="7" borderId="150" xfId="25" applyFont="1" applyFill="1" applyBorder="1" applyAlignment="1">
      <alignment horizontal="left"/>
    </xf>
    <xf numFmtId="0" fontId="29" fillId="7" borderId="150" xfId="25" applyFont="1" applyFill="1" applyBorder="1" applyAlignment="1">
      <alignment horizontal="left" vertical="center" indent="1"/>
    </xf>
    <xf numFmtId="0" fontId="29" fillId="7" borderId="150" xfId="25" applyFont="1" applyFill="1" applyBorder="1" applyAlignment="1">
      <alignment vertical="top" wrapText="1"/>
    </xf>
    <xf numFmtId="0" fontId="65" fillId="7" borderId="0" xfId="13" applyFont="1" applyFill="1" applyAlignment="1">
      <alignment vertical="center"/>
    </xf>
    <xf numFmtId="0" fontId="29" fillId="7" borderId="0" xfId="11" quotePrefix="1" applyFont="1" applyFill="1" applyAlignment="1">
      <alignment horizontal="center"/>
    </xf>
    <xf numFmtId="0" fontId="26" fillId="7" borderId="0" xfId="11" applyFont="1" applyFill="1" applyAlignment="1">
      <alignment horizontal="left"/>
    </xf>
    <xf numFmtId="0" fontId="29" fillId="7" borderId="144" xfId="11" applyFont="1" applyFill="1" applyBorder="1"/>
    <xf numFmtId="0" fontId="22" fillId="7" borderId="145" xfId="13" applyFont="1" applyFill="1" applyBorder="1" applyAlignment="1">
      <alignment horizontal="center" vertical="center"/>
    </xf>
    <xf numFmtId="0" fontId="26" fillId="7" borderId="145" xfId="11" applyFont="1" applyFill="1" applyBorder="1" applyAlignment="1">
      <alignment horizontal="left"/>
    </xf>
    <xf numFmtId="0" fontId="22" fillId="7" borderId="145" xfId="11" applyFont="1" applyFill="1" applyBorder="1"/>
    <xf numFmtId="0" fontId="22" fillId="7" borderId="150" xfId="11" applyFont="1" applyFill="1" applyBorder="1"/>
    <xf numFmtId="0" fontId="24" fillId="7" borderId="0" xfId="11" applyFont="1" applyFill="1" applyAlignment="1">
      <alignment horizontal="left"/>
    </xf>
    <xf numFmtId="0" fontId="22" fillId="7" borderId="0" xfId="11" applyFont="1" applyFill="1" applyAlignment="1">
      <alignment horizontal="left"/>
    </xf>
    <xf numFmtId="0" fontId="110" fillId="7" borderId="175" xfId="29" applyFont="1" applyFill="1" applyBorder="1" applyAlignment="1">
      <alignment vertical="top"/>
    </xf>
    <xf numFmtId="0" fontId="110" fillId="7" borderId="175" xfId="29" applyFont="1" applyFill="1" applyBorder="1"/>
    <xf numFmtId="0" fontId="26" fillId="7" borderId="0" xfId="29" quotePrefix="1" applyFont="1" applyFill="1" applyAlignment="1">
      <alignment horizontal="right"/>
    </xf>
    <xf numFmtId="0" fontId="29" fillId="7" borderId="0" xfId="29" applyFont="1" applyFill="1" applyAlignment="1">
      <alignment vertical="center" wrapText="1"/>
    </xf>
    <xf numFmtId="0" fontId="26" fillId="7" borderId="0" xfId="29" applyFont="1" applyFill="1" applyAlignment="1">
      <alignment vertical="center"/>
    </xf>
    <xf numFmtId="0" fontId="22" fillId="7" borderId="205" xfId="25" applyFill="1" applyBorder="1" applyAlignment="1">
      <alignment horizontal="left" vertical="center" indent="1"/>
    </xf>
    <xf numFmtId="0" fontId="22" fillId="7" borderId="16" xfId="25" applyFill="1" applyBorder="1" applyAlignment="1">
      <alignment horizontal="left" vertical="center" indent="1"/>
    </xf>
    <xf numFmtId="0" fontId="22" fillId="7" borderId="39" xfId="25" applyFill="1" applyBorder="1" applyAlignment="1">
      <alignment horizontal="left" vertical="center" indent="1"/>
    </xf>
    <xf numFmtId="0" fontId="26" fillId="7" borderId="0" xfId="29" quotePrefix="1" applyFont="1" applyFill="1" applyAlignment="1">
      <alignment horizontal="right" vertical="top"/>
    </xf>
    <xf numFmtId="0" fontId="35" fillId="7" borderId="0" xfId="25" applyFont="1" applyFill="1" applyAlignment="1">
      <alignment vertical="center" wrapText="1"/>
    </xf>
    <xf numFmtId="0" fontId="35" fillId="7" borderId="152" xfId="25" applyFont="1" applyFill="1" applyBorder="1" applyAlignment="1">
      <alignment vertical="center" wrapText="1"/>
    </xf>
    <xf numFmtId="0" fontId="26" fillId="7" borderId="0" xfId="23" applyFont="1" applyFill="1" applyAlignment="1">
      <alignment horizontal="left" wrapText="1"/>
    </xf>
    <xf numFmtId="0" fontId="22" fillId="7" borderId="0" xfId="23" applyFill="1" applyAlignment="1">
      <alignment horizontal="justify" wrapText="1"/>
    </xf>
    <xf numFmtId="0" fontId="26" fillId="7" borderId="0" xfId="52" applyFont="1" applyFill="1"/>
    <xf numFmtId="0" fontId="32" fillId="7" borderId="0" xfId="52" applyFont="1" applyFill="1" applyAlignment="1">
      <alignment vertical="center"/>
    </xf>
    <xf numFmtId="0" fontId="32" fillId="7" borderId="246" xfId="13" quotePrefix="1" applyFont="1" applyFill="1" applyBorder="1" applyAlignment="1">
      <alignment horizontal="right" vertical="center"/>
    </xf>
    <xf numFmtId="0" fontId="32" fillId="7" borderId="205" xfId="13" applyFont="1" applyFill="1" applyBorder="1" applyAlignment="1">
      <alignment vertical="center"/>
    </xf>
    <xf numFmtId="0" fontId="32" fillId="7" borderId="225" xfId="13" applyFont="1" applyFill="1" applyBorder="1" applyAlignment="1">
      <alignment vertical="center"/>
    </xf>
    <xf numFmtId="0" fontId="32" fillId="7" borderId="204" xfId="13" quotePrefix="1" applyFont="1" applyFill="1" applyBorder="1" applyAlignment="1">
      <alignment horizontal="right" vertical="center"/>
    </xf>
    <xf numFmtId="0" fontId="51" fillId="7" borderId="0" xfId="13" applyFont="1" applyFill="1" applyAlignment="1">
      <alignment vertical="center"/>
    </xf>
    <xf numFmtId="0" fontId="32" fillId="7" borderId="162" xfId="13" quotePrefix="1" applyFont="1" applyFill="1" applyBorder="1" applyAlignment="1">
      <alignment horizontal="right" vertical="center"/>
    </xf>
    <xf numFmtId="0" fontId="32" fillId="7" borderId="64" xfId="13" applyFont="1" applyFill="1" applyBorder="1" applyAlignment="1">
      <alignment vertical="center"/>
    </xf>
    <xf numFmtId="0" fontId="32" fillId="7" borderId="17" xfId="13" quotePrefix="1" applyFont="1" applyFill="1" applyBorder="1" applyAlignment="1">
      <alignment horizontal="right" vertical="center"/>
    </xf>
    <xf numFmtId="0" fontId="22" fillId="7" borderId="64" xfId="32" applyFill="1" applyBorder="1" applyAlignment="1">
      <alignment vertical="center"/>
    </xf>
    <xf numFmtId="0" fontId="32" fillId="7" borderId="174" xfId="13" quotePrefix="1" applyFont="1" applyFill="1" applyBorder="1" applyAlignment="1">
      <alignment horizontal="right" vertical="center"/>
    </xf>
    <xf numFmtId="0" fontId="22" fillId="7" borderId="179" xfId="32" applyFill="1" applyBorder="1" applyAlignment="1">
      <alignment vertical="center"/>
    </xf>
    <xf numFmtId="0" fontId="22" fillId="7" borderId="0" xfId="52" applyFont="1" applyFill="1" applyAlignment="1">
      <alignment vertical="center"/>
    </xf>
    <xf numFmtId="0" fontId="26" fillId="7" borderId="0" xfId="23" applyFont="1" applyFill="1" applyAlignment="1">
      <alignment horizontal="justify" vertical="center" wrapText="1"/>
    </xf>
    <xf numFmtId="0" fontId="22" fillId="7" borderId="0" xfId="23" applyFill="1" applyAlignment="1">
      <alignment horizontal="justify" vertical="center" wrapText="1"/>
    </xf>
    <xf numFmtId="0" fontId="29" fillId="7" borderId="0" xfId="36" applyFont="1" applyFill="1" applyAlignment="1">
      <alignment wrapText="1"/>
    </xf>
    <xf numFmtId="0" fontId="43" fillId="7" borderId="0" xfId="25" applyFont="1" applyFill="1" applyAlignment="1">
      <alignment vertical="center"/>
    </xf>
    <xf numFmtId="0" fontId="65" fillId="7" borderId="0" xfId="52" applyFont="1" applyFill="1"/>
    <xf numFmtId="0" fontId="67" fillId="7" borderId="0" xfId="52" applyFont="1" applyFill="1"/>
    <xf numFmtId="0" fontId="67" fillId="7" borderId="0" xfId="25" applyFont="1" applyFill="1"/>
    <xf numFmtId="0" fontId="65" fillId="7" borderId="0" xfId="52" applyFont="1" applyFill="1" applyAlignment="1">
      <alignment vertical="center"/>
    </xf>
    <xf numFmtId="0" fontId="65" fillId="7" borderId="0" xfId="13" applyFont="1" applyFill="1" applyAlignment="1">
      <alignment vertical="center" wrapText="1"/>
    </xf>
    <xf numFmtId="0" fontId="65" fillId="7" borderId="246" xfId="13" quotePrefix="1" applyFont="1" applyFill="1" applyBorder="1" applyAlignment="1">
      <alignment horizontal="right" vertical="center"/>
    </xf>
    <xf numFmtId="0" fontId="65" fillId="7" borderId="205" xfId="13" applyFont="1" applyFill="1" applyBorder="1" applyAlignment="1">
      <alignment vertical="center"/>
    </xf>
    <xf numFmtId="0" fontId="65" fillId="7" borderId="225" xfId="13" applyFont="1" applyFill="1" applyBorder="1" applyAlignment="1">
      <alignment vertical="center"/>
    </xf>
    <xf numFmtId="0" fontId="65" fillId="7" borderId="162" xfId="13" quotePrefix="1" applyFont="1" applyFill="1" applyBorder="1" applyAlignment="1">
      <alignment horizontal="right" vertical="center"/>
    </xf>
    <xf numFmtId="0" fontId="65" fillId="7" borderId="16" xfId="13" applyFont="1" applyFill="1" applyBorder="1" applyAlignment="1">
      <alignment vertical="center"/>
    </xf>
    <xf numFmtId="0" fontId="65" fillId="7" borderId="64" xfId="13" applyFont="1" applyFill="1" applyBorder="1" applyAlignment="1">
      <alignment vertical="center"/>
    </xf>
    <xf numFmtId="0" fontId="65" fillId="7" borderId="64" xfId="32" applyFont="1" applyFill="1" applyBorder="1" applyAlignment="1">
      <alignment vertical="center"/>
    </xf>
    <xf numFmtId="0" fontId="65" fillId="7" borderId="174" xfId="13" quotePrefix="1" applyFont="1" applyFill="1" applyBorder="1" applyAlignment="1">
      <alignment horizontal="right" vertical="center"/>
    </xf>
    <xf numFmtId="0" fontId="65" fillId="7" borderId="175" xfId="13" applyFont="1" applyFill="1" applyBorder="1" applyAlignment="1">
      <alignment vertical="center"/>
    </xf>
    <xf numFmtId="0" fontId="65" fillId="7" borderId="179" xfId="32" applyFont="1" applyFill="1" applyBorder="1" applyAlignment="1">
      <alignment vertical="center"/>
    </xf>
    <xf numFmtId="0" fontId="26" fillId="7" borderId="0" xfId="23" quotePrefix="1" applyFont="1" applyFill="1" applyAlignment="1">
      <alignment horizontal="right" wrapText="1"/>
    </xf>
    <xf numFmtId="0" fontId="67" fillId="7" borderId="0" xfId="25" applyFont="1" applyFill="1" applyAlignment="1">
      <alignment vertical="center"/>
    </xf>
    <xf numFmtId="0" fontId="26" fillId="7" borderId="0" xfId="25" applyFont="1" applyFill="1" applyAlignment="1">
      <alignment vertical="center"/>
    </xf>
    <xf numFmtId="0" fontId="65" fillId="7" borderId="174" xfId="13" applyFont="1" applyFill="1" applyBorder="1"/>
    <xf numFmtId="0" fontId="65" fillId="7" borderId="176" xfId="0" applyFont="1" applyFill="1" applyBorder="1" applyAlignment="1">
      <alignment wrapText="1"/>
    </xf>
    <xf numFmtId="0" fontId="65" fillId="7" borderId="0" xfId="13" applyFont="1" applyFill="1"/>
    <xf numFmtId="0" fontId="65" fillId="7" borderId="0" xfId="13" applyFont="1" applyFill="1" applyAlignment="1">
      <alignment horizontal="justify" vertical="center" wrapText="1"/>
    </xf>
    <xf numFmtId="0" fontId="65" fillId="7" borderId="0" xfId="0" applyFont="1" applyFill="1" applyAlignment="1">
      <alignment wrapText="1"/>
    </xf>
    <xf numFmtId="0" fontId="65" fillId="7" borderId="0" xfId="13" applyFont="1" applyFill="1" applyAlignment="1">
      <alignment horizontal="center" vertical="center"/>
    </xf>
    <xf numFmtId="0" fontId="67" fillId="7" borderId="0" xfId="13" applyFont="1" applyFill="1"/>
    <xf numFmtId="0" fontId="65" fillId="7" borderId="61" xfId="0" applyFont="1" applyFill="1" applyBorder="1" applyAlignment="1">
      <alignment wrapText="1"/>
    </xf>
    <xf numFmtId="0" fontId="65" fillId="7" borderId="150" xfId="13" applyFont="1" applyFill="1" applyBorder="1"/>
    <xf numFmtId="0" fontId="65" fillId="7" borderId="162" xfId="13" applyFont="1" applyFill="1" applyBorder="1" applyAlignment="1">
      <alignment vertical="center"/>
    </xf>
    <xf numFmtId="0" fontId="65" fillId="7" borderId="150" xfId="13" applyFont="1" applyFill="1" applyBorder="1" applyAlignment="1">
      <alignment vertical="center"/>
    </xf>
    <xf numFmtId="0" fontId="43" fillId="7" borderId="0" xfId="9" applyFont="1" applyFill="1"/>
    <xf numFmtId="0" fontId="65" fillId="7" borderId="0" xfId="13" applyFont="1" applyFill="1" applyAlignment="1">
      <alignment horizontal="justify" vertical="center"/>
    </xf>
    <xf numFmtId="0" fontId="110" fillId="7" borderId="0" xfId="13" applyFont="1" applyFill="1" applyAlignment="1">
      <alignment horizontal="left" vertical="top"/>
    </xf>
    <xf numFmtId="0" fontId="22" fillId="7" borderId="0" xfId="73" applyFont="1" applyFill="1" applyAlignment="1">
      <alignment vertical="center"/>
    </xf>
    <xf numFmtId="0" fontId="22" fillId="7" borderId="0" xfId="73" applyFont="1" applyFill="1" applyAlignment="1">
      <alignment vertical="top"/>
    </xf>
    <xf numFmtId="0" fontId="76" fillId="7" borderId="0" xfId="73" applyFont="1" applyFill="1" applyAlignment="1">
      <alignment vertical="center"/>
    </xf>
    <xf numFmtId="0" fontId="26" fillId="7" borderId="0" xfId="11" quotePrefix="1" applyFont="1" applyFill="1" applyAlignment="1">
      <alignment vertical="top"/>
    </xf>
    <xf numFmtId="0" fontId="24" fillId="7" borderId="0" xfId="11" applyFont="1" applyFill="1" applyAlignment="1">
      <alignment horizontal="justify" vertical="center"/>
    </xf>
    <xf numFmtId="0" fontId="92" fillId="7" borderId="0" xfId="73" applyFont="1" applyFill="1" applyAlignment="1">
      <alignment vertical="center"/>
    </xf>
    <xf numFmtId="0" fontId="26" fillId="7" borderId="0" xfId="13" quotePrefix="1" applyFont="1" applyFill="1" applyAlignment="1">
      <alignment horizontal="right" vertical="top" wrapText="1"/>
    </xf>
    <xf numFmtId="0" fontId="65" fillId="7" borderId="61" xfId="13" applyFont="1" applyFill="1" applyBorder="1" applyAlignment="1">
      <alignment vertical="center"/>
    </xf>
    <xf numFmtId="0" fontId="65" fillId="7" borderId="55" xfId="13" applyFont="1" applyFill="1" applyBorder="1" applyAlignment="1">
      <alignment vertical="center"/>
    </xf>
    <xf numFmtId="0" fontId="65" fillId="7" borderId="174" xfId="13" applyFont="1" applyFill="1" applyBorder="1" applyAlignment="1">
      <alignment vertical="center"/>
    </xf>
    <xf numFmtId="0" fontId="65" fillId="7" borderId="176" xfId="13" applyFont="1" applyFill="1" applyBorder="1" applyAlignment="1">
      <alignment vertical="center"/>
    </xf>
    <xf numFmtId="0" fontId="65" fillId="7" borderId="158" xfId="13" applyFont="1" applyFill="1" applyBorder="1" applyAlignment="1">
      <alignment vertical="center"/>
    </xf>
    <xf numFmtId="0" fontId="65" fillId="7" borderId="6" xfId="13" applyFont="1" applyFill="1" applyBorder="1" applyAlignment="1">
      <alignment vertical="center"/>
    </xf>
    <xf numFmtId="0" fontId="65" fillId="7" borderId="54" xfId="13" applyFont="1" applyFill="1" applyBorder="1" applyAlignment="1">
      <alignment vertical="center"/>
    </xf>
    <xf numFmtId="0" fontId="65" fillId="7" borderId="157" xfId="13" applyFont="1" applyFill="1" applyBorder="1" applyAlignment="1">
      <alignment vertical="center"/>
    </xf>
    <xf numFmtId="0" fontId="65" fillId="7" borderId="5" xfId="13" applyFont="1" applyFill="1" applyBorder="1" applyAlignment="1">
      <alignment vertical="center"/>
    </xf>
    <xf numFmtId="0" fontId="65" fillId="7" borderId="65" xfId="13" applyFont="1" applyFill="1" applyBorder="1" applyAlignment="1">
      <alignment vertical="center"/>
    </xf>
    <xf numFmtId="0" fontId="43" fillId="7" borderId="0" xfId="9" applyFont="1" applyFill="1" applyAlignment="1">
      <alignment wrapText="1"/>
    </xf>
    <xf numFmtId="0" fontId="87" fillId="4" borderId="150" xfId="13" quotePrefix="1" applyFont="1" applyFill="1" applyBorder="1" applyAlignment="1">
      <alignment horizontal="right" vertical="center"/>
    </xf>
    <xf numFmtId="0" fontId="88" fillId="4" borderId="158" xfId="13" applyFont="1" applyFill="1" applyBorder="1" applyAlignment="1">
      <alignment vertical="center"/>
    </xf>
    <xf numFmtId="0" fontId="87" fillId="4" borderId="188" xfId="13" quotePrefix="1" applyFont="1" applyFill="1" applyBorder="1" applyAlignment="1">
      <alignment horizontal="right" vertical="center"/>
    </xf>
    <xf numFmtId="0" fontId="88" fillId="4" borderId="159" xfId="13" applyFont="1" applyFill="1" applyBorder="1" applyAlignment="1">
      <alignment vertical="center"/>
    </xf>
    <xf numFmtId="0" fontId="65" fillId="7" borderId="246" xfId="13" applyFont="1" applyFill="1" applyBorder="1" applyAlignment="1">
      <alignment vertical="center"/>
    </xf>
    <xf numFmtId="0" fontId="65" fillId="7" borderId="224" xfId="0" applyFont="1" applyFill="1" applyBorder="1" applyAlignment="1">
      <alignment vertical="center"/>
    </xf>
    <xf numFmtId="0" fontId="63" fillId="7" borderId="0" xfId="73" applyFont="1" applyFill="1"/>
    <xf numFmtId="0" fontId="26" fillId="7" borderId="0" xfId="73" quotePrefix="1" applyFont="1" applyFill="1" applyAlignment="1">
      <alignment horizontal="right" vertical="top"/>
    </xf>
    <xf numFmtId="0" fontId="29" fillId="7" borderId="174" xfId="75" applyFont="1" applyFill="1" applyBorder="1" applyAlignment="1">
      <alignment horizontal="center" vertical="center"/>
    </xf>
    <xf numFmtId="0" fontId="47" fillId="7" borderId="175" xfId="13" applyFont="1" applyFill="1" applyBorder="1" applyAlignment="1">
      <alignment horizontal="center" vertical="center"/>
    </xf>
    <xf numFmtId="0" fontId="22" fillId="7" borderId="175" xfId="75" applyFont="1" applyFill="1" applyBorder="1" applyAlignment="1">
      <alignment vertical="center"/>
    </xf>
    <xf numFmtId="0" fontId="22" fillId="7" borderId="175" xfId="75" applyFont="1" applyFill="1" applyBorder="1" applyAlignment="1">
      <alignment vertical="center" wrapText="1"/>
    </xf>
    <xf numFmtId="0" fontId="76" fillId="7" borderId="175" xfId="75" applyFont="1" applyFill="1" applyBorder="1" applyAlignment="1">
      <alignment vertical="center"/>
    </xf>
    <xf numFmtId="0" fontId="76" fillId="7" borderId="182" xfId="75" applyFont="1" applyFill="1" applyBorder="1" applyAlignment="1">
      <alignment vertical="center"/>
    </xf>
    <xf numFmtId="0" fontId="76" fillId="7" borderId="0" xfId="75" applyFont="1" applyFill="1" applyAlignment="1">
      <alignment vertical="center"/>
    </xf>
    <xf numFmtId="0" fontId="22" fillId="7" borderId="0" xfId="75" applyFont="1" applyFill="1" applyAlignment="1">
      <alignment vertical="center"/>
    </xf>
    <xf numFmtId="0" fontId="22" fillId="7" borderId="152" xfId="75" applyFont="1" applyFill="1" applyBorder="1" applyAlignment="1">
      <alignment vertical="center"/>
    </xf>
    <xf numFmtId="0" fontId="29" fillId="7" borderId="150" xfId="75" applyFont="1" applyFill="1" applyBorder="1" applyAlignment="1">
      <alignment vertical="center"/>
    </xf>
    <xf numFmtId="0" fontId="29" fillId="7" borderId="0" xfId="75" applyFont="1" applyFill="1" applyAlignment="1">
      <alignment vertical="center"/>
    </xf>
    <xf numFmtId="0" fontId="105" fillId="7" borderId="0" xfId="5" applyFont="1" applyFill="1" applyAlignment="1">
      <alignment horizontal="center" wrapText="1"/>
    </xf>
    <xf numFmtId="0" fontId="105" fillId="7" borderId="145" xfId="5" applyFont="1" applyFill="1" applyBorder="1" applyAlignment="1">
      <alignment horizontal="center"/>
    </xf>
    <xf numFmtId="0" fontId="105" fillId="7" borderId="145" xfId="5" applyFont="1" applyFill="1" applyBorder="1" applyAlignment="1">
      <alignment horizontal="center" wrapText="1"/>
    </xf>
    <xf numFmtId="0" fontId="76" fillId="7" borderId="150" xfId="75" applyFont="1" applyFill="1" applyBorder="1" applyAlignment="1">
      <alignment vertical="center"/>
    </xf>
    <xf numFmtId="0" fontId="0" fillId="7" borderId="0" xfId="75" quotePrefix="1" applyFont="1" applyFill="1" applyAlignment="1">
      <alignment horizontal="right" vertical="top"/>
    </xf>
    <xf numFmtId="0" fontId="0" fillId="7" borderId="0" xfId="75" applyFont="1" applyFill="1" applyAlignment="1">
      <alignment vertical="top" wrapText="1"/>
    </xf>
    <xf numFmtId="0" fontId="22" fillId="7" borderId="0" xfId="75" applyFont="1" applyFill="1" applyAlignment="1">
      <alignment vertical="center" wrapText="1"/>
    </xf>
    <xf numFmtId="0" fontId="22" fillId="7" borderId="152" xfId="75" applyFont="1" applyFill="1" applyBorder="1" applyAlignment="1">
      <alignment vertical="center" wrapText="1"/>
    </xf>
    <xf numFmtId="0" fontId="43" fillId="7" borderId="0" xfId="75" applyFont="1" applyFill="1" applyAlignment="1">
      <alignment vertical="center"/>
    </xf>
    <xf numFmtId="0" fontId="67" fillId="7" borderId="0" xfId="75" applyFont="1" applyFill="1" applyAlignment="1">
      <alignment vertical="center"/>
    </xf>
    <xf numFmtId="0" fontId="29" fillId="7" borderId="144" xfId="75" quotePrefix="1" applyFont="1" applyFill="1" applyBorder="1" applyAlignment="1">
      <alignment horizontal="right" vertical="center"/>
    </xf>
    <xf numFmtId="0" fontId="29" fillId="7" borderId="145" xfId="75" applyFont="1" applyFill="1" applyBorder="1" applyAlignment="1">
      <alignment vertical="center" wrapText="1"/>
    </xf>
    <xf numFmtId="0" fontId="29" fillId="7" borderId="198" xfId="75" applyFont="1" applyFill="1" applyBorder="1" applyAlignment="1">
      <alignment vertical="center" wrapText="1"/>
    </xf>
    <xf numFmtId="0" fontId="22" fillId="7" borderId="0" xfId="75" quotePrefix="1" applyFont="1" applyFill="1" applyAlignment="1">
      <alignment horizontal="right" vertical="center"/>
    </xf>
    <xf numFmtId="0" fontId="22" fillId="7" borderId="267" xfId="75" applyFont="1" applyFill="1" applyBorder="1" applyAlignment="1">
      <alignment vertical="center"/>
    </xf>
    <xf numFmtId="0" fontId="29" fillId="7" borderId="0" xfId="75" applyFont="1" applyFill="1" applyAlignment="1">
      <alignment horizontal="center" vertical="center" wrapText="1"/>
    </xf>
    <xf numFmtId="0" fontId="29" fillId="7" borderId="152" xfId="75" applyFont="1" applyFill="1" applyBorder="1" applyAlignment="1">
      <alignment vertical="center" wrapText="1"/>
    </xf>
    <xf numFmtId="0" fontId="26" fillId="7" borderId="150" xfId="75" applyFont="1" applyFill="1" applyBorder="1" applyAlignment="1">
      <alignment vertical="center"/>
    </xf>
    <xf numFmtId="0" fontId="26" fillId="7" borderId="0" xfId="75" applyFont="1" applyFill="1" applyAlignment="1">
      <alignment vertical="center"/>
    </xf>
    <xf numFmtId="0" fontId="26" fillId="7" borderId="152" xfId="75" applyFont="1" applyFill="1" applyBorder="1" applyAlignment="1">
      <alignment vertical="center"/>
    </xf>
    <xf numFmtId="0" fontId="22" fillId="7" borderId="15" xfId="75" applyFont="1" applyFill="1" applyBorder="1" applyAlignment="1">
      <alignment vertical="center"/>
    </xf>
    <xf numFmtId="0" fontId="22" fillId="7" borderId="37" xfId="75" applyFont="1" applyFill="1" applyBorder="1" applyAlignment="1">
      <alignment vertical="center"/>
    </xf>
    <xf numFmtId="0" fontId="22" fillId="7" borderId="187" xfId="75" applyFont="1" applyFill="1" applyBorder="1" applyAlignment="1">
      <alignment vertical="center"/>
    </xf>
    <xf numFmtId="0" fontId="22" fillId="7" borderId="16" xfId="75" applyFont="1" applyFill="1" applyBorder="1" applyAlignment="1">
      <alignment vertical="center"/>
    </xf>
    <xf numFmtId="0" fontId="22" fillId="7" borderId="55" xfId="75" applyFont="1" applyFill="1" applyBorder="1" applyAlignment="1">
      <alignment vertical="center"/>
    </xf>
    <xf numFmtId="0" fontId="22" fillId="7" borderId="163" xfId="75" applyFont="1" applyFill="1" applyBorder="1" applyAlignment="1">
      <alignment vertical="center"/>
    </xf>
    <xf numFmtId="0" fontId="0" fillId="7" borderId="16" xfId="75" applyFont="1" applyFill="1" applyBorder="1" applyAlignment="1">
      <alignment vertical="center"/>
    </xf>
    <xf numFmtId="0" fontId="0" fillId="7" borderId="208" xfId="75" applyFont="1" applyFill="1" applyBorder="1" applyAlignment="1">
      <alignment vertical="center"/>
    </xf>
    <xf numFmtId="0" fontId="22" fillId="7" borderId="208" xfId="75" applyFont="1" applyFill="1" applyBorder="1" applyAlignment="1">
      <alignment vertical="center"/>
    </xf>
    <xf numFmtId="0" fontId="22" fillId="7" borderId="223" xfId="75" applyFont="1" applyFill="1" applyBorder="1" applyAlignment="1">
      <alignment vertical="center"/>
    </xf>
    <xf numFmtId="0" fontId="22" fillId="7" borderId="209" xfId="75" applyFont="1" applyFill="1" applyBorder="1" applyAlignment="1">
      <alignment vertical="center"/>
    </xf>
    <xf numFmtId="0" fontId="76" fillId="7" borderId="152" xfId="75" applyFont="1" applyFill="1" applyBorder="1" applyAlignment="1">
      <alignment vertical="center"/>
    </xf>
    <xf numFmtId="0" fontId="22" fillId="7" borderId="34" xfId="75" applyFont="1" applyFill="1" applyBorder="1" applyAlignment="1">
      <alignment vertical="center"/>
    </xf>
    <xf numFmtId="0" fontId="22" fillId="7" borderId="66" xfId="75" applyFont="1" applyFill="1" applyBorder="1" applyAlignment="1">
      <alignment vertical="center"/>
    </xf>
    <xf numFmtId="0" fontId="0" fillId="7" borderId="175" xfId="75" applyFont="1" applyFill="1" applyBorder="1" applyAlignment="1">
      <alignment vertical="center"/>
    </xf>
    <xf numFmtId="0" fontId="22" fillId="7" borderId="180" xfId="75" applyFont="1" applyFill="1" applyBorder="1" applyAlignment="1">
      <alignment vertical="center"/>
    </xf>
    <xf numFmtId="0" fontId="22" fillId="7" borderId="182" xfId="75" applyFont="1" applyFill="1" applyBorder="1" applyAlignment="1">
      <alignment vertical="center"/>
    </xf>
    <xf numFmtId="0" fontId="0" fillId="7" borderId="0" xfId="75" applyFont="1" applyFill="1" applyAlignment="1">
      <alignment horizontal="justify" vertical="top" wrapText="1"/>
    </xf>
    <xf numFmtId="0" fontId="29" fillId="7" borderId="150" xfId="75" quotePrefix="1" applyFont="1" applyFill="1" applyBorder="1" applyAlignment="1">
      <alignment horizontal="right" vertical="center"/>
    </xf>
    <xf numFmtId="0" fontId="29" fillId="7" borderId="0" xfId="75" applyFont="1" applyFill="1" applyAlignment="1">
      <alignment horizontal="justify" vertical="center" wrapText="1"/>
    </xf>
    <xf numFmtId="0" fontId="29" fillId="7" borderId="152" xfId="75" applyFont="1" applyFill="1" applyBorder="1" applyAlignment="1">
      <alignment horizontal="justify" vertical="center" wrapText="1"/>
    </xf>
    <xf numFmtId="0" fontId="113" fillId="0" borderId="186" xfId="13" applyFont="1" applyBorder="1" applyAlignment="1" applyProtection="1">
      <alignment horizontal="center" vertical="center"/>
      <protection locked="0"/>
    </xf>
    <xf numFmtId="0" fontId="88" fillId="0" borderId="162" xfId="13" applyFont="1" applyBorder="1" applyAlignment="1" applyProtection="1">
      <alignment horizontal="center" vertical="center"/>
      <protection locked="0"/>
    </xf>
    <xf numFmtId="0" fontId="88" fillId="0" borderId="247" xfId="13" applyFont="1" applyBorder="1" applyAlignment="1" applyProtection="1">
      <alignment horizontal="center" vertical="center"/>
      <protection locked="0"/>
    </xf>
    <xf numFmtId="0" fontId="88" fillId="0" borderId="174" xfId="13" applyFont="1" applyBorder="1" applyAlignment="1" applyProtection="1">
      <alignment horizontal="center" vertical="center"/>
      <protection locked="0"/>
    </xf>
    <xf numFmtId="0" fontId="26" fillId="7" borderId="0" xfId="11" applyFont="1" applyFill="1" applyAlignment="1">
      <alignment vertical="top" wrapText="1"/>
    </xf>
    <xf numFmtId="0" fontId="29" fillId="7" borderId="150" xfId="0" applyFont="1" applyFill="1" applyBorder="1" applyAlignment="1">
      <alignment horizontal="center" vertical="center" wrapText="1"/>
    </xf>
    <xf numFmtId="0" fontId="29" fillId="7" borderId="148" xfId="0" applyFont="1" applyFill="1" applyBorder="1" applyAlignment="1">
      <alignment horizontal="center" vertical="center" wrapText="1"/>
    </xf>
    <xf numFmtId="0" fontId="29" fillId="7" borderId="149" xfId="0" applyFont="1" applyFill="1" applyBorder="1" applyAlignment="1">
      <alignment horizontal="center" vertical="center" wrapText="1"/>
    </xf>
    <xf numFmtId="0" fontId="22" fillId="7" borderId="0" xfId="0" applyFont="1" applyFill="1" applyAlignment="1">
      <alignment horizontal="center" vertical="center"/>
    </xf>
    <xf numFmtId="0" fontId="29" fillId="7" borderId="0" xfId="13" applyFont="1" applyFill="1" applyAlignment="1">
      <alignment horizontal="center" vertical="center"/>
    </xf>
    <xf numFmtId="0" fontId="22" fillId="7" borderId="150" xfId="76" applyFont="1" applyFill="1" applyBorder="1" applyAlignment="1">
      <alignment horizontal="center" vertical="center"/>
    </xf>
    <xf numFmtId="0" fontId="47" fillId="7" borderId="0" xfId="13" applyFont="1" applyFill="1" applyAlignment="1">
      <alignment horizontal="center" vertical="center"/>
    </xf>
    <xf numFmtId="0" fontId="22" fillId="7" borderId="0" xfId="77" applyFont="1" applyFill="1" applyAlignment="1">
      <alignment vertical="center"/>
    </xf>
    <xf numFmtId="0" fontId="22" fillId="7" borderId="152" xfId="77" applyFont="1" applyFill="1" applyBorder="1" applyAlignment="1">
      <alignment vertical="center"/>
    </xf>
    <xf numFmtId="0" fontId="22" fillId="7" borderId="0" xfId="76" applyFont="1" applyFill="1" applyAlignment="1">
      <alignment vertical="center"/>
    </xf>
    <xf numFmtId="0" fontId="0" fillId="7" borderId="0" xfId="75" applyFont="1" applyFill="1" applyAlignment="1">
      <alignment vertical="center"/>
    </xf>
    <xf numFmtId="0" fontId="0" fillId="7" borderId="0" xfId="75" applyFont="1" applyFill="1" applyAlignment="1">
      <alignment vertical="top"/>
    </xf>
    <xf numFmtId="0" fontId="0" fillId="7" borderId="0" xfId="75" quotePrefix="1" applyFont="1" applyFill="1" applyAlignment="1">
      <alignment horizontal="right" vertical="center"/>
    </xf>
    <xf numFmtId="0" fontId="29" fillId="7" borderId="0" xfId="75" applyFont="1" applyFill="1" applyAlignment="1">
      <alignment vertical="center" wrapText="1"/>
    </xf>
    <xf numFmtId="0" fontId="0" fillId="7" borderId="0" xfId="77" applyFont="1" applyFill="1" applyAlignment="1">
      <alignment horizontal="justify" vertical="center"/>
    </xf>
    <xf numFmtId="0" fontId="34" fillId="7" borderId="150" xfId="75" applyFont="1" applyFill="1" applyBorder="1" applyAlignment="1">
      <alignment vertical="center"/>
    </xf>
    <xf numFmtId="0" fontId="34" fillId="7" borderId="0" xfId="75" applyFont="1" applyFill="1" applyAlignment="1">
      <alignment vertical="center"/>
    </xf>
    <xf numFmtId="0" fontId="33" fillId="7" borderId="0" xfId="75" applyFont="1" applyFill="1" applyAlignment="1">
      <alignment vertical="center"/>
    </xf>
    <xf numFmtId="0" fontId="33" fillId="7" borderId="152" xfId="75" applyFont="1" applyFill="1" applyBorder="1" applyAlignment="1">
      <alignment vertical="center"/>
    </xf>
    <xf numFmtId="0" fontId="103" fillId="7" borderId="0" xfId="5" applyFont="1" applyFill="1" applyAlignment="1">
      <alignment vertical="center" wrapText="1"/>
    </xf>
    <xf numFmtId="0" fontId="103" fillId="7" borderId="0" xfId="5" applyFont="1" applyFill="1" applyAlignment="1">
      <alignment vertical="center"/>
    </xf>
    <xf numFmtId="0" fontId="105" fillId="7" borderId="0" xfId="5" applyFont="1" applyFill="1" applyAlignment="1">
      <alignment wrapText="1"/>
    </xf>
    <xf numFmtId="0" fontId="105" fillId="7" borderId="0" xfId="5" applyFont="1" applyFill="1"/>
    <xf numFmtId="0" fontId="0" fillId="7" borderId="0" xfId="75" applyFont="1" applyFill="1" applyAlignment="1">
      <alignment vertical="center" wrapText="1"/>
    </xf>
    <xf numFmtId="0" fontId="0" fillId="7" borderId="0" xfId="77" applyFont="1" applyFill="1" applyAlignment="1">
      <alignment vertical="center" wrapText="1"/>
    </xf>
    <xf numFmtId="0" fontId="47" fillId="7" borderId="0" xfId="13" applyFont="1" applyFill="1" applyAlignment="1">
      <alignment vertical="top"/>
    </xf>
    <xf numFmtId="0" fontId="29" fillId="7" borderId="0" xfId="75" applyFont="1" applyFill="1" applyAlignment="1">
      <alignment horizontal="center" vertical="center"/>
    </xf>
    <xf numFmtId="0" fontId="37" fillId="7" borderId="0" xfId="13" quotePrefix="1" applyFont="1" applyFill="1" applyAlignment="1">
      <alignment horizontal="right" vertical="top" wrapText="1"/>
    </xf>
    <xf numFmtId="0" fontId="38" fillId="7" borderId="0" xfId="75" applyFont="1" applyFill="1" applyAlignment="1">
      <alignment vertical="top" wrapText="1"/>
    </xf>
    <xf numFmtId="0" fontId="76" fillId="7" borderId="0" xfId="75" applyFont="1" applyFill="1"/>
    <xf numFmtId="0" fontId="37" fillId="7" borderId="0" xfId="75" applyFont="1" applyFill="1" applyAlignment="1">
      <alignment horizontal="justify" vertical="top" wrapText="1"/>
    </xf>
    <xf numFmtId="0" fontId="105" fillId="7" borderId="0" xfId="5" applyFont="1" applyFill="1" applyAlignment="1">
      <alignment horizontal="center"/>
    </xf>
    <xf numFmtId="0" fontId="47" fillId="7" borderId="0" xfId="13" applyFont="1" applyFill="1" applyAlignment="1">
      <alignment horizontal="center" vertical="top"/>
    </xf>
    <xf numFmtId="0" fontId="29" fillId="7" borderId="0" xfId="75" applyFont="1" applyFill="1" applyAlignment="1">
      <alignment vertical="top" wrapText="1"/>
    </xf>
    <xf numFmtId="0" fontId="29" fillId="7" borderId="152" xfId="75" applyFont="1" applyFill="1" applyBorder="1" applyAlignment="1">
      <alignment vertical="top" wrapText="1"/>
    </xf>
    <xf numFmtId="0" fontId="92" fillId="7" borderId="0" xfId="75" applyFont="1" applyFill="1" applyAlignment="1">
      <alignment vertical="top"/>
    </xf>
    <xf numFmtId="0" fontId="29" fillId="7" borderId="150" xfId="75" quotePrefix="1" applyFont="1" applyFill="1" applyBorder="1" applyAlignment="1">
      <alignment horizontal="right" vertical="top"/>
    </xf>
    <xf numFmtId="0" fontId="92" fillId="7" borderId="0" xfId="75" applyFont="1" applyFill="1" applyAlignment="1">
      <alignment vertical="center"/>
    </xf>
    <xf numFmtId="0" fontId="103" fillId="7" borderId="152" xfId="5" applyFont="1" applyFill="1" applyBorder="1" applyAlignment="1">
      <alignment horizontal="center" vertical="center" wrapText="1"/>
    </xf>
    <xf numFmtId="0" fontId="98" fillId="7" borderId="0" xfId="75" applyFont="1" applyFill="1" applyAlignment="1">
      <alignment vertical="center" wrapText="1"/>
    </xf>
    <xf numFmtId="0" fontId="65" fillId="7" borderId="0" xfId="76" applyFont="1" applyFill="1" applyAlignment="1">
      <alignment vertical="center"/>
    </xf>
    <xf numFmtId="0" fontId="103" fillId="7" borderId="0" xfId="5" applyFont="1" applyFill="1" applyAlignment="1">
      <alignment horizontal="center" vertical="center" wrapText="1"/>
    </xf>
    <xf numFmtId="0" fontId="110" fillId="7" borderId="0" xfId="75" applyFont="1" applyFill="1" applyAlignment="1">
      <alignment vertical="top"/>
    </xf>
    <xf numFmtId="0" fontId="26" fillId="7" borderId="0" xfId="76" quotePrefix="1" applyFont="1" applyFill="1" applyAlignment="1">
      <alignment horizontal="right" vertical="top"/>
    </xf>
    <xf numFmtId="0" fontId="65" fillId="7" borderId="150" xfId="76" applyFont="1" applyFill="1" applyBorder="1" applyAlignment="1">
      <alignment vertical="center"/>
    </xf>
    <xf numFmtId="0" fontId="65" fillId="7" borderId="0" xfId="76" applyFont="1" applyFill="1" applyAlignment="1">
      <alignment horizontal="center" vertical="center"/>
    </xf>
    <xf numFmtId="0" fontId="81" fillId="7" borderId="0" xfId="13" applyFont="1" applyFill="1" applyAlignment="1">
      <alignment horizontal="center" vertical="center"/>
    </xf>
    <xf numFmtId="0" fontId="65" fillId="7" borderId="152" xfId="76" applyFont="1" applyFill="1" applyBorder="1" applyAlignment="1">
      <alignment vertical="center"/>
    </xf>
    <xf numFmtId="0" fontId="29" fillId="7" borderId="0" xfId="76" applyFont="1" applyFill="1" applyAlignment="1">
      <alignment vertical="center"/>
    </xf>
    <xf numFmtId="0" fontId="43" fillId="7" borderId="0" xfId="76" applyFont="1" applyFill="1" applyAlignment="1">
      <alignment vertical="center" wrapText="1"/>
    </xf>
    <xf numFmtId="0" fontId="43" fillId="7" borderId="0" xfId="76" applyFont="1" applyFill="1" applyAlignment="1">
      <alignment vertical="center"/>
    </xf>
    <xf numFmtId="0" fontId="65" fillId="7" borderId="0" xfId="76" applyFont="1" applyFill="1" applyAlignment="1">
      <alignment vertical="center" wrapText="1"/>
    </xf>
    <xf numFmtId="0" fontId="22" fillId="7" borderId="152" xfId="76" applyFont="1" applyFill="1" applyBorder="1" applyAlignment="1">
      <alignment vertical="center"/>
    </xf>
    <xf numFmtId="0" fontId="81" fillId="7" borderId="0" xfId="13" applyFont="1" applyFill="1" applyAlignment="1">
      <alignment vertical="top"/>
    </xf>
    <xf numFmtId="0" fontId="0" fillId="7" borderId="0" xfId="76" applyFont="1" applyFill="1" applyAlignment="1">
      <alignment vertical="center"/>
    </xf>
    <xf numFmtId="0" fontId="113" fillId="0" borderId="0" xfId="13" applyFont="1" applyAlignment="1" applyProtection="1">
      <alignment horizontal="center" vertical="center"/>
      <protection locked="0"/>
    </xf>
    <xf numFmtId="0" fontId="110" fillId="7" borderId="0" xfId="76" applyFont="1" applyFill="1" applyAlignment="1">
      <alignment horizontal="left" vertical="top"/>
    </xf>
    <xf numFmtId="0" fontId="29" fillId="7" borderId="0" xfId="75" applyFont="1" applyFill="1"/>
    <xf numFmtId="0" fontId="0" fillId="7" borderId="0" xfId="75" applyFont="1" applyFill="1" applyAlignment="1">
      <alignment wrapText="1"/>
    </xf>
    <xf numFmtId="0" fontId="0" fillId="7" borderId="162" xfId="0" quotePrefix="1" applyFill="1" applyBorder="1" applyAlignment="1">
      <alignment horizontal="right" vertical="top" wrapText="1"/>
    </xf>
    <xf numFmtId="0" fontId="0" fillId="7" borderId="247" xfId="0" quotePrefix="1" applyFill="1" applyBorder="1" applyAlignment="1">
      <alignment horizontal="right" vertical="top" wrapText="1"/>
    </xf>
    <xf numFmtId="0" fontId="105" fillId="7" borderId="206" xfId="5" applyFont="1" applyFill="1" applyBorder="1" applyAlignment="1">
      <alignment vertical="center" wrapText="1"/>
    </xf>
    <xf numFmtId="0" fontId="105" fillId="7" borderId="163" xfId="5" applyFont="1" applyFill="1" applyBorder="1" applyAlignment="1">
      <alignment vertical="center" wrapText="1"/>
    </xf>
    <xf numFmtId="0" fontId="105" fillId="7" borderId="152" xfId="5" applyFont="1" applyFill="1" applyBorder="1" applyAlignment="1">
      <alignment vertical="center" wrapText="1"/>
    </xf>
    <xf numFmtId="0" fontId="47" fillId="7" borderId="174" xfId="13" applyFont="1" applyFill="1" applyBorder="1" applyAlignment="1">
      <alignment horizontal="center" vertical="center"/>
    </xf>
    <xf numFmtId="0" fontId="105" fillId="7" borderId="182" xfId="5" applyFont="1" applyFill="1" applyBorder="1" applyAlignment="1">
      <alignment vertical="center" wrapText="1"/>
    </xf>
    <xf numFmtId="0" fontId="22" fillId="7" borderId="150" xfId="76" applyFont="1" applyFill="1" applyBorder="1" applyAlignment="1">
      <alignment vertical="center"/>
    </xf>
    <xf numFmtId="0" fontId="0" fillId="7" borderId="0" xfId="75" quotePrefix="1" applyFont="1" applyFill="1" applyAlignment="1">
      <alignment horizontal="right"/>
    </xf>
    <xf numFmtId="0" fontId="22" fillId="7" borderId="175" xfId="76" applyFont="1" applyFill="1" applyBorder="1" applyAlignment="1">
      <alignment horizontal="center" vertical="center"/>
    </xf>
    <xf numFmtId="0" fontId="0" fillId="7" borderId="175" xfId="75" quotePrefix="1" applyFont="1" applyFill="1" applyBorder="1" applyAlignment="1">
      <alignment horizontal="right" vertical="top"/>
    </xf>
    <xf numFmtId="0" fontId="0" fillId="7" borderId="175" xfId="75" applyFont="1" applyFill="1" applyBorder="1" applyAlignment="1">
      <alignment vertical="top" wrapText="1"/>
    </xf>
    <xf numFmtId="0" fontId="22" fillId="7" borderId="175" xfId="76" applyFont="1" applyFill="1" applyBorder="1" applyAlignment="1">
      <alignment vertical="center"/>
    </xf>
    <xf numFmtId="0" fontId="0" fillId="7" borderId="158" xfId="0" quotePrefix="1" applyFill="1" applyBorder="1" applyAlignment="1">
      <alignment horizontal="right" vertical="top" wrapText="1"/>
    </xf>
    <xf numFmtId="0" fontId="0" fillId="7" borderId="247" xfId="0" quotePrefix="1" applyFill="1" applyBorder="1" applyAlignment="1">
      <alignment horizontal="right" vertical="center" wrapText="1"/>
    </xf>
    <xf numFmtId="0" fontId="0" fillId="7" borderId="208" xfId="0" quotePrefix="1" applyFill="1" applyBorder="1" applyAlignment="1">
      <alignment horizontal="right" vertical="top" wrapText="1"/>
    </xf>
    <xf numFmtId="0" fontId="0" fillId="7" borderId="0" xfId="0" quotePrefix="1" applyFill="1" applyAlignment="1">
      <alignment horizontal="right" vertical="center" wrapText="1"/>
    </xf>
    <xf numFmtId="0" fontId="0" fillId="7" borderId="0" xfId="0" quotePrefix="1" applyFill="1" applyAlignment="1">
      <alignment horizontal="right" vertical="top" wrapText="1"/>
    </xf>
    <xf numFmtId="0" fontId="0" fillId="7" borderId="0" xfId="0" quotePrefix="1" applyFill="1" applyAlignment="1">
      <alignment vertical="top" wrapText="1"/>
    </xf>
    <xf numFmtId="0" fontId="26" fillId="7" borderId="0" xfId="75" quotePrefix="1" applyFont="1" applyFill="1" applyAlignment="1">
      <alignment horizontal="right" vertical="top"/>
    </xf>
    <xf numFmtId="0" fontId="0" fillId="7" borderId="0" xfId="75" applyFont="1" applyFill="1" applyAlignment="1">
      <alignment horizontal="center" vertical="center" wrapText="1"/>
    </xf>
    <xf numFmtId="0" fontId="0" fillId="7" borderId="0" xfId="77" applyFont="1" applyFill="1" applyAlignment="1">
      <alignment vertical="center"/>
    </xf>
    <xf numFmtId="0" fontId="88" fillId="0" borderId="246" xfId="13" applyFont="1" applyBorder="1" applyAlignment="1" applyProtection="1">
      <alignment horizontal="center" vertical="center"/>
      <protection locked="0"/>
    </xf>
    <xf numFmtId="0" fontId="88" fillId="0" borderId="150" xfId="13" applyFont="1" applyBorder="1" applyAlignment="1" applyProtection="1">
      <alignment horizontal="center" vertical="center"/>
      <protection locked="0"/>
    </xf>
    <xf numFmtId="0" fontId="110" fillId="7" borderId="0" xfId="75" applyFont="1" applyFill="1" applyAlignment="1">
      <alignment vertical="center"/>
    </xf>
    <xf numFmtId="0" fontId="23" fillId="7" borderId="0" xfId="75" applyFont="1" applyFill="1" applyAlignment="1">
      <alignment vertical="center"/>
    </xf>
    <xf numFmtId="0" fontId="76" fillId="7" borderId="150" xfId="83" applyFont="1" applyFill="1" applyBorder="1" applyAlignment="1">
      <alignment vertical="center"/>
    </xf>
    <xf numFmtId="0" fontId="76" fillId="7" borderId="0" xfId="83" applyFont="1" applyFill="1" applyAlignment="1">
      <alignment vertical="center"/>
    </xf>
    <xf numFmtId="0" fontId="76" fillId="7" borderId="152" xfId="83" applyFont="1" applyFill="1" applyBorder="1" applyAlignment="1">
      <alignment vertical="center"/>
    </xf>
    <xf numFmtId="0" fontId="29" fillId="7" borderId="174" xfId="83" applyFont="1" applyFill="1" applyBorder="1" applyAlignment="1">
      <alignment horizontal="center" vertical="center"/>
    </xf>
    <xf numFmtId="0" fontId="0" fillId="7" borderId="175" xfId="0" quotePrefix="1" applyFill="1" applyBorder="1" applyAlignment="1">
      <alignment horizontal="right" vertical="top" wrapText="1"/>
    </xf>
    <xf numFmtId="0" fontId="0" fillId="7" borderId="175" xfId="0" quotePrefix="1" applyFill="1" applyBorder="1" applyAlignment="1">
      <alignment vertical="top" wrapText="1"/>
    </xf>
    <xf numFmtId="0" fontId="76" fillId="7" borderId="175" xfId="83" applyFont="1" applyFill="1" applyBorder="1" applyAlignment="1">
      <alignment vertical="center"/>
    </xf>
    <xf numFmtId="0" fontId="76" fillId="7" borderId="182" xfId="83" applyFont="1" applyFill="1" applyBorder="1" applyAlignment="1">
      <alignment vertical="center"/>
    </xf>
    <xf numFmtId="0" fontId="29" fillId="7" borderId="0" xfId="83" applyFont="1" applyFill="1" applyAlignment="1">
      <alignment horizontal="center" vertical="center"/>
    </xf>
    <xf numFmtId="0" fontId="22" fillId="7" borderId="0" xfId="83" applyFont="1" applyFill="1" applyAlignment="1">
      <alignment vertical="center"/>
    </xf>
    <xf numFmtId="0" fontId="22" fillId="7" borderId="0" xfId="83" applyFont="1" applyFill="1" applyAlignment="1">
      <alignment vertical="center" wrapText="1"/>
    </xf>
    <xf numFmtId="0" fontId="26" fillId="7" borderId="0" xfId="85" quotePrefix="1" applyFont="1" applyFill="1" applyAlignment="1">
      <alignment horizontal="right" vertical="top"/>
    </xf>
    <xf numFmtId="0" fontId="22" fillId="7" borderId="0" xfId="85" applyFont="1" applyFill="1" applyAlignment="1">
      <alignment vertical="center"/>
    </xf>
    <xf numFmtId="0" fontId="26" fillId="7" borderId="0" xfId="85" applyFont="1" applyFill="1" applyAlignment="1">
      <alignment horizontal="justify" vertical="top" wrapText="1"/>
    </xf>
    <xf numFmtId="0" fontId="0" fillId="7" borderId="0" xfId="83" quotePrefix="1" applyFont="1" applyFill="1" applyAlignment="1">
      <alignment horizontal="right" vertical="top"/>
    </xf>
    <xf numFmtId="0" fontId="0" fillId="7" borderId="0" xfId="83" applyFont="1" applyFill="1" applyAlignment="1">
      <alignment vertical="center" wrapText="1"/>
    </xf>
    <xf numFmtId="0" fontId="0" fillId="7" borderId="0" xfId="83" applyFont="1" applyFill="1" applyAlignment="1">
      <alignment vertical="top" wrapText="1"/>
    </xf>
    <xf numFmtId="0" fontId="0" fillId="7" borderId="152" xfId="83" applyFont="1" applyFill="1" applyBorder="1" applyAlignment="1">
      <alignment vertical="top" wrapText="1"/>
    </xf>
    <xf numFmtId="0" fontId="0" fillId="7" borderId="0" xfId="84" applyFont="1" applyFill="1" applyAlignment="1">
      <alignment vertical="center" wrapText="1"/>
    </xf>
    <xf numFmtId="0" fontId="0" fillId="7" borderId="152" xfId="84" applyFont="1" applyFill="1" applyBorder="1" applyAlignment="1">
      <alignment vertical="center" wrapText="1"/>
    </xf>
    <xf numFmtId="0" fontId="0" fillId="7" borderId="0" xfId="83" quotePrefix="1" applyFont="1" applyFill="1" applyAlignment="1">
      <alignment vertical="top"/>
    </xf>
    <xf numFmtId="0" fontId="29" fillId="7" borderId="150" xfId="83" quotePrefix="1" applyFont="1" applyFill="1" applyBorder="1" applyAlignment="1">
      <alignment horizontal="right" vertical="center"/>
    </xf>
    <xf numFmtId="0" fontId="0" fillId="7" borderId="157" xfId="0" quotePrefix="1" applyFill="1" applyBorder="1" applyAlignment="1">
      <alignment horizontal="right" vertical="top" wrapText="1"/>
    </xf>
    <xf numFmtId="0" fontId="29" fillId="7" borderId="150" xfId="83" applyFont="1" applyFill="1" applyBorder="1" applyAlignment="1">
      <alignment vertical="center"/>
    </xf>
    <xf numFmtId="0" fontId="0" fillId="7" borderId="150" xfId="0" quotePrefix="1" applyFill="1" applyBorder="1" applyAlignment="1">
      <alignment vertical="top" wrapText="1"/>
    </xf>
    <xf numFmtId="0" fontId="0" fillId="7" borderId="5" xfId="0" quotePrefix="1" applyFill="1" applyBorder="1" applyAlignment="1">
      <alignment horizontal="right" vertical="top" wrapText="1"/>
    </xf>
    <xf numFmtId="0" fontId="0" fillId="7" borderId="150" xfId="0" quotePrefix="1" applyFill="1" applyBorder="1" applyAlignment="1">
      <alignment horizontal="right" vertical="top" wrapText="1"/>
    </xf>
    <xf numFmtId="0" fontId="0" fillId="7" borderId="174" xfId="0" quotePrefix="1" applyFill="1" applyBorder="1" applyAlignment="1">
      <alignment horizontal="right" vertical="top" wrapText="1"/>
    </xf>
    <xf numFmtId="0" fontId="0" fillId="7" borderId="152" xfId="83" applyFont="1" applyFill="1" applyBorder="1" applyAlignment="1">
      <alignment vertical="center" wrapText="1"/>
    </xf>
    <xf numFmtId="0" fontId="0" fillId="7" borderId="0" xfId="75" applyFont="1" applyFill="1"/>
    <xf numFmtId="0" fontId="43" fillId="7" borderId="0" xfId="83" applyFont="1" applyFill="1" applyAlignment="1">
      <alignment vertical="center"/>
    </xf>
    <xf numFmtId="0" fontId="29" fillId="7" borderId="144" xfId="83" quotePrefix="1" applyFont="1" applyFill="1" applyBorder="1" applyAlignment="1">
      <alignment horizontal="right" vertical="center"/>
    </xf>
    <xf numFmtId="0" fontId="76" fillId="7" borderId="145" xfId="83" applyFont="1" applyFill="1" applyBorder="1" applyAlignment="1">
      <alignment vertical="center"/>
    </xf>
    <xf numFmtId="0" fontId="29" fillId="7" borderId="145" xfId="83" applyFont="1" applyFill="1" applyBorder="1" applyAlignment="1">
      <alignment vertical="center" wrapText="1"/>
    </xf>
    <xf numFmtId="0" fontId="76" fillId="7" borderId="198" xfId="83" applyFont="1" applyFill="1" applyBorder="1" applyAlignment="1">
      <alignment vertical="center"/>
    </xf>
    <xf numFmtId="0" fontId="0" fillId="7" borderId="0" xfId="0" quotePrefix="1" applyFill="1" applyAlignment="1">
      <alignment vertical="center" wrapText="1"/>
    </xf>
    <xf numFmtId="0" fontId="22" fillId="7" borderId="32" xfId="0" applyFont="1" applyFill="1" applyBorder="1" applyAlignment="1">
      <alignment vertical="center"/>
    </xf>
    <xf numFmtId="0" fontId="22" fillId="7" borderId="32" xfId="75" applyFont="1" applyFill="1" applyBorder="1" applyAlignment="1">
      <alignment vertical="center"/>
    </xf>
    <xf numFmtId="0" fontId="76" fillId="7" borderId="32" xfId="75" applyFont="1" applyFill="1" applyBorder="1" applyAlignment="1">
      <alignment vertical="center"/>
    </xf>
    <xf numFmtId="0" fontId="29" fillId="7" borderId="0" xfId="76" applyFont="1" applyFill="1" applyAlignment="1">
      <alignment horizontal="center" vertical="center"/>
    </xf>
    <xf numFmtId="0" fontId="22" fillId="7" borderId="0" xfId="76" applyFont="1" applyFill="1" applyAlignment="1">
      <alignment vertical="center" wrapText="1"/>
    </xf>
    <xf numFmtId="0" fontId="22" fillId="7" borderId="32" xfId="0" applyFont="1" applyFill="1" applyBorder="1"/>
    <xf numFmtId="0" fontId="0" fillId="7" borderId="162" xfId="0" quotePrefix="1" applyFill="1" applyBorder="1" applyAlignment="1">
      <alignment horizontal="right" vertical="center" wrapText="1"/>
    </xf>
    <xf numFmtId="0" fontId="0" fillId="7" borderId="0" xfId="76" quotePrefix="1" applyFont="1" applyFill="1" applyAlignment="1">
      <alignment horizontal="right" vertical="center"/>
    </xf>
    <xf numFmtId="0" fontId="22" fillId="7" borderId="32" xfId="76" applyFont="1" applyFill="1" applyBorder="1" applyAlignment="1">
      <alignment vertical="center"/>
    </xf>
    <xf numFmtId="0" fontId="29" fillId="7" borderId="150" xfId="76" applyFont="1" applyFill="1" applyBorder="1" applyAlignment="1">
      <alignment horizontal="center" vertical="center"/>
    </xf>
    <xf numFmtId="0" fontId="29" fillId="7" borderId="0" xfId="76" applyFont="1" applyFill="1" applyAlignment="1">
      <alignment horizontal="right" vertical="center"/>
    </xf>
    <xf numFmtId="0" fontId="22" fillId="7" borderId="0" xfId="76" quotePrefix="1" applyFont="1" applyFill="1" applyAlignment="1">
      <alignment horizontal="right" vertical="center"/>
    </xf>
    <xf numFmtId="0" fontId="22" fillId="7" borderId="174" xfId="76" applyFont="1" applyFill="1" applyBorder="1" applyAlignment="1">
      <alignment horizontal="center" vertical="center"/>
    </xf>
    <xf numFmtId="0" fontId="22" fillId="7" borderId="175" xfId="76" quotePrefix="1" applyFont="1" applyFill="1" applyBorder="1" applyAlignment="1">
      <alignment horizontal="right" vertical="center"/>
    </xf>
    <xf numFmtId="0" fontId="0" fillId="7" borderId="175" xfId="77" applyFont="1" applyFill="1" applyBorder="1" applyAlignment="1">
      <alignment vertical="center"/>
    </xf>
    <xf numFmtId="0" fontId="22" fillId="7" borderId="175" xfId="77" applyFont="1" applyFill="1" applyBorder="1" applyAlignment="1">
      <alignment vertical="center"/>
    </xf>
    <xf numFmtId="0" fontId="22" fillId="7" borderId="182" xfId="76" applyFont="1" applyFill="1" applyBorder="1" applyAlignment="1">
      <alignment vertical="center"/>
    </xf>
    <xf numFmtId="0" fontId="67" fillId="7" borderId="144" xfId="75" applyFont="1" applyFill="1" applyBorder="1" applyAlignment="1">
      <alignment vertical="center"/>
    </xf>
    <xf numFmtId="0" fontId="76" fillId="7" borderId="145" xfId="75" applyFont="1" applyFill="1" applyBorder="1" applyAlignment="1">
      <alignment vertical="center"/>
    </xf>
    <xf numFmtId="0" fontId="0" fillId="7" borderId="32" xfId="75" applyFont="1" applyFill="1" applyBorder="1" applyAlignment="1">
      <alignment vertical="top" wrapText="1"/>
    </xf>
    <xf numFmtId="0" fontId="80" fillId="7" borderId="0" xfId="0" applyFont="1" applyFill="1" applyAlignment="1">
      <alignment vertical="center"/>
    </xf>
    <xf numFmtId="0" fontId="81" fillId="7" borderId="0" xfId="0" applyFont="1" applyFill="1" applyAlignment="1">
      <alignment vertical="center"/>
    </xf>
    <xf numFmtId="0" fontId="80" fillId="7" borderId="152" xfId="0" applyFont="1" applyFill="1" applyBorder="1" applyAlignment="1">
      <alignment vertical="center"/>
    </xf>
    <xf numFmtId="0" fontId="22" fillId="7" borderId="0" xfId="0" applyFont="1" applyFill="1" applyAlignment="1">
      <alignment horizontal="right" vertical="center"/>
    </xf>
    <xf numFmtId="0" fontId="22" fillId="7" borderId="246" xfId="0" applyFont="1" applyFill="1" applyBorder="1" applyAlignment="1">
      <alignment vertical="center"/>
    </xf>
    <xf numFmtId="0" fontId="0" fillId="7" borderId="205" xfId="0" applyFill="1" applyBorder="1" applyAlignment="1">
      <alignment vertical="center"/>
    </xf>
    <xf numFmtId="0" fontId="22" fillId="7" borderId="205" xfId="0" applyFont="1" applyFill="1" applyBorder="1" applyAlignment="1">
      <alignment vertical="center"/>
    </xf>
    <xf numFmtId="0" fontId="22" fillId="7" borderId="224" xfId="0" applyFont="1" applyFill="1" applyBorder="1" applyAlignment="1">
      <alignment vertical="center"/>
    </xf>
    <xf numFmtId="0" fontId="0" fillId="7" borderId="208" xfId="0" applyFill="1" applyBorder="1" applyAlignment="1">
      <alignment vertical="center"/>
    </xf>
    <xf numFmtId="0" fontId="22" fillId="7" borderId="208" xfId="0" applyFont="1" applyFill="1" applyBorder="1" applyAlignment="1">
      <alignment vertical="center"/>
    </xf>
    <xf numFmtId="0" fontId="22" fillId="7" borderId="223" xfId="0" applyFont="1" applyFill="1" applyBorder="1" applyAlignment="1">
      <alignment vertical="center"/>
    </xf>
    <xf numFmtId="0" fontId="0" fillId="7" borderId="0" xfId="0" quotePrefix="1" applyFill="1" applyAlignment="1">
      <alignment horizontal="right" vertical="top"/>
    </xf>
    <xf numFmtId="0" fontId="0" fillId="7" borderId="0" xfId="0" applyFill="1" applyAlignment="1">
      <alignment vertical="top" wrapText="1"/>
    </xf>
    <xf numFmtId="0" fontId="29" fillId="7" borderId="152" xfId="0" applyFont="1" applyFill="1" applyBorder="1" applyAlignment="1">
      <alignment vertical="center"/>
    </xf>
    <xf numFmtId="0" fontId="22" fillId="7" borderId="152" xfId="0" applyFont="1" applyFill="1" applyBorder="1" applyAlignment="1">
      <alignment vertical="center"/>
    </xf>
    <xf numFmtId="0" fontId="76" fillId="7" borderId="198" xfId="75" applyFont="1" applyFill="1" applyBorder="1" applyAlignment="1">
      <alignment vertical="center"/>
    </xf>
    <xf numFmtId="0" fontId="29" fillId="7" borderId="175" xfId="75" applyFont="1" applyFill="1" applyBorder="1" applyAlignment="1">
      <alignment horizontal="center" vertical="center" wrapText="1"/>
    </xf>
    <xf numFmtId="0" fontId="29" fillId="7" borderId="150" xfId="75" applyFont="1" applyFill="1" applyBorder="1" applyAlignment="1">
      <alignment horizontal="center" vertical="center"/>
    </xf>
    <xf numFmtId="0" fontId="22" fillId="7" borderId="174" xfId="75" applyFont="1" applyFill="1" applyBorder="1" applyAlignment="1">
      <alignment vertical="center"/>
    </xf>
    <xf numFmtId="0" fontId="22" fillId="7" borderId="150" xfId="0" quotePrefix="1" applyFont="1" applyFill="1" applyBorder="1" applyAlignment="1">
      <alignment horizontal="right" vertical="center"/>
    </xf>
    <xf numFmtId="0" fontId="22" fillId="7" borderId="162" xfId="0" quotePrefix="1" applyFont="1" applyFill="1" applyBorder="1" applyAlignment="1">
      <alignment horizontal="right" vertical="center"/>
    </xf>
    <xf numFmtId="0" fontId="22" fillId="7" borderId="163" xfId="0" applyFont="1" applyFill="1" applyBorder="1" applyAlignment="1">
      <alignment vertical="center"/>
    </xf>
    <xf numFmtId="0" fontId="22" fillId="7" borderId="157" xfId="0" quotePrefix="1" applyFont="1" applyFill="1" applyBorder="1" applyAlignment="1">
      <alignment horizontal="right" vertical="center"/>
    </xf>
    <xf numFmtId="0" fontId="22" fillId="7" borderId="154" xfId="0" applyFont="1" applyFill="1" applyBorder="1" applyAlignment="1">
      <alignment vertical="center"/>
    </xf>
    <xf numFmtId="0" fontId="22" fillId="7" borderId="162" xfId="0" quotePrefix="1" applyFont="1" applyFill="1" applyBorder="1" applyAlignment="1">
      <alignment horizontal="right" vertical="top"/>
    </xf>
    <xf numFmtId="0" fontId="22" fillId="7" borderId="163" xfId="0" applyFont="1" applyFill="1" applyBorder="1" applyAlignment="1">
      <alignment vertical="center" wrapText="1"/>
    </xf>
    <xf numFmtId="0" fontId="22" fillId="7" borderId="246" xfId="0" quotePrefix="1" applyFont="1" applyFill="1" applyBorder="1" applyAlignment="1">
      <alignment horizontal="right" vertical="center"/>
    </xf>
    <xf numFmtId="0" fontId="22" fillId="7" borderId="206" xfId="0" applyFont="1" applyFill="1" applyBorder="1" applyAlignment="1">
      <alignment vertical="center"/>
    </xf>
    <xf numFmtId="0" fontId="22" fillId="7" borderId="150" xfId="77" applyFont="1" applyFill="1" applyBorder="1" applyAlignment="1">
      <alignment vertical="center"/>
    </xf>
    <xf numFmtId="0" fontId="0" fillId="7" borderId="150" xfId="75" applyFont="1" applyFill="1" applyBorder="1" applyAlignment="1">
      <alignment vertical="top" wrapText="1"/>
    </xf>
    <xf numFmtId="0" fontId="29" fillId="7" borderId="150" xfId="75" applyFont="1" applyFill="1" applyBorder="1" applyAlignment="1">
      <alignment vertical="center" wrapText="1"/>
    </xf>
    <xf numFmtId="0" fontId="22" fillId="7" borderId="0" xfId="0" quotePrefix="1" applyFont="1" applyFill="1" applyAlignment="1">
      <alignment vertical="center"/>
    </xf>
    <xf numFmtId="0" fontId="108" fillId="7" borderId="0" xfId="5" applyFont="1" applyFill="1" applyAlignment="1">
      <alignment vertical="top"/>
    </xf>
    <xf numFmtId="0" fontId="0" fillId="7" borderId="0" xfId="77" applyFont="1" applyFill="1" applyAlignment="1">
      <alignment vertical="top" wrapText="1"/>
    </xf>
    <xf numFmtId="0" fontId="0" fillId="7" borderId="150" xfId="77" applyFont="1" applyFill="1" applyBorder="1" applyAlignment="1">
      <alignment vertical="top" wrapText="1"/>
    </xf>
    <xf numFmtId="0" fontId="0" fillId="7" borderId="158" xfId="0" quotePrefix="1" applyFill="1" applyBorder="1" applyAlignment="1">
      <alignment horizontal="right" vertical="center" wrapText="1"/>
    </xf>
    <xf numFmtId="0" fontId="22" fillId="7" borderId="6" xfId="0" quotePrefix="1" applyFont="1" applyFill="1" applyBorder="1" applyAlignment="1">
      <alignment vertical="center"/>
    </xf>
    <xf numFmtId="0" fontId="22" fillId="7" borderId="16" xfId="0" quotePrefix="1" applyFont="1" applyFill="1" applyBorder="1" applyAlignment="1">
      <alignment vertical="top"/>
    </xf>
    <xf numFmtId="0" fontId="22" fillId="7" borderId="208" xfId="0" quotePrefix="1" applyFont="1" applyFill="1" applyBorder="1" applyAlignment="1">
      <alignment vertical="center"/>
    </xf>
    <xf numFmtId="0" fontId="76" fillId="7" borderId="144" xfId="75" applyFont="1" applyFill="1" applyBorder="1" applyAlignment="1">
      <alignment vertical="center"/>
    </xf>
    <xf numFmtId="0" fontId="29" fillId="7" borderId="145" xfId="75" quotePrefix="1" applyFont="1" applyFill="1" applyBorder="1" applyAlignment="1">
      <alignment horizontal="right" vertical="center"/>
    </xf>
    <xf numFmtId="0" fontId="110" fillId="7" borderId="175" xfId="75" applyFont="1" applyFill="1" applyBorder="1" applyAlignment="1">
      <alignment vertical="top"/>
    </xf>
    <xf numFmtId="0" fontId="26" fillId="7" borderId="0" xfId="76" applyFont="1" applyFill="1" applyAlignment="1">
      <alignment vertical="top" wrapText="1"/>
    </xf>
    <xf numFmtId="0" fontId="22" fillId="7" borderId="150" xfId="76" applyFont="1" applyFill="1" applyBorder="1" applyAlignment="1">
      <alignment vertical="center" wrapText="1"/>
    </xf>
    <xf numFmtId="0" fontId="103" fillId="7" borderId="0" xfId="5" applyFont="1" applyFill="1" applyAlignment="1">
      <alignment horizontal="center" vertical="center"/>
    </xf>
    <xf numFmtId="0" fontId="29" fillId="7" borderId="22" xfId="75" applyFont="1" applyFill="1" applyBorder="1" applyAlignment="1">
      <alignment horizontal="center" vertical="center"/>
    </xf>
    <xf numFmtId="0" fontId="47" fillId="7" borderId="9" xfId="13" applyFont="1" applyFill="1" applyBorder="1" applyAlignment="1">
      <alignment horizontal="center" vertical="center"/>
    </xf>
    <xf numFmtId="0" fontId="22" fillId="7" borderId="9" xfId="75" applyFont="1" applyFill="1" applyBorder="1" applyAlignment="1">
      <alignment vertical="center"/>
    </xf>
    <xf numFmtId="0" fontId="22" fillId="7" borderId="9" xfId="75" applyFont="1" applyFill="1" applyBorder="1" applyAlignment="1">
      <alignment vertical="center" wrapText="1"/>
    </xf>
    <xf numFmtId="0" fontId="76" fillId="7" borderId="9" xfId="75" applyFont="1" applyFill="1" applyBorder="1" applyAlignment="1">
      <alignment vertical="center"/>
    </xf>
    <xf numFmtId="0" fontId="76" fillId="7" borderId="10" xfId="75" applyFont="1" applyFill="1" applyBorder="1" applyAlignment="1">
      <alignment vertical="center"/>
    </xf>
    <xf numFmtId="0" fontId="22" fillId="7" borderId="61" xfId="0" applyFont="1" applyFill="1" applyBorder="1"/>
    <xf numFmtId="0" fontId="22" fillId="7" borderId="174" xfId="0" applyFont="1" applyFill="1" applyBorder="1" applyAlignment="1">
      <alignment horizontal="right"/>
    </xf>
    <xf numFmtId="0" fontId="110" fillId="7" borderId="175" xfId="0" applyFont="1" applyFill="1" applyBorder="1" applyAlignment="1">
      <alignment vertical="top"/>
    </xf>
    <xf numFmtId="0" fontId="22" fillId="7" borderId="182" xfId="0" applyFont="1" applyFill="1" applyBorder="1" applyAlignment="1">
      <alignment vertical="center"/>
    </xf>
    <xf numFmtId="0" fontId="0" fillId="7" borderId="5" xfId="0" applyFill="1" applyBorder="1" applyAlignment="1">
      <alignment vertical="center"/>
    </xf>
    <xf numFmtId="0" fontId="22" fillId="7" borderId="5" xfId="0" applyFont="1" applyFill="1" applyBorder="1" applyAlignment="1">
      <alignment vertical="center"/>
    </xf>
    <xf numFmtId="0" fontId="22" fillId="7" borderId="158" xfId="0" quotePrefix="1" applyFont="1" applyFill="1" applyBorder="1" applyAlignment="1">
      <alignment horizontal="right" vertical="center"/>
    </xf>
    <xf numFmtId="0" fontId="22" fillId="7" borderId="153" xfId="0" applyFont="1" applyFill="1" applyBorder="1" applyAlignment="1">
      <alignment vertical="center"/>
    </xf>
    <xf numFmtId="0" fontId="29" fillId="7" borderId="190" xfId="0" applyFont="1" applyFill="1" applyBorder="1" applyAlignment="1">
      <alignment vertical="center"/>
    </xf>
    <xf numFmtId="0" fontId="29" fillId="7" borderId="148" xfId="0" applyFont="1" applyFill="1" applyBorder="1" applyAlignment="1">
      <alignment vertical="center"/>
    </xf>
    <xf numFmtId="0" fontId="29" fillId="7" borderId="149" xfId="0" applyFont="1" applyFill="1" applyBorder="1" applyAlignment="1">
      <alignment vertical="center"/>
    </xf>
    <xf numFmtId="0" fontId="29" fillId="7" borderId="190" xfId="0" applyFont="1" applyFill="1" applyBorder="1" applyAlignment="1">
      <alignment horizontal="center" vertical="center" wrapText="1"/>
    </xf>
    <xf numFmtId="0" fontId="22" fillId="7" borderId="155" xfId="0" applyFont="1" applyFill="1" applyBorder="1" applyAlignment="1">
      <alignment horizontal="right"/>
    </xf>
    <xf numFmtId="0" fontId="22" fillId="7" borderId="9" xfId="0" applyFont="1" applyFill="1" applyBorder="1" applyAlignment="1">
      <alignment vertical="center"/>
    </xf>
    <xf numFmtId="0" fontId="110" fillId="7" borderId="9" xfId="0" applyFont="1" applyFill="1" applyBorder="1" applyAlignment="1">
      <alignment vertical="top"/>
    </xf>
    <xf numFmtId="0" fontId="22" fillId="7" borderId="156" xfId="0" applyFont="1" applyFill="1" applyBorder="1" applyAlignment="1">
      <alignment vertical="center"/>
    </xf>
    <xf numFmtId="0" fontId="29" fillId="7" borderId="32" xfId="75" applyFont="1" applyFill="1" applyBorder="1" applyAlignment="1">
      <alignment vertical="center"/>
    </xf>
    <xf numFmtId="0" fontId="22" fillId="7" borderId="61" xfId="75" applyFont="1" applyFill="1" applyBorder="1" applyAlignment="1">
      <alignment vertical="center"/>
    </xf>
    <xf numFmtId="0" fontId="22" fillId="7" borderId="61" xfId="75" applyFont="1" applyFill="1" applyBorder="1" applyAlignment="1">
      <alignment vertical="center" wrapText="1"/>
    </xf>
    <xf numFmtId="0" fontId="29" fillId="7" borderId="32" xfId="75" quotePrefix="1" applyFont="1" applyFill="1" applyBorder="1" applyAlignment="1">
      <alignment horizontal="right" vertical="center"/>
    </xf>
    <xf numFmtId="0" fontId="29" fillId="7" borderId="61" xfId="75" applyFont="1" applyFill="1" applyBorder="1" applyAlignment="1">
      <alignment vertical="center" wrapText="1"/>
    </xf>
    <xf numFmtId="0" fontId="29" fillId="7" borderId="48" xfId="75" quotePrefix="1" applyFont="1" applyFill="1" applyBorder="1" applyAlignment="1">
      <alignment horizontal="right" vertical="center"/>
    </xf>
    <xf numFmtId="0" fontId="29" fillId="7" borderId="49" xfId="75" applyFont="1" applyFill="1" applyBorder="1" applyAlignment="1">
      <alignment vertical="center" wrapText="1"/>
    </xf>
    <xf numFmtId="0" fontId="29" fillId="7" borderId="52" xfId="75" applyFont="1" applyFill="1" applyBorder="1" applyAlignment="1">
      <alignment vertical="center" wrapText="1"/>
    </xf>
    <xf numFmtId="0" fontId="29" fillId="7" borderId="61" xfId="75" applyFont="1" applyFill="1" applyBorder="1" applyAlignment="1">
      <alignment horizontal="justify" vertical="center" wrapText="1"/>
    </xf>
    <xf numFmtId="0" fontId="22" fillId="7" borderId="150" xfId="0" quotePrefix="1" applyFont="1" applyFill="1" applyBorder="1" applyAlignment="1">
      <alignment horizontal="left" vertical="center" indent="1"/>
    </xf>
    <xf numFmtId="0" fontId="22" fillId="7" borderId="15" xfId="0" quotePrefix="1" applyFont="1" applyFill="1" applyBorder="1" applyAlignment="1">
      <alignment vertical="center" wrapText="1"/>
    </xf>
    <xf numFmtId="0" fontId="22" fillId="7" borderId="16" xfId="0" quotePrefix="1" applyFont="1" applyFill="1" applyBorder="1" applyAlignment="1">
      <alignment vertical="center" wrapText="1"/>
    </xf>
    <xf numFmtId="0" fontId="22" fillId="7" borderId="16" xfId="0" quotePrefix="1" applyFont="1" applyFill="1" applyBorder="1" applyAlignment="1">
      <alignment vertical="top" wrapText="1"/>
    </xf>
    <xf numFmtId="0" fontId="110" fillId="7" borderId="9" xfId="0" applyFont="1" applyFill="1" applyBorder="1" applyAlignment="1">
      <alignment vertical="center"/>
    </xf>
    <xf numFmtId="0" fontId="22" fillId="7" borderId="6" xfId="0" quotePrefix="1" applyFont="1" applyFill="1" applyBorder="1" applyAlignment="1">
      <alignment vertical="center" wrapText="1"/>
    </xf>
    <xf numFmtId="0" fontId="0" fillId="7" borderId="16" xfId="0" quotePrefix="1" applyFill="1" applyBorder="1" applyAlignment="1">
      <alignment vertical="center" wrapText="1"/>
    </xf>
    <xf numFmtId="0" fontId="22" fillId="7" borderId="0" xfId="76" applyFont="1" applyFill="1" applyAlignment="1">
      <alignment horizontal="center" vertical="center"/>
    </xf>
    <xf numFmtId="0" fontId="0" fillId="7" borderId="150" xfId="77" applyFont="1" applyFill="1" applyBorder="1" applyAlignment="1">
      <alignment vertical="center"/>
    </xf>
    <xf numFmtId="0" fontId="0" fillId="7" borderId="0" xfId="77" quotePrefix="1" applyFont="1" applyFill="1" applyAlignment="1">
      <alignment vertical="center"/>
    </xf>
    <xf numFmtId="0" fontId="0" fillId="7" borderId="150" xfId="0" applyFill="1" applyBorder="1" applyAlignment="1">
      <alignment vertical="top" wrapText="1"/>
    </xf>
    <xf numFmtId="0" fontId="88" fillId="0" borderId="0" xfId="77" applyFont="1" applyAlignment="1" applyProtection="1">
      <alignment vertical="center"/>
      <protection locked="0"/>
    </xf>
    <xf numFmtId="0" fontId="22" fillId="7" borderId="175" xfId="29" quotePrefix="1" applyFont="1" applyFill="1" applyBorder="1" applyAlignment="1">
      <alignment horizontal="right"/>
    </xf>
    <xf numFmtId="0" fontId="29" fillId="7" borderId="0" xfId="23" quotePrefix="1" applyFont="1" applyFill="1" applyAlignment="1">
      <alignment horizontal="right" vertical="top" wrapText="1"/>
    </xf>
    <xf numFmtId="0" fontId="29" fillId="7" borderId="0" xfId="23" applyFont="1" applyFill="1" applyAlignment="1">
      <alignment vertical="top" wrapText="1"/>
    </xf>
    <xf numFmtId="0" fontId="22" fillId="7" borderId="0" xfId="23" applyFill="1" applyAlignment="1">
      <alignment vertical="top" wrapText="1"/>
    </xf>
    <xf numFmtId="0" fontId="35" fillId="7" borderId="0" xfId="36" quotePrefix="1" applyFont="1" applyFill="1" applyAlignment="1">
      <alignment horizontal="right" vertical="top" wrapText="1"/>
    </xf>
    <xf numFmtId="0" fontId="32" fillId="7" borderId="0" xfId="36" applyFont="1" applyFill="1" applyAlignment="1">
      <alignment wrapText="1"/>
    </xf>
    <xf numFmtId="0" fontId="22" fillId="7" borderId="0" xfId="29" quotePrefix="1" applyFont="1" applyFill="1" applyAlignment="1">
      <alignment horizontal="right"/>
    </xf>
    <xf numFmtId="0" fontId="22" fillId="7" borderId="0" xfId="25" applyFill="1" applyAlignment="1">
      <alignment horizontal="justify" vertical="top" wrapText="1"/>
    </xf>
    <xf numFmtId="0" fontId="22" fillId="7" borderId="152" xfId="29" applyFont="1" applyFill="1" applyBorder="1" applyAlignment="1">
      <alignment vertical="center"/>
    </xf>
    <xf numFmtId="0" fontId="0" fillId="7" borderId="0" xfId="82" quotePrefix="1" applyFont="1" applyFill="1" applyAlignment="1">
      <alignment horizontal="right" vertical="top"/>
    </xf>
    <xf numFmtId="0" fontId="29" fillId="7" borderId="150" xfId="29" applyFont="1" applyFill="1" applyBorder="1" applyAlignment="1">
      <alignment vertical="center"/>
    </xf>
    <xf numFmtId="0" fontId="29" fillId="7" borderId="152" xfId="29" applyFont="1" applyFill="1" applyBorder="1" applyAlignment="1">
      <alignment vertical="center"/>
    </xf>
    <xf numFmtId="0" fontId="29" fillId="7" borderId="0" xfId="36" applyFont="1" applyFill="1" applyAlignment="1">
      <alignment horizontal="center" vertical="center"/>
    </xf>
    <xf numFmtId="0" fontId="60" fillId="7" borderId="0" xfId="13" applyFont="1" applyFill="1" applyAlignment="1">
      <alignment horizontal="right"/>
    </xf>
    <xf numFmtId="0" fontId="22" fillId="7" borderId="0" xfId="36" quotePrefix="1" applyFill="1" applyAlignment="1">
      <alignment horizontal="left" vertical="center"/>
    </xf>
    <xf numFmtId="0" fontId="29" fillId="7" borderId="0" xfId="36" applyFont="1" applyFill="1" applyAlignment="1">
      <alignment vertical="center"/>
    </xf>
    <xf numFmtId="0" fontId="22" fillId="7" borderId="0" xfId="6" applyFont="1" applyFill="1" applyAlignment="1">
      <alignment vertical="center"/>
    </xf>
    <xf numFmtId="0" fontId="22" fillId="7" borderId="0" xfId="25" applyFill="1" applyAlignment="1">
      <alignment vertical="top"/>
    </xf>
    <xf numFmtId="0" fontId="29" fillId="7" borderId="152" xfId="25" applyFont="1" applyFill="1" applyBorder="1" applyAlignment="1">
      <alignment vertical="center"/>
    </xf>
    <xf numFmtId="0" fontId="22" fillId="7" borderId="0" xfId="29" quotePrefix="1" applyFont="1" applyFill="1" applyAlignment="1">
      <alignment horizontal="right" vertical="top"/>
    </xf>
    <xf numFmtId="0" fontId="47" fillId="7" borderId="0" xfId="13" applyFont="1" applyFill="1" applyAlignment="1">
      <alignment horizontal="left" vertical="center"/>
    </xf>
    <xf numFmtId="0" fontId="22" fillId="7" borderId="0" xfId="29" quotePrefix="1" applyFont="1" applyFill="1" applyAlignment="1">
      <alignment horizontal="right" vertical="center"/>
    </xf>
    <xf numFmtId="0" fontId="22" fillId="7" borderId="0" xfId="25" applyFill="1" applyAlignment="1">
      <alignment horizontal="justify" vertical="center" wrapText="1"/>
    </xf>
    <xf numFmtId="0" fontId="22" fillId="7" borderId="0" xfId="13" applyFont="1" applyFill="1" applyAlignment="1">
      <alignment horizontal="left" wrapText="1"/>
    </xf>
    <xf numFmtId="0" fontId="43" fillId="7" borderId="0" xfId="25" applyFont="1" applyFill="1"/>
    <xf numFmtId="0" fontId="0" fillId="0" borderId="0" xfId="0" applyAlignment="1">
      <alignment horizontal="left"/>
    </xf>
    <xf numFmtId="0" fontId="0" fillId="0" borderId="0" xfId="0" applyAlignment="1">
      <alignment horizontal="left" vertical="center"/>
    </xf>
    <xf numFmtId="0" fontId="0" fillId="0" borderId="9" xfId="0" applyBorder="1"/>
    <xf numFmtId="0" fontId="0" fillId="0" borderId="308" xfId="0" applyBorder="1"/>
    <xf numFmtId="0" fontId="0" fillId="0" borderId="49" xfId="0" applyBorder="1"/>
    <xf numFmtId="0" fontId="0" fillId="0" borderId="49" xfId="0" quotePrefix="1" applyBorder="1"/>
    <xf numFmtId="0" fontId="0" fillId="0" borderId="309" xfId="0" applyBorder="1"/>
    <xf numFmtId="0" fontId="0" fillId="0" borderId="0" xfId="0" quotePrefix="1"/>
    <xf numFmtId="0" fontId="0" fillId="0" borderId="305" xfId="0" applyBorder="1"/>
    <xf numFmtId="0" fontId="0" fillId="0" borderId="9" xfId="0" quotePrefix="1" applyBorder="1"/>
    <xf numFmtId="0" fontId="0" fillId="0" borderId="310" xfId="0" applyBorder="1"/>
    <xf numFmtId="0" fontId="0" fillId="0" borderId="49" xfId="0" applyBorder="1" applyAlignment="1">
      <alignment horizontal="left" vertical="center"/>
    </xf>
    <xf numFmtId="0" fontId="0" fillId="0" borderId="9" xfId="0" applyBorder="1" applyAlignment="1">
      <alignment horizontal="left" vertical="center"/>
    </xf>
    <xf numFmtId="0" fontId="0" fillId="0" borderId="307" xfId="0" applyBorder="1"/>
    <xf numFmtId="0" fontId="0" fillId="0" borderId="307" xfId="0" applyBorder="1" applyAlignment="1">
      <alignment horizontal="left" vertical="center"/>
    </xf>
    <xf numFmtId="0" fontId="0" fillId="0" borderId="307" xfId="0" quotePrefix="1" applyBorder="1"/>
    <xf numFmtId="0" fontId="0" fillId="0" borderId="347" xfId="0" applyBorder="1"/>
    <xf numFmtId="0" fontId="0" fillId="0" borderId="347" xfId="0" quotePrefix="1" applyBorder="1"/>
    <xf numFmtId="0" fontId="0" fillId="0" borderId="347" xfId="0" applyBorder="1" applyAlignment="1">
      <alignment horizontal="left" vertical="center"/>
    </xf>
    <xf numFmtId="4" fontId="0" fillId="0" borderId="0" xfId="0" applyNumberFormat="1"/>
    <xf numFmtId="0" fontId="0" fillId="0" borderId="9" xfId="0" applyBorder="1" applyAlignment="1">
      <alignment horizontal="left"/>
    </xf>
    <xf numFmtId="0" fontId="0" fillId="0" borderId="49" xfId="0" applyBorder="1" applyAlignment="1">
      <alignment horizontal="left"/>
    </xf>
    <xf numFmtId="171" fontId="0" fillId="0" borderId="0" xfId="0" applyNumberFormat="1"/>
    <xf numFmtId="0" fontId="29" fillId="0" borderId="0" xfId="0" applyFont="1" applyAlignment="1">
      <alignment horizontal="left"/>
    </xf>
    <xf numFmtId="0" fontId="29" fillId="0" borderId="0" xfId="0" applyFont="1" applyAlignment="1">
      <alignment horizontal="center" vertical="center"/>
    </xf>
    <xf numFmtId="0" fontId="0" fillId="0" borderId="304" xfId="0" applyBorder="1"/>
    <xf numFmtId="0" fontId="0" fillId="0" borderId="306" xfId="0" applyBorder="1"/>
    <xf numFmtId="0" fontId="0" fillId="0" borderId="306" xfId="0" applyBorder="1" applyAlignment="1">
      <alignment horizontal="left" vertical="center"/>
    </xf>
    <xf numFmtId="0" fontId="0" fillId="0" borderId="304" xfId="0" applyBorder="1" applyAlignment="1">
      <alignment horizontal="left" vertical="center"/>
    </xf>
    <xf numFmtId="0" fontId="29" fillId="0" borderId="9" xfId="0" applyFont="1" applyBorder="1" applyAlignment="1">
      <alignment horizontal="left" vertical="center"/>
    </xf>
    <xf numFmtId="0" fontId="0" fillId="0" borderId="0" xfId="0" applyAlignment="1">
      <alignment horizontal="center" vertical="center"/>
    </xf>
    <xf numFmtId="172" fontId="0" fillId="0" borderId="0" xfId="0" applyNumberFormat="1"/>
    <xf numFmtId="0" fontId="32" fillId="0" borderId="0" xfId="0" applyFont="1"/>
    <xf numFmtId="0" fontId="65" fillId="7" borderId="272" xfId="13" applyFont="1" applyFill="1" applyBorder="1" applyAlignment="1">
      <alignment vertical="center"/>
    </xf>
    <xf numFmtId="0" fontId="65" fillId="7" borderId="31" xfId="13" applyFont="1" applyFill="1" applyBorder="1" applyAlignment="1">
      <alignment vertical="center" wrapText="1"/>
    </xf>
    <xf numFmtId="0" fontId="65" fillId="7" borderId="31" xfId="0" applyFont="1" applyFill="1" applyBorder="1" applyAlignment="1">
      <alignment vertical="center" wrapText="1"/>
    </xf>
    <xf numFmtId="0" fontId="65" fillId="7" borderId="272" xfId="11" applyFont="1" applyFill="1" applyBorder="1" applyAlignment="1">
      <alignment vertical="center"/>
    </xf>
    <xf numFmtId="0" fontId="65" fillId="7" borderId="353" xfId="13" applyFont="1" applyFill="1" applyBorder="1" applyAlignment="1">
      <alignment vertical="center"/>
    </xf>
    <xf numFmtId="0" fontId="65" fillId="7" borderId="355" xfId="0" applyFont="1" applyFill="1" applyBorder="1" applyAlignment="1">
      <alignment vertical="center" wrapText="1"/>
    </xf>
    <xf numFmtId="0" fontId="43" fillId="7" borderId="0" xfId="13" applyFont="1" applyFill="1" applyAlignment="1">
      <alignment horizontal="center" vertical="center"/>
    </xf>
    <xf numFmtId="0" fontId="110" fillId="7" borderId="0" xfId="37" applyFont="1" applyFill="1" applyAlignment="1">
      <alignment vertical="center"/>
    </xf>
    <xf numFmtId="0" fontId="103" fillId="7" borderId="144" xfId="5" applyFont="1" applyFill="1" applyBorder="1" applyAlignment="1">
      <alignment vertical="center" wrapText="1"/>
    </xf>
    <xf numFmtId="0" fontId="65" fillId="7" borderId="150" xfId="76" applyFont="1" applyFill="1" applyBorder="1" applyAlignment="1">
      <alignment vertical="top"/>
    </xf>
    <xf numFmtId="0" fontId="65" fillId="7" borderId="0" xfId="76" quotePrefix="1" applyFont="1" applyFill="1" applyAlignment="1">
      <alignment horizontal="right" vertical="top"/>
    </xf>
    <xf numFmtId="0" fontId="65" fillId="7" borderId="0" xfId="76" applyFont="1" applyFill="1" applyAlignment="1">
      <alignment vertical="top" wrapText="1"/>
    </xf>
    <xf numFmtId="0" fontId="65" fillId="7" borderId="152" xfId="76" applyFont="1" applyFill="1" applyBorder="1" applyAlignment="1">
      <alignment vertical="top" wrapText="1"/>
    </xf>
    <xf numFmtId="0" fontId="65" fillId="7" borderId="0" xfId="76" applyFont="1" applyFill="1" applyAlignment="1">
      <alignment vertical="top"/>
    </xf>
    <xf numFmtId="0" fontId="65" fillId="7" borderId="0" xfId="76" applyFont="1" applyFill="1" applyAlignment="1">
      <alignment horizontal="right" vertical="center"/>
    </xf>
    <xf numFmtId="0" fontId="65" fillId="7" borderId="0" xfId="76" applyFont="1" applyFill="1" applyAlignment="1">
      <alignment horizontal="center" vertical="center" wrapText="1"/>
    </xf>
    <xf numFmtId="0" fontId="43" fillId="7" borderId="0" xfId="76" applyFont="1" applyFill="1" applyAlignment="1">
      <alignment horizontal="center" vertical="center"/>
    </xf>
    <xf numFmtId="0" fontId="65" fillId="7" borderId="152" xfId="76" applyFont="1" applyFill="1" applyBorder="1" applyAlignment="1">
      <alignment horizontal="center" vertical="center" wrapText="1"/>
    </xf>
    <xf numFmtId="2" fontId="0" fillId="0" borderId="0" xfId="0" applyNumberFormat="1"/>
    <xf numFmtId="0" fontId="110" fillId="7" borderId="0" xfId="11" applyFont="1" applyFill="1"/>
    <xf numFmtId="0" fontId="110" fillId="7" borderId="0" xfId="11" applyFont="1" applyFill="1" applyAlignment="1">
      <alignment vertical="top"/>
    </xf>
    <xf numFmtId="0" fontId="29" fillId="7" borderId="150" xfId="13" applyFont="1" applyFill="1" applyBorder="1" applyAlignment="1">
      <alignment vertical="center"/>
    </xf>
    <xf numFmtId="0" fontId="29" fillId="7" borderId="61" xfId="13" applyFont="1" applyFill="1" applyBorder="1" applyAlignment="1">
      <alignment vertical="center"/>
    </xf>
    <xf numFmtId="0" fontId="29" fillId="7" borderId="162" xfId="13" applyFont="1" applyFill="1" applyBorder="1" applyAlignment="1">
      <alignment vertical="center"/>
    </xf>
    <xf numFmtId="0" fontId="29" fillId="7" borderId="16" xfId="13" applyFont="1" applyFill="1" applyBorder="1" applyAlignment="1">
      <alignment vertical="center"/>
    </xf>
    <xf numFmtId="0" fontId="29" fillId="7" borderId="55" xfId="13" applyFont="1" applyFill="1" applyBorder="1" applyAlignment="1">
      <alignment vertical="center"/>
    </xf>
    <xf numFmtId="0" fontId="29" fillId="7" borderId="174" xfId="13" applyFont="1" applyFill="1" applyBorder="1" applyAlignment="1">
      <alignment vertical="center"/>
    </xf>
    <xf numFmtId="0" fontId="29" fillId="7" borderId="176" xfId="13" applyFont="1" applyFill="1" applyBorder="1" applyAlignment="1">
      <alignment vertical="center"/>
    </xf>
    <xf numFmtId="0" fontId="97" fillId="7" borderId="0" xfId="11" quotePrefix="1" applyFont="1" applyFill="1" applyAlignment="1">
      <alignment horizontal="left" vertical="center"/>
    </xf>
    <xf numFmtId="0" fontId="114" fillId="7" borderId="0" xfId="13" applyFont="1" applyFill="1" applyAlignment="1">
      <alignment vertical="center"/>
    </xf>
    <xf numFmtId="0" fontId="115" fillId="7" borderId="0" xfId="13" applyFont="1" applyFill="1" applyAlignment="1">
      <alignment horizontal="left" vertical="center"/>
    </xf>
    <xf numFmtId="0" fontId="110" fillId="7" borderId="0" xfId="25" applyFont="1" applyFill="1"/>
    <xf numFmtId="0" fontId="33" fillId="7" borderId="0" xfId="13" applyFont="1" applyFill="1" applyAlignment="1">
      <alignment horizontal="right" wrapText="1"/>
    </xf>
    <xf numFmtId="0" fontId="110" fillId="7" borderId="0" xfId="36" applyFont="1" applyFill="1" applyAlignment="1">
      <alignment horizontal="center" vertical="center"/>
    </xf>
    <xf numFmtId="0" fontId="110" fillId="7" borderId="0" xfId="13" applyFont="1" applyFill="1" applyAlignment="1">
      <alignment vertical="center"/>
    </xf>
    <xf numFmtId="0" fontId="88" fillId="5" borderId="0" xfId="13" applyFont="1" applyFill="1" applyAlignment="1" applyProtection="1">
      <alignment horizontal="right"/>
      <protection locked="0"/>
    </xf>
    <xf numFmtId="0" fontId="116" fillId="7" borderId="175" xfId="25" applyFont="1" applyFill="1" applyBorder="1" applyAlignment="1">
      <alignment vertical="center"/>
    </xf>
    <xf numFmtId="0" fontId="115" fillId="7" borderId="0" xfId="0" applyFont="1" applyFill="1" applyAlignment="1">
      <alignment horizontal="left" vertical="center"/>
    </xf>
    <xf numFmtId="0" fontId="110" fillId="7" borderId="0" xfId="0" applyFont="1" applyFill="1" applyAlignment="1">
      <alignment horizontal="left"/>
    </xf>
    <xf numFmtId="0" fontId="110" fillId="7" borderId="0" xfId="36" applyFont="1" applyFill="1" applyAlignment="1">
      <alignment horizontal="left" vertical="center"/>
    </xf>
    <xf numFmtId="0" fontId="101" fillId="7" borderId="0" xfId="25" applyFont="1" applyFill="1" applyAlignment="1">
      <alignment vertical="top" wrapText="1"/>
    </xf>
    <xf numFmtId="0" fontId="0" fillId="7" borderId="0" xfId="13" applyFont="1" applyFill="1"/>
    <xf numFmtId="0" fontId="22" fillId="7" borderId="367" xfId="0" applyFont="1" applyFill="1" applyBorder="1" applyAlignment="1">
      <alignment horizontal="left" vertical="center" indent="2"/>
    </xf>
    <xf numFmtId="0" fontId="0" fillId="7" borderId="363" xfId="0" applyFill="1" applyBorder="1" applyAlignment="1">
      <alignment vertical="center"/>
    </xf>
    <xf numFmtId="0" fontId="0" fillId="7" borderId="14" xfId="0" applyFill="1" applyBorder="1" applyAlignment="1">
      <alignment vertical="center"/>
    </xf>
    <xf numFmtId="0" fontId="22" fillId="7" borderId="15" xfId="0" applyFont="1" applyFill="1" applyBorder="1" applyAlignment="1">
      <alignment vertical="center"/>
    </xf>
    <xf numFmtId="0" fontId="22" fillId="7" borderId="37" xfId="0" applyFont="1" applyFill="1" applyBorder="1" applyAlignment="1">
      <alignment vertical="center"/>
    </xf>
    <xf numFmtId="0" fontId="22" fillId="7" borderId="368" xfId="0" applyFont="1" applyFill="1" applyBorder="1" applyAlignment="1">
      <alignment horizontal="left" vertical="center" indent="2"/>
    </xf>
    <xf numFmtId="0" fontId="0" fillId="7" borderId="300" xfId="0" applyFill="1" applyBorder="1" applyAlignment="1">
      <alignment vertical="center"/>
    </xf>
    <xf numFmtId="0" fontId="0" fillId="7" borderId="17" xfId="0" applyFill="1" applyBorder="1" applyAlignment="1">
      <alignment vertical="center"/>
    </xf>
    <xf numFmtId="0" fontId="22" fillId="7" borderId="369" xfId="0" applyFont="1" applyFill="1" applyBorder="1" applyAlignment="1">
      <alignment horizontal="left" vertical="center" indent="2"/>
    </xf>
    <xf numFmtId="0" fontId="0" fillId="7" borderId="365" xfId="0" applyFill="1" applyBorder="1" applyAlignment="1">
      <alignment vertical="center"/>
    </xf>
    <xf numFmtId="0" fontId="22" fillId="7" borderId="365" xfId="0" applyFont="1" applyFill="1" applyBorder="1" applyAlignment="1">
      <alignment vertical="center"/>
    </xf>
    <xf numFmtId="10" fontId="0" fillId="0" borderId="0" xfId="0" applyNumberFormat="1"/>
    <xf numFmtId="0" fontId="26" fillId="7" borderId="0" xfId="12" applyFont="1" applyFill="1" applyAlignment="1">
      <alignment horizontal="left" vertical="top"/>
    </xf>
    <xf numFmtId="0" fontId="48" fillId="7" borderId="0" xfId="13" applyFont="1" applyFill="1" applyAlignment="1">
      <alignment horizontal="right" vertical="center"/>
    </xf>
    <xf numFmtId="0" fontId="98" fillId="0" borderId="0" xfId="0" applyFont="1"/>
    <xf numFmtId="0" fontId="70" fillId="0" borderId="0" xfId="0" applyFont="1" applyAlignment="1">
      <alignment horizontal="justify" vertical="center"/>
    </xf>
    <xf numFmtId="0" fontId="22" fillId="0" borderId="63" xfId="0" applyFont="1" applyBorder="1" applyAlignment="1" applyProtection="1">
      <alignment horizontal="center"/>
      <protection locked="0"/>
    </xf>
    <xf numFmtId="0" fontId="22" fillId="0" borderId="16" xfId="0" applyFont="1" applyBorder="1" applyAlignment="1" applyProtection="1">
      <alignment horizontal="center"/>
      <protection locked="0"/>
    </xf>
    <xf numFmtId="0" fontId="22" fillId="0" borderId="66" xfId="0" applyFont="1" applyBorder="1" applyAlignment="1" applyProtection="1">
      <alignment horizontal="center"/>
      <protection locked="0"/>
    </xf>
    <xf numFmtId="0" fontId="22" fillId="7" borderId="0" xfId="0" applyFont="1" applyFill="1" applyAlignment="1">
      <alignment horizontal="center"/>
    </xf>
    <xf numFmtId="0" fontId="29" fillId="7" borderId="0" xfId="0" applyFont="1" applyFill="1" applyAlignment="1">
      <alignment horizontal="center"/>
    </xf>
    <xf numFmtId="0" fontId="34" fillId="7" borderId="0" xfId="0" applyFont="1" applyFill="1" applyAlignment="1">
      <alignment horizontal="center"/>
    </xf>
    <xf numFmtId="0" fontId="37" fillId="7" borderId="0" xfId="0" applyFont="1" applyFill="1" applyAlignment="1">
      <alignment horizontal="center"/>
    </xf>
    <xf numFmtId="0" fontId="22" fillId="0" borderId="6" xfId="15" applyFont="1" applyBorder="1" applyAlignment="1" applyProtection="1">
      <alignment horizontal="center"/>
      <protection locked="0"/>
    </xf>
    <xf numFmtId="0" fontId="54" fillId="7" borderId="0" xfId="0" applyFont="1" applyFill="1" applyAlignment="1">
      <alignment horizontal="center"/>
    </xf>
    <xf numFmtId="0" fontId="25" fillId="7" borderId="86" xfId="0" applyFont="1" applyFill="1" applyBorder="1" applyAlignment="1">
      <alignment horizontal="center" vertical="center" wrapText="1" shrinkToFit="1"/>
    </xf>
    <xf numFmtId="0" fontId="25" fillId="7" borderId="87" xfId="0" applyFont="1" applyFill="1" applyBorder="1" applyAlignment="1">
      <alignment horizontal="center" vertical="center" wrapText="1" shrinkToFit="1"/>
    </xf>
    <xf numFmtId="0" fontId="22" fillId="7" borderId="0" xfId="0" applyFont="1" applyFill="1" applyAlignment="1">
      <alignment horizontal="justify" vertical="top" wrapText="1" shrinkToFit="1"/>
    </xf>
    <xf numFmtId="0" fontId="26" fillId="7" borderId="77" xfId="0" applyFont="1" applyFill="1" applyBorder="1" applyAlignment="1">
      <alignment horizontal="justify" vertical="top" wrapText="1" shrinkToFit="1"/>
    </xf>
    <xf numFmtId="0" fontId="26" fillId="7" borderId="0" xfId="0" applyFont="1" applyFill="1" applyAlignment="1">
      <alignment horizontal="center"/>
    </xf>
    <xf numFmtId="0" fontId="28" fillId="7" borderId="5" xfId="15" applyFont="1" applyFill="1" applyBorder="1" applyAlignment="1">
      <alignment horizontal="center" vertical="top"/>
    </xf>
    <xf numFmtId="0" fontId="23" fillId="7" borderId="5" xfId="15" applyFont="1" applyFill="1" applyBorder="1" applyAlignment="1">
      <alignment horizontal="center" vertical="top"/>
    </xf>
    <xf numFmtId="0" fontId="32" fillId="0" borderId="6" xfId="0" applyFont="1" applyBorder="1" applyAlignment="1" applyProtection="1">
      <alignment horizontal="center"/>
      <protection locked="0"/>
    </xf>
    <xf numFmtId="0" fontId="32" fillId="0" borderId="0" xfId="0" applyFont="1" applyAlignment="1" applyProtection="1">
      <alignment horizontal="center"/>
      <protection locked="0"/>
    </xf>
    <xf numFmtId="0" fontId="22" fillId="0" borderId="6" xfId="37" applyBorder="1" applyAlignment="1" applyProtection="1">
      <alignment horizontal="center"/>
      <protection locked="0"/>
    </xf>
    <xf numFmtId="3" fontId="29" fillId="7" borderId="63" xfId="0" applyNumberFormat="1" applyFont="1" applyFill="1" applyBorder="1" applyAlignment="1">
      <alignment horizontal="center" vertical="center"/>
    </xf>
    <xf numFmtId="3" fontId="29" fillId="7" borderId="16" xfId="0" applyNumberFormat="1" applyFont="1" applyFill="1" applyBorder="1" applyAlignment="1">
      <alignment horizontal="center" vertical="center"/>
    </xf>
    <xf numFmtId="3" fontId="29" fillId="7" borderId="55" xfId="0" applyNumberFormat="1" applyFont="1" applyFill="1" applyBorder="1" applyAlignment="1">
      <alignment horizontal="center" vertical="center"/>
    </xf>
    <xf numFmtId="3" fontId="29" fillId="7" borderId="67" xfId="0" applyNumberFormat="1" applyFont="1" applyFill="1" applyBorder="1" applyAlignment="1">
      <alignment horizontal="center" vertical="center"/>
    </xf>
    <xf numFmtId="3" fontId="29" fillId="7" borderId="66" xfId="0" applyNumberFormat="1" applyFont="1" applyFill="1" applyBorder="1" applyAlignment="1">
      <alignment horizontal="center" vertical="center"/>
    </xf>
    <xf numFmtId="3" fontId="22" fillId="5" borderId="63" xfId="0" applyNumberFormat="1" applyFont="1" applyFill="1" applyBorder="1" applyAlignment="1" applyProtection="1">
      <alignment horizontal="center" vertical="center"/>
      <protection locked="0"/>
    </xf>
    <xf numFmtId="3" fontId="22" fillId="5" borderId="16" xfId="0" applyNumberFormat="1" applyFont="1" applyFill="1" applyBorder="1" applyAlignment="1" applyProtection="1">
      <alignment horizontal="center" vertical="center"/>
      <protection locked="0"/>
    </xf>
    <xf numFmtId="3" fontId="22" fillId="5" borderId="64" xfId="0" applyNumberFormat="1" applyFont="1" applyFill="1" applyBorder="1" applyAlignment="1" applyProtection="1">
      <alignment horizontal="center" vertical="center"/>
      <protection locked="0"/>
    </xf>
    <xf numFmtId="3" fontId="22" fillId="5" borderId="17" xfId="0" applyNumberFormat="1" applyFont="1" applyFill="1" applyBorder="1" applyAlignment="1" applyProtection="1">
      <alignment horizontal="center" vertical="center"/>
      <protection locked="0"/>
    </xf>
    <xf numFmtId="3" fontId="22" fillId="5" borderId="66" xfId="0" applyNumberFormat="1" applyFont="1" applyFill="1" applyBorder="1" applyAlignment="1" applyProtection="1">
      <alignment horizontal="center" vertical="center"/>
      <protection locked="0"/>
    </xf>
    <xf numFmtId="3" fontId="22" fillId="5" borderId="25" xfId="0" applyNumberFormat="1" applyFont="1" applyFill="1" applyBorder="1" applyAlignment="1" applyProtection="1">
      <alignment horizontal="center" vertical="center"/>
      <protection locked="0"/>
    </xf>
    <xf numFmtId="3" fontId="22" fillId="5" borderId="12" xfId="0" applyNumberFormat="1" applyFont="1" applyFill="1" applyBorder="1" applyAlignment="1" applyProtection="1">
      <alignment horizontal="center" vertical="center"/>
      <protection locked="0"/>
    </xf>
    <xf numFmtId="3" fontId="22" fillId="5" borderId="85" xfId="0" applyNumberFormat="1" applyFont="1" applyFill="1" applyBorder="1" applyAlignment="1" applyProtection="1">
      <alignment horizontal="center" vertical="center"/>
      <protection locked="0"/>
    </xf>
    <xf numFmtId="3" fontId="22" fillId="5" borderId="7" xfId="0" applyNumberFormat="1" applyFont="1" applyFill="1" applyBorder="1" applyAlignment="1" applyProtection="1">
      <alignment horizontal="center" vertical="center"/>
      <protection locked="0"/>
    </xf>
    <xf numFmtId="3" fontId="22" fillId="5" borderId="8" xfId="0" applyNumberFormat="1" applyFont="1" applyFill="1" applyBorder="1" applyAlignment="1" applyProtection="1">
      <alignment horizontal="center" vertical="center"/>
      <protection locked="0"/>
    </xf>
    <xf numFmtId="3" fontId="22" fillId="5" borderId="55" xfId="0" applyNumberFormat="1" applyFont="1" applyFill="1" applyBorder="1" applyAlignment="1" applyProtection="1">
      <alignment horizontal="center" vertical="center"/>
      <protection locked="0"/>
    </xf>
    <xf numFmtId="3" fontId="22" fillId="5" borderId="13" xfId="0" applyNumberFormat="1" applyFont="1" applyFill="1" applyBorder="1" applyAlignment="1" applyProtection="1">
      <alignment horizontal="center" vertical="center"/>
      <protection locked="0"/>
    </xf>
    <xf numFmtId="3" fontId="29" fillId="7" borderId="81" xfId="0" applyNumberFormat="1" applyFont="1" applyFill="1" applyBorder="1" applyAlignment="1">
      <alignment horizontal="center" vertical="center"/>
    </xf>
    <xf numFmtId="3" fontId="29" fillId="7" borderId="12" xfId="0" applyNumberFormat="1" applyFont="1" applyFill="1" applyBorder="1" applyAlignment="1">
      <alignment horizontal="center" vertical="center"/>
    </xf>
    <xf numFmtId="3" fontId="29" fillId="7" borderId="8" xfId="0" applyNumberFormat="1" applyFont="1" applyFill="1" applyBorder="1" applyAlignment="1">
      <alignment horizontal="center" vertical="center"/>
    </xf>
    <xf numFmtId="3" fontId="29" fillId="7" borderId="33" xfId="0" applyNumberFormat="1" applyFont="1" applyFill="1" applyBorder="1" applyAlignment="1">
      <alignment horizontal="center" vertical="center"/>
    </xf>
    <xf numFmtId="3" fontId="29" fillId="7" borderId="15" xfId="0" applyNumberFormat="1" applyFont="1" applyFill="1" applyBorder="1" applyAlignment="1">
      <alignment horizontal="center" vertical="center"/>
    </xf>
    <xf numFmtId="3" fontId="29" fillId="7" borderId="37" xfId="0" applyNumberFormat="1" applyFont="1" applyFill="1" applyBorder="1" applyAlignment="1">
      <alignment horizontal="center" vertical="center"/>
    </xf>
    <xf numFmtId="3" fontId="29" fillId="7" borderId="36" xfId="0" applyNumberFormat="1" applyFont="1" applyFill="1" applyBorder="1" applyAlignment="1">
      <alignment horizontal="center" vertical="center"/>
    </xf>
    <xf numFmtId="3" fontId="29" fillId="7" borderId="34" xfId="0" applyNumberFormat="1" applyFont="1" applyFill="1" applyBorder="1" applyAlignment="1">
      <alignment horizontal="center" vertical="center"/>
    </xf>
    <xf numFmtId="0" fontId="26" fillId="7" borderId="0" xfId="0" applyFont="1" applyFill="1" applyAlignment="1">
      <alignment horizontal="justify" vertical="top" wrapText="1"/>
    </xf>
    <xf numFmtId="0" fontId="32" fillId="7" borderId="6" xfId="0" applyFont="1" applyFill="1" applyBorder="1" applyAlignment="1">
      <alignment horizontal="center"/>
    </xf>
    <xf numFmtId="0" fontId="23" fillId="7" borderId="5" xfId="15" applyFont="1" applyFill="1" applyBorder="1" applyAlignment="1">
      <alignment horizontal="center"/>
    </xf>
    <xf numFmtId="0" fontId="32" fillId="7" borderId="0" xfId="15" applyFont="1" applyFill="1" applyAlignment="1">
      <alignment horizontal="center"/>
    </xf>
    <xf numFmtId="0" fontId="32" fillId="7" borderId="6" xfId="15" applyFont="1" applyFill="1" applyBorder="1" applyAlignment="1">
      <alignment horizontal="center"/>
    </xf>
    <xf numFmtId="1" fontId="22" fillId="4" borderId="33" xfId="0" applyNumberFormat="1" applyFont="1" applyFill="1" applyBorder="1" applyAlignment="1">
      <alignment horizontal="center" vertical="center"/>
    </xf>
    <xf numFmtId="1" fontId="22" fillId="4" borderId="15" xfId="0" applyNumberFormat="1" applyFont="1" applyFill="1" applyBorder="1" applyAlignment="1">
      <alignment horizontal="center" vertical="center"/>
    </xf>
    <xf numFmtId="1" fontId="22" fillId="4" borderId="35" xfId="0" applyNumberFormat="1" applyFont="1" applyFill="1" applyBorder="1" applyAlignment="1">
      <alignment horizontal="center" vertical="center"/>
    </xf>
    <xf numFmtId="0" fontId="22" fillId="4" borderId="36" xfId="0" applyFont="1" applyFill="1" applyBorder="1" applyAlignment="1">
      <alignment horizontal="center" vertical="center"/>
    </xf>
    <xf numFmtId="0" fontId="22" fillId="4" borderId="15" xfId="0" applyFont="1" applyFill="1" applyBorder="1" applyAlignment="1">
      <alignment horizontal="center" vertical="center"/>
    </xf>
    <xf numFmtId="0" fontId="22" fillId="4" borderId="34" xfId="0" applyFont="1" applyFill="1" applyBorder="1" applyAlignment="1">
      <alignment horizontal="center" vertical="center"/>
    </xf>
    <xf numFmtId="0" fontId="65" fillId="7" borderId="16" xfId="0" applyFont="1" applyFill="1" applyBorder="1" applyAlignment="1">
      <alignment vertical="center" wrapText="1"/>
    </xf>
    <xf numFmtId="0" fontId="65" fillId="7" borderId="55" xfId="0" applyFont="1" applyFill="1" applyBorder="1" applyAlignment="1">
      <alignment vertical="center" wrapText="1"/>
    </xf>
    <xf numFmtId="1" fontId="22" fillId="4" borderId="14" xfId="0" applyNumberFormat="1" applyFont="1" applyFill="1" applyBorder="1" applyAlignment="1">
      <alignment horizontal="center" vertical="center"/>
    </xf>
    <xf numFmtId="1" fontId="22" fillId="4" borderId="34" xfId="0" applyNumberFormat="1" applyFont="1" applyFill="1" applyBorder="1" applyAlignment="1">
      <alignment horizontal="center" vertical="center"/>
    </xf>
    <xf numFmtId="1" fontId="22" fillId="4" borderId="37" xfId="0" applyNumberFormat="1" applyFont="1" applyFill="1" applyBorder="1" applyAlignment="1">
      <alignment horizontal="center" vertical="center"/>
    </xf>
    <xf numFmtId="0" fontId="65" fillId="7" borderId="16" xfId="0" applyFont="1" applyFill="1" applyBorder="1" applyAlignment="1">
      <alignment vertical="top" wrapText="1"/>
    </xf>
    <xf numFmtId="0" fontId="65" fillId="7" borderId="55" xfId="0" applyFont="1" applyFill="1" applyBorder="1" applyAlignment="1">
      <alignment vertical="top" wrapText="1"/>
    </xf>
    <xf numFmtId="0" fontId="26" fillId="7" borderId="0" xfId="11" applyFont="1" applyFill="1" applyAlignment="1">
      <alignment vertical="top" wrapText="1"/>
    </xf>
    <xf numFmtId="3" fontId="29" fillId="7" borderId="25" xfId="0" applyNumberFormat="1" applyFont="1" applyFill="1" applyBorder="1" applyAlignment="1">
      <alignment horizontal="center" vertical="center"/>
    </xf>
    <xf numFmtId="3" fontId="29" fillId="7" borderId="13" xfId="0" applyNumberFormat="1" applyFont="1" applyFill="1" applyBorder="1" applyAlignment="1">
      <alignment horizontal="center" vertical="center"/>
    </xf>
    <xf numFmtId="0" fontId="26" fillId="7" borderId="0" xfId="11" quotePrefix="1" applyFont="1" applyFill="1" applyAlignment="1">
      <alignment horizontal="justify" vertical="top" wrapText="1"/>
    </xf>
    <xf numFmtId="0" fontId="22" fillId="4" borderId="17" xfId="0" applyFont="1" applyFill="1" applyBorder="1" applyAlignment="1">
      <alignment horizontal="center" vertical="center"/>
    </xf>
    <xf numFmtId="0" fontId="22" fillId="4" borderId="16" xfId="0" applyFont="1" applyFill="1" applyBorder="1" applyAlignment="1">
      <alignment horizontal="center" vertical="center"/>
    </xf>
    <xf numFmtId="0" fontId="22" fillId="4" borderId="55" xfId="0" applyFont="1" applyFill="1" applyBorder="1" applyAlignment="1">
      <alignment horizontal="center" vertical="center"/>
    </xf>
    <xf numFmtId="0" fontId="22" fillId="4" borderId="33" xfId="0" applyFont="1" applyFill="1" applyBorder="1" applyAlignment="1">
      <alignment horizontal="center" vertical="center"/>
    </xf>
    <xf numFmtId="0" fontId="22" fillId="4" borderId="37" xfId="0" applyFont="1" applyFill="1" applyBorder="1" applyAlignment="1">
      <alignment horizontal="center" vertical="center"/>
    </xf>
    <xf numFmtId="0" fontId="22" fillId="4" borderId="63" xfId="0" applyFont="1" applyFill="1" applyBorder="1" applyAlignment="1">
      <alignment horizontal="center" vertical="center"/>
    </xf>
    <xf numFmtId="0" fontId="22" fillId="4" borderId="67" xfId="0" applyFont="1" applyFill="1" applyBorder="1" applyAlignment="1">
      <alignment horizontal="center" vertical="center"/>
    </xf>
    <xf numFmtId="0" fontId="22" fillId="4" borderId="66" xfId="0" applyFont="1" applyFill="1" applyBorder="1" applyAlignment="1">
      <alignment horizontal="center" vertical="center"/>
    </xf>
    <xf numFmtId="0" fontId="43" fillId="7" borderId="80" xfId="0" applyFont="1" applyFill="1" applyBorder="1" applyAlignment="1">
      <alignment horizontal="center" vertical="center" wrapText="1"/>
    </xf>
    <xf numFmtId="0" fontId="43" fillId="7" borderId="49" xfId="0" applyFont="1" applyFill="1" applyBorder="1" applyAlignment="1">
      <alignment horizontal="center" vertical="center" wrapText="1"/>
    </xf>
    <xf numFmtId="0" fontId="43" fillId="7" borderId="52" xfId="0" applyFont="1" applyFill="1" applyBorder="1" applyAlignment="1">
      <alignment horizontal="center" vertical="center" wrapText="1"/>
    </xf>
    <xf numFmtId="0" fontId="43" fillId="7" borderId="76" xfId="0" applyFont="1" applyFill="1" applyBorder="1" applyAlignment="1">
      <alignment horizontal="center" vertical="center" shrinkToFit="1"/>
    </xf>
    <xf numFmtId="0" fontId="43" fillId="7" borderId="6" xfId="0" applyFont="1" applyFill="1" applyBorder="1" applyAlignment="1">
      <alignment horizontal="center" vertical="center" shrinkToFit="1"/>
    </xf>
    <xf numFmtId="0" fontId="43" fillId="7" borderId="54" xfId="0" applyFont="1" applyFill="1" applyBorder="1" applyAlignment="1">
      <alignment horizontal="center" vertical="center" shrinkToFit="1"/>
    </xf>
    <xf numFmtId="0" fontId="43" fillId="7" borderId="7" xfId="0" applyFont="1" applyFill="1" applyBorder="1" applyAlignment="1">
      <alignment horizontal="center" vertical="center"/>
    </xf>
    <xf numFmtId="0" fontId="43" fillId="7" borderId="12" xfId="0" applyFont="1" applyFill="1" applyBorder="1" applyAlignment="1">
      <alignment horizontal="center" vertical="center"/>
    </xf>
    <xf numFmtId="0" fontId="43" fillId="7" borderId="8" xfId="0" applyFont="1" applyFill="1" applyBorder="1" applyAlignment="1">
      <alignment horizontal="center" vertical="center"/>
    </xf>
    <xf numFmtId="0" fontId="43" fillId="7" borderId="25" xfId="0" applyFont="1" applyFill="1" applyBorder="1" applyAlignment="1">
      <alignment horizontal="center" vertical="center"/>
    </xf>
    <xf numFmtId="0" fontId="43" fillId="7" borderId="13" xfId="0" applyFont="1" applyFill="1" applyBorder="1" applyAlignment="1">
      <alignment horizontal="center" vertical="center"/>
    </xf>
    <xf numFmtId="0" fontId="43" fillId="7" borderId="48" xfId="0" applyFont="1" applyFill="1" applyBorder="1" applyAlignment="1">
      <alignment horizontal="center" vertical="center"/>
    </xf>
    <xf numFmtId="0" fontId="43" fillId="7" borderId="49" xfId="0" applyFont="1" applyFill="1" applyBorder="1" applyAlignment="1">
      <alignment horizontal="center" vertical="center"/>
    </xf>
    <xf numFmtId="0" fontId="43" fillId="7" borderId="52" xfId="0" applyFont="1" applyFill="1" applyBorder="1" applyAlignment="1">
      <alignment horizontal="center" vertical="center"/>
    </xf>
    <xf numFmtId="0" fontId="43" fillId="7" borderId="32" xfId="0" applyFont="1" applyFill="1" applyBorder="1" applyAlignment="1">
      <alignment horizontal="center" vertical="center"/>
    </xf>
    <xf numFmtId="0" fontId="43" fillId="7" borderId="0" xfId="0" applyFont="1" applyFill="1" applyAlignment="1">
      <alignment horizontal="center" vertical="center"/>
    </xf>
    <xf numFmtId="0" fontId="43" fillId="7" borderId="61" xfId="0" applyFont="1" applyFill="1" applyBorder="1" applyAlignment="1">
      <alignment horizontal="center" vertical="center"/>
    </xf>
    <xf numFmtId="0" fontId="43" fillId="7" borderId="22" xfId="0" applyFont="1" applyFill="1" applyBorder="1" applyAlignment="1">
      <alignment horizontal="center" vertical="center"/>
    </xf>
    <xf numFmtId="0" fontId="43" fillId="7" borderId="9" xfId="0" applyFont="1" applyFill="1" applyBorder="1" applyAlignment="1">
      <alignment horizontal="center" vertical="center"/>
    </xf>
    <xf numFmtId="0" fontId="43" fillId="7" borderId="10" xfId="0" applyFont="1" applyFill="1" applyBorder="1" applyAlignment="1">
      <alignment horizontal="center" vertical="center"/>
    </xf>
    <xf numFmtId="0" fontId="43" fillId="7" borderId="20" xfId="0" applyFont="1" applyFill="1" applyBorder="1" applyAlignment="1">
      <alignment horizontal="center" vertical="center"/>
    </xf>
    <xf numFmtId="0" fontId="43" fillId="7" borderId="6" xfId="0" applyFont="1" applyFill="1" applyBorder="1" applyAlignment="1">
      <alignment horizontal="center" vertical="center"/>
    </xf>
    <xf numFmtId="0" fontId="43" fillId="7" borderId="54" xfId="0" applyFont="1" applyFill="1" applyBorder="1" applyAlignment="1">
      <alignment horizontal="center" vertical="center"/>
    </xf>
    <xf numFmtId="0" fontId="43" fillId="7" borderId="51" xfId="0" applyFont="1" applyFill="1" applyBorder="1" applyAlignment="1">
      <alignment horizontal="center" vertical="center"/>
    </xf>
    <xf numFmtId="0" fontId="43" fillId="7" borderId="53" xfId="0" applyFont="1" applyFill="1" applyBorder="1" applyAlignment="1">
      <alignment horizontal="center" vertical="center"/>
    </xf>
    <xf numFmtId="0" fontId="43" fillId="7" borderId="85" xfId="0" applyFont="1" applyFill="1" applyBorder="1" applyAlignment="1">
      <alignment horizontal="center" vertical="center"/>
    </xf>
    <xf numFmtId="0" fontId="43" fillId="7" borderId="81" xfId="0" applyFont="1" applyFill="1" applyBorder="1" applyAlignment="1">
      <alignment horizontal="center" vertical="center"/>
    </xf>
    <xf numFmtId="0" fontId="67" fillId="7" borderId="48" xfId="0" applyFont="1" applyFill="1" applyBorder="1" applyAlignment="1">
      <alignment horizontal="left" vertical="center" indent="1"/>
    </xf>
    <xf numFmtId="0" fontId="67" fillId="7" borderId="49" xfId="0" applyFont="1" applyFill="1" applyBorder="1" applyAlignment="1">
      <alignment horizontal="left" vertical="center" indent="1"/>
    </xf>
    <xf numFmtId="0" fontId="67" fillId="7" borderId="52" xfId="0" applyFont="1" applyFill="1" applyBorder="1" applyAlignment="1">
      <alignment horizontal="left" vertical="center" indent="1"/>
    </xf>
    <xf numFmtId="0" fontId="65" fillId="4" borderId="48" xfId="0" applyFont="1" applyFill="1" applyBorder="1" applyAlignment="1">
      <alignment horizontal="center" vertical="center"/>
    </xf>
    <xf numFmtId="0" fontId="65" fillId="4" borderId="49" xfId="0" applyFont="1" applyFill="1" applyBorder="1" applyAlignment="1">
      <alignment horizontal="center" vertical="center"/>
    </xf>
    <xf numFmtId="0" fontId="65" fillId="4" borderId="52" xfId="0" applyFont="1" applyFill="1" applyBorder="1" applyAlignment="1">
      <alignment horizontal="center" vertical="center"/>
    </xf>
    <xf numFmtId="3" fontId="0" fillId="5" borderId="17" xfId="0" applyNumberFormat="1" applyFill="1" applyBorder="1" applyAlignment="1" applyProtection="1">
      <alignment horizontal="center" vertical="center"/>
      <protection locked="0"/>
    </xf>
    <xf numFmtId="3" fontId="0" fillId="5" borderId="16" xfId="0" applyNumberFormat="1" applyFill="1" applyBorder="1" applyAlignment="1" applyProtection="1">
      <alignment horizontal="center" vertical="center"/>
      <protection locked="0"/>
    </xf>
    <xf numFmtId="3" fontId="0" fillId="5" borderId="66" xfId="0" applyNumberFormat="1" applyFill="1" applyBorder="1" applyAlignment="1" applyProtection="1">
      <alignment horizontal="center" vertical="center"/>
      <protection locked="0"/>
    </xf>
    <xf numFmtId="3" fontId="0" fillId="5" borderId="63" xfId="0" applyNumberFormat="1" applyFill="1" applyBorder="1" applyAlignment="1" applyProtection="1">
      <alignment horizontal="center" vertical="center"/>
      <protection locked="0"/>
    </xf>
    <xf numFmtId="3" fontId="0" fillId="5" borderId="55" xfId="0" applyNumberFormat="1" applyFill="1" applyBorder="1" applyAlignment="1" applyProtection="1">
      <alignment horizontal="center" vertical="center"/>
      <protection locked="0"/>
    </xf>
    <xf numFmtId="0" fontId="35" fillId="7" borderId="14" xfId="0" applyFont="1" applyFill="1" applyBorder="1" applyAlignment="1">
      <alignment horizontal="center" vertical="center"/>
    </xf>
    <xf numFmtId="0" fontId="35" fillId="7" borderId="15" xfId="0" applyFont="1" applyFill="1" applyBorder="1" applyAlignment="1">
      <alignment horizontal="center" vertical="center"/>
    </xf>
    <xf numFmtId="0" fontId="35" fillId="7" borderId="37" xfId="0" applyFont="1" applyFill="1" applyBorder="1" applyAlignment="1">
      <alignment horizontal="center" vertical="center"/>
    </xf>
    <xf numFmtId="0" fontId="35" fillId="7" borderId="35" xfId="0" applyFont="1" applyFill="1" applyBorder="1" applyAlignment="1">
      <alignment horizontal="center" vertical="center"/>
    </xf>
    <xf numFmtId="0" fontId="43" fillId="7" borderId="3" xfId="0" applyFont="1" applyFill="1" applyBorder="1" applyAlignment="1">
      <alignment horizontal="center" vertical="center" wrapText="1"/>
    </xf>
    <xf numFmtId="0" fontId="43" fillId="7" borderId="0" xfId="0" applyFont="1" applyFill="1" applyAlignment="1">
      <alignment horizontal="center" vertical="center" wrapText="1"/>
    </xf>
    <xf numFmtId="0" fontId="43" fillId="7" borderId="61" xfId="0" applyFont="1" applyFill="1" applyBorder="1" applyAlignment="1">
      <alignment horizontal="center" vertical="center" wrapText="1"/>
    </xf>
    <xf numFmtId="0" fontId="43" fillId="7" borderId="76" xfId="0" applyFont="1" applyFill="1" applyBorder="1" applyAlignment="1">
      <alignment horizontal="center" vertical="center" wrapText="1"/>
    </xf>
    <xf numFmtId="0" fontId="43" fillId="7" borderId="6" xfId="0" applyFont="1" applyFill="1" applyBorder="1" applyAlignment="1">
      <alignment horizontal="center" vertical="center" wrapText="1"/>
    </xf>
    <xf numFmtId="0" fontId="43" fillId="7" borderId="54" xfId="0" applyFont="1" applyFill="1" applyBorder="1" applyAlignment="1">
      <alignment horizontal="center" vertical="center" wrapText="1"/>
    </xf>
    <xf numFmtId="0" fontId="43" fillId="7" borderId="18" xfId="0" applyFont="1" applyFill="1" applyBorder="1" applyAlignment="1">
      <alignment horizontal="center" vertical="center" shrinkToFit="1"/>
    </xf>
    <xf numFmtId="0" fontId="43" fillId="7" borderId="5" xfId="0" applyFont="1" applyFill="1" applyBorder="1" applyAlignment="1">
      <alignment horizontal="center" vertical="center" shrinkToFit="1"/>
    </xf>
    <xf numFmtId="0" fontId="43" fillId="7" borderId="65" xfId="0" applyFont="1" applyFill="1" applyBorder="1" applyAlignment="1">
      <alignment horizontal="center" vertical="center" shrinkToFit="1"/>
    </xf>
    <xf numFmtId="0" fontId="43" fillId="7" borderId="20" xfId="0" applyFont="1" applyFill="1" applyBorder="1" applyAlignment="1">
      <alignment horizontal="center" vertical="center" shrinkToFit="1"/>
    </xf>
    <xf numFmtId="0" fontId="43" fillId="7" borderId="70" xfId="0" applyFont="1" applyFill="1" applyBorder="1" applyAlignment="1">
      <alignment horizontal="center" vertical="center" shrinkToFit="1"/>
    </xf>
    <xf numFmtId="0" fontId="43" fillId="7" borderId="53" xfId="0" applyFont="1" applyFill="1" applyBorder="1" applyAlignment="1">
      <alignment horizontal="center" vertical="center" shrinkToFit="1"/>
    </xf>
    <xf numFmtId="3" fontId="0" fillId="5" borderId="64" xfId="0" applyNumberFormat="1" applyFill="1" applyBorder="1" applyAlignment="1" applyProtection="1">
      <alignment horizontal="center" vertical="center"/>
      <protection locked="0"/>
    </xf>
    <xf numFmtId="0" fontId="67" fillId="7" borderId="17" xfId="0" applyFont="1" applyFill="1" applyBorder="1" applyAlignment="1">
      <alignment horizontal="left" vertical="center" indent="1"/>
    </xf>
    <xf numFmtId="0" fontId="67" fillId="7" borderId="16" xfId="0" applyFont="1" applyFill="1" applyBorder="1" applyAlignment="1">
      <alignment horizontal="left" vertical="center" indent="1"/>
    </xf>
    <xf numFmtId="0" fontId="67" fillId="7" borderId="55" xfId="0" applyFont="1" applyFill="1" applyBorder="1" applyAlignment="1">
      <alignment horizontal="left" vertical="center" indent="1"/>
    </xf>
    <xf numFmtId="3" fontId="65" fillId="4" borderId="17" xfId="0" applyNumberFormat="1" applyFont="1" applyFill="1" applyBorder="1" applyAlignment="1">
      <alignment horizontal="center" vertical="center"/>
    </xf>
    <xf numFmtId="3" fontId="65" fillId="4" borderId="16" xfId="0" applyNumberFormat="1" applyFont="1" applyFill="1" applyBorder="1" applyAlignment="1">
      <alignment horizontal="center" vertical="center"/>
    </xf>
    <xf numFmtId="3" fontId="65" fillId="4" borderId="55" xfId="0" applyNumberFormat="1" applyFont="1" applyFill="1" applyBorder="1" applyAlignment="1">
      <alignment horizontal="center" vertical="center"/>
    </xf>
    <xf numFmtId="0" fontId="67" fillId="7" borderId="17" xfId="0" applyFont="1" applyFill="1" applyBorder="1" applyAlignment="1">
      <alignment horizontal="left" vertical="center" wrapText="1" indent="1"/>
    </xf>
    <xf numFmtId="0" fontId="67" fillId="7" borderId="16" xfId="0" applyFont="1" applyFill="1" applyBorder="1" applyAlignment="1">
      <alignment horizontal="left" vertical="center" wrapText="1" indent="1"/>
    </xf>
    <xf numFmtId="0" fontId="67" fillId="7" borderId="55" xfId="0" applyFont="1" applyFill="1" applyBorder="1" applyAlignment="1">
      <alignment horizontal="left" vertical="center" wrapText="1" indent="1"/>
    </xf>
    <xf numFmtId="3" fontId="0" fillId="5" borderId="22" xfId="0" applyNumberFormat="1" applyFill="1" applyBorder="1" applyAlignment="1" applyProtection="1">
      <alignment horizontal="center" vertical="center"/>
      <protection locked="0"/>
    </xf>
    <xf numFmtId="3" fontId="0" fillId="5" borderId="9" xfId="0" applyNumberFormat="1" applyFill="1" applyBorder="1" applyAlignment="1" applyProtection="1">
      <alignment horizontal="center" vertical="center"/>
      <protection locked="0"/>
    </xf>
    <xf numFmtId="3" fontId="0" fillId="5" borderId="24" xfId="0" applyNumberFormat="1" applyFill="1" applyBorder="1" applyAlignment="1" applyProtection="1">
      <alignment horizontal="center" vertical="center"/>
      <protection locked="0"/>
    </xf>
    <xf numFmtId="3" fontId="0" fillId="5" borderId="26" xfId="0" applyNumberFormat="1" applyFill="1" applyBorder="1" applyAlignment="1" applyProtection="1">
      <alignment horizontal="center" vertical="center"/>
      <protection locked="0"/>
    </xf>
    <xf numFmtId="3" fontId="0" fillId="5" borderId="10" xfId="0" applyNumberFormat="1" applyFill="1" applyBorder="1" applyAlignment="1" applyProtection="1">
      <alignment horizontal="center" vertical="center"/>
      <protection locked="0"/>
    </xf>
    <xf numFmtId="0" fontId="26" fillId="7" borderId="0" xfId="11" applyFont="1" applyFill="1" applyAlignment="1">
      <alignment horizontal="justify" vertical="top" wrapText="1"/>
    </xf>
    <xf numFmtId="0" fontId="22" fillId="7" borderId="6" xfId="0" applyFont="1" applyFill="1" applyBorder="1" applyAlignment="1">
      <alignment horizontal="center"/>
    </xf>
    <xf numFmtId="0" fontId="22" fillId="7" borderId="0" xfId="15" applyFont="1" applyFill="1" applyAlignment="1">
      <alignment horizontal="center"/>
    </xf>
    <xf numFmtId="0" fontId="22" fillId="7" borderId="6" xfId="15" applyFont="1" applyFill="1" applyBorder="1" applyAlignment="1">
      <alignment horizontal="center"/>
    </xf>
    <xf numFmtId="0" fontId="26" fillId="7" borderId="0" xfId="11" applyFont="1" applyFill="1" applyAlignment="1">
      <alignment horizontal="justify" vertical="center" wrapText="1"/>
    </xf>
    <xf numFmtId="0" fontId="43" fillId="7" borderId="144" xfId="0" applyFont="1" applyFill="1" applyBorder="1" applyAlignment="1">
      <alignment horizontal="center" vertical="center"/>
    </xf>
    <xf numFmtId="0" fontId="43" fillId="7" borderId="145" xfId="0" applyFont="1" applyFill="1" applyBorder="1" applyAlignment="1">
      <alignment horizontal="center" vertical="center"/>
    </xf>
    <xf numFmtId="0" fontId="43" fillId="7" borderId="150" xfId="0" applyFont="1" applyFill="1" applyBorder="1" applyAlignment="1">
      <alignment horizontal="center" vertical="center"/>
    </xf>
    <xf numFmtId="0" fontId="43" fillId="7" borderId="174" xfId="0" applyFont="1" applyFill="1" applyBorder="1" applyAlignment="1">
      <alignment horizontal="center" vertical="center"/>
    </xf>
    <xf numFmtId="0" fontId="43" fillId="7" borderId="175" xfId="0" applyFont="1" applyFill="1" applyBorder="1" applyAlignment="1">
      <alignment horizontal="center" vertical="center"/>
    </xf>
    <xf numFmtId="0" fontId="43" fillId="7" borderId="190" xfId="0" applyFont="1" applyFill="1" applyBorder="1" applyAlignment="1">
      <alignment horizontal="center" vertical="center"/>
    </xf>
    <xf numFmtId="0" fontId="43" fillId="7" borderId="148" xfId="0" applyFont="1" applyFill="1" applyBorder="1" applyAlignment="1">
      <alignment horizontal="center" vertical="center"/>
    </xf>
    <xf numFmtId="0" fontId="43" fillId="7" borderId="149" xfId="0" applyFont="1" applyFill="1" applyBorder="1" applyAlignment="1">
      <alignment horizontal="center" vertical="center"/>
    </xf>
    <xf numFmtId="0" fontId="43" fillId="7" borderId="302" xfId="0" applyFont="1" applyFill="1" applyBorder="1" applyAlignment="1">
      <alignment horizontal="center" vertical="center"/>
    </xf>
    <xf numFmtId="0" fontId="43" fillId="7" borderId="109" xfId="0" applyFont="1" applyFill="1" applyBorder="1" applyAlignment="1">
      <alignment horizontal="center" vertical="center"/>
    </xf>
    <xf numFmtId="0" fontId="43" fillId="7" borderId="303" xfId="0" applyFont="1" applyFill="1" applyBorder="1" applyAlignment="1">
      <alignment horizontal="center" vertical="center"/>
    </xf>
    <xf numFmtId="0" fontId="43" fillId="7" borderId="83" xfId="0" applyFont="1" applyFill="1" applyBorder="1" applyAlignment="1">
      <alignment horizontal="center" vertical="center"/>
    </xf>
    <xf numFmtId="0" fontId="43" fillId="7" borderId="82" xfId="0" applyFont="1" applyFill="1" applyBorder="1" applyAlignment="1">
      <alignment horizontal="center" vertical="center"/>
    </xf>
    <xf numFmtId="0" fontId="43" fillId="7" borderId="105" xfId="0" applyFont="1" applyFill="1" applyBorder="1" applyAlignment="1">
      <alignment horizontal="center" vertical="center"/>
    </xf>
    <xf numFmtId="0" fontId="43" fillId="7" borderId="106" xfId="0" applyFont="1" applyFill="1" applyBorder="1" applyAlignment="1">
      <alignment horizontal="center" vertical="center" wrapText="1"/>
    </xf>
    <xf numFmtId="0" fontId="43" fillId="7" borderId="83" xfId="0" applyFont="1" applyFill="1" applyBorder="1" applyAlignment="1">
      <alignment horizontal="center" vertical="center" wrapText="1"/>
    </xf>
    <xf numFmtId="0" fontId="43" fillId="7" borderId="185" xfId="0" applyFont="1" applyFill="1" applyBorder="1" applyAlignment="1">
      <alignment horizontal="center" vertical="center" wrapText="1"/>
    </xf>
    <xf numFmtId="0" fontId="43" fillId="7" borderId="101" xfId="0" applyFont="1" applyFill="1" applyBorder="1" applyAlignment="1">
      <alignment horizontal="center" vertical="center"/>
    </xf>
    <xf numFmtId="0" fontId="29" fillId="7" borderId="175" xfId="0" applyFont="1" applyFill="1" applyBorder="1" applyAlignment="1">
      <alignment horizontal="center" vertical="center"/>
    </xf>
    <xf numFmtId="0" fontId="29" fillId="7" borderId="180" xfId="0" applyFont="1" applyFill="1" applyBorder="1" applyAlignment="1">
      <alignment horizontal="center" vertical="center"/>
    </xf>
    <xf numFmtId="0" fontId="29" fillId="7" borderId="178" xfId="0" applyFont="1" applyFill="1" applyBorder="1" applyAlignment="1">
      <alignment horizontal="center" vertical="center"/>
    </xf>
    <xf numFmtId="0" fontId="29" fillId="7" borderId="182" xfId="0" applyFont="1" applyFill="1" applyBorder="1" applyAlignment="1">
      <alignment horizontal="center" vertical="center"/>
    </xf>
    <xf numFmtId="0" fontId="29" fillId="7" borderId="275" xfId="0" applyFont="1" applyFill="1" applyBorder="1" applyAlignment="1">
      <alignment horizontal="center" vertical="center"/>
    </xf>
    <xf numFmtId="0" fontId="29" fillId="7" borderId="276" xfId="0" applyFont="1" applyFill="1" applyBorder="1" applyAlignment="1">
      <alignment horizontal="center" vertical="center"/>
    </xf>
    <xf numFmtId="0" fontId="29" fillId="7" borderId="297" xfId="0" applyFont="1" applyFill="1" applyBorder="1" applyAlignment="1">
      <alignment horizontal="center" vertical="center"/>
    </xf>
    <xf numFmtId="0" fontId="29" fillId="7" borderId="176" xfId="0" applyFont="1" applyFill="1" applyBorder="1" applyAlignment="1">
      <alignment horizontal="center" vertical="center"/>
    </xf>
    <xf numFmtId="0" fontId="29" fillId="7" borderId="177" xfId="0" applyFont="1" applyFill="1" applyBorder="1" applyAlignment="1">
      <alignment horizontal="center" vertical="center"/>
    </xf>
    <xf numFmtId="3" fontId="29" fillId="7" borderId="75" xfId="0" applyNumberFormat="1" applyFont="1" applyFill="1" applyBorder="1" applyAlignment="1">
      <alignment horizontal="center" vertical="center" wrapText="1"/>
    </xf>
    <xf numFmtId="3" fontId="29" fillId="7" borderId="153" xfId="0" applyNumberFormat="1" applyFont="1" applyFill="1" applyBorder="1" applyAlignment="1">
      <alignment horizontal="center" vertical="center" wrapText="1"/>
    </xf>
    <xf numFmtId="3" fontId="29" fillId="7" borderId="76" xfId="0" applyNumberFormat="1" applyFont="1" applyFill="1" applyBorder="1" applyAlignment="1">
      <alignment horizontal="center" vertical="center" wrapText="1"/>
    </xf>
    <xf numFmtId="3" fontId="29" fillId="7" borderId="21" xfId="0" applyNumberFormat="1" applyFont="1" applyFill="1" applyBorder="1" applyAlignment="1">
      <alignment horizontal="center" vertical="center" wrapText="1"/>
    </xf>
    <xf numFmtId="3" fontId="0" fillId="5" borderId="246" xfId="0" applyNumberFormat="1" applyFill="1" applyBorder="1" applyAlignment="1" applyProtection="1">
      <alignment horizontal="center" vertical="center" wrapText="1"/>
      <protection locked="0"/>
    </xf>
    <xf numFmtId="3" fontId="0" fillId="5" borderId="226" xfId="0" applyNumberFormat="1" applyFill="1" applyBorder="1" applyAlignment="1" applyProtection="1">
      <alignment horizontal="center" vertical="center" wrapText="1"/>
      <protection locked="0"/>
    </xf>
    <xf numFmtId="3" fontId="0" fillId="5" borderId="227" xfId="0" applyNumberFormat="1" applyFill="1" applyBorder="1" applyAlignment="1" applyProtection="1">
      <alignment horizontal="center" vertical="center" wrapText="1"/>
      <protection locked="0"/>
    </xf>
    <xf numFmtId="3" fontId="0" fillId="5" borderId="224" xfId="0" applyNumberFormat="1" applyFill="1" applyBorder="1" applyAlignment="1" applyProtection="1">
      <alignment horizontal="center" vertical="center" wrapText="1"/>
      <protection locked="0"/>
    </xf>
    <xf numFmtId="3" fontId="0" fillId="5" borderId="204" xfId="0" applyNumberFormat="1" applyFill="1" applyBorder="1" applyAlignment="1" applyProtection="1">
      <alignment horizontal="center" vertical="center" wrapText="1"/>
      <protection locked="0"/>
    </xf>
    <xf numFmtId="0" fontId="29" fillId="7" borderId="179" xfId="0" applyFont="1" applyFill="1" applyBorder="1" applyAlignment="1">
      <alignment horizontal="center" vertical="center"/>
    </xf>
    <xf numFmtId="0" fontId="65" fillId="7" borderId="158" xfId="0" applyFont="1" applyFill="1" applyBorder="1" applyAlignment="1">
      <alignment horizontal="left" vertical="center" wrapText="1" indent="1"/>
    </xf>
    <xf numFmtId="0" fontId="65" fillId="7" borderId="6" xfId="0" applyFont="1" applyFill="1" applyBorder="1" applyAlignment="1">
      <alignment horizontal="left" vertical="center" wrapText="1" indent="1"/>
    </xf>
    <xf numFmtId="3" fontId="0" fillId="5" borderId="150" xfId="0" applyNumberFormat="1" applyFill="1" applyBorder="1" applyAlignment="1" applyProtection="1">
      <alignment horizontal="center" vertical="center" wrapText="1"/>
      <protection locked="0"/>
    </xf>
    <xf numFmtId="3" fontId="0" fillId="5" borderId="72" xfId="0" applyNumberFormat="1" applyFill="1" applyBorder="1" applyAlignment="1" applyProtection="1">
      <alignment horizontal="center" vertical="center" wrapText="1"/>
      <protection locked="0"/>
    </xf>
    <xf numFmtId="3" fontId="0" fillId="5" borderId="71" xfId="0" applyNumberFormat="1" applyFill="1" applyBorder="1" applyAlignment="1" applyProtection="1">
      <alignment horizontal="center" vertical="center" wrapText="1"/>
      <protection locked="0"/>
    </xf>
    <xf numFmtId="3" fontId="0" fillId="5" borderId="61" xfId="0" applyNumberFormat="1" applyFill="1" applyBorder="1" applyAlignment="1" applyProtection="1">
      <alignment horizontal="center" vertical="center" wrapText="1"/>
      <protection locked="0"/>
    </xf>
    <xf numFmtId="3" fontId="0" fillId="5" borderId="32" xfId="0" applyNumberFormat="1" applyFill="1" applyBorder="1" applyAlignment="1" applyProtection="1">
      <alignment horizontal="center" vertical="center" wrapText="1"/>
      <protection locked="0"/>
    </xf>
    <xf numFmtId="3" fontId="0" fillId="5" borderId="73" xfId="0" applyNumberFormat="1" applyFill="1" applyBorder="1" applyAlignment="1" applyProtection="1">
      <alignment horizontal="center" vertical="center" wrapText="1"/>
      <protection locked="0"/>
    </xf>
    <xf numFmtId="3" fontId="0" fillId="5" borderId="63" xfId="0" applyNumberFormat="1" applyFill="1" applyBorder="1" applyAlignment="1" applyProtection="1">
      <alignment horizontal="center" vertical="center" wrapText="1"/>
      <protection locked="0"/>
    </xf>
    <xf numFmtId="3" fontId="0" fillId="5" borderId="55" xfId="0" applyNumberFormat="1" applyFill="1" applyBorder="1" applyAlignment="1" applyProtection="1">
      <alignment horizontal="center" vertical="center" wrapText="1"/>
      <protection locked="0"/>
    </xf>
    <xf numFmtId="3" fontId="0" fillId="5" borderId="17" xfId="0" applyNumberFormat="1" applyFill="1" applyBorder="1" applyAlignment="1" applyProtection="1">
      <alignment horizontal="center" vertical="center" wrapText="1"/>
      <protection locked="0"/>
    </xf>
    <xf numFmtId="3" fontId="0" fillId="5" borderId="66" xfId="0" applyNumberFormat="1" applyFill="1" applyBorder="1" applyAlignment="1" applyProtection="1">
      <alignment horizontal="center" vertical="center" wrapText="1"/>
      <protection locked="0"/>
    </xf>
    <xf numFmtId="3" fontId="0" fillId="5" borderId="225" xfId="0" applyNumberFormat="1" applyFill="1" applyBorder="1" applyAlignment="1" applyProtection="1">
      <alignment horizontal="center" vertical="center" wrapText="1"/>
      <protection locked="0"/>
    </xf>
    <xf numFmtId="3" fontId="0" fillId="5" borderId="64" xfId="0" applyNumberFormat="1" applyFill="1" applyBorder="1" applyAlignment="1" applyProtection="1">
      <alignment horizontal="center" vertical="center" wrapText="1"/>
      <protection locked="0"/>
    </xf>
    <xf numFmtId="0" fontId="65" fillId="7" borderId="162" xfId="0" applyFont="1" applyFill="1" applyBorder="1" applyAlignment="1">
      <alignment horizontal="left" vertical="center" wrapText="1" indent="1"/>
    </xf>
    <xf numFmtId="0" fontId="65" fillId="7" borderId="16" xfId="0" applyFont="1" applyFill="1" applyBorder="1" applyAlignment="1">
      <alignment horizontal="left" vertical="center" wrapText="1" indent="1"/>
    </xf>
    <xf numFmtId="3" fontId="0" fillId="5" borderId="162" xfId="0" applyNumberFormat="1" applyFill="1" applyBorder="1" applyAlignment="1" applyProtection="1">
      <alignment horizontal="center" vertical="center" wrapText="1"/>
      <protection locked="0"/>
    </xf>
    <xf numFmtId="3" fontId="29" fillId="7" borderId="212" xfId="0" applyNumberFormat="1" applyFont="1" applyFill="1" applyBorder="1" applyAlignment="1">
      <alignment horizontal="center" vertical="center" wrapText="1"/>
    </xf>
    <xf numFmtId="3" fontId="29" fillId="7" borderId="209" xfId="0" applyNumberFormat="1" applyFont="1" applyFill="1" applyBorder="1" applyAlignment="1">
      <alignment horizontal="center" vertical="center" wrapText="1"/>
    </xf>
    <xf numFmtId="3" fontId="0" fillId="5" borderId="247" xfId="0" applyNumberFormat="1" applyFill="1" applyBorder="1" applyAlignment="1" applyProtection="1">
      <alignment horizontal="center" vertical="center" wrapText="1"/>
      <protection locked="0"/>
    </xf>
    <xf numFmtId="3" fontId="0" fillId="5" borderId="211" xfId="0" applyNumberFormat="1" applyFill="1" applyBorder="1" applyAlignment="1" applyProtection="1">
      <alignment horizontal="center" vertical="center" wrapText="1"/>
      <protection locked="0"/>
    </xf>
    <xf numFmtId="0" fontId="65" fillId="7" borderId="247" xfId="0" applyFont="1" applyFill="1" applyBorder="1" applyAlignment="1">
      <alignment horizontal="left" vertical="center" wrapText="1" indent="1"/>
    </xf>
    <xf numFmtId="0" fontId="65" fillId="7" borderId="208" xfId="0" applyFont="1" applyFill="1" applyBorder="1" applyAlignment="1">
      <alignment horizontal="left" vertical="center" wrapText="1" indent="1"/>
    </xf>
    <xf numFmtId="3" fontId="0" fillId="5" borderId="212" xfId="0" applyNumberFormat="1" applyFill="1" applyBorder="1" applyAlignment="1" applyProtection="1">
      <alignment horizontal="center" vertical="center" wrapText="1"/>
      <protection locked="0"/>
    </xf>
    <xf numFmtId="3" fontId="0" fillId="5" borderId="223" xfId="0" applyNumberFormat="1" applyFill="1" applyBorder="1" applyAlignment="1" applyProtection="1">
      <alignment horizontal="center" vertical="center" wrapText="1"/>
      <protection locked="0"/>
    </xf>
    <xf numFmtId="3" fontId="0" fillId="5" borderId="210" xfId="0" applyNumberFormat="1" applyFill="1" applyBorder="1" applyAlignment="1" applyProtection="1">
      <alignment horizontal="center" vertical="center" wrapText="1"/>
      <protection locked="0"/>
    </xf>
    <xf numFmtId="0" fontId="0" fillId="7" borderId="0" xfId="0" applyFill="1" applyAlignment="1">
      <alignment horizontal="justify" vertical="top" wrapText="1"/>
    </xf>
    <xf numFmtId="3" fontId="0" fillId="5" borderId="213" xfId="0" applyNumberFormat="1" applyFill="1" applyBorder="1" applyAlignment="1" applyProtection="1">
      <alignment horizontal="center" vertical="center" wrapText="1"/>
      <protection locked="0"/>
    </xf>
    <xf numFmtId="3" fontId="29" fillId="7" borderId="207" xfId="0" applyNumberFormat="1" applyFont="1" applyFill="1" applyBorder="1" applyAlignment="1">
      <alignment horizontal="center" vertical="center" wrapText="1"/>
    </xf>
    <xf numFmtId="3" fontId="29" fillId="7" borderId="211" xfId="0" applyNumberFormat="1" applyFont="1" applyFill="1" applyBorder="1" applyAlignment="1">
      <alignment horizontal="center" vertical="center" wrapText="1"/>
    </xf>
    <xf numFmtId="3" fontId="0" fillId="5" borderId="7" xfId="0" applyNumberFormat="1" applyFill="1" applyBorder="1" applyAlignment="1" applyProtection="1">
      <alignment horizontal="center" vertical="center"/>
      <protection locked="0"/>
    </xf>
    <xf numFmtId="3" fontId="0" fillId="5" borderId="12" xfId="0" applyNumberFormat="1" applyFill="1" applyBorder="1" applyAlignment="1" applyProtection="1">
      <alignment horizontal="center" vertical="center"/>
      <protection locked="0"/>
    </xf>
    <xf numFmtId="3" fontId="0" fillId="5" borderId="8" xfId="0" applyNumberFormat="1" applyFill="1" applyBorder="1" applyAlignment="1" applyProtection="1">
      <alignment horizontal="center" vertical="center"/>
      <protection locked="0"/>
    </xf>
    <xf numFmtId="3" fontId="0" fillId="5" borderId="25" xfId="0" applyNumberFormat="1" applyFill="1" applyBorder="1" applyAlignment="1" applyProtection="1">
      <alignment horizontal="center" vertical="center"/>
      <protection locked="0"/>
    </xf>
    <xf numFmtId="3" fontId="0" fillId="5" borderId="85" xfId="0" applyNumberFormat="1" applyFill="1" applyBorder="1" applyAlignment="1" applyProtection="1">
      <alignment horizontal="center" vertical="center"/>
      <protection locked="0"/>
    </xf>
    <xf numFmtId="0" fontId="26" fillId="7" borderId="0" xfId="11" applyFont="1" applyFill="1" applyAlignment="1">
      <alignment horizontal="justify" vertical="top"/>
    </xf>
    <xf numFmtId="3" fontId="0" fillId="5" borderId="13" xfId="0" applyNumberFormat="1" applyFill="1" applyBorder="1" applyAlignment="1" applyProtection="1">
      <alignment horizontal="center" vertical="center"/>
      <protection locked="0"/>
    </xf>
    <xf numFmtId="0" fontId="65" fillId="4" borderId="17" xfId="0" applyFont="1" applyFill="1" applyBorder="1" applyAlignment="1">
      <alignment horizontal="center" vertical="center"/>
    </xf>
    <xf numFmtId="0" fontId="65" fillId="4" borderId="16" xfId="0" applyFont="1" applyFill="1" applyBorder="1" applyAlignment="1">
      <alignment horizontal="center" vertical="center"/>
    </xf>
    <xf numFmtId="0" fontId="65" fillId="4" borderId="55" xfId="0" applyFont="1" applyFill="1" applyBorder="1" applyAlignment="1">
      <alignment horizontal="center" vertical="center"/>
    </xf>
    <xf numFmtId="0" fontId="43" fillId="7" borderId="14" xfId="0" applyFont="1" applyFill="1" applyBorder="1" applyAlignment="1">
      <alignment horizontal="center" vertical="center" shrinkToFit="1"/>
    </xf>
    <xf numFmtId="0" fontId="43" fillId="7" borderId="15" xfId="0" applyFont="1" applyFill="1" applyBorder="1" applyAlignment="1">
      <alignment horizontal="center" vertical="center" shrinkToFit="1"/>
    </xf>
    <xf numFmtId="0" fontId="43" fillId="7" borderId="37" xfId="0" applyFont="1" applyFill="1" applyBorder="1" applyAlignment="1">
      <alignment horizontal="center" vertical="center" shrinkToFit="1"/>
    </xf>
    <xf numFmtId="0" fontId="43" fillId="7" borderId="35" xfId="0" applyFont="1" applyFill="1" applyBorder="1" applyAlignment="1">
      <alignment horizontal="center" vertical="center" shrinkToFit="1"/>
    </xf>
    <xf numFmtId="0" fontId="26" fillId="7" borderId="82" xfId="71" applyFont="1" applyFill="1" applyBorder="1" applyAlignment="1">
      <alignment horizontal="left" vertical="center" indent="1"/>
    </xf>
    <xf numFmtId="0" fontId="26" fillId="7" borderId="83" xfId="71" applyFont="1" applyFill="1" applyBorder="1" applyAlignment="1">
      <alignment horizontal="left" vertical="center" indent="1"/>
    </xf>
    <xf numFmtId="0" fontId="26" fillId="7" borderId="84" xfId="71" applyFont="1" applyFill="1" applyBorder="1" applyAlignment="1">
      <alignment horizontal="left" vertical="center" indent="1"/>
    </xf>
    <xf numFmtId="0" fontId="26" fillId="4" borderId="82" xfId="71" applyFont="1" applyFill="1" applyBorder="1" applyAlignment="1">
      <alignment horizontal="center" vertical="center"/>
    </xf>
    <xf numFmtId="0" fontId="26" fillId="4" borderId="83" xfId="71" applyFont="1" applyFill="1" applyBorder="1" applyAlignment="1">
      <alignment horizontal="center" vertical="center"/>
    </xf>
    <xf numFmtId="0" fontId="26" fillId="4" borderId="84" xfId="71" applyFont="1" applyFill="1" applyBorder="1" applyAlignment="1">
      <alignment horizontal="center" vertical="center"/>
    </xf>
    <xf numFmtId="0" fontId="26" fillId="4" borderId="22" xfId="71" applyFont="1" applyFill="1" applyBorder="1" applyAlignment="1">
      <alignment horizontal="center" vertical="center"/>
    </xf>
    <xf numFmtId="0" fontId="26" fillId="4" borderId="9" xfId="71" applyFont="1" applyFill="1" applyBorder="1" applyAlignment="1">
      <alignment horizontal="center" vertical="center"/>
    </xf>
    <xf numFmtId="0" fontId="26" fillId="4" borderId="10" xfId="71" applyFont="1" applyFill="1" applyBorder="1" applyAlignment="1">
      <alignment horizontal="center" vertical="center"/>
    </xf>
    <xf numFmtId="0" fontId="35" fillId="7" borderId="25" xfId="64" applyFont="1" applyFill="1" applyBorder="1" applyAlignment="1">
      <alignment horizontal="center" vertical="center" wrapText="1"/>
    </xf>
    <xf numFmtId="0" fontId="35" fillId="7" borderId="12" xfId="64" applyFont="1" applyFill="1" applyBorder="1" applyAlignment="1">
      <alignment horizontal="center" vertical="center" wrapText="1"/>
    </xf>
    <xf numFmtId="0" fontId="35" fillId="7" borderId="85" xfId="64" applyFont="1" applyFill="1" applyBorder="1" applyAlignment="1">
      <alignment horizontal="center" vertical="center" wrapText="1"/>
    </xf>
    <xf numFmtId="0" fontId="35" fillId="7" borderId="81" xfId="64" applyFont="1" applyFill="1" applyBorder="1" applyAlignment="1">
      <alignment horizontal="center" vertical="center" wrapText="1"/>
    </xf>
    <xf numFmtId="0" fontId="35" fillId="7" borderId="13" xfId="64" applyFont="1" applyFill="1" applyBorder="1" applyAlignment="1">
      <alignment horizontal="center" vertical="center" wrapText="1"/>
    </xf>
    <xf numFmtId="0" fontId="35" fillId="7" borderId="7" xfId="64" applyFont="1" applyFill="1" applyBorder="1" applyAlignment="1">
      <alignment horizontal="center" vertical="center" wrapText="1"/>
    </xf>
    <xf numFmtId="0" fontId="35" fillId="7" borderId="8" xfId="64" applyFont="1" applyFill="1" applyBorder="1" applyAlignment="1">
      <alignment horizontal="center" vertical="center" wrapText="1"/>
    </xf>
    <xf numFmtId="0" fontId="29" fillId="7" borderId="48" xfId="64" applyFont="1" applyFill="1" applyBorder="1" applyAlignment="1">
      <alignment horizontal="center" vertical="center" wrapText="1"/>
    </xf>
    <xf numFmtId="0" fontId="29" fillId="7" borderId="49" xfId="64" applyFont="1" applyFill="1" applyBorder="1" applyAlignment="1">
      <alignment horizontal="center" vertical="center" wrapText="1"/>
    </xf>
    <xf numFmtId="0" fontId="29" fillId="7" borderId="52" xfId="64" applyFont="1" applyFill="1" applyBorder="1" applyAlignment="1">
      <alignment horizontal="center" vertical="center" wrapText="1"/>
    </xf>
    <xf numFmtId="0" fontId="29" fillId="7" borderId="32" xfId="64" applyFont="1" applyFill="1" applyBorder="1" applyAlignment="1">
      <alignment horizontal="center" vertical="center" wrapText="1"/>
    </xf>
    <xf numFmtId="0" fontId="29" fillId="7" borderId="0" xfId="64" applyFont="1" applyFill="1" applyAlignment="1">
      <alignment horizontal="center" vertical="center" wrapText="1"/>
    </xf>
    <xf numFmtId="0" fontId="29" fillId="7" borderId="61" xfId="64" applyFont="1" applyFill="1" applyBorder="1" applyAlignment="1">
      <alignment horizontal="center" vertical="center" wrapText="1"/>
    </xf>
    <xf numFmtId="0" fontId="29" fillId="7" borderId="22" xfId="64" applyFont="1" applyFill="1" applyBorder="1" applyAlignment="1">
      <alignment horizontal="center" vertical="center" wrapText="1"/>
    </xf>
    <xf numFmtId="0" fontId="29" fillId="7" borderId="9" xfId="64" applyFont="1" applyFill="1" applyBorder="1" applyAlignment="1">
      <alignment horizontal="center" vertical="center" wrapText="1"/>
    </xf>
    <xf numFmtId="0" fontId="29" fillId="7" borderId="10" xfId="64" applyFont="1" applyFill="1" applyBorder="1" applyAlignment="1">
      <alignment horizontal="center" vertical="center" wrapText="1"/>
    </xf>
    <xf numFmtId="0" fontId="29" fillId="7" borderId="14" xfId="64" applyFont="1" applyFill="1" applyBorder="1" applyAlignment="1">
      <alignment horizontal="center" vertical="center" wrapText="1"/>
    </xf>
    <xf numFmtId="0" fontId="29" fillId="7" borderId="15" xfId="64" applyFont="1" applyFill="1" applyBorder="1" applyAlignment="1">
      <alignment horizontal="center" vertical="center" wrapText="1"/>
    </xf>
    <xf numFmtId="0" fontId="29" fillId="7" borderId="37" xfId="64" applyFont="1" applyFill="1" applyBorder="1" applyAlignment="1">
      <alignment horizontal="center" vertical="center" wrapText="1"/>
    </xf>
    <xf numFmtId="0" fontId="29" fillId="7" borderId="20" xfId="64" applyFont="1" applyFill="1" applyBorder="1" applyAlignment="1">
      <alignment horizontal="center" vertical="center" wrapText="1"/>
    </xf>
    <xf numFmtId="0" fontId="29" fillId="7" borderId="6" xfId="64" applyFont="1" applyFill="1" applyBorder="1" applyAlignment="1">
      <alignment horizontal="center" vertical="center" wrapText="1"/>
    </xf>
    <xf numFmtId="0" fontId="29" fillId="7" borderId="54" xfId="64" applyFont="1" applyFill="1" applyBorder="1" applyAlignment="1">
      <alignment horizontal="center" vertical="center" wrapText="1"/>
    </xf>
    <xf numFmtId="0" fontId="22" fillId="7" borderId="16" xfId="64" applyFont="1" applyFill="1" applyBorder="1" applyAlignment="1">
      <alignment vertical="center"/>
    </xf>
    <xf numFmtId="0" fontId="22" fillId="7" borderId="55" xfId="64" applyFont="1" applyFill="1" applyBorder="1" applyAlignment="1">
      <alignment vertical="center"/>
    </xf>
    <xf numFmtId="3" fontId="22" fillId="5" borderId="17" xfId="64" applyNumberFormat="1" applyFont="1" applyFill="1" applyBorder="1" applyAlignment="1" applyProtection="1">
      <alignment horizontal="center" vertical="center" wrapText="1"/>
      <protection locked="0"/>
    </xf>
    <xf numFmtId="3" fontId="22" fillId="5" borderId="16" xfId="64" applyNumberFormat="1" applyFont="1" applyFill="1" applyBorder="1" applyAlignment="1" applyProtection="1">
      <alignment horizontal="center" vertical="center" wrapText="1"/>
      <protection locked="0"/>
    </xf>
    <xf numFmtId="3" fontId="22" fillId="5" borderId="66" xfId="64" applyNumberFormat="1" applyFont="1" applyFill="1" applyBorder="1" applyAlignment="1" applyProtection="1">
      <alignment horizontal="center" vertical="center" wrapText="1"/>
      <protection locked="0"/>
    </xf>
    <xf numFmtId="3" fontId="22" fillId="5" borderId="63" xfId="64" applyNumberFormat="1" applyFont="1" applyFill="1" applyBorder="1" applyAlignment="1" applyProtection="1">
      <alignment horizontal="center" vertical="center" wrapText="1"/>
      <protection locked="0"/>
    </xf>
    <xf numFmtId="3" fontId="22" fillId="5" borderId="64" xfId="64" applyNumberFormat="1" applyFont="1" applyFill="1" applyBorder="1" applyAlignment="1" applyProtection="1">
      <alignment horizontal="center" vertical="center" wrapText="1"/>
      <protection locked="0"/>
    </xf>
    <xf numFmtId="3" fontId="29" fillId="7" borderId="67" xfId="64" applyNumberFormat="1" applyFont="1" applyFill="1" applyBorder="1" applyAlignment="1">
      <alignment horizontal="center" vertical="center" wrapText="1"/>
    </xf>
    <xf numFmtId="3" fontId="29" fillId="7" borderId="16" xfId="64" applyNumberFormat="1" applyFont="1" applyFill="1" applyBorder="1" applyAlignment="1">
      <alignment horizontal="center" vertical="center" wrapText="1"/>
    </xf>
    <xf numFmtId="3" fontId="29" fillId="7" borderId="55" xfId="64" applyNumberFormat="1" applyFont="1" applyFill="1" applyBorder="1" applyAlignment="1">
      <alignment horizontal="center" vertical="center" wrapText="1"/>
    </xf>
    <xf numFmtId="3" fontId="22" fillId="5" borderId="33" xfId="64" applyNumberFormat="1" applyFont="1" applyFill="1" applyBorder="1" applyAlignment="1" applyProtection="1">
      <alignment horizontal="center" vertical="center" wrapText="1"/>
      <protection locked="0"/>
    </xf>
    <xf numFmtId="3" fontId="22" fillId="5" borderId="15" xfId="64" applyNumberFormat="1" applyFont="1" applyFill="1" applyBorder="1" applyAlignment="1" applyProtection="1">
      <alignment horizontal="center" vertical="center" wrapText="1"/>
      <protection locked="0"/>
    </xf>
    <xf numFmtId="3" fontId="22" fillId="5" borderId="35" xfId="64" applyNumberFormat="1" applyFont="1" applyFill="1" applyBorder="1" applyAlignment="1" applyProtection="1">
      <alignment horizontal="center" vertical="center" wrapText="1"/>
      <protection locked="0"/>
    </xf>
    <xf numFmtId="3" fontId="29" fillId="7" borderId="36" xfId="64" applyNumberFormat="1" applyFont="1" applyFill="1" applyBorder="1" applyAlignment="1">
      <alignment horizontal="center" vertical="center" wrapText="1"/>
    </xf>
    <xf numFmtId="3" fontId="29" fillId="7" borderId="15" xfId="64" applyNumberFormat="1" applyFont="1" applyFill="1" applyBorder="1" applyAlignment="1">
      <alignment horizontal="center" vertical="center" wrapText="1"/>
    </xf>
    <xf numFmtId="3" fontId="29" fillId="7" borderId="37" xfId="64" applyNumberFormat="1" applyFont="1" applyFill="1" applyBorder="1" applyAlignment="1">
      <alignment horizontal="center" vertical="center" wrapText="1"/>
    </xf>
    <xf numFmtId="0" fontId="22" fillId="7" borderId="49" xfId="64" applyFont="1" applyFill="1" applyBorder="1" applyAlignment="1">
      <alignment vertical="center"/>
    </xf>
    <xf numFmtId="0" fontId="22" fillId="7" borderId="52" xfId="64" applyFont="1" applyFill="1" applyBorder="1" applyAlignment="1">
      <alignment vertical="center"/>
    </xf>
    <xf numFmtId="3" fontId="22" fillId="5" borderId="14" xfId="64" applyNumberFormat="1" applyFont="1" applyFill="1" applyBorder="1" applyAlignment="1" applyProtection="1">
      <alignment horizontal="center" vertical="center" wrapText="1"/>
      <protection locked="0"/>
    </xf>
    <xf numFmtId="3" fontId="22" fillId="5" borderId="34" xfId="64" applyNumberFormat="1" applyFont="1" applyFill="1" applyBorder="1" applyAlignment="1" applyProtection="1">
      <alignment horizontal="center" vertical="center" wrapText="1"/>
      <protection locked="0"/>
    </xf>
    <xf numFmtId="0" fontId="22" fillId="7" borderId="16" xfId="64" applyFont="1" applyFill="1" applyBorder="1" applyAlignment="1">
      <alignment horizontal="right" vertical="center"/>
    </xf>
    <xf numFmtId="0" fontId="22" fillId="7" borderId="57" xfId="64" applyFont="1" applyFill="1" applyBorder="1" applyAlignment="1">
      <alignment vertical="center"/>
    </xf>
    <xf numFmtId="0" fontId="22" fillId="7" borderId="58" xfId="64" applyFont="1" applyFill="1" applyBorder="1" applyAlignment="1">
      <alignment vertical="center"/>
    </xf>
    <xf numFmtId="3" fontId="29" fillId="7" borderId="81" xfId="64" applyNumberFormat="1" applyFont="1" applyFill="1" applyBorder="1" applyAlignment="1">
      <alignment horizontal="center" vertical="center" wrapText="1"/>
    </xf>
    <xf numFmtId="3" fontId="29" fillId="7" borderId="12" xfId="64" applyNumberFormat="1" applyFont="1" applyFill="1" applyBorder="1" applyAlignment="1">
      <alignment horizontal="center" vertical="center" wrapText="1"/>
    </xf>
    <xf numFmtId="3" fontId="29" fillId="7" borderId="13" xfId="64" applyNumberFormat="1" applyFont="1" applyFill="1" applyBorder="1" applyAlignment="1">
      <alignment horizontal="center" vertical="center" wrapText="1"/>
    </xf>
    <xf numFmtId="0" fontId="22" fillId="4" borderId="48" xfId="64" applyFont="1" applyFill="1" applyBorder="1" applyAlignment="1">
      <alignment horizontal="center" vertical="center" wrapText="1"/>
    </xf>
    <xf numFmtId="0" fontId="22" fillId="4" borderId="49" xfId="64" applyFont="1" applyFill="1" applyBorder="1" applyAlignment="1">
      <alignment horizontal="center" vertical="center" wrapText="1"/>
    </xf>
    <xf numFmtId="0" fontId="22" fillId="4" borderId="52" xfId="64" applyFont="1" applyFill="1" applyBorder="1" applyAlignment="1">
      <alignment horizontal="center" vertical="center" wrapText="1"/>
    </xf>
    <xf numFmtId="0" fontId="22" fillId="4" borderId="32" xfId="64" applyFont="1" applyFill="1" applyBorder="1" applyAlignment="1">
      <alignment horizontal="center" vertical="center" wrapText="1"/>
    </xf>
    <xf numFmtId="0" fontId="22" fillId="4" borderId="0" xfId="64" applyFont="1" applyFill="1" applyAlignment="1">
      <alignment horizontal="center" vertical="center" wrapText="1"/>
    </xf>
    <xf numFmtId="0" fontId="22" fillId="4" borderId="61" xfId="64" applyFont="1" applyFill="1" applyBorder="1" applyAlignment="1">
      <alignment horizontal="center" vertical="center" wrapText="1"/>
    </xf>
    <xf numFmtId="0" fontId="22" fillId="4" borderId="114" xfId="64" applyFont="1" applyFill="1" applyBorder="1" applyAlignment="1">
      <alignment horizontal="center" vertical="center" wrapText="1"/>
    </xf>
    <xf numFmtId="0" fontId="22" fillId="4" borderId="77" xfId="64" applyFont="1" applyFill="1" applyBorder="1" applyAlignment="1">
      <alignment horizontal="center" vertical="center" wrapText="1"/>
    </xf>
    <xf numFmtId="0" fontId="22" fillId="4" borderId="78" xfId="64" applyFont="1" applyFill="1" applyBorder="1" applyAlignment="1">
      <alignment horizontal="center" vertical="center" wrapText="1"/>
    </xf>
    <xf numFmtId="0" fontId="22" fillId="7" borderId="16" xfId="64" applyFont="1" applyFill="1" applyBorder="1" applyAlignment="1">
      <alignment vertical="top" wrapText="1"/>
    </xf>
    <xf numFmtId="0" fontId="22" fillId="7" borderId="16" xfId="64" applyFont="1" applyFill="1" applyBorder="1" applyAlignment="1">
      <alignment vertical="top"/>
    </xf>
    <xf numFmtId="0" fontId="22" fillId="7" borderId="55" xfId="64" applyFont="1" applyFill="1" applyBorder="1" applyAlignment="1">
      <alignment vertical="top"/>
    </xf>
    <xf numFmtId="0" fontId="29" fillId="7" borderId="44" xfId="64" applyFont="1" applyFill="1" applyBorder="1" applyAlignment="1">
      <alignment horizontal="center" vertical="center"/>
    </xf>
    <xf numFmtId="0" fontId="29" fillId="7" borderId="45" xfId="64" applyFont="1" applyFill="1" applyBorder="1" applyAlignment="1">
      <alignment horizontal="center" vertical="center"/>
    </xf>
    <xf numFmtId="0" fontId="29" fillId="7" borderId="47" xfId="64" applyFont="1" applyFill="1" applyBorder="1" applyAlignment="1">
      <alignment horizontal="center" vertical="center"/>
    </xf>
    <xf numFmtId="3" fontId="29" fillId="7" borderId="22" xfId="64" applyNumberFormat="1" applyFont="1" applyFill="1" applyBorder="1" applyAlignment="1">
      <alignment horizontal="center" vertical="center" wrapText="1"/>
    </xf>
    <xf numFmtId="3" fontId="29" fillId="7" borderId="9" xfId="64" applyNumberFormat="1" applyFont="1" applyFill="1" applyBorder="1" applyAlignment="1">
      <alignment horizontal="center" vertical="center" wrapText="1"/>
    </xf>
    <xf numFmtId="3" fontId="29" fillId="7" borderId="24" xfId="64" applyNumberFormat="1" applyFont="1" applyFill="1" applyBorder="1" applyAlignment="1">
      <alignment horizontal="center" vertical="center" wrapText="1"/>
    </xf>
    <xf numFmtId="3" fontId="29" fillId="7" borderId="29" xfId="64" applyNumberFormat="1" applyFont="1" applyFill="1" applyBorder="1" applyAlignment="1">
      <alignment horizontal="center" vertical="center" wrapText="1"/>
    </xf>
    <xf numFmtId="3" fontId="29" fillId="7" borderId="10" xfId="64" applyNumberFormat="1" applyFont="1" applyFill="1" applyBorder="1" applyAlignment="1">
      <alignment horizontal="center" vertical="center" wrapText="1"/>
    </xf>
    <xf numFmtId="3" fontId="22" fillId="5" borderId="38" xfId="64" applyNumberFormat="1" applyFont="1" applyFill="1" applyBorder="1" applyAlignment="1" applyProtection="1">
      <alignment horizontal="center" vertical="center" wrapText="1"/>
      <protection locked="0"/>
    </xf>
    <xf numFmtId="3" fontId="22" fillId="5" borderId="39" xfId="64" applyNumberFormat="1" applyFont="1" applyFill="1" applyBorder="1" applyAlignment="1" applyProtection="1">
      <alignment horizontal="center" vertical="center" wrapText="1"/>
      <protection locked="0"/>
    </xf>
    <xf numFmtId="3" fontId="22" fillId="5" borderId="41" xfId="64" applyNumberFormat="1" applyFont="1" applyFill="1" applyBorder="1" applyAlignment="1" applyProtection="1">
      <alignment horizontal="center" vertical="center" wrapText="1"/>
      <protection locked="0"/>
    </xf>
    <xf numFmtId="3" fontId="22" fillId="5" borderId="40" xfId="64" applyNumberFormat="1" applyFont="1" applyFill="1" applyBorder="1" applyAlignment="1" applyProtection="1">
      <alignment horizontal="center" vertical="center" wrapText="1"/>
      <protection locked="0"/>
    </xf>
    <xf numFmtId="3" fontId="22" fillId="5" borderId="42" xfId="64" applyNumberFormat="1" applyFont="1" applyFill="1" applyBorder="1" applyAlignment="1" applyProtection="1">
      <alignment horizontal="center" vertical="center" wrapText="1"/>
      <protection locked="0"/>
    </xf>
    <xf numFmtId="3" fontId="29" fillId="7" borderId="103" xfId="64" applyNumberFormat="1" applyFont="1" applyFill="1" applyBorder="1" applyAlignment="1">
      <alignment horizontal="center" vertical="center" wrapText="1"/>
    </xf>
    <xf numFmtId="3" fontId="29" fillId="7" borderId="39" xfId="64" applyNumberFormat="1" applyFont="1" applyFill="1" applyBorder="1" applyAlignment="1">
      <alignment horizontal="center" vertical="center" wrapText="1"/>
    </xf>
    <xf numFmtId="3" fontId="29" fillId="7" borderId="43" xfId="64" applyNumberFormat="1" applyFont="1" applyFill="1" applyBorder="1" applyAlignment="1">
      <alignment horizontal="center" vertical="center" wrapText="1"/>
    </xf>
    <xf numFmtId="0" fontId="22" fillId="7" borderId="16" xfId="64" applyFont="1" applyFill="1" applyBorder="1" applyAlignment="1">
      <alignment vertical="center" wrapText="1"/>
    </xf>
    <xf numFmtId="3" fontId="29" fillId="7" borderId="44" xfId="64" applyNumberFormat="1" applyFont="1" applyFill="1" applyBorder="1" applyAlignment="1">
      <alignment horizontal="center" vertical="center" wrapText="1"/>
    </xf>
    <xf numFmtId="3" fontId="29" fillId="7" borderId="45" xfId="64" applyNumberFormat="1" applyFont="1" applyFill="1" applyBorder="1" applyAlignment="1">
      <alignment horizontal="center" vertical="center" wrapText="1"/>
    </xf>
    <xf numFmtId="3" fontId="29" fillId="7" borderId="46" xfId="64" applyNumberFormat="1" applyFont="1" applyFill="1" applyBorder="1" applyAlignment="1">
      <alignment horizontal="center" vertical="center" wrapText="1"/>
    </xf>
    <xf numFmtId="3" fontId="29" fillId="7" borderId="312" xfId="64" applyNumberFormat="1" applyFont="1" applyFill="1" applyBorder="1" applyAlignment="1">
      <alignment horizontal="center" vertical="center" wrapText="1"/>
    </xf>
    <xf numFmtId="3" fontId="29" fillId="7" borderId="47" xfId="64" applyNumberFormat="1" applyFont="1" applyFill="1" applyBorder="1" applyAlignment="1">
      <alignment horizontal="center" vertical="center" wrapText="1"/>
    </xf>
    <xf numFmtId="3" fontId="29" fillId="7" borderId="311" xfId="64" applyNumberFormat="1" applyFont="1" applyFill="1" applyBorder="1" applyAlignment="1">
      <alignment horizontal="center" vertical="center" wrapText="1"/>
    </xf>
    <xf numFmtId="0" fontId="0" fillId="0" borderId="6" xfId="0" applyBorder="1" applyAlignment="1" applyProtection="1">
      <alignment horizontal="center"/>
      <protection locked="0"/>
    </xf>
    <xf numFmtId="0" fontId="22" fillId="0" borderId="6" xfId="0" applyFont="1" applyBorder="1" applyAlignment="1" applyProtection="1">
      <alignment horizontal="center"/>
      <protection locked="0"/>
    </xf>
    <xf numFmtId="0" fontId="26" fillId="7" borderId="0" xfId="11" applyFont="1" applyFill="1" applyAlignment="1">
      <alignment vertical="center"/>
    </xf>
    <xf numFmtId="0" fontId="26" fillId="7" borderId="0" xfId="23" applyFont="1" applyFill="1" applyAlignment="1">
      <alignment vertical="center"/>
    </xf>
    <xf numFmtId="0" fontId="29" fillId="7" borderId="0" xfId="64" applyFont="1" applyFill="1" applyAlignment="1">
      <alignment horizontal="justify" vertical="top" wrapText="1"/>
    </xf>
    <xf numFmtId="0" fontId="26" fillId="7" borderId="0" xfId="11" applyFont="1" applyFill="1" applyAlignment="1">
      <alignment horizontal="right" vertical="top" wrapText="1"/>
    </xf>
    <xf numFmtId="0" fontId="26" fillId="7" borderId="0" xfId="11" applyFont="1" applyFill="1" applyAlignment="1">
      <alignment horizontal="center" vertical="top" wrapText="1"/>
    </xf>
    <xf numFmtId="0" fontId="43" fillId="7" borderId="82" xfId="78" applyFont="1" applyFill="1" applyBorder="1" applyAlignment="1">
      <alignment horizontal="center" vertical="center"/>
    </xf>
    <xf numFmtId="0" fontId="43" fillId="7" borderId="83" xfId="78" applyFont="1" applyFill="1" applyBorder="1" applyAlignment="1">
      <alignment horizontal="center" vertical="center"/>
    </xf>
    <xf numFmtId="0" fontId="43" fillId="7" borderId="84" xfId="78" applyFont="1" applyFill="1" applyBorder="1" applyAlignment="1">
      <alignment horizontal="center" vertical="center"/>
    </xf>
    <xf numFmtId="0" fontId="67" fillId="7" borderId="0" xfId="78" applyFont="1" applyFill="1" applyAlignment="1">
      <alignment vertical="top" wrapText="1"/>
    </xf>
    <xf numFmtId="3" fontId="29" fillId="7" borderId="44" xfId="78" applyNumberFormat="1" applyFont="1" applyFill="1" applyBorder="1" applyAlignment="1">
      <alignment horizontal="center" vertical="center"/>
    </xf>
    <xf numFmtId="3" fontId="29" fillId="7" borderId="45" xfId="78" applyNumberFormat="1" applyFont="1" applyFill="1" applyBorder="1" applyAlignment="1">
      <alignment horizontal="center" vertical="center"/>
    </xf>
    <xf numFmtId="3" fontId="29" fillId="7" borderId="47" xfId="78" applyNumberFormat="1" applyFont="1" applyFill="1" applyBorder="1" applyAlignment="1">
      <alignment horizontal="center" vertical="center"/>
    </xf>
    <xf numFmtId="3" fontId="22" fillId="5" borderId="38" xfId="78" applyNumberFormat="1" applyFont="1" applyFill="1" applyBorder="1" applyAlignment="1" applyProtection="1">
      <alignment horizontal="center" vertical="center"/>
      <protection locked="0"/>
    </xf>
    <xf numFmtId="3" fontId="22" fillId="5" borderId="39" xfId="78" applyNumberFormat="1" applyFont="1" applyFill="1" applyBorder="1" applyAlignment="1" applyProtection="1">
      <alignment horizontal="center" vertical="center"/>
      <protection locked="0"/>
    </xf>
    <xf numFmtId="3" fontId="22" fillId="5" borderId="43" xfId="78" applyNumberFormat="1" applyFont="1" applyFill="1" applyBorder="1" applyAlignment="1" applyProtection="1">
      <alignment horizontal="center" vertical="center"/>
      <protection locked="0"/>
    </xf>
    <xf numFmtId="3" fontId="22" fillId="5" borderId="14" xfId="78" applyNumberFormat="1" applyFont="1" applyFill="1" applyBorder="1" applyAlignment="1" applyProtection="1">
      <alignment horizontal="center" vertical="center"/>
      <protection locked="0"/>
    </xf>
    <xf numFmtId="3" fontId="22" fillId="5" borderId="15" xfId="78" applyNumberFormat="1" applyFont="1" applyFill="1" applyBorder="1" applyAlignment="1" applyProtection="1">
      <alignment horizontal="center" vertical="center"/>
      <protection locked="0"/>
    </xf>
    <xf numFmtId="3" fontId="22" fillId="5" borderId="37" xfId="78" applyNumberFormat="1" applyFont="1" applyFill="1" applyBorder="1" applyAlignment="1" applyProtection="1">
      <alignment horizontal="center" vertical="center"/>
      <protection locked="0"/>
    </xf>
    <xf numFmtId="0" fontId="26" fillId="7" borderId="0" xfId="23" applyFont="1" applyFill="1" applyAlignment="1">
      <alignment vertical="top" wrapText="1"/>
    </xf>
    <xf numFmtId="0" fontId="43" fillId="7" borderId="44" xfId="78" applyFont="1" applyFill="1" applyBorder="1" applyAlignment="1">
      <alignment horizontal="center" vertical="center"/>
    </xf>
    <xf numFmtId="0" fontId="43" fillId="7" borderId="45" xfId="78" applyFont="1" applyFill="1" applyBorder="1" applyAlignment="1">
      <alignment horizontal="center" vertical="center"/>
    </xf>
    <xf numFmtId="0" fontId="43" fillId="7" borderId="47" xfId="78" applyFont="1" applyFill="1" applyBorder="1" applyAlignment="1">
      <alignment horizontal="center" vertical="center"/>
    </xf>
    <xf numFmtId="0" fontId="0" fillId="0" borderId="0" xfId="15" applyFont="1" applyAlignment="1" applyProtection="1">
      <alignment horizontal="center"/>
      <protection locked="0"/>
    </xf>
    <xf numFmtId="0" fontId="22" fillId="0" borderId="0" xfId="15" applyFont="1" applyAlignment="1" applyProtection="1">
      <alignment horizontal="center"/>
      <protection locked="0"/>
    </xf>
    <xf numFmtId="1" fontId="0" fillId="5" borderId="95" xfId="0" applyNumberFormat="1" applyFill="1" applyBorder="1" applyAlignment="1" applyProtection="1">
      <alignment horizontal="center" vertical="center"/>
      <protection locked="0"/>
    </xf>
    <xf numFmtId="1" fontId="0" fillId="5" borderId="49" xfId="0" applyNumberFormat="1" applyFill="1" applyBorder="1" applyAlignment="1" applyProtection="1">
      <alignment horizontal="center" vertical="center"/>
      <protection locked="0"/>
    </xf>
    <xf numFmtId="1" fontId="0" fillId="5" borderId="50" xfId="0" applyNumberFormat="1" applyFill="1" applyBorder="1" applyAlignment="1" applyProtection="1">
      <alignment horizontal="center" vertical="center"/>
      <protection locked="0"/>
    </xf>
    <xf numFmtId="1" fontId="0" fillId="5" borderId="92" xfId="0" applyNumberFormat="1" applyFill="1" applyBorder="1" applyAlignment="1" applyProtection="1">
      <alignment horizontal="center" vertical="center"/>
      <protection locked="0"/>
    </xf>
    <xf numFmtId="1" fontId="0" fillId="5" borderId="9" xfId="0" applyNumberFormat="1" applyFill="1" applyBorder="1" applyAlignment="1" applyProtection="1">
      <alignment horizontal="center" vertical="center"/>
      <protection locked="0"/>
    </xf>
    <xf numFmtId="1" fontId="0" fillId="5" borderId="24" xfId="0" applyNumberFormat="1" applyFill="1" applyBorder="1" applyAlignment="1" applyProtection="1">
      <alignment horizontal="center" vertical="center"/>
      <protection locked="0"/>
    </xf>
    <xf numFmtId="1" fontId="29" fillId="7" borderId="80" xfId="0" applyNumberFormat="1" applyFont="1" applyFill="1" applyBorder="1" applyAlignment="1">
      <alignment horizontal="center" vertical="center"/>
    </xf>
    <xf numFmtId="1" fontId="29" fillId="7" borderId="49" xfId="0" applyNumberFormat="1" applyFont="1" applyFill="1" applyBorder="1" applyAlignment="1">
      <alignment horizontal="center" vertical="center"/>
    </xf>
    <xf numFmtId="1" fontId="29" fillId="7" borderId="52" xfId="0" applyNumberFormat="1" applyFont="1" applyFill="1" applyBorder="1" applyAlignment="1">
      <alignment horizontal="center" vertical="center"/>
    </xf>
    <xf numFmtId="1" fontId="29" fillId="7" borderId="29" xfId="0" applyNumberFormat="1" applyFont="1" applyFill="1" applyBorder="1" applyAlignment="1">
      <alignment horizontal="center" vertical="center"/>
    </xf>
    <xf numFmtId="1" fontId="29" fillId="7" borderId="9" xfId="0" applyNumberFormat="1" applyFont="1" applyFill="1" applyBorder="1" applyAlignment="1">
      <alignment horizontal="center" vertical="center"/>
    </xf>
    <xf numFmtId="1" fontId="29" fillId="7" borderId="10" xfId="0" applyNumberFormat="1" applyFont="1" applyFill="1" applyBorder="1" applyAlignment="1">
      <alignment horizontal="center" vertical="center"/>
    </xf>
    <xf numFmtId="1" fontId="0" fillId="5" borderId="79" xfId="0" applyNumberFormat="1" applyFill="1" applyBorder="1" applyAlignment="1" applyProtection="1">
      <alignment horizontal="center" vertical="center"/>
      <protection locked="0"/>
    </xf>
    <xf numFmtId="1" fontId="0" fillId="5" borderId="51" xfId="0" applyNumberFormat="1" applyFill="1" applyBorder="1" applyAlignment="1" applyProtection="1">
      <alignment horizontal="center" vertical="center"/>
      <protection locked="0"/>
    </xf>
    <xf numFmtId="1" fontId="0" fillId="5" borderId="26" xfId="0" applyNumberFormat="1" applyFill="1" applyBorder="1" applyAlignment="1" applyProtection="1">
      <alignment horizontal="center" vertical="center"/>
      <protection locked="0"/>
    </xf>
    <xf numFmtId="1" fontId="0" fillId="5" borderId="11" xfId="0" applyNumberFormat="1" applyFill="1" applyBorder="1" applyAlignment="1" applyProtection="1">
      <alignment horizontal="center" vertical="center"/>
      <protection locked="0"/>
    </xf>
    <xf numFmtId="1" fontId="0" fillId="5" borderId="48" xfId="0" applyNumberFormat="1" applyFill="1" applyBorder="1" applyAlignment="1" applyProtection="1">
      <alignment horizontal="center" vertical="center"/>
      <protection locked="0"/>
    </xf>
    <xf numFmtId="1" fontId="0" fillId="5" borderId="22" xfId="0" applyNumberFormat="1" applyFill="1" applyBorder="1" applyAlignment="1" applyProtection="1">
      <alignment horizontal="center" vertical="center"/>
      <protection locked="0"/>
    </xf>
    <xf numFmtId="0" fontId="0" fillId="5" borderId="6" xfId="0" applyFill="1" applyBorder="1" applyAlignment="1" applyProtection="1">
      <alignment horizontal="center"/>
      <protection locked="0"/>
    </xf>
    <xf numFmtId="0" fontId="22" fillId="5" borderId="6" xfId="0" applyFont="1" applyFill="1" applyBorder="1" applyAlignment="1" applyProtection="1">
      <alignment horizontal="center"/>
      <protection locked="0"/>
    </xf>
    <xf numFmtId="0" fontId="43" fillId="7" borderId="14" xfId="0" applyFont="1" applyFill="1" applyBorder="1" applyAlignment="1">
      <alignment horizontal="center" vertical="center" wrapText="1"/>
    </xf>
    <xf numFmtId="0" fontId="43" fillId="7" borderId="15" xfId="0" applyFont="1" applyFill="1" applyBorder="1" applyAlignment="1">
      <alignment horizontal="center" vertical="center" wrapText="1"/>
    </xf>
    <xf numFmtId="0" fontId="43" fillId="7" borderId="37" xfId="0" applyFont="1" applyFill="1" applyBorder="1" applyAlignment="1">
      <alignment horizontal="center" vertical="center" wrapText="1"/>
    </xf>
    <xf numFmtId="0" fontId="22" fillId="7" borderId="0" xfId="11" applyFont="1" applyFill="1" applyAlignment="1">
      <alignment horizontal="justify" vertical="center" wrapText="1"/>
    </xf>
    <xf numFmtId="0" fontId="43" fillId="7" borderId="84" xfId="0" applyFont="1" applyFill="1" applyBorder="1" applyAlignment="1">
      <alignment horizontal="center" vertical="center"/>
    </xf>
    <xf numFmtId="0" fontId="43" fillId="7" borderId="34" xfId="0" applyFont="1" applyFill="1" applyBorder="1" applyAlignment="1">
      <alignment horizontal="center" vertical="center" wrapText="1"/>
    </xf>
    <xf numFmtId="0" fontId="43" fillId="7" borderId="89" xfId="0" applyFont="1" applyFill="1" applyBorder="1" applyAlignment="1">
      <alignment horizontal="center" vertical="center"/>
    </xf>
    <xf numFmtId="0" fontId="43" fillId="7" borderId="90" xfId="0" applyFont="1" applyFill="1" applyBorder="1" applyAlignment="1">
      <alignment horizontal="center" vertical="center"/>
    </xf>
    <xf numFmtId="0" fontId="43" fillId="7" borderId="79" xfId="0" applyFont="1" applyFill="1" applyBorder="1" applyAlignment="1">
      <alignment horizontal="center" vertical="center" wrapText="1"/>
    </xf>
    <xf numFmtId="0" fontId="43" fillId="7" borderId="50" xfId="0" applyFont="1" applyFill="1" applyBorder="1" applyAlignment="1">
      <alignment horizontal="center" vertical="center" wrapText="1"/>
    </xf>
    <xf numFmtId="0" fontId="43" fillId="7" borderId="26" xfId="0" applyFont="1" applyFill="1" applyBorder="1" applyAlignment="1">
      <alignment horizontal="center" vertical="center" wrapText="1"/>
    </xf>
    <xf numFmtId="0" fontId="43" fillId="7" borderId="9" xfId="0" applyFont="1" applyFill="1" applyBorder="1" applyAlignment="1">
      <alignment horizontal="center" vertical="center" wrapText="1"/>
    </xf>
    <xf numFmtId="0" fontId="43" fillId="7" borderId="24" xfId="0" applyFont="1" applyFill="1" applyBorder="1" applyAlignment="1">
      <alignment horizontal="center" vertical="center" wrapText="1"/>
    </xf>
    <xf numFmtId="0" fontId="43" fillId="7" borderId="51" xfId="0" applyFont="1" applyFill="1" applyBorder="1" applyAlignment="1">
      <alignment horizontal="center" vertical="center" wrapText="1"/>
    </xf>
    <xf numFmtId="0" fontId="43" fillId="7" borderId="11" xfId="0" applyFont="1" applyFill="1" applyBorder="1" applyAlignment="1">
      <alignment horizontal="center" vertical="center" wrapText="1"/>
    </xf>
    <xf numFmtId="0" fontId="43" fillId="7" borderId="29" xfId="0" applyFont="1" applyFill="1" applyBorder="1" applyAlignment="1">
      <alignment horizontal="center" vertical="center" wrapText="1"/>
    </xf>
    <xf numFmtId="0" fontId="43" fillId="7" borderId="10" xfId="0" applyFont="1" applyFill="1" applyBorder="1" applyAlignment="1">
      <alignment horizontal="center" vertical="center" wrapText="1"/>
    </xf>
    <xf numFmtId="1" fontId="0" fillId="5" borderId="93" xfId="0" applyNumberFormat="1" applyFill="1" applyBorder="1" applyAlignment="1" applyProtection="1">
      <alignment horizontal="center" vertical="center"/>
      <protection locked="0"/>
    </xf>
    <xf numFmtId="1" fontId="0" fillId="5" borderId="23" xfId="0" applyNumberFormat="1" applyFill="1" applyBorder="1" applyAlignment="1" applyProtection="1">
      <alignment horizontal="center" vertical="center"/>
      <protection locked="0"/>
    </xf>
    <xf numFmtId="1" fontId="29" fillId="7" borderId="80" xfId="0" applyNumberFormat="1" applyFont="1" applyFill="1" applyBorder="1" applyAlignment="1">
      <alignment horizontal="center" vertical="center" wrapText="1"/>
    </xf>
    <xf numFmtId="1" fontId="29" fillId="7" borderId="49" xfId="0" applyNumberFormat="1" applyFont="1" applyFill="1" applyBorder="1" applyAlignment="1">
      <alignment horizontal="center" vertical="center" wrapText="1"/>
    </xf>
    <xf numFmtId="1" fontId="29" fillId="7" borderId="52" xfId="0" applyNumberFormat="1" applyFont="1" applyFill="1" applyBorder="1" applyAlignment="1">
      <alignment horizontal="center" vertical="center" wrapText="1"/>
    </xf>
    <xf numFmtId="1" fontId="29" fillId="7" borderId="29" xfId="0" applyNumberFormat="1" applyFont="1" applyFill="1" applyBorder="1" applyAlignment="1">
      <alignment horizontal="center" vertical="center" wrapText="1"/>
    </xf>
    <xf numFmtId="1" fontId="29" fillId="7" borderId="9" xfId="0" applyNumberFormat="1" applyFont="1" applyFill="1" applyBorder="1" applyAlignment="1">
      <alignment horizontal="center" vertical="center" wrapText="1"/>
    </xf>
    <xf numFmtId="1" fontId="29" fillId="7" borderId="10" xfId="0" applyNumberFormat="1" applyFont="1" applyFill="1" applyBorder="1" applyAlignment="1">
      <alignment horizontal="center" vertical="center" wrapText="1"/>
    </xf>
    <xf numFmtId="1" fontId="0" fillId="5" borderId="79" xfId="0" applyNumberFormat="1" applyFill="1" applyBorder="1" applyAlignment="1" applyProtection="1">
      <alignment horizontal="center" vertical="center" wrapText="1"/>
      <protection locked="0"/>
    </xf>
    <xf numFmtId="1" fontId="0" fillId="5" borderId="49" xfId="0" applyNumberFormat="1" applyFill="1" applyBorder="1" applyAlignment="1" applyProtection="1">
      <alignment horizontal="center" vertical="center" wrapText="1"/>
      <protection locked="0"/>
    </xf>
    <xf numFmtId="1" fontId="0" fillId="5" borderId="51" xfId="0" applyNumberFormat="1" applyFill="1" applyBorder="1" applyAlignment="1" applyProtection="1">
      <alignment horizontal="center" vertical="center" wrapText="1"/>
      <protection locked="0"/>
    </xf>
    <xf numFmtId="1" fontId="0" fillId="5" borderId="26" xfId="0" applyNumberFormat="1" applyFill="1" applyBorder="1" applyAlignment="1" applyProtection="1">
      <alignment horizontal="center" vertical="center" wrapText="1"/>
      <protection locked="0"/>
    </xf>
    <xf numFmtId="1" fontId="0" fillId="5" borderId="9" xfId="0" applyNumberFormat="1" applyFill="1" applyBorder="1" applyAlignment="1" applyProtection="1">
      <alignment horizontal="center" vertical="center" wrapText="1"/>
      <protection locked="0"/>
    </xf>
    <xf numFmtId="1" fontId="0" fillId="5" borderId="11" xfId="0" applyNumberFormat="1" applyFill="1" applyBorder="1" applyAlignment="1" applyProtection="1">
      <alignment horizontal="center" vertical="center" wrapText="1"/>
      <protection locked="0"/>
    </xf>
    <xf numFmtId="1" fontId="0" fillId="5" borderId="50" xfId="0" applyNumberFormat="1" applyFill="1" applyBorder="1" applyAlignment="1" applyProtection="1">
      <alignment horizontal="center" vertical="center" wrapText="1"/>
      <protection locked="0"/>
    </xf>
    <xf numFmtId="1" fontId="0" fillId="5" borderId="24" xfId="0" applyNumberFormat="1" applyFill="1" applyBorder="1" applyAlignment="1" applyProtection="1">
      <alignment horizontal="center" vertical="center" wrapText="1"/>
      <protection locked="0"/>
    </xf>
    <xf numFmtId="3" fontId="29" fillId="7" borderId="181" xfId="1" applyNumberFormat="1" applyFont="1" applyFill="1" applyBorder="1" applyAlignment="1">
      <alignment horizontal="center" vertical="center"/>
    </xf>
    <xf numFmtId="3" fontId="29" fillId="7" borderId="175" xfId="1" applyNumberFormat="1" applyFont="1" applyFill="1" applyBorder="1" applyAlignment="1">
      <alignment horizontal="center" vertical="center"/>
    </xf>
    <xf numFmtId="3" fontId="29" fillId="7" borderId="176" xfId="1" applyNumberFormat="1" applyFont="1" applyFill="1" applyBorder="1" applyAlignment="1">
      <alignment horizontal="center" vertical="center"/>
    </xf>
    <xf numFmtId="3" fontId="29" fillId="7" borderId="171" xfId="1" applyNumberFormat="1" applyFont="1" applyFill="1" applyBorder="1" applyAlignment="1">
      <alignment horizontal="center" vertical="center"/>
    </xf>
    <xf numFmtId="3" fontId="29" fillId="7" borderId="165" xfId="1" applyNumberFormat="1" applyFont="1" applyFill="1" applyBorder="1" applyAlignment="1">
      <alignment horizontal="center" vertical="center"/>
    </xf>
    <xf numFmtId="3" fontId="29" fillId="7" borderId="166" xfId="1" applyNumberFormat="1" applyFont="1" applyFill="1" applyBorder="1" applyAlignment="1">
      <alignment horizontal="center" vertical="center"/>
    </xf>
    <xf numFmtId="3" fontId="29" fillId="7" borderId="178" xfId="1" applyNumberFormat="1" applyFont="1" applyFill="1" applyBorder="1" applyAlignment="1">
      <alignment horizontal="center" vertical="center"/>
    </xf>
    <xf numFmtId="3" fontId="29" fillId="7" borderId="179" xfId="1" applyNumberFormat="1" applyFont="1" applyFill="1" applyBorder="1" applyAlignment="1">
      <alignment horizontal="center" vertical="center"/>
    </xf>
    <xf numFmtId="3" fontId="29" fillId="7" borderId="172" xfId="1" applyNumberFormat="1" applyFont="1" applyFill="1" applyBorder="1" applyAlignment="1">
      <alignment horizontal="center" vertical="center"/>
    </xf>
    <xf numFmtId="3" fontId="29" fillId="7" borderId="168" xfId="1" applyNumberFormat="1" applyFont="1" applyFill="1" applyBorder="1" applyAlignment="1">
      <alignment horizontal="center" vertical="center"/>
    </xf>
    <xf numFmtId="3" fontId="29" fillId="7" borderId="170" xfId="1" applyNumberFormat="1" applyFont="1" applyFill="1" applyBorder="1" applyAlignment="1">
      <alignment horizontal="center" vertical="center"/>
    </xf>
    <xf numFmtId="3" fontId="29" fillId="7" borderId="314" xfId="1" applyNumberFormat="1" applyFont="1" applyFill="1" applyBorder="1" applyAlignment="1">
      <alignment horizontal="center" vertical="center"/>
    </xf>
    <xf numFmtId="3" fontId="29" fillId="7" borderId="275" xfId="1" applyNumberFormat="1" applyFont="1" applyFill="1" applyBorder="1" applyAlignment="1">
      <alignment horizontal="center" vertical="center"/>
    </xf>
    <xf numFmtId="0" fontId="43" fillId="7" borderId="247" xfId="0" applyFont="1" applyFill="1" applyBorder="1" applyAlignment="1">
      <alignment horizontal="center" vertical="center" shrinkToFit="1"/>
    </xf>
    <xf numFmtId="0" fontId="43" fillId="7" borderId="208" xfId="0" applyFont="1" applyFill="1" applyBorder="1" applyAlignment="1">
      <alignment horizontal="center" vertical="center" shrinkToFit="1"/>
    </xf>
    <xf numFmtId="0" fontId="43" fillId="7" borderId="223" xfId="0" applyFont="1" applyFill="1" applyBorder="1" applyAlignment="1">
      <alignment horizontal="center" vertical="center" shrinkToFit="1"/>
    </xf>
    <xf numFmtId="3" fontId="29" fillId="7" borderId="177" xfId="1" applyNumberFormat="1" applyFont="1" applyFill="1" applyBorder="1" applyAlignment="1">
      <alignment horizontal="center" vertical="center"/>
    </xf>
    <xf numFmtId="3" fontId="29" fillId="7" borderId="180" xfId="1" applyNumberFormat="1" applyFont="1" applyFill="1" applyBorder="1" applyAlignment="1">
      <alignment horizontal="center" vertical="center"/>
    </xf>
    <xf numFmtId="3" fontId="29" fillId="7" borderId="167" xfId="1" applyNumberFormat="1" applyFont="1" applyFill="1" applyBorder="1" applyAlignment="1">
      <alignment horizontal="center" vertical="center"/>
    </xf>
    <xf numFmtId="3" fontId="29" fillId="7" borderId="322" xfId="1" applyNumberFormat="1" applyFont="1" applyFill="1" applyBorder="1" applyAlignment="1">
      <alignment horizontal="center" vertical="center"/>
    </xf>
    <xf numFmtId="3" fontId="29" fillId="7" borderId="315" xfId="1" applyNumberFormat="1" applyFont="1" applyFill="1" applyBorder="1" applyAlignment="1">
      <alignment horizontal="center" vertical="center"/>
    </xf>
    <xf numFmtId="3" fontId="29" fillId="7" borderId="324" xfId="1" applyNumberFormat="1" applyFont="1" applyFill="1" applyBorder="1" applyAlignment="1">
      <alignment horizontal="center" vertical="center"/>
    </xf>
    <xf numFmtId="3" fontId="29" fillId="7" borderId="41" xfId="1" applyNumberFormat="1" applyFont="1" applyFill="1" applyBorder="1" applyAlignment="1">
      <alignment horizontal="center" vertical="center"/>
    </xf>
    <xf numFmtId="3" fontId="29" fillId="7" borderId="40" xfId="1" applyNumberFormat="1" applyFont="1" applyFill="1" applyBorder="1" applyAlignment="1">
      <alignment horizontal="center" vertical="center"/>
    </xf>
    <xf numFmtId="3" fontId="29" fillId="7" borderId="313" xfId="1" applyNumberFormat="1" applyFont="1" applyFill="1" applyBorder="1" applyAlignment="1">
      <alignment horizontal="center" vertical="center"/>
    </xf>
    <xf numFmtId="3" fontId="0" fillId="5" borderId="315" xfId="1" applyNumberFormat="1" applyFont="1" applyFill="1" applyBorder="1" applyAlignment="1" applyProtection="1">
      <alignment horizontal="center" vertical="center"/>
      <protection locked="0"/>
    </xf>
    <xf numFmtId="3" fontId="0" fillId="5" borderId="40" xfId="1" applyNumberFormat="1" applyFont="1" applyFill="1" applyBorder="1" applyAlignment="1" applyProtection="1">
      <alignment horizontal="center" vertical="center"/>
      <protection locked="0"/>
    </xf>
    <xf numFmtId="3" fontId="0" fillId="5" borderId="1" xfId="1" applyNumberFormat="1" applyFont="1" applyFill="1" applyBorder="1" applyAlignment="1" applyProtection="1">
      <alignment horizontal="center" vertical="center"/>
      <protection locked="0"/>
    </xf>
    <xf numFmtId="3" fontId="0" fillId="5" borderId="63" xfId="1" applyNumberFormat="1" applyFont="1" applyFill="1" applyBorder="1" applyAlignment="1" applyProtection="1">
      <alignment horizontal="center" vertical="center"/>
      <protection locked="0"/>
    </xf>
    <xf numFmtId="3" fontId="29" fillId="7" borderId="321" xfId="1" applyNumberFormat="1" applyFont="1" applyFill="1" applyBorder="1" applyAlignment="1">
      <alignment horizontal="center" vertical="center"/>
    </xf>
    <xf numFmtId="3" fontId="29" fillId="7" borderId="1" xfId="1" applyNumberFormat="1" applyFont="1" applyFill="1" applyBorder="1" applyAlignment="1">
      <alignment horizontal="center" vertical="center"/>
    </xf>
    <xf numFmtId="3" fontId="29" fillId="7" borderId="110" xfId="1" applyNumberFormat="1" applyFont="1" applyFill="1" applyBorder="1" applyAlignment="1">
      <alignment horizontal="center" vertical="center"/>
    </xf>
    <xf numFmtId="3" fontId="29" fillId="7" borderId="66" xfId="1" applyNumberFormat="1" applyFont="1" applyFill="1" applyBorder="1" applyAlignment="1">
      <alignment horizontal="center" vertical="center"/>
    </xf>
    <xf numFmtId="3" fontId="29" fillId="7" borderId="63" xfId="1" applyNumberFormat="1" applyFont="1" applyFill="1" applyBorder="1" applyAlignment="1">
      <alignment horizontal="center" vertical="center"/>
    </xf>
    <xf numFmtId="3" fontId="29" fillId="7" borderId="287" xfId="1" applyNumberFormat="1" applyFont="1" applyFill="1" applyBorder="1" applyAlignment="1">
      <alignment horizontal="center" vertical="center"/>
    </xf>
    <xf numFmtId="3" fontId="0" fillId="5" borderId="319" xfId="0" applyNumberFormat="1" applyFill="1" applyBorder="1" applyAlignment="1" applyProtection="1">
      <alignment horizontal="center" vertical="center"/>
      <protection locked="0"/>
    </xf>
    <xf numFmtId="3" fontId="0" fillId="5" borderId="315" xfId="0" applyNumberFormat="1" applyFill="1" applyBorder="1" applyAlignment="1" applyProtection="1">
      <alignment horizontal="center" vertical="center"/>
      <protection locked="0"/>
    </xf>
    <xf numFmtId="3" fontId="0" fillId="5" borderId="41" xfId="1" applyNumberFormat="1" applyFont="1" applyFill="1" applyBorder="1" applyAlignment="1" applyProtection="1">
      <alignment horizontal="center" vertical="center"/>
      <protection locked="0"/>
    </xf>
    <xf numFmtId="3" fontId="0" fillId="5" borderId="66" xfId="1" applyNumberFormat="1" applyFont="1" applyFill="1" applyBorder="1" applyAlignment="1" applyProtection="1">
      <alignment horizontal="center" vertical="center"/>
      <protection locked="0"/>
    </xf>
    <xf numFmtId="3" fontId="0" fillId="5" borderId="290" xfId="1" applyNumberFormat="1" applyFont="1" applyFill="1" applyBorder="1" applyAlignment="1" applyProtection="1">
      <alignment horizontal="center" vertical="center"/>
      <protection locked="0"/>
    </xf>
    <xf numFmtId="3" fontId="0" fillId="5" borderId="290" xfId="0" applyNumberFormat="1" applyFill="1" applyBorder="1" applyAlignment="1" applyProtection="1">
      <alignment horizontal="center" vertical="center"/>
      <protection locked="0"/>
    </xf>
    <xf numFmtId="3" fontId="0" fillId="5" borderId="1" xfId="0" applyNumberFormat="1" applyFill="1" applyBorder="1" applyAlignment="1" applyProtection="1">
      <alignment horizontal="center" vertical="center"/>
      <protection locked="0"/>
    </xf>
    <xf numFmtId="0" fontId="65" fillId="7" borderId="16" xfId="0" applyFont="1" applyFill="1" applyBorder="1" applyAlignment="1">
      <alignment horizontal="left" vertical="center" wrapText="1"/>
    </xf>
    <xf numFmtId="3" fontId="29" fillId="7" borderId="67" xfId="1" applyNumberFormat="1" applyFont="1" applyFill="1" applyBorder="1" applyAlignment="1">
      <alignment horizontal="center" vertical="center"/>
    </xf>
    <xf numFmtId="3" fontId="29" fillId="7" borderId="16" xfId="1" applyNumberFormat="1" applyFont="1" applyFill="1" applyBorder="1" applyAlignment="1">
      <alignment horizontal="center" vertical="center"/>
    </xf>
    <xf numFmtId="3" fontId="29" fillId="7" borderId="64" xfId="1" applyNumberFormat="1" applyFont="1" applyFill="1" applyBorder="1" applyAlignment="1">
      <alignment horizontal="center" vertical="center"/>
    </xf>
    <xf numFmtId="3" fontId="0" fillId="5" borderId="317" xfId="1" applyNumberFormat="1" applyFont="1" applyFill="1" applyBorder="1" applyAlignment="1" applyProtection="1">
      <alignment horizontal="center" vertical="center"/>
      <protection locked="0"/>
    </xf>
    <xf numFmtId="3" fontId="0" fillId="5" borderId="33" xfId="1" applyNumberFormat="1" applyFont="1" applyFill="1" applyBorder="1" applyAlignment="1" applyProtection="1">
      <alignment horizontal="center" vertical="center"/>
      <protection locked="0"/>
    </xf>
    <xf numFmtId="3" fontId="29" fillId="7" borderId="320" xfId="1" applyNumberFormat="1" applyFont="1" applyFill="1" applyBorder="1" applyAlignment="1">
      <alignment horizontal="center" vertical="center"/>
    </xf>
    <xf numFmtId="3" fontId="29" fillId="7" borderId="317" xfId="1" applyNumberFormat="1" applyFont="1" applyFill="1" applyBorder="1" applyAlignment="1">
      <alignment horizontal="center" vertical="center"/>
    </xf>
    <xf numFmtId="3" fontId="29" fillId="7" borderId="323" xfId="1" applyNumberFormat="1" applyFont="1" applyFill="1" applyBorder="1" applyAlignment="1">
      <alignment horizontal="center" vertical="center"/>
    </xf>
    <xf numFmtId="3" fontId="29" fillId="7" borderId="34" xfId="1" applyNumberFormat="1" applyFont="1" applyFill="1" applyBorder="1" applyAlignment="1">
      <alignment horizontal="center" vertical="center"/>
    </xf>
    <xf numFmtId="3" fontId="29" fillId="7" borderId="33" xfId="1" applyNumberFormat="1" applyFont="1" applyFill="1" applyBorder="1" applyAlignment="1">
      <alignment horizontal="center" vertical="center"/>
    </xf>
    <xf numFmtId="3" fontId="29" fillId="7" borderId="318" xfId="1" applyNumberFormat="1" applyFont="1" applyFill="1" applyBorder="1" applyAlignment="1">
      <alignment horizontal="center" vertical="center"/>
    </xf>
    <xf numFmtId="3" fontId="0" fillId="5" borderId="34" xfId="1" applyNumberFormat="1" applyFont="1" applyFill="1" applyBorder="1" applyAlignment="1" applyProtection="1">
      <alignment horizontal="center" vertical="center"/>
      <protection locked="0"/>
    </xf>
    <xf numFmtId="3" fontId="0" fillId="5" borderId="316" xfId="0" applyNumberFormat="1" applyFill="1" applyBorder="1" applyAlignment="1" applyProtection="1">
      <alignment horizontal="center" vertical="center"/>
      <protection locked="0"/>
    </xf>
    <xf numFmtId="3" fontId="0" fillId="5" borderId="317" xfId="0" applyNumberFormat="1" applyFill="1" applyBorder="1" applyAlignment="1" applyProtection="1">
      <alignment horizontal="center" vertical="center"/>
      <protection locked="0"/>
    </xf>
    <xf numFmtId="0" fontId="36" fillId="7" borderId="32" xfId="0" applyFont="1" applyFill="1" applyBorder="1" applyAlignment="1">
      <alignment horizontal="center" vertical="center" wrapText="1"/>
    </xf>
    <xf numFmtId="0" fontId="36" fillId="7" borderId="0" xfId="0" applyFont="1" applyFill="1" applyAlignment="1">
      <alignment horizontal="center" vertical="center" wrapText="1"/>
    </xf>
    <xf numFmtId="0" fontId="36" fillId="7" borderId="72" xfId="0" applyFont="1" applyFill="1" applyBorder="1" applyAlignment="1">
      <alignment horizontal="center" vertical="center" wrapText="1"/>
    </xf>
    <xf numFmtId="0" fontId="36" fillId="7" borderId="71" xfId="0" applyFont="1" applyFill="1" applyBorder="1" applyAlignment="1">
      <alignment horizontal="center" vertical="center" wrapText="1"/>
    </xf>
    <xf numFmtId="0" fontId="36" fillId="7" borderId="73" xfId="0" applyFont="1" applyFill="1" applyBorder="1" applyAlignment="1">
      <alignment horizontal="center" vertical="center" wrapText="1"/>
    </xf>
    <xf numFmtId="0" fontId="36" fillId="7" borderId="61" xfId="0" applyFont="1" applyFill="1" applyBorder="1" applyAlignment="1">
      <alignment horizontal="center" vertical="center" wrapText="1"/>
    </xf>
    <xf numFmtId="0" fontId="36" fillId="7" borderId="152" xfId="0" applyFont="1" applyFill="1" applyBorder="1" applyAlignment="1">
      <alignment horizontal="center" vertical="center" wrapText="1"/>
    </xf>
    <xf numFmtId="0" fontId="36" fillId="7" borderId="3" xfId="0" applyFont="1" applyFill="1" applyBorder="1" applyAlignment="1">
      <alignment horizontal="center" vertical="center" wrapText="1"/>
    </xf>
    <xf numFmtId="0" fontId="36" fillId="7" borderId="3" xfId="0" quotePrefix="1" applyFont="1" applyFill="1" applyBorder="1" applyAlignment="1">
      <alignment horizontal="center" vertical="center" wrapText="1"/>
    </xf>
    <xf numFmtId="0" fontId="36" fillId="7" borderId="0" xfId="0" quotePrefix="1" applyFont="1" applyFill="1" applyAlignment="1">
      <alignment horizontal="center" vertical="center" wrapText="1"/>
    </xf>
    <xf numFmtId="0" fontId="29" fillId="7" borderId="147" xfId="0" applyFont="1" applyFill="1" applyBorder="1" applyAlignment="1">
      <alignment horizontal="center" vertical="center"/>
    </xf>
    <xf numFmtId="0" fontId="29" fillId="7" borderId="148" xfId="0" applyFont="1" applyFill="1" applyBorder="1" applyAlignment="1">
      <alignment horizontal="center" vertical="center"/>
    </xf>
    <xf numFmtId="0" fontId="29" fillId="7" borderId="149" xfId="0" applyFont="1" applyFill="1" applyBorder="1" applyAlignment="1">
      <alignment horizontal="center" vertical="center"/>
    </xf>
    <xf numFmtId="0" fontId="34" fillId="7" borderId="48" xfId="0" applyFont="1" applyFill="1" applyBorder="1" applyAlignment="1">
      <alignment horizontal="center" vertical="center" wrapText="1"/>
    </xf>
    <xf numFmtId="0" fontId="34" fillId="7" borderId="49" xfId="0" applyFont="1" applyFill="1" applyBorder="1" applyAlignment="1">
      <alignment horizontal="center" vertical="center" wrapText="1"/>
    </xf>
    <xf numFmtId="0" fontId="34" fillId="7" borderId="52" xfId="0" applyFont="1" applyFill="1" applyBorder="1" applyAlignment="1">
      <alignment horizontal="center" vertical="center" wrapText="1"/>
    </xf>
    <xf numFmtId="0" fontId="34" fillId="7" borderId="32" xfId="0" applyFont="1" applyFill="1" applyBorder="1" applyAlignment="1">
      <alignment horizontal="center" vertical="center" wrapText="1"/>
    </xf>
    <xf numFmtId="0" fontId="34" fillId="7" borderId="0" xfId="0" applyFont="1" applyFill="1" applyAlignment="1">
      <alignment horizontal="center" vertical="center" wrapText="1"/>
    </xf>
    <xf numFmtId="0" fontId="34" fillId="7" borderId="61" xfId="0" applyFont="1" applyFill="1" applyBorder="1" applyAlignment="1">
      <alignment horizontal="center" vertical="center" wrapText="1"/>
    </xf>
    <xf numFmtId="0" fontId="35" fillId="7" borderId="82" xfId="0" applyFont="1" applyFill="1" applyBorder="1" applyAlignment="1">
      <alignment horizontal="center" vertical="center"/>
    </xf>
    <xf numFmtId="0" fontId="35" fillId="7" borderId="83" xfId="0" applyFont="1" applyFill="1" applyBorder="1" applyAlignment="1">
      <alignment horizontal="center" vertical="center"/>
    </xf>
    <xf numFmtId="0" fontId="35" fillId="7" borderId="84" xfId="0" applyFont="1" applyFill="1" applyBorder="1" applyAlignment="1">
      <alignment horizontal="center" vertical="center"/>
    </xf>
    <xf numFmtId="0" fontId="35" fillId="7" borderId="48" xfId="0" applyFont="1" applyFill="1" applyBorder="1" applyAlignment="1">
      <alignment horizontal="center" vertical="center" wrapText="1"/>
    </xf>
    <xf numFmtId="0" fontId="35" fillId="7" borderId="49" xfId="0" applyFont="1" applyFill="1" applyBorder="1" applyAlignment="1">
      <alignment horizontal="center" vertical="center" wrapText="1"/>
    </xf>
    <xf numFmtId="0" fontId="35" fillId="7" borderId="50" xfId="0" applyFont="1" applyFill="1" applyBorder="1" applyAlignment="1">
      <alignment horizontal="center" vertical="center" wrapText="1"/>
    </xf>
    <xf numFmtId="0" fontId="35" fillId="7" borderId="22" xfId="0" applyFont="1" applyFill="1" applyBorder="1" applyAlignment="1">
      <alignment horizontal="center" vertical="center" wrapText="1"/>
    </xf>
    <xf numFmtId="0" fontId="35" fillId="7" borderId="9" xfId="0" applyFont="1" applyFill="1" applyBorder="1" applyAlignment="1">
      <alignment horizontal="center" vertical="center" wrapText="1"/>
    </xf>
    <xf numFmtId="0" fontId="35" fillId="7" borderId="24" xfId="0" applyFont="1" applyFill="1" applyBorder="1" applyAlignment="1">
      <alignment horizontal="center" vertical="center" wrapText="1"/>
    </xf>
    <xf numFmtId="0" fontId="32" fillId="7" borderId="50" xfId="0" applyFont="1" applyFill="1" applyBorder="1" applyAlignment="1">
      <alignment horizontal="center" vertical="center" wrapText="1"/>
    </xf>
    <xf numFmtId="0" fontId="32" fillId="7" borderId="0" xfId="0" applyFont="1" applyFill="1" applyAlignment="1">
      <alignment horizontal="center" vertical="center" wrapText="1"/>
    </xf>
    <xf numFmtId="0" fontId="32" fillId="7" borderId="72" xfId="0" applyFont="1" applyFill="1" applyBorder="1" applyAlignment="1">
      <alignment horizontal="center" vertical="center" wrapText="1"/>
    </xf>
    <xf numFmtId="0" fontId="35" fillId="7" borderId="79" xfId="0" applyFont="1" applyFill="1" applyBorder="1" applyAlignment="1">
      <alignment horizontal="center" vertical="center" wrapText="1"/>
    </xf>
    <xf numFmtId="0" fontId="35" fillId="7" borderId="71" xfId="0" applyFont="1" applyFill="1" applyBorder="1" applyAlignment="1">
      <alignment horizontal="center" vertical="center" wrapText="1"/>
    </xf>
    <xf numFmtId="0" fontId="35" fillId="7" borderId="0" xfId="0" applyFont="1" applyFill="1" applyAlignment="1">
      <alignment horizontal="center" vertical="center" wrapText="1"/>
    </xf>
    <xf numFmtId="0" fontId="35" fillId="7" borderId="72" xfId="0" applyFont="1" applyFill="1" applyBorder="1" applyAlignment="1">
      <alignment horizontal="center" vertical="center" wrapText="1"/>
    </xf>
    <xf numFmtId="0" fontId="35" fillId="7" borderId="80" xfId="23" quotePrefix="1" applyFont="1" applyFill="1" applyBorder="1" applyAlignment="1">
      <alignment horizontal="center" vertical="center" wrapText="1"/>
    </xf>
    <xf numFmtId="0" fontId="35" fillId="7" borderId="49" xfId="23" quotePrefix="1" applyFont="1" applyFill="1" applyBorder="1" applyAlignment="1">
      <alignment horizontal="center" vertical="center"/>
    </xf>
    <xf numFmtId="0" fontId="35" fillId="7" borderId="52" xfId="23" quotePrefix="1" applyFont="1" applyFill="1" applyBorder="1" applyAlignment="1">
      <alignment horizontal="center" vertical="center"/>
    </xf>
    <xf numFmtId="0" fontId="36" fillId="7" borderId="3" xfId="23" quotePrefix="1" applyFont="1" applyFill="1" applyBorder="1" applyAlignment="1">
      <alignment horizontal="center" vertical="center" wrapText="1"/>
    </xf>
    <xf numFmtId="0" fontId="36" fillId="7" borderId="0" xfId="23" quotePrefix="1" applyFont="1" applyFill="1" applyAlignment="1">
      <alignment horizontal="center" vertical="center" wrapText="1"/>
    </xf>
    <xf numFmtId="0" fontId="36" fillId="7" borderId="61" xfId="23" quotePrefix="1" applyFont="1" applyFill="1" applyBorder="1" applyAlignment="1">
      <alignment horizontal="center" vertical="center" wrapText="1"/>
    </xf>
    <xf numFmtId="0" fontId="35" fillId="7" borderId="3" xfId="23" applyFont="1" applyFill="1" applyBorder="1" applyAlignment="1">
      <alignment horizontal="center" vertical="center" wrapText="1"/>
    </xf>
    <xf numFmtId="0" fontId="35" fillId="7" borderId="0" xfId="23" applyFont="1" applyFill="1" applyAlignment="1">
      <alignment horizontal="center" vertical="center" wrapText="1"/>
    </xf>
    <xf numFmtId="0" fontId="35" fillId="7" borderId="73" xfId="23" applyFont="1" applyFill="1" applyBorder="1" applyAlignment="1">
      <alignment horizontal="center" vertical="center" wrapText="1"/>
    </xf>
    <xf numFmtId="0" fontId="36" fillId="7" borderId="73" xfId="23" quotePrefix="1" applyFont="1" applyFill="1" applyBorder="1" applyAlignment="1">
      <alignment horizontal="center" vertical="center" wrapText="1"/>
    </xf>
    <xf numFmtId="0" fontId="35" fillId="7" borderId="3" xfId="23" quotePrefix="1" applyFont="1" applyFill="1" applyBorder="1" applyAlignment="1">
      <alignment horizontal="center" vertical="center" wrapText="1"/>
    </xf>
    <xf numFmtId="0" fontId="35" fillId="7" borderId="0" xfId="23" quotePrefix="1" applyFont="1" applyFill="1" applyAlignment="1">
      <alignment horizontal="center" vertical="center"/>
    </xf>
    <xf numFmtId="0" fontId="35" fillId="7" borderId="61" xfId="23" quotePrefix="1" applyFont="1" applyFill="1" applyBorder="1" applyAlignment="1">
      <alignment horizontal="center" vertical="center"/>
    </xf>
    <xf numFmtId="0" fontId="36" fillId="7" borderId="155" xfId="0" applyFont="1" applyFill="1" applyBorder="1" applyAlignment="1">
      <alignment horizontal="center" vertical="center" wrapText="1"/>
    </xf>
    <xf numFmtId="0" fontId="36" fillId="7" borderId="9" xfId="0" applyFont="1" applyFill="1" applyBorder="1" applyAlignment="1">
      <alignment horizontal="center" vertical="center" wrapText="1"/>
    </xf>
    <xf numFmtId="0" fontId="36" fillId="7" borderId="10" xfId="0" applyFont="1" applyFill="1" applyBorder="1" applyAlignment="1">
      <alignment horizontal="center" vertical="center" wrapText="1"/>
    </xf>
    <xf numFmtId="0" fontId="35" fillId="7" borderId="32" xfId="23" quotePrefix="1" applyFont="1" applyFill="1" applyBorder="1" applyAlignment="1">
      <alignment horizontal="center" vertical="center" wrapText="1"/>
    </xf>
    <xf numFmtId="0" fontId="35" fillId="7" borderId="72" xfId="23" quotePrefix="1" applyFont="1" applyFill="1" applyBorder="1" applyAlignment="1">
      <alignment horizontal="center" vertical="center"/>
    </xf>
    <xf numFmtId="0" fontId="35" fillId="7" borderId="71" xfId="23" quotePrefix="1" applyFont="1" applyFill="1" applyBorder="1" applyAlignment="1">
      <alignment horizontal="center" vertical="center" wrapText="1"/>
    </xf>
    <xf numFmtId="0" fontId="35" fillId="7" borderId="73" xfId="23" quotePrefix="1" applyFont="1" applyFill="1" applyBorder="1" applyAlignment="1">
      <alignment horizontal="center" vertical="center"/>
    </xf>
    <xf numFmtId="0" fontId="35" fillId="7" borderId="152" xfId="23" quotePrefix="1" applyFont="1" applyFill="1" applyBorder="1" applyAlignment="1">
      <alignment horizontal="center" vertical="center"/>
    </xf>
    <xf numFmtId="0" fontId="36" fillId="7" borderId="32" xfId="23" quotePrefix="1" applyFont="1" applyFill="1" applyBorder="1" applyAlignment="1">
      <alignment horizontal="center" vertical="center" wrapText="1"/>
    </xf>
    <xf numFmtId="0" fontId="36" fillId="7" borderId="72" xfId="23" quotePrefix="1" applyFont="1" applyFill="1" applyBorder="1" applyAlignment="1">
      <alignment horizontal="center" vertical="center" wrapText="1"/>
    </xf>
    <xf numFmtId="0" fontId="36" fillId="7" borderId="71" xfId="23" quotePrefix="1" applyFont="1" applyFill="1" applyBorder="1" applyAlignment="1">
      <alignment horizontal="center" vertical="center" wrapText="1"/>
    </xf>
    <xf numFmtId="0" fontId="36" fillId="7" borderId="152" xfId="23" quotePrefix="1" applyFont="1" applyFill="1" applyBorder="1" applyAlignment="1">
      <alignment horizontal="center" vertical="center" wrapText="1"/>
    </xf>
    <xf numFmtId="0" fontId="34" fillId="7" borderId="91" xfId="0" applyFont="1" applyFill="1" applyBorder="1" applyAlignment="1">
      <alignment horizontal="center" vertical="center" wrapText="1"/>
    </xf>
    <xf numFmtId="0" fontId="34" fillId="7" borderId="71" xfId="0" applyFont="1" applyFill="1" applyBorder="1" applyAlignment="1">
      <alignment horizontal="center" vertical="center" wrapText="1"/>
    </xf>
    <xf numFmtId="0" fontId="34" fillId="7" borderId="72" xfId="0" applyFont="1" applyFill="1" applyBorder="1" applyAlignment="1">
      <alignment horizontal="center" vertical="center" wrapText="1"/>
    </xf>
    <xf numFmtId="0" fontId="34" fillId="7" borderId="73" xfId="0" applyFont="1" applyFill="1" applyBorder="1" applyAlignment="1">
      <alignment horizontal="center" vertical="center" wrapText="1"/>
    </xf>
    <xf numFmtId="0" fontId="35" fillId="7" borderId="52" xfId="0" applyFont="1" applyFill="1" applyBorder="1" applyAlignment="1">
      <alignment horizontal="center" vertical="center" wrapText="1"/>
    </xf>
    <xf numFmtId="0" fontId="35" fillId="7" borderId="32" xfId="0" applyFont="1" applyFill="1" applyBorder="1" applyAlignment="1">
      <alignment horizontal="center" vertical="center" wrapText="1"/>
    </xf>
    <xf numFmtId="0" fontId="35" fillId="7" borderId="61" xfId="0" applyFont="1" applyFill="1" applyBorder="1" applyAlignment="1">
      <alignment horizontal="center" vertical="center" wrapText="1"/>
    </xf>
    <xf numFmtId="0" fontId="35" fillId="7" borderId="10" xfId="0" applyFont="1" applyFill="1" applyBorder="1" applyAlignment="1">
      <alignment horizontal="center" vertical="center" wrapText="1"/>
    </xf>
    <xf numFmtId="0" fontId="35" fillId="7" borderId="151" xfId="0" applyFont="1" applyFill="1" applyBorder="1" applyAlignment="1">
      <alignment horizontal="center" vertical="center" wrapText="1"/>
    </xf>
    <xf numFmtId="0" fontId="35" fillId="7" borderId="152" xfId="0" applyFont="1" applyFill="1" applyBorder="1" applyAlignment="1">
      <alignment horizontal="center" vertical="center" wrapText="1"/>
    </xf>
    <xf numFmtId="0" fontId="35" fillId="7" borderId="156" xfId="0" applyFont="1" applyFill="1" applyBorder="1" applyAlignment="1">
      <alignment horizontal="center" vertical="center" wrapText="1"/>
    </xf>
    <xf numFmtId="0" fontId="35" fillId="7" borderId="102" xfId="0" applyFont="1" applyFill="1" applyBorder="1" applyAlignment="1">
      <alignment horizontal="center" vertical="center" wrapText="1"/>
    </xf>
    <xf numFmtId="0" fontId="35" fillId="7" borderId="83" xfId="0" applyFont="1" applyFill="1" applyBorder="1" applyAlignment="1">
      <alignment horizontal="center" vertical="center" wrapText="1"/>
    </xf>
    <xf numFmtId="0" fontId="35" fillId="7" borderId="105" xfId="0" applyFont="1" applyFill="1" applyBorder="1" applyAlignment="1">
      <alignment horizontal="center" vertical="center" wrapText="1"/>
    </xf>
    <xf numFmtId="0" fontId="35" fillId="7" borderId="73" xfId="0" applyFont="1" applyFill="1" applyBorder="1" applyAlignment="1">
      <alignment horizontal="center" vertical="center" wrapText="1"/>
    </xf>
    <xf numFmtId="0" fontId="29" fillId="7" borderId="144" xfId="0" applyFont="1" applyFill="1" applyBorder="1" applyAlignment="1">
      <alignment horizontal="center" vertical="center" wrapText="1"/>
    </xf>
    <xf numFmtId="0" fontId="29" fillId="7" borderId="145" xfId="0" applyFont="1" applyFill="1" applyBorder="1" applyAlignment="1">
      <alignment horizontal="center" vertical="center" wrapText="1"/>
    </xf>
    <xf numFmtId="0" fontId="29" fillId="7" borderId="146" xfId="0" applyFont="1" applyFill="1" applyBorder="1" applyAlignment="1">
      <alignment horizontal="center" vertical="center" wrapText="1"/>
    </xf>
    <xf numFmtId="0" fontId="29" fillId="7" borderId="150" xfId="0" applyFont="1" applyFill="1" applyBorder="1" applyAlignment="1">
      <alignment horizontal="center" vertical="center" wrapText="1"/>
    </xf>
    <xf numFmtId="0" fontId="29" fillId="7" borderId="0" xfId="0" applyFont="1" applyFill="1" applyAlignment="1">
      <alignment horizontal="center" vertical="center" wrapText="1"/>
    </xf>
    <xf numFmtId="0" fontId="29" fillId="7" borderId="61" xfId="0" applyFont="1" applyFill="1" applyBorder="1" applyAlignment="1">
      <alignment horizontal="center" vertical="center" wrapText="1"/>
    </xf>
    <xf numFmtId="0" fontId="22" fillId="4" borderId="148" xfId="0" applyFont="1" applyFill="1" applyBorder="1" applyAlignment="1">
      <alignment horizontal="center" vertical="center"/>
    </xf>
    <xf numFmtId="0" fontId="22" fillId="4" borderId="149" xfId="0" applyFont="1" applyFill="1" applyBorder="1" applyAlignment="1">
      <alignment horizontal="center" vertical="center"/>
    </xf>
    <xf numFmtId="3" fontId="29" fillId="4" borderId="167" xfId="1" applyNumberFormat="1" applyFont="1" applyFill="1" applyBorder="1" applyAlignment="1">
      <alignment horizontal="center" vertical="center"/>
    </xf>
    <xf numFmtId="3" fontId="29" fillId="4" borderId="165" xfId="1" applyNumberFormat="1" applyFont="1" applyFill="1" applyBorder="1" applyAlignment="1">
      <alignment horizontal="center" vertical="center"/>
    </xf>
    <xf numFmtId="0" fontId="29" fillId="4" borderId="168" xfId="1" applyNumberFormat="1" applyFont="1" applyFill="1" applyBorder="1" applyAlignment="1">
      <alignment horizontal="center" vertical="center"/>
    </xf>
    <xf numFmtId="0" fontId="29" fillId="4" borderId="165" xfId="1" applyNumberFormat="1" applyFont="1" applyFill="1" applyBorder="1" applyAlignment="1">
      <alignment horizontal="center" vertical="center"/>
    </xf>
    <xf numFmtId="0" fontId="29" fillId="4" borderId="169" xfId="1" applyNumberFormat="1" applyFont="1" applyFill="1" applyBorder="1" applyAlignment="1">
      <alignment horizontal="center" vertical="center"/>
    </xf>
    <xf numFmtId="0" fontId="43" fillId="7" borderId="192" xfId="0" applyFont="1" applyFill="1" applyBorder="1" applyAlignment="1">
      <alignment horizontal="center" vertical="center"/>
    </xf>
    <xf numFmtId="0" fontId="43" fillId="7" borderId="86" xfId="0" applyFont="1" applyFill="1" applyBorder="1" applyAlignment="1">
      <alignment horizontal="center" vertical="center"/>
    </xf>
    <xf numFmtId="0" fontId="43" fillId="7" borderId="193" xfId="0" applyFont="1" applyFill="1" applyBorder="1" applyAlignment="1">
      <alignment horizontal="center" vertical="center"/>
    </xf>
    <xf numFmtId="0" fontId="26" fillId="7" borderId="0" xfId="12" applyFont="1" applyFill="1" applyAlignment="1">
      <alignment horizontal="justify" vertical="center"/>
    </xf>
    <xf numFmtId="0" fontId="26" fillId="7" borderId="0" xfId="11" applyFont="1" applyFill="1" applyAlignment="1">
      <alignment horizontal="justify" vertical="center"/>
    </xf>
    <xf numFmtId="0" fontId="22" fillId="5" borderId="25" xfId="1" applyNumberFormat="1" applyFont="1" applyFill="1" applyBorder="1" applyAlignment="1" applyProtection="1">
      <alignment horizontal="center" vertical="center"/>
      <protection locked="0"/>
    </xf>
    <xf numFmtId="0" fontId="22" fillId="5" borderId="12" xfId="1" applyNumberFormat="1" applyFont="1" applyFill="1" applyBorder="1" applyAlignment="1" applyProtection="1">
      <alignment horizontal="center" vertical="center"/>
      <protection locked="0"/>
    </xf>
    <xf numFmtId="0" fontId="22" fillId="5" borderId="85" xfId="1" applyNumberFormat="1" applyFont="1" applyFill="1" applyBorder="1" applyAlignment="1" applyProtection="1">
      <alignment horizontal="center" vertical="center"/>
      <protection locked="0"/>
    </xf>
    <xf numFmtId="0" fontId="22" fillId="5" borderId="75" xfId="1" applyNumberFormat="1" applyFont="1" applyFill="1" applyBorder="1" applyAlignment="1" applyProtection="1">
      <alignment horizontal="center" vertical="center"/>
      <protection locked="0"/>
    </xf>
    <xf numFmtId="0" fontId="22" fillId="5" borderId="6" xfId="1" applyNumberFormat="1" applyFont="1" applyFill="1" applyBorder="1" applyAlignment="1" applyProtection="1">
      <alignment horizontal="center" vertical="center"/>
      <protection locked="0"/>
    </xf>
    <xf numFmtId="0" fontId="22" fillId="5" borderId="53" xfId="1" applyNumberFormat="1" applyFont="1" applyFill="1" applyBorder="1" applyAlignment="1" applyProtection="1">
      <alignment horizontal="center" vertical="center"/>
      <protection locked="0"/>
    </xf>
    <xf numFmtId="0" fontId="22" fillId="5" borderId="33" xfId="1" applyNumberFormat="1" applyFont="1" applyFill="1" applyBorder="1" applyAlignment="1" applyProtection="1">
      <alignment horizontal="center" vertical="center"/>
      <protection locked="0"/>
    </xf>
    <xf numFmtId="0" fontId="22" fillId="5" borderId="15" xfId="1" applyNumberFormat="1" applyFont="1" applyFill="1" applyBorder="1" applyAlignment="1" applyProtection="1">
      <alignment horizontal="center" vertical="center"/>
      <protection locked="0"/>
    </xf>
    <xf numFmtId="0" fontId="22" fillId="5" borderId="35" xfId="1" applyNumberFormat="1" applyFont="1" applyFill="1" applyBorder="1" applyAlignment="1" applyProtection="1">
      <alignment horizontal="center" vertical="center"/>
      <protection locked="0"/>
    </xf>
    <xf numFmtId="0" fontId="22" fillId="5" borderId="63" xfId="1" applyNumberFormat="1" applyFont="1" applyFill="1" applyBorder="1" applyAlignment="1" applyProtection="1">
      <alignment horizontal="center" vertical="center"/>
      <protection locked="0"/>
    </xf>
    <xf numFmtId="0" fontId="22" fillId="5" borderId="16" xfId="1" applyNumberFormat="1" applyFont="1" applyFill="1" applyBorder="1" applyAlignment="1" applyProtection="1">
      <alignment horizontal="center" vertical="center"/>
      <protection locked="0"/>
    </xf>
    <xf numFmtId="0" fontId="22" fillId="5" borderId="64" xfId="1" applyNumberFormat="1" applyFont="1" applyFill="1" applyBorder="1" applyAlignment="1" applyProtection="1">
      <alignment horizontal="center" vertical="center"/>
      <protection locked="0"/>
    </xf>
    <xf numFmtId="3" fontId="22" fillId="5" borderId="14" xfId="1" applyNumberFormat="1" applyFont="1" applyFill="1" applyBorder="1" applyAlignment="1" applyProtection="1">
      <alignment horizontal="center" vertical="center"/>
      <protection locked="0"/>
    </xf>
    <xf numFmtId="3" fontId="22" fillId="5" borderId="15" xfId="1" applyNumberFormat="1" applyFont="1" applyFill="1" applyBorder="1" applyAlignment="1" applyProtection="1">
      <alignment horizontal="center" vertical="center"/>
      <protection locked="0"/>
    </xf>
    <xf numFmtId="3" fontId="22" fillId="5" borderId="34" xfId="1" applyNumberFormat="1" applyFont="1" applyFill="1" applyBorder="1" applyAlignment="1" applyProtection="1">
      <alignment horizontal="center" vertical="center"/>
      <protection locked="0"/>
    </xf>
    <xf numFmtId="0" fontId="22" fillId="5" borderId="34" xfId="1" applyNumberFormat="1" applyFont="1" applyFill="1" applyBorder="1" applyAlignment="1" applyProtection="1">
      <alignment horizontal="center" vertical="center"/>
      <protection locked="0"/>
    </xf>
    <xf numFmtId="0" fontId="29" fillId="7" borderId="320" xfId="1" applyNumberFormat="1" applyFont="1" applyFill="1" applyBorder="1" applyAlignment="1">
      <alignment horizontal="center" vertical="center"/>
    </xf>
    <xf numFmtId="0" fontId="29" fillId="7" borderId="317" xfId="1" applyNumberFormat="1" applyFont="1" applyFill="1" applyBorder="1" applyAlignment="1">
      <alignment horizontal="center" vertical="center"/>
    </xf>
    <xf numFmtId="0" fontId="29" fillId="7" borderId="325" xfId="1" applyNumberFormat="1" applyFont="1" applyFill="1" applyBorder="1" applyAlignment="1">
      <alignment horizontal="center" vertical="center"/>
    </xf>
    <xf numFmtId="0" fontId="29" fillId="7" borderId="15" xfId="1" applyNumberFormat="1" applyFont="1" applyFill="1" applyBorder="1" applyAlignment="1">
      <alignment horizontal="center" vertical="center"/>
    </xf>
    <xf numFmtId="0" fontId="29" fillId="7" borderId="37" xfId="1" applyNumberFormat="1" applyFont="1" applyFill="1" applyBorder="1" applyAlignment="1">
      <alignment horizontal="center" vertical="center"/>
    </xf>
    <xf numFmtId="0" fontId="29" fillId="7" borderId="36" xfId="1" applyNumberFormat="1" applyFont="1" applyFill="1" applyBorder="1" applyAlignment="1">
      <alignment horizontal="center" vertical="center"/>
    </xf>
    <xf numFmtId="0" fontId="29" fillId="7" borderId="33" xfId="1" applyNumberFormat="1" applyFont="1" applyFill="1" applyBorder="1" applyAlignment="1">
      <alignment horizontal="center" vertical="center"/>
    </xf>
    <xf numFmtId="0" fontId="29" fillId="7" borderId="35" xfId="1" applyNumberFormat="1" applyFont="1" applyFill="1" applyBorder="1" applyAlignment="1">
      <alignment horizontal="center" vertical="center"/>
    </xf>
    <xf numFmtId="0" fontId="29" fillId="7" borderId="16" xfId="1" applyNumberFormat="1" applyFont="1" applyFill="1" applyBorder="1" applyAlignment="1">
      <alignment horizontal="center" vertical="center"/>
    </xf>
    <xf numFmtId="0" fontId="29" fillId="7" borderId="55" xfId="1" applyNumberFormat="1" applyFont="1" applyFill="1" applyBorder="1" applyAlignment="1">
      <alignment horizontal="center" vertical="center"/>
    </xf>
    <xf numFmtId="0" fontId="29" fillId="7" borderId="63" xfId="1" applyNumberFormat="1" applyFont="1" applyFill="1" applyBorder="1" applyAlignment="1">
      <alignment horizontal="center" vertical="center"/>
    </xf>
    <xf numFmtId="0" fontId="29" fillId="7" borderId="64" xfId="1" applyNumberFormat="1" applyFont="1" applyFill="1" applyBorder="1" applyAlignment="1">
      <alignment horizontal="center" vertical="center"/>
    </xf>
    <xf numFmtId="0" fontId="29" fillId="7" borderId="67" xfId="1" applyNumberFormat="1" applyFont="1" applyFill="1" applyBorder="1" applyAlignment="1">
      <alignment horizontal="center" vertical="center"/>
    </xf>
    <xf numFmtId="0" fontId="29" fillId="7" borderId="163" xfId="1" applyNumberFormat="1" applyFont="1" applyFill="1" applyBorder="1" applyAlignment="1">
      <alignment horizontal="center" vertical="center"/>
    </xf>
    <xf numFmtId="0" fontId="29" fillId="7" borderId="12" xfId="1" applyNumberFormat="1" applyFont="1" applyFill="1" applyBorder="1" applyAlignment="1">
      <alignment horizontal="center" vertical="center"/>
    </xf>
    <xf numFmtId="0" fontId="29" fillId="7" borderId="13" xfId="1" applyNumberFormat="1" applyFont="1" applyFill="1" applyBorder="1" applyAlignment="1">
      <alignment horizontal="center" vertical="center"/>
    </xf>
    <xf numFmtId="0" fontId="29" fillId="7" borderId="81" xfId="1" applyNumberFormat="1" applyFont="1" applyFill="1" applyBorder="1" applyAlignment="1">
      <alignment horizontal="center" vertical="center"/>
    </xf>
    <xf numFmtId="0" fontId="22" fillId="5" borderId="8" xfId="1" applyNumberFormat="1" applyFont="1" applyFill="1" applyBorder="1" applyAlignment="1" applyProtection="1">
      <alignment horizontal="center" vertical="center"/>
      <protection locked="0"/>
    </xf>
    <xf numFmtId="3" fontId="22" fillId="5" borderId="7" xfId="1" applyNumberFormat="1" applyFont="1" applyFill="1" applyBorder="1" applyAlignment="1" applyProtection="1">
      <alignment horizontal="center" vertical="center"/>
      <protection locked="0"/>
    </xf>
    <xf numFmtId="3" fontId="22" fillId="5" borderId="12" xfId="1" applyNumberFormat="1" applyFont="1" applyFill="1" applyBorder="1" applyAlignment="1" applyProtection="1">
      <alignment horizontal="center" vertical="center"/>
      <protection locked="0"/>
    </xf>
    <xf numFmtId="3" fontId="22" fillId="5" borderId="8" xfId="1" applyNumberFormat="1" applyFont="1" applyFill="1" applyBorder="1" applyAlignment="1" applyProtection="1">
      <alignment horizontal="center" vertical="center"/>
      <protection locked="0"/>
    </xf>
    <xf numFmtId="3" fontId="22" fillId="5" borderId="25" xfId="1" applyNumberFormat="1" applyFont="1" applyFill="1" applyBorder="1" applyAlignment="1" applyProtection="1">
      <alignment horizontal="center" vertical="center"/>
      <protection locked="0"/>
    </xf>
    <xf numFmtId="3" fontId="22" fillId="5" borderId="85" xfId="1" applyNumberFormat="1" applyFont="1" applyFill="1" applyBorder="1" applyAlignment="1" applyProtection="1">
      <alignment horizontal="center" vertical="center"/>
      <protection locked="0"/>
    </xf>
    <xf numFmtId="0" fontId="29" fillId="7" borderId="6" xfId="1" applyNumberFormat="1" applyFont="1" applyFill="1" applyBorder="1" applyAlignment="1">
      <alignment horizontal="center" vertical="center"/>
    </xf>
    <xf numFmtId="0" fontId="29" fillId="7" borderId="54" xfId="1" applyNumberFormat="1" applyFont="1" applyFill="1" applyBorder="1" applyAlignment="1">
      <alignment horizontal="center" vertical="center"/>
    </xf>
    <xf numFmtId="0" fontId="29" fillId="7" borderId="335" xfId="1" applyNumberFormat="1" applyFont="1" applyFill="1" applyBorder="1" applyAlignment="1">
      <alignment horizontal="center" vertical="center"/>
    </xf>
    <xf numFmtId="0" fontId="29" fillId="7" borderId="75" xfId="1" applyNumberFormat="1" applyFont="1" applyFill="1" applyBorder="1" applyAlignment="1">
      <alignment horizontal="center" vertical="center"/>
    </xf>
    <xf numFmtId="0" fontId="29" fillId="7" borderId="53" xfId="1" applyNumberFormat="1" applyFont="1" applyFill="1" applyBorder="1" applyAlignment="1">
      <alignment horizontal="center" vertical="center"/>
    </xf>
    <xf numFmtId="0" fontId="29" fillId="7" borderId="76" xfId="1" applyNumberFormat="1" applyFont="1" applyFill="1" applyBorder="1" applyAlignment="1">
      <alignment horizontal="center" vertical="center"/>
    </xf>
    <xf numFmtId="0" fontId="29" fillId="7" borderId="153" xfId="1" applyNumberFormat="1" applyFont="1" applyFill="1" applyBorder="1" applyAlignment="1">
      <alignment horizontal="center" vertical="center"/>
    </xf>
    <xf numFmtId="0" fontId="43" fillId="7" borderId="164" xfId="0" applyFont="1" applyFill="1" applyBorder="1" applyAlignment="1">
      <alignment horizontal="center" vertical="center"/>
    </xf>
    <xf numFmtId="0" fontId="43" fillId="7" borderId="165" xfId="0" applyFont="1" applyFill="1" applyBorder="1" applyAlignment="1">
      <alignment horizontal="center" vertical="center"/>
    </xf>
    <xf numFmtId="0" fontId="43" fillId="7" borderId="166" xfId="0" applyFont="1" applyFill="1" applyBorder="1" applyAlignment="1">
      <alignment horizontal="center" vertical="center"/>
    </xf>
    <xf numFmtId="3" fontId="22" fillId="5" borderId="20" xfId="1" applyNumberFormat="1" applyFont="1" applyFill="1" applyBorder="1" applyAlignment="1" applyProtection="1">
      <alignment horizontal="center" vertical="center"/>
      <protection locked="0"/>
    </xf>
    <xf numFmtId="3" fontId="22" fillId="5" borderId="6" xfId="1" applyNumberFormat="1" applyFont="1" applyFill="1" applyBorder="1" applyAlignment="1" applyProtection="1">
      <alignment horizontal="center" vertical="center"/>
      <protection locked="0"/>
    </xf>
    <xf numFmtId="3" fontId="22" fillId="5" borderId="21" xfId="1" applyNumberFormat="1" applyFont="1" applyFill="1" applyBorder="1" applyAlignment="1" applyProtection="1">
      <alignment horizontal="center" vertical="center"/>
      <protection locked="0"/>
    </xf>
    <xf numFmtId="0" fontId="43" fillId="7" borderId="147" xfId="0" applyFont="1" applyFill="1" applyBorder="1" applyAlignment="1">
      <alignment horizontal="center" vertical="center"/>
    </xf>
    <xf numFmtId="0" fontId="35" fillId="7" borderId="91" xfId="0" applyFont="1" applyFill="1" applyBorder="1" applyAlignment="1">
      <alignment horizontal="center" vertical="center" wrapText="1"/>
    </xf>
    <xf numFmtId="0" fontId="43" fillId="7" borderId="144" xfId="0" applyFont="1" applyFill="1" applyBorder="1" applyAlignment="1">
      <alignment horizontal="center" vertical="center" wrapText="1"/>
    </xf>
    <xf numFmtId="0" fontId="43" fillId="7" borderId="145" xfId="0" applyFont="1" applyFill="1" applyBorder="1" applyAlignment="1">
      <alignment horizontal="center" vertical="center" wrapText="1"/>
    </xf>
    <xf numFmtId="0" fontId="43" fillId="7" borderId="146" xfId="0" applyFont="1" applyFill="1" applyBorder="1" applyAlignment="1">
      <alignment horizontal="center" vertical="center" wrapText="1"/>
    </xf>
    <xf numFmtId="0" fontId="43" fillId="7" borderId="150" xfId="0" applyFont="1" applyFill="1" applyBorder="1" applyAlignment="1">
      <alignment horizontal="center" vertical="center" wrapText="1"/>
    </xf>
    <xf numFmtId="0" fontId="36" fillId="7" borderId="150" xfId="0" applyFont="1" applyFill="1" applyBorder="1" applyAlignment="1">
      <alignment horizontal="center" vertical="center" wrapText="1"/>
    </xf>
    <xf numFmtId="0" fontId="29" fillId="7" borderId="187" xfId="1" applyNumberFormat="1" applyFont="1" applyFill="1" applyBorder="1" applyAlignment="1">
      <alignment horizontal="center" vertical="center"/>
    </xf>
    <xf numFmtId="0" fontId="29" fillId="7" borderId="178" xfId="1" applyNumberFormat="1" applyFont="1" applyFill="1" applyBorder="1" applyAlignment="1">
      <alignment horizontal="center" vertical="center"/>
    </xf>
    <xf numFmtId="0" fontId="29" fillId="7" borderId="175" xfId="1" applyNumberFormat="1" applyFont="1" applyFill="1" applyBorder="1" applyAlignment="1">
      <alignment horizontal="center" vertical="center"/>
    </xf>
    <xf numFmtId="0" fontId="29" fillId="7" borderId="179" xfId="1" applyNumberFormat="1" applyFont="1" applyFill="1" applyBorder="1" applyAlignment="1">
      <alignment horizontal="center" vertical="center"/>
    </xf>
    <xf numFmtId="0" fontId="22" fillId="5" borderId="40" xfId="1" applyNumberFormat="1" applyFont="1" applyFill="1" applyBorder="1" applyAlignment="1" applyProtection="1">
      <alignment horizontal="center" vertical="center"/>
      <protection locked="0"/>
    </xf>
    <xf numFmtId="0" fontId="22" fillId="5" borderId="39" xfId="1" applyNumberFormat="1" applyFont="1" applyFill="1" applyBorder="1" applyAlignment="1" applyProtection="1">
      <alignment horizontal="center" vertical="center"/>
      <protection locked="0"/>
    </xf>
    <xf numFmtId="0" fontId="22" fillId="5" borderId="42" xfId="1" applyNumberFormat="1" applyFont="1" applyFill="1" applyBorder="1" applyAlignment="1" applyProtection="1">
      <alignment horizontal="center" vertical="center"/>
      <protection locked="0"/>
    </xf>
    <xf numFmtId="0" fontId="29" fillId="7" borderId="25" xfId="1" applyNumberFormat="1" applyFont="1" applyFill="1" applyBorder="1" applyAlignment="1">
      <alignment horizontal="center" vertical="center"/>
    </xf>
    <xf numFmtId="0" fontId="29" fillId="7" borderId="85" xfId="1" applyNumberFormat="1" applyFont="1" applyFill="1" applyBorder="1" applyAlignment="1">
      <alignment horizontal="center" vertical="center"/>
    </xf>
    <xf numFmtId="0" fontId="29" fillId="7" borderId="333" xfId="1" applyNumberFormat="1" applyFont="1" applyFill="1" applyBorder="1" applyAlignment="1">
      <alignment horizontal="center" vertical="center"/>
    </xf>
    <xf numFmtId="0" fontId="29" fillId="7" borderId="111" xfId="1" applyNumberFormat="1" applyFont="1" applyFill="1" applyBorder="1" applyAlignment="1">
      <alignment horizontal="center" vertical="center"/>
    </xf>
    <xf numFmtId="0" fontId="29" fillId="7" borderId="334" xfId="1" applyNumberFormat="1" applyFont="1" applyFill="1" applyBorder="1" applyAlignment="1">
      <alignment horizontal="center" vertical="center"/>
    </xf>
    <xf numFmtId="0" fontId="22" fillId="5" borderId="7" xfId="1" applyNumberFormat="1" applyFont="1" applyFill="1" applyBorder="1" applyAlignment="1" applyProtection="1">
      <alignment horizontal="center" vertical="center"/>
      <protection locked="0"/>
    </xf>
    <xf numFmtId="3" fontId="22" fillId="5" borderId="33" xfId="1" applyNumberFormat="1" applyFont="1" applyFill="1" applyBorder="1" applyAlignment="1" applyProtection="1">
      <alignment horizontal="center" vertical="center"/>
      <protection locked="0"/>
    </xf>
    <xf numFmtId="3" fontId="22" fillId="5" borderId="35" xfId="1" applyNumberFormat="1" applyFont="1" applyFill="1" applyBorder="1" applyAlignment="1" applyProtection="1">
      <alignment horizontal="center" vertical="center"/>
      <protection locked="0"/>
    </xf>
    <xf numFmtId="3" fontId="22" fillId="5" borderId="17" xfId="1" applyNumberFormat="1" applyFont="1" applyFill="1" applyBorder="1" applyAlignment="1" applyProtection="1">
      <alignment horizontal="center" vertical="center"/>
      <protection locked="0"/>
    </xf>
    <xf numFmtId="3" fontId="22" fillId="5" borderId="16" xfId="1" applyNumberFormat="1" applyFont="1" applyFill="1" applyBorder="1" applyAlignment="1" applyProtection="1">
      <alignment horizontal="center" vertical="center"/>
      <protection locked="0"/>
    </xf>
    <xf numFmtId="3" fontId="22" fillId="5" borderId="66" xfId="1" applyNumberFormat="1" applyFont="1" applyFill="1" applyBorder="1" applyAlignment="1" applyProtection="1">
      <alignment horizontal="center" vertical="center"/>
      <protection locked="0"/>
    </xf>
    <xf numFmtId="3" fontId="22" fillId="5" borderId="63" xfId="1" applyNumberFormat="1" applyFont="1" applyFill="1" applyBorder="1" applyAlignment="1" applyProtection="1">
      <alignment horizontal="center" vertical="center"/>
      <protection locked="0"/>
    </xf>
    <xf numFmtId="3" fontId="22" fillId="5" borderId="64" xfId="1" applyNumberFormat="1" applyFont="1" applyFill="1" applyBorder="1" applyAlignment="1" applyProtection="1">
      <alignment horizontal="center" vertical="center"/>
      <protection locked="0"/>
    </xf>
    <xf numFmtId="0" fontId="22" fillId="5" borderId="66" xfId="1" applyNumberFormat="1" applyFont="1" applyFill="1" applyBorder="1" applyAlignment="1" applyProtection="1">
      <alignment horizontal="center" vertical="center"/>
      <protection locked="0"/>
    </xf>
    <xf numFmtId="0" fontId="29" fillId="7" borderId="321" xfId="1" applyNumberFormat="1" applyFont="1" applyFill="1" applyBorder="1" applyAlignment="1">
      <alignment horizontal="center" vertical="center"/>
    </xf>
    <xf numFmtId="0" fontId="29" fillId="7" borderId="1" xfId="1" applyNumberFormat="1" applyFont="1" applyFill="1" applyBorder="1" applyAlignment="1">
      <alignment horizontal="center" vertical="center"/>
    </xf>
    <xf numFmtId="0" fontId="29" fillId="7" borderId="326" xfId="1" applyNumberFormat="1" applyFont="1" applyFill="1" applyBorder="1" applyAlignment="1">
      <alignment horizontal="center" vertical="center"/>
    </xf>
    <xf numFmtId="0" fontId="22" fillId="5" borderId="14" xfId="1" applyNumberFormat="1" applyFont="1" applyFill="1" applyBorder="1" applyAlignment="1" applyProtection="1">
      <alignment horizontal="center" vertical="center"/>
      <protection locked="0"/>
    </xf>
    <xf numFmtId="0" fontId="22" fillId="5" borderId="17" xfId="1" applyNumberFormat="1" applyFont="1" applyFill="1" applyBorder="1" applyAlignment="1" applyProtection="1">
      <alignment horizontal="center" vertical="center"/>
      <protection locked="0"/>
    </xf>
    <xf numFmtId="3" fontId="22" fillId="5" borderId="75" xfId="1" applyNumberFormat="1" applyFont="1" applyFill="1" applyBorder="1" applyAlignment="1" applyProtection="1">
      <alignment horizontal="center" vertical="center"/>
      <protection locked="0"/>
    </xf>
    <xf numFmtId="3" fontId="22" fillId="5" borderId="53" xfId="1" applyNumberFormat="1" applyFont="1" applyFill="1" applyBorder="1" applyAlignment="1" applyProtection="1">
      <alignment horizontal="center" vertical="center"/>
      <protection locked="0"/>
    </xf>
    <xf numFmtId="0" fontId="22" fillId="5" borderId="21" xfId="1" applyNumberFormat="1" applyFont="1" applyFill="1" applyBorder="1" applyAlignment="1" applyProtection="1">
      <alignment horizontal="center" vertical="center"/>
      <protection locked="0"/>
    </xf>
    <xf numFmtId="0" fontId="29" fillId="7" borderId="331" xfId="1" applyNumberFormat="1" applyFont="1" applyFill="1" applyBorder="1" applyAlignment="1">
      <alignment horizontal="center" vertical="center"/>
    </xf>
    <xf numFmtId="0" fontId="29" fillId="7" borderId="100" xfId="1" applyNumberFormat="1" applyFont="1" applyFill="1" applyBorder="1" applyAlignment="1">
      <alignment horizontal="center" vertical="center"/>
    </xf>
    <xf numFmtId="0" fontId="29" fillId="7" borderId="332" xfId="1" applyNumberFormat="1" applyFont="1" applyFill="1" applyBorder="1" applyAlignment="1">
      <alignment horizontal="center" vertical="center"/>
    </xf>
    <xf numFmtId="0" fontId="22" fillId="5" borderId="20" xfId="1" applyNumberFormat="1" applyFont="1" applyFill="1" applyBorder="1" applyAlignment="1" applyProtection="1">
      <alignment horizontal="center" vertical="center"/>
      <protection locked="0"/>
    </xf>
    <xf numFmtId="0" fontId="29" fillId="7" borderId="103" xfId="1" applyNumberFormat="1" applyFont="1" applyFill="1" applyBorder="1" applyAlignment="1">
      <alignment horizontal="center" vertical="center"/>
    </xf>
    <xf numFmtId="0" fontId="29" fillId="7" borderId="39" xfId="1" applyNumberFormat="1" applyFont="1" applyFill="1" applyBorder="1" applyAlignment="1">
      <alignment horizontal="center" vertical="center"/>
    </xf>
    <xf numFmtId="0" fontId="29" fillId="7" borderId="43" xfId="1" applyNumberFormat="1" applyFont="1" applyFill="1" applyBorder="1" applyAlignment="1">
      <alignment horizontal="center" vertical="center"/>
    </xf>
    <xf numFmtId="0" fontId="22" fillId="5" borderId="41" xfId="1" applyNumberFormat="1" applyFont="1" applyFill="1" applyBorder="1" applyAlignment="1" applyProtection="1">
      <alignment horizontal="center" vertical="center"/>
      <protection locked="0"/>
    </xf>
    <xf numFmtId="3" fontId="22" fillId="5" borderId="38" xfId="1" applyNumberFormat="1" applyFont="1" applyFill="1" applyBorder="1" applyAlignment="1" applyProtection="1">
      <alignment horizontal="center" vertical="center"/>
      <protection locked="0"/>
    </xf>
    <xf numFmtId="3" fontId="22" fillId="5" borderId="39" xfId="1" applyNumberFormat="1" applyFont="1" applyFill="1" applyBorder="1" applyAlignment="1" applyProtection="1">
      <alignment horizontal="center" vertical="center"/>
      <protection locked="0"/>
    </xf>
    <xf numFmtId="3" fontId="22" fillId="5" borderId="41" xfId="1" applyNumberFormat="1" applyFont="1" applyFill="1" applyBorder="1" applyAlignment="1" applyProtection="1">
      <alignment horizontal="center" vertical="center"/>
      <protection locked="0"/>
    </xf>
    <xf numFmtId="3" fontId="22" fillId="5" borderId="40" xfId="1" applyNumberFormat="1" applyFont="1" applyFill="1" applyBorder="1" applyAlignment="1" applyProtection="1">
      <alignment horizontal="center" vertical="center"/>
      <protection locked="0"/>
    </xf>
    <xf numFmtId="3" fontId="22" fillId="5" borderId="42" xfId="1" applyNumberFormat="1" applyFont="1" applyFill="1" applyBorder="1" applyAlignment="1" applyProtection="1">
      <alignment horizontal="center" vertical="center"/>
      <protection locked="0"/>
    </xf>
    <xf numFmtId="0" fontId="29" fillId="7" borderId="168" xfId="1" applyNumberFormat="1" applyFont="1" applyFill="1" applyBorder="1" applyAlignment="1">
      <alignment horizontal="center" vertical="center"/>
    </xf>
    <xf numFmtId="0" fontId="29" fillId="7" borderId="165" xfId="1" applyNumberFormat="1" applyFont="1" applyFill="1" applyBorder="1" applyAlignment="1">
      <alignment horizontal="center" vertical="center"/>
    </xf>
    <xf numFmtId="0" fontId="29" fillId="7" borderId="169" xfId="1" applyNumberFormat="1" applyFont="1" applyFill="1" applyBorder="1" applyAlignment="1">
      <alignment horizontal="center" vertical="center"/>
    </xf>
    <xf numFmtId="0" fontId="29" fillId="7" borderId="40" xfId="1" applyNumberFormat="1" applyFont="1" applyFill="1" applyBorder="1" applyAlignment="1">
      <alignment horizontal="center" vertical="center"/>
    </xf>
    <xf numFmtId="0" fontId="29" fillId="7" borderId="42" xfId="1" applyNumberFormat="1" applyFont="1" applyFill="1" applyBorder="1" applyAlignment="1">
      <alignment horizontal="center" vertical="center"/>
    </xf>
    <xf numFmtId="0" fontId="29" fillId="7" borderId="189" xfId="1" applyNumberFormat="1" applyFont="1" applyFill="1" applyBorder="1" applyAlignment="1">
      <alignment horizontal="center" vertical="center"/>
    </xf>
    <xf numFmtId="0" fontId="29" fillId="7" borderId="180" xfId="1" applyNumberFormat="1" applyFont="1" applyFill="1" applyBorder="1" applyAlignment="1">
      <alignment horizontal="center" vertical="center"/>
    </xf>
    <xf numFmtId="0" fontId="29" fillId="7" borderId="181" xfId="1" applyNumberFormat="1" applyFont="1" applyFill="1" applyBorder="1" applyAlignment="1">
      <alignment horizontal="center" vertical="center"/>
    </xf>
    <xf numFmtId="0" fontId="29" fillId="7" borderId="171" xfId="1" applyNumberFormat="1" applyFont="1" applyFill="1" applyBorder="1" applyAlignment="1">
      <alignment horizontal="center" vertical="center"/>
    </xf>
    <xf numFmtId="0" fontId="29" fillId="7" borderId="170" xfId="1" applyNumberFormat="1" applyFont="1" applyFill="1" applyBorder="1" applyAlignment="1">
      <alignment horizontal="center" vertical="center"/>
    </xf>
    <xf numFmtId="0" fontId="29" fillId="7" borderId="322" xfId="1" applyNumberFormat="1" applyFont="1" applyFill="1" applyBorder="1" applyAlignment="1">
      <alignment horizontal="center" vertical="center"/>
    </xf>
    <xf numFmtId="0" fontId="29" fillId="7" borderId="315" xfId="1" applyNumberFormat="1" applyFont="1" applyFill="1" applyBorder="1" applyAlignment="1">
      <alignment horizontal="center" vertical="center"/>
    </xf>
    <xf numFmtId="0" fontId="29" fillId="7" borderId="327" xfId="1" applyNumberFormat="1" applyFont="1" applyFill="1" applyBorder="1" applyAlignment="1">
      <alignment horizontal="center" vertical="center"/>
    </xf>
    <xf numFmtId="0" fontId="22" fillId="5" borderId="38" xfId="1" applyNumberFormat="1" applyFont="1" applyFill="1" applyBorder="1" applyAlignment="1" applyProtection="1">
      <alignment horizontal="center" vertical="center"/>
      <protection locked="0"/>
    </xf>
    <xf numFmtId="3" fontId="22" fillId="4" borderId="20" xfId="1" applyNumberFormat="1" applyFont="1" applyFill="1" applyBorder="1" applyAlignment="1">
      <alignment horizontal="center" vertical="center"/>
    </xf>
    <xf numFmtId="3" fontId="22" fillId="4" borderId="6" xfId="1" applyNumberFormat="1" applyFont="1" applyFill="1" applyBorder="1" applyAlignment="1">
      <alignment horizontal="center" vertical="center"/>
    </xf>
    <xf numFmtId="0" fontId="29" fillId="7" borderId="34" xfId="1" applyNumberFormat="1" applyFont="1" applyFill="1" applyBorder="1" applyAlignment="1">
      <alignment horizontal="center" vertical="center"/>
    </xf>
    <xf numFmtId="0" fontId="22" fillId="4" borderId="75" xfId="1" applyNumberFormat="1" applyFont="1" applyFill="1" applyBorder="1" applyAlignment="1">
      <alignment horizontal="center" vertical="center"/>
    </xf>
    <xf numFmtId="0" fontId="22" fillId="4" borderId="6" xfId="1" applyNumberFormat="1" applyFont="1" applyFill="1" applyBorder="1" applyAlignment="1">
      <alignment horizontal="center" vertical="center"/>
    </xf>
    <xf numFmtId="0" fontId="22" fillId="4" borderId="53" xfId="1" applyNumberFormat="1" applyFont="1" applyFill="1" applyBorder="1" applyAlignment="1">
      <alignment horizontal="center" vertical="center"/>
    </xf>
    <xf numFmtId="0" fontId="29" fillId="7" borderId="166" xfId="1" applyNumberFormat="1" applyFont="1" applyFill="1" applyBorder="1" applyAlignment="1">
      <alignment horizontal="center" vertical="center"/>
    </xf>
    <xf numFmtId="3" fontId="29" fillId="7" borderId="169" xfId="1" applyNumberFormat="1" applyFont="1" applyFill="1" applyBorder="1" applyAlignment="1">
      <alignment horizontal="center" vertical="center"/>
    </xf>
    <xf numFmtId="0" fontId="29" fillId="7" borderId="167" xfId="1" applyNumberFormat="1" applyFont="1" applyFill="1" applyBorder="1" applyAlignment="1">
      <alignment horizontal="center" vertical="center"/>
    </xf>
    <xf numFmtId="0" fontId="29" fillId="4" borderId="148" xfId="1" applyNumberFormat="1" applyFont="1" applyFill="1" applyBorder="1" applyAlignment="1">
      <alignment horizontal="center" vertical="center"/>
    </xf>
    <xf numFmtId="0" fontId="29" fillId="4" borderId="149" xfId="1" applyNumberFormat="1" applyFont="1" applyFill="1" applyBorder="1" applyAlignment="1">
      <alignment horizontal="center" vertical="center"/>
    </xf>
    <xf numFmtId="3" fontId="22" fillId="4" borderId="17" xfId="1" applyNumberFormat="1" applyFont="1" applyFill="1" applyBorder="1" applyAlignment="1">
      <alignment horizontal="center" vertical="center"/>
    </xf>
    <xf numFmtId="3" fontId="22" fillId="4" borderId="16" xfId="1" applyNumberFormat="1" applyFont="1" applyFill="1" applyBorder="1" applyAlignment="1">
      <alignment horizontal="center" vertical="center"/>
    </xf>
    <xf numFmtId="0" fontId="29" fillId="7" borderId="66" xfId="1" applyNumberFormat="1" applyFont="1" applyFill="1" applyBorder="1" applyAlignment="1">
      <alignment horizontal="center" vertical="center"/>
    </xf>
    <xf numFmtId="0" fontId="22" fillId="4" borderId="63" xfId="1" applyNumberFormat="1" applyFont="1" applyFill="1" applyBorder="1" applyAlignment="1">
      <alignment horizontal="center" vertical="center"/>
    </xf>
    <xf numFmtId="0" fontId="22" fillId="4" borderId="16" xfId="1" applyNumberFormat="1" applyFont="1" applyFill="1" applyBorder="1" applyAlignment="1">
      <alignment horizontal="center" vertical="center"/>
    </xf>
    <xf numFmtId="0" fontId="22" fillId="4" borderId="64" xfId="1" applyNumberFormat="1" applyFont="1" applyFill="1" applyBorder="1" applyAlignment="1">
      <alignment horizontal="center" vertical="center"/>
    </xf>
    <xf numFmtId="0" fontId="22" fillId="5" borderId="67" xfId="1" applyNumberFormat="1" applyFont="1" applyFill="1" applyBorder="1" applyAlignment="1" applyProtection="1">
      <alignment horizontal="center" vertical="center"/>
      <protection locked="0"/>
    </xf>
    <xf numFmtId="0" fontId="29" fillId="7" borderId="17" xfId="1" applyNumberFormat="1" applyFont="1" applyFill="1" applyBorder="1" applyAlignment="1">
      <alignment horizontal="center" vertical="center"/>
    </xf>
    <xf numFmtId="3" fontId="22" fillId="4" borderId="38" xfId="1" applyNumberFormat="1" applyFont="1" applyFill="1" applyBorder="1" applyAlignment="1">
      <alignment horizontal="center" vertical="center"/>
    </xf>
    <xf numFmtId="3" fontId="22" fillId="4" borderId="39" xfId="1" applyNumberFormat="1" applyFont="1" applyFill="1" applyBorder="1" applyAlignment="1">
      <alignment horizontal="center" vertical="center"/>
    </xf>
    <xf numFmtId="0" fontId="29" fillId="7" borderId="41" xfId="1" applyNumberFormat="1" applyFont="1" applyFill="1" applyBorder="1" applyAlignment="1">
      <alignment horizontal="center" vertical="center"/>
    </xf>
    <xf numFmtId="0" fontId="22" fillId="4" borderId="40" xfId="1" applyNumberFormat="1" applyFont="1" applyFill="1" applyBorder="1" applyAlignment="1">
      <alignment horizontal="center" vertical="center"/>
    </xf>
    <xf numFmtId="0" fontId="22" fillId="4" borderId="39" xfId="1" applyNumberFormat="1" applyFont="1" applyFill="1" applyBorder="1" applyAlignment="1">
      <alignment horizontal="center" vertical="center"/>
    </xf>
    <xf numFmtId="0" fontId="22" fillId="4" borderId="42" xfId="1" applyNumberFormat="1" applyFont="1" applyFill="1" applyBorder="1" applyAlignment="1">
      <alignment horizontal="center" vertical="center"/>
    </xf>
    <xf numFmtId="0" fontId="29" fillId="7" borderId="176" xfId="1" applyNumberFormat="1" applyFont="1" applyFill="1" applyBorder="1" applyAlignment="1">
      <alignment horizontal="center" vertical="center"/>
    </xf>
    <xf numFmtId="0" fontId="29" fillId="7" borderId="177" xfId="1" applyNumberFormat="1" applyFont="1" applyFill="1" applyBorder="1" applyAlignment="1">
      <alignment horizontal="center" vertical="center"/>
    </xf>
    <xf numFmtId="0" fontId="29" fillId="7" borderId="182" xfId="1" applyNumberFormat="1" applyFont="1" applyFill="1" applyBorder="1" applyAlignment="1">
      <alignment horizontal="center" vertical="center"/>
    </xf>
    <xf numFmtId="0" fontId="22" fillId="5" borderId="36" xfId="1" applyNumberFormat="1" applyFont="1" applyFill="1" applyBorder="1" applyAlignment="1" applyProtection="1">
      <alignment horizontal="center" vertical="center"/>
      <protection locked="0"/>
    </xf>
    <xf numFmtId="0" fontId="22" fillId="5" borderId="103" xfId="1" applyNumberFormat="1" applyFont="1" applyFill="1" applyBorder="1" applyAlignment="1" applyProtection="1">
      <alignment horizontal="center" vertical="center"/>
      <protection locked="0"/>
    </xf>
    <xf numFmtId="0" fontId="29" fillId="7" borderId="38" xfId="1" applyNumberFormat="1" applyFont="1" applyFill="1" applyBorder="1" applyAlignment="1">
      <alignment horizontal="center" vertical="center"/>
    </xf>
    <xf numFmtId="3" fontId="29" fillId="7" borderId="14" xfId="1" applyNumberFormat="1" applyFont="1" applyFill="1" applyBorder="1" applyAlignment="1">
      <alignment horizontal="center" vertical="center"/>
    </xf>
    <xf numFmtId="0" fontId="29" fillId="7" borderId="197" xfId="0" applyFont="1" applyFill="1" applyBorder="1" applyAlignment="1">
      <alignment horizontal="center" vertical="center" wrapText="1"/>
    </xf>
    <xf numFmtId="0" fontId="29" fillId="7" borderId="198" xfId="0" applyFont="1" applyFill="1" applyBorder="1" applyAlignment="1">
      <alignment horizontal="center" vertical="center" wrapText="1"/>
    </xf>
    <xf numFmtId="0" fontId="29" fillId="7" borderId="3" xfId="0" applyFont="1" applyFill="1" applyBorder="1" applyAlignment="1">
      <alignment horizontal="center" vertical="center" wrapText="1"/>
    </xf>
    <xf numFmtId="0" fontId="29" fillId="7" borderId="152" xfId="0" applyFont="1" applyFill="1" applyBorder="1" applyAlignment="1">
      <alignment horizontal="center" vertical="center" wrapText="1"/>
    </xf>
    <xf numFmtId="0" fontId="34" fillId="7" borderId="93" xfId="0" applyFont="1" applyFill="1" applyBorder="1" applyAlignment="1">
      <alignment horizontal="center" vertical="center" wrapText="1"/>
    </xf>
    <xf numFmtId="0" fontId="34" fillId="7" borderId="94" xfId="0" applyFont="1" applyFill="1" applyBorder="1" applyAlignment="1">
      <alignment horizontal="center" vertical="center" wrapText="1"/>
    </xf>
    <xf numFmtId="0" fontId="34" fillId="7" borderId="95" xfId="0" applyFont="1" applyFill="1" applyBorder="1" applyAlignment="1">
      <alignment horizontal="center" vertical="center" wrapText="1"/>
    </xf>
    <xf numFmtId="0" fontId="34" fillId="7" borderId="50" xfId="0" applyFont="1" applyFill="1" applyBorder="1" applyAlignment="1">
      <alignment horizontal="center" vertical="center" wrapText="1"/>
    </xf>
    <xf numFmtId="0" fontId="34" fillId="7" borderId="74" xfId="0" applyFont="1" applyFill="1" applyBorder="1" applyAlignment="1">
      <alignment horizontal="center" vertical="center" wrapText="1"/>
    </xf>
    <xf numFmtId="0" fontId="34" fillId="7" borderId="79" xfId="0" applyFont="1" applyFill="1" applyBorder="1" applyAlignment="1">
      <alignment horizontal="center" vertical="center" wrapText="1"/>
    </xf>
    <xf numFmtId="0" fontId="36" fillId="7" borderId="174" xfId="0" applyFont="1" applyFill="1" applyBorder="1" applyAlignment="1">
      <alignment horizontal="center" vertical="center" wrapText="1"/>
    </xf>
    <xf numFmtId="0" fontId="36" fillId="7" borderId="175" xfId="0" applyFont="1" applyFill="1" applyBorder="1" applyAlignment="1">
      <alignment horizontal="center" vertical="center" wrapText="1"/>
    </xf>
    <xf numFmtId="0" fontId="36" fillId="7" borderId="176" xfId="0" applyFont="1" applyFill="1" applyBorder="1" applyAlignment="1">
      <alignment horizontal="center" vertical="center" wrapText="1"/>
    </xf>
    <xf numFmtId="0" fontId="36" fillId="7" borderId="177" xfId="0" applyFont="1" applyFill="1" applyBorder="1" applyAlignment="1">
      <alignment horizontal="center" vertical="center"/>
    </xf>
    <xf numFmtId="0" fontId="36" fillId="7" borderId="175" xfId="0" applyFont="1" applyFill="1" applyBorder="1" applyAlignment="1">
      <alignment horizontal="center" vertical="center"/>
    </xf>
    <xf numFmtId="0" fontId="36" fillId="7" borderId="200" xfId="0" applyFont="1" applyFill="1" applyBorder="1" applyAlignment="1">
      <alignment horizontal="center" vertical="center"/>
    </xf>
    <xf numFmtId="0" fontId="36" fillId="7" borderId="201" xfId="0" applyFont="1" applyFill="1" applyBorder="1" applyAlignment="1">
      <alignment horizontal="center" vertical="center" wrapText="1"/>
    </xf>
    <xf numFmtId="0" fontId="36" fillId="7" borderId="180" xfId="0" applyFont="1" applyFill="1" applyBorder="1" applyAlignment="1">
      <alignment horizontal="center" vertical="center" wrapText="1"/>
    </xf>
    <xf numFmtId="0" fontId="36" fillId="7" borderId="178" xfId="0" applyFont="1" applyFill="1" applyBorder="1" applyAlignment="1">
      <alignment horizontal="center" vertical="center" wrapText="1"/>
    </xf>
    <xf numFmtId="0" fontId="36" fillId="7" borderId="200" xfId="0" applyFont="1" applyFill="1" applyBorder="1" applyAlignment="1">
      <alignment horizontal="center" vertical="center" wrapText="1"/>
    </xf>
    <xf numFmtId="0" fontId="36" fillId="7" borderId="179" xfId="0" applyFont="1" applyFill="1" applyBorder="1" applyAlignment="1">
      <alignment horizontal="center" vertical="center" wrapText="1"/>
    </xf>
    <xf numFmtId="0" fontId="35" fillId="7" borderId="144" xfId="0" applyFont="1" applyFill="1" applyBorder="1" applyAlignment="1">
      <alignment horizontal="center" vertical="center" wrapText="1"/>
    </xf>
    <xf numFmtId="0" fontId="35" fillId="7" borderId="145" xfId="0" applyFont="1" applyFill="1" applyBorder="1" applyAlignment="1">
      <alignment horizontal="center" vertical="center" wrapText="1"/>
    </xf>
    <xf numFmtId="0" fontId="35" fillId="7" borderId="146" xfId="0" applyFont="1" applyFill="1" applyBorder="1" applyAlignment="1">
      <alignment horizontal="center" vertical="center" wrapText="1"/>
    </xf>
    <xf numFmtId="0" fontId="35" fillId="7" borderId="150" xfId="0" applyFont="1" applyFill="1" applyBorder="1" applyAlignment="1">
      <alignment horizontal="center" vertical="center" wrapText="1"/>
    </xf>
    <xf numFmtId="0" fontId="29" fillId="7" borderId="147" xfId="0" applyFont="1" applyFill="1" applyBorder="1" applyAlignment="1">
      <alignment horizontal="center" vertical="center" wrapText="1"/>
    </xf>
    <xf numFmtId="0" fontId="29" fillId="7" borderId="148" xfId="0" applyFont="1" applyFill="1" applyBorder="1" applyAlignment="1">
      <alignment horizontal="center" vertical="center" wrapText="1"/>
    </xf>
    <xf numFmtId="0" fontId="29" fillId="7" borderId="202" xfId="0" applyFont="1" applyFill="1" applyBorder="1" applyAlignment="1">
      <alignment horizontal="center" vertical="center" wrapText="1"/>
    </xf>
    <xf numFmtId="0" fontId="29" fillId="7" borderId="203" xfId="0" applyFont="1" applyFill="1" applyBorder="1" applyAlignment="1">
      <alignment horizontal="center" vertical="center" wrapText="1"/>
    </xf>
    <xf numFmtId="0" fontId="29" fillId="7" borderId="195" xfId="0" applyFont="1" applyFill="1" applyBorder="1" applyAlignment="1">
      <alignment horizontal="center" vertical="center" wrapText="1"/>
    </xf>
    <xf numFmtId="0" fontId="29" fillId="7" borderId="196" xfId="0" applyFont="1" applyFill="1" applyBorder="1" applyAlignment="1">
      <alignment horizontal="center" vertical="center" wrapText="1"/>
    </xf>
    <xf numFmtId="0" fontId="29" fillId="7" borderId="71" xfId="0" applyFont="1" applyFill="1" applyBorder="1" applyAlignment="1">
      <alignment horizontal="center" vertical="center" wrapText="1"/>
    </xf>
    <xf numFmtId="0" fontId="29" fillId="7" borderId="73" xfId="0" applyFont="1" applyFill="1" applyBorder="1" applyAlignment="1">
      <alignment horizontal="center" vertical="center" wrapText="1"/>
    </xf>
    <xf numFmtId="3" fontId="22" fillId="5" borderId="107" xfId="1" applyNumberFormat="1" applyFont="1" applyFill="1" applyBorder="1" applyAlignment="1" applyProtection="1">
      <alignment horizontal="center" vertical="center"/>
      <protection locked="0"/>
    </xf>
    <xf numFmtId="3" fontId="22" fillId="5" borderId="108" xfId="1" applyNumberFormat="1" applyFont="1" applyFill="1" applyBorder="1" applyAlignment="1" applyProtection="1">
      <alignment horizontal="center" vertical="center"/>
      <protection locked="0"/>
    </xf>
    <xf numFmtId="0" fontId="36" fillId="7" borderId="181" xfId="0" applyFont="1" applyFill="1" applyBorder="1" applyAlignment="1">
      <alignment horizontal="center" vertical="center" wrapText="1"/>
    </xf>
    <xf numFmtId="0" fontId="36" fillId="7" borderId="182" xfId="0" applyFont="1" applyFill="1" applyBorder="1" applyAlignment="1">
      <alignment horizontal="center" vertical="center" wrapText="1"/>
    </xf>
    <xf numFmtId="3" fontId="22" fillId="5" borderId="194" xfId="1" applyNumberFormat="1" applyFont="1" applyFill="1" applyBorder="1" applyAlignment="1" applyProtection="1">
      <alignment horizontal="center" vertical="center"/>
      <protection locked="0"/>
    </xf>
    <xf numFmtId="3" fontId="22" fillId="5" borderId="145" xfId="1" applyNumberFormat="1" applyFont="1" applyFill="1" applyBorder="1" applyAlignment="1" applyProtection="1">
      <alignment horizontal="center" vertical="center"/>
      <protection locked="0"/>
    </xf>
    <xf numFmtId="3" fontId="22" fillId="5" borderId="336" xfId="1" applyNumberFormat="1" applyFont="1" applyFill="1" applyBorder="1" applyAlignment="1" applyProtection="1">
      <alignment horizontal="center" vertical="center"/>
      <protection locked="0"/>
    </xf>
    <xf numFmtId="3" fontId="22" fillId="5" borderId="337" xfId="1" applyNumberFormat="1" applyFont="1" applyFill="1" applyBorder="1" applyAlignment="1" applyProtection="1">
      <alignment horizontal="center" vertical="center"/>
      <protection locked="0"/>
    </xf>
    <xf numFmtId="3" fontId="22" fillId="5" borderId="264" xfId="1" applyNumberFormat="1" applyFont="1" applyFill="1" applyBorder="1" applyAlignment="1" applyProtection="1">
      <alignment horizontal="center" vertical="center"/>
      <protection locked="0"/>
    </xf>
    <xf numFmtId="3" fontId="22" fillId="5" borderId="195" xfId="1" applyNumberFormat="1" applyFont="1" applyFill="1" applyBorder="1" applyAlignment="1" applyProtection="1">
      <alignment horizontal="center" vertical="center"/>
      <protection locked="0"/>
    </xf>
    <xf numFmtId="3" fontId="29" fillId="7" borderId="344" xfId="1" applyNumberFormat="1" applyFont="1" applyFill="1" applyBorder="1" applyAlignment="1">
      <alignment horizontal="center" vertical="center"/>
    </xf>
    <xf numFmtId="3" fontId="29" fillId="7" borderId="338" xfId="1" applyNumberFormat="1" applyFont="1" applyFill="1" applyBorder="1" applyAlignment="1">
      <alignment horizontal="center" vertical="center"/>
    </xf>
    <xf numFmtId="3" fontId="29" fillId="7" borderId="339" xfId="1" applyNumberFormat="1" applyFont="1" applyFill="1" applyBorder="1" applyAlignment="1">
      <alignment horizontal="center" vertical="center"/>
    </xf>
    <xf numFmtId="3" fontId="22" fillId="5" borderId="340" xfId="1" applyNumberFormat="1" applyFont="1" applyFill="1" applyBorder="1" applyAlignment="1" applyProtection="1">
      <alignment horizontal="center" vertical="center"/>
      <protection locked="0"/>
    </xf>
    <xf numFmtId="3" fontId="22" fillId="5" borderId="341" xfId="1" applyNumberFormat="1" applyFont="1" applyFill="1" applyBorder="1" applyAlignment="1" applyProtection="1">
      <alignment horizontal="center" vertical="center"/>
      <protection locked="0"/>
    </xf>
    <xf numFmtId="3" fontId="29" fillId="7" borderId="331" xfId="1" applyNumberFormat="1" applyFont="1" applyFill="1" applyBorder="1" applyAlignment="1">
      <alignment horizontal="center" vertical="center"/>
    </xf>
    <xf numFmtId="3" fontId="29" fillId="7" borderId="100" xfId="1" applyNumberFormat="1" applyFont="1" applyFill="1" applyBorder="1" applyAlignment="1">
      <alignment horizontal="center" vertical="center"/>
    </xf>
    <xf numFmtId="3" fontId="29" fillId="7" borderId="286" xfId="1" applyNumberFormat="1" applyFont="1" applyFill="1" applyBorder="1" applyAlignment="1">
      <alignment horizontal="center" vertical="center"/>
    </xf>
    <xf numFmtId="3" fontId="22" fillId="5" borderId="89" xfId="1" applyNumberFormat="1" applyFont="1" applyFill="1" applyBorder="1" applyAlignment="1" applyProtection="1">
      <alignment horizontal="center" vertical="center"/>
      <protection locked="0"/>
    </xf>
    <xf numFmtId="3" fontId="22" fillId="5" borderId="90" xfId="1" applyNumberFormat="1" applyFont="1" applyFill="1" applyBorder="1" applyAlignment="1" applyProtection="1">
      <alignment horizontal="center" vertical="center"/>
      <protection locked="0"/>
    </xf>
    <xf numFmtId="3" fontId="29" fillId="7" borderId="333" xfId="1" applyNumberFormat="1" applyFont="1" applyFill="1" applyBorder="1" applyAlignment="1">
      <alignment horizontal="center" vertical="center"/>
    </xf>
    <xf numFmtId="3" fontId="29" fillId="7" borderId="111" xfId="1" applyNumberFormat="1" applyFont="1" applyFill="1" applyBorder="1" applyAlignment="1">
      <alignment horizontal="center" vertical="center"/>
    </xf>
    <xf numFmtId="3" fontId="29" fillId="7" borderId="342" xfId="1" applyNumberFormat="1" applyFont="1" applyFill="1" applyBorder="1" applyAlignment="1">
      <alignment horizontal="center" vertical="center"/>
    </xf>
    <xf numFmtId="3" fontId="22" fillId="5" borderId="32" xfId="1" applyNumberFormat="1" applyFont="1" applyFill="1" applyBorder="1" applyAlignment="1" applyProtection="1">
      <alignment horizontal="center" vertical="center"/>
      <protection locked="0"/>
    </xf>
    <xf numFmtId="3" fontId="22" fillId="5" borderId="0" xfId="1" applyNumberFormat="1" applyFont="1" applyFill="1" applyBorder="1" applyAlignment="1" applyProtection="1">
      <alignment horizontal="center" vertical="center"/>
      <protection locked="0"/>
    </xf>
    <xf numFmtId="3" fontId="22" fillId="5" borderId="94" xfId="1" applyNumberFormat="1" applyFont="1" applyFill="1" applyBorder="1" applyAlignment="1" applyProtection="1">
      <alignment horizontal="center" vertical="center"/>
      <protection locked="0"/>
    </xf>
    <xf numFmtId="3" fontId="22" fillId="5" borderId="74" xfId="1" applyNumberFormat="1" applyFont="1" applyFill="1" applyBorder="1" applyAlignment="1" applyProtection="1">
      <alignment horizontal="center" vertical="center"/>
      <protection locked="0"/>
    </xf>
    <xf numFmtId="3" fontId="22" fillId="5" borderId="72" xfId="1" applyNumberFormat="1" applyFont="1" applyFill="1" applyBorder="1" applyAlignment="1" applyProtection="1">
      <alignment horizontal="center" vertical="center"/>
      <protection locked="0"/>
    </xf>
    <xf numFmtId="3" fontId="22" fillId="5" borderId="71" xfId="1" applyNumberFormat="1" applyFont="1" applyFill="1" applyBorder="1" applyAlignment="1" applyProtection="1">
      <alignment horizontal="center" vertical="center"/>
      <protection locked="0"/>
    </xf>
    <xf numFmtId="3" fontId="29" fillId="7" borderId="329" xfId="1" applyNumberFormat="1" applyFont="1" applyFill="1" applyBorder="1" applyAlignment="1">
      <alignment horizontal="center" vertical="center"/>
    </xf>
    <xf numFmtId="3" fontId="29" fillId="7" borderId="328" xfId="1" applyNumberFormat="1" applyFont="1" applyFill="1" applyBorder="1" applyAlignment="1">
      <alignment horizontal="center" vertical="center"/>
    </xf>
    <xf numFmtId="3" fontId="29" fillId="7" borderId="343" xfId="1" applyNumberFormat="1" applyFont="1" applyFill="1" applyBorder="1" applyAlignment="1">
      <alignment horizontal="center" vertical="center"/>
    </xf>
    <xf numFmtId="0" fontId="35" fillId="7" borderId="164" xfId="0" applyFont="1" applyFill="1" applyBorder="1" applyAlignment="1">
      <alignment horizontal="center" vertical="center" shrinkToFit="1"/>
    </xf>
    <xf numFmtId="0" fontId="35" fillId="7" borderId="165" xfId="0" applyFont="1" applyFill="1" applyBorder="1" applyAlignment="1">
      <alignment horizontal="center" vertical="center" shrinkToFit="1"/>
    </xf>
    <xf numFmtId="0" fontId="35" fillId="7" borderId="166" xfId="0" applyFont="1" applyFill="1" applyBorder="1" applyAlignment="1">
      <alignment horizontal="center" vertical="center" shrinkToFit="1"/>
    </xf>
    <xf numFmtId="0" fontId="37" fillId="7" borderId="0" xfId="11" applyFont="1" applyFill="1" applyAlignment="1">
      <alignment horizontal="justify" vertical="center" wrapText="1"/>
    </xf>
    <xf numFmtId="3" fontId="0" fillId="5" borderId="208" xfId="0" applyNumberFormat="1" applyFill="1" applyBorder="1" applyAlignment="1" applyProtection="1">
      <alignment horizontal="center" vertical="center" wrapText="1"/>
      <protection locked="0"/>
    </xf>
    <xf numFmtId="3" fontId="29" fillId="7" borderId="330" xfId="0" applyNumberFormat="1" applyFont="1" applyFill="1" applyBorder="1" applyAlignment="1">
      <alignment horizontal="center" vertical="center" wrapText="1"/>
    </xf>
    <xf numFmtId="3" fontId="29" fillId="7" borderId="346" xfId="0" applyNumberFormat="1" applyFont="1" applyFill="1" applyBorder="1" applyAlignment="1">
      <alignment horizontal="center" vertical="center" wrapText="1"/>
    </xf>
    <xf numFmtId="3" fontId="29" fillId="7" borderId="292" xfId="0" applyNumberFormat="1" applyFont="1" applyFill="1" applyBorder="1" applyAlignment="1">
      <alignment horizontal="center" vertical="center" wrapText="1"/>
    </xf>
    <xf numFmtId="3" fontId="29" fillId="7" borderId="288" xfId="0" applyNumberFormat="1" applyFont="1" applyFill="1" applyBorder="1" applyAlignment="1">
      <alignment horizontal="center" vertical="center" wrapText="1"/>
    </xf>
    <xf numFmtId="3" fontId="0" fillId="5" borderId="16" xfId="0" applyNumberFormat="1" applyFill="1" applyBorder="1" applyAlignment="1" applyProtection="1">
      <alignment horizontal="center" vertical="center" wrapText="1"/>
      <protection locked="0"/>
    </xf>
    <xf numFmtId="3" fontId="29" fillId="7" borderId="321" xfId="0" applyNumberFormat="1" applyFont="1" applyFill="1" applyBorder="1" applyAlignment="1">
      <alignment horizontal="center" vertical="center" wrapText="1"/>
    </xf>
    <xf numFmtId="3" fontId="29" fillId="7" borderId="1" xfId="0" applyNumberFormat="1" applyFont="1" applyFill="1" applyBorder="1" applyAlignment="1">
      <alignment horizontal="center" vertical="center" wrapText="1"/>
    </xf>
    <xf numFmtId="3" fontId="29" fillId="7" borderId="110" xfId="0" applyNumberFormat="1" applyFont="1" applyFill="1" applyBorder="1" applyAlignment="1">
      <alignment horizontal="center" vertical="center" wrapText="1"/>
    </xf>
    <xf numFmtId="3" fontId="29" fillId="7" borderId="287" xfId="0" applyNumberFormat="1" applyFont="1" applyFill="1" applyBorder="1" applyAlignment="1">
      <alignment horizontal="center" vertical="center" wrapText="1"/>
    </xf>
    <xf numFmtId="0" fontId="65" fillId="7" borderId="0" xfId="11" applyFont="1" applyFill="1" applyAlignment="1">
      <alignment horizontal="justify" vertical="top" wrapText="1"/>
    </xf>
    <xf numFmtId="3" fontId="29" fillId="7" borderId="103" xfId="1" applyNumberFormat="1" applyFont="1" applyFill="1" applyBorder="1" applyAlignment="1">
      <alignment horizontal="center" vertical="center"/>
    </xf>
    <xf numFmtId="3" fontId="29" fillId="7" borderId="39" xfId="1" applyNumberFormat="1" applyFont="1" applyFill="1" applyBorder="1" applyAlignment="1">
      <alignment horizontal="center" vertical="center"/>
    </xf>
    <xf numFmtId="3" fontId="29" fillId="7" borderId="189" xfId="1" applyNumberFormat="1" applyFont="1" applyFill="1" applyBorder="1" applyAlignment="1">
      <alignment horizontal="center" vertical="center"/>
    </xf>
    <xf numFmtId="3" fontId="0" fillId="5" borderId="14" xfId="0" applyNumberFormat="1" applyFill="1" applyBorder="1" applyAlignment="1" applyProtection="1">
      <alignment horizontal="center" vertical="center" wrapText="1"/>
      <protection locked="0"/>
    </xf>
    <xf numFmtId="3" fontId="0" fillId="5" borderId="15" xfId="0" applyNumberFormat="1" applyFill="1" applyBorder="1" applyAlignment="1" applyProtection="1">
      <alignment horizontal="center" vertical="center" wrapText="1"/>
      <protection locked="0"/>
    </xf>
    <xf numFmtId="3" fontId="0" fillId="5" borderId="34" xfId="0" applyNumberFormat="1" applyFill="1" applyBorder="1" applyAlignment="1" applyProtection="1">
      <alignment horizontal="center" vertical="center" wrapText="1"/>
      <protection locked="0"/>
    </xf>
    <xf numFmtId="3" fontId="0" fillId="5" borderId="33" xfId="0" applyNumberFormat="1" applyFill="1" applyBorder="1" applyAlignment="1" applyProtection="1">
      <alignment horizontal="center" vertical="center" wrapText="1"/>
      <protection locked="0"/>
    </xf>
    <xf numFmtId="3" fontId="29" fillId="7" borderId="320" xfId="0" applyNumberFormat="1" applyFont="1" applyFill="1" applyBorder="1" applyAlignment="1">
      <alignment horizontal="center" vertical="center" wrapText="1"/>
    </xf>
    <xf numFmtId="3" fontId="29" fillId="7" borderId="317" xfId="0" applyNumberFormat="1" applyFont="1" applyFill="1" applyBorder="1" applyAlignment="1">
      <alignment horizontal="center" vertical="center" wrapText="1"/>
    </xf>
    <xf numFmtId="3" fontId="29" fillId="7" borderId="323" xfId="0" applyNumberFormat="1" applyFont="1" applyFill="1" applyBorder="1" applyAlignment="1">
      <alignment horizontal="center" vertical="center" wrapText="1"/>
    </xf>
    <xf numFmtId="0" fontId="67" fillId="7" borderId="0" xfId="11" applyFont="1" applyFill="1" applyAlignment="1">
      <alignment horizontal="justify" vertical="top" wrapText="1"/>
    </xf>
    <xf numFmtId="0" fontId="29" fillId="7" borderId="214" xfId="0" applyFont="1" applyFill="1" applyBorder="1" applyAlignment="1">
      <alignment horizontal="center" vertical="center"/>
    </xf>
    <xf numFmtId="0" fontId="29" fillId="7" borderId="82" xfId="0" applyFont="1" applyFill="1" applyBorder="1" applyAlignment="1">
      <alignment horizontal="center" vertical="center"/>
    </xf>
    <xf numFmtId="0" fontId="29" fillId="7" borderId="83" xfId="0" applyFont="1" applyFill="1" applyBorder="1" applyAlignment="1">
      <alignment horizontal="center" vertical="center"/>
    </xf>
    <xf numFmtId="0" fontId="29" fillId="7" borderId="101" xfId="0" applyFont="1" applyFill="1" applyBorder="1" applyAlignment="1">
      <alignment horizontal="center" vertical="center"/>
    </xf>
    <xf numFmtId="0" fontId="29" fillId="7" borderId="102" xfId="0" applyFont="1" applyFill="1" applyBorder="1" applyAlignment="1">
      <alignment horizontal="center" vertical="center"/>
    </xf>
    <xf numFmtId="0" fontId="29" fillId="7" borderId="105" xfId="0" applyFont="1" applyFill="1" applyBorder="1" applyAlignment="1">
      <alignment horizontal="center" vertical="center"/>
    </xf>
    <xf numFmtId="0" fontId="29" fillId="7" borderId="106" xfId="0" applyFont="1" applyFill="1" applyBorder="1" applyAlignment="1">
      <alignment horizontal="center" vertical="center" wrapText="1"/>
    </xf>
    <xf numFmtId="0" fontId="29" fillId="7" borderId="83" xfId="0" applyFont="1" applyFill="1" applyBorder="1" applyAlignment="1">
      <alignment horizontal="center" vertical="center" wrapText="1"/>
    </xf>
    <xf numFmtId="0" fontId="29" fillId="7" borderId="84" xfId="0" applyFont="1" applyFill="1" applyBorder="1" applyAlignment="1">
      <alignment horizontal="center" vertical="center" wrapText="1"/>
    </xf>
    <xf numFmtId="0" fontId="29" fillId="7" borderId="185" xfId="0" applyFont="1" applyFill="1" applyBorder="1" applyAlignment="1">
      <alignment horizontal="center" vertical="center" wrapText="1"/>
    </xf>
    <xf numFmtId="0" fontId="43" fillId="7" borderId="164" xfId="0" applyFont="1" applyFill="1" applyBorder="1" applyAlignment="1">
      <alignment horizontal="center" vertical="center" shrinkToFit="1"/>
    </xf>
    <xf numFmtId="0" fontId="43" fillId="7" borderId="165" xfId="0" applyFont="1" applyFill="1" applyBorder="1" applyAlignment="1">
      <alignment horizontal="center" vertical="center" shrinkToFit="1"/>
    </xf>
    <xf numFmtId="0" fontId="43" fillId="7" borderId="166" xfId="0" applyFont="1" applyFill="1" applyBorder="1" applyAlignment="1">
      <alignment horizontal="center" vertical="center" shrinkToFit="1"/>
    </xf>
    <xf numFmtId="3" fontId="29" fillId="7" borderId="81" xfId="1" applyNumberFormat="1" applyFont="1" applyFill="1" applyBorder="1" applyAlignment="1">
      <alignment horizontal="center" vertical="center"/>
    </xf>
    <xf numFmtId="3" fontId="29" fillId="7" borderId="12" xfId="1" applyNumberFormat="1" applyFont="1" applyFill="1" applyBorder="1" applyAlignment="1">
      <alignment horizontal="center" vertical="center"/>
    </xf>
    <xf numFmtId="3" fontId="29" fillId="7" borderId="335" xfId="1" applyNumberFormat="1" applyFont="1" applyFill="1" applyBorder="1" applyAlignment="1">
      <alignment horizontal="center" vertical="center"/>
    </xf>
    <xf numFmtId="3" fontId="29" fillId="7" borderId="76" xfId="1" applyNumberFormat="1" applyFont="1" applyFill="1" applyBorder="1" applyAlignment="1">
      <alignment horizontal="center" vertical="center"/>
    </xf>
    <xf numFmtId="3" fontId="29" fillId="7" borderId="6" xfId="1" applyNumberFormat="1" applyFont="1" applyFill="1" applyBorder="1" applyAlignment="1">
      <alignment horizontal="center" vertical="center"/>
    </xf>
    <xf numFmtId="3" fontId="29" fillId="7" borderId="153" xfId="1" applyNumberFormat="1" applyFont="1" applyFill="1" applyBorder="1" applyAlignment="1">
      <alignment horizontal="center" vertical="center"/>
    </xf>
    <xf numFmtId="3" fontId="29" fillId="7" borderId="163" xfId="1" applyNumberFormat="1" applyFont="1" applyFill="1" applyBorder="1" applyAlignment="1">
      <alignment horizontal="center" vertical="center"/>
    </xf>
    <xf numFmtId="3" fontId="29" fillId="7" borderId="182" xfId="1" applyNumberFormat="1" applyFont="1" applyFill="1" applyBorder="1" applyAlignment="1">
      <alignment horizontal="center" vertical="center"/>
    </xf>
    <xf numFmtId="0" fontId="43" fillId="7" borderId="164" xfId="23" applyFont="1" applyFill="1" applyBorder="1" applyAlignment="1">
      <alignment horizontal="center" vertical="center"/>
    </xf>
    <xf numFmtId="0" fontId="43" fillId="7" borderId="165" xfId="23" applyFont="1" applyFill="1" applyBorder="1" applyAlignment="1">
      <alignment horizontal="center" vertical="center"/>
    </xf>
    <xf numFmtId="0" fontId="43" fillId="7" borderId="166" xfId="23" applyFont="1" applyFill="1" applyBorder="1" applyAlignment="1">
      <alignment horizontal="center" vertical="center"/>
    </xf>
    <xf numFmtId="3" fontId="22" fillId="5" borderId="204" xfId="1" applyNumberFormat="1" applyFont="1" applyFill="1" applyBorder="1" applyAlignment="1" applyProtection="1">
      <alignment horizontal="center" vertical="center"/>
      <protection locked="0"/>
    </xf>
    <xf numFmtId="3" fontId="22" fillId="5" borderId="205" xfId="1" applyNumberFormat="1" applyFont="1" applyFill="1" applyBorder="1" applyAlignment="1" applyProtection="1">
      <alignment horizontal="center" vertical="center"/>
      <protection locked="0"/>
    </xf>
    <xf numFmtId="3" fontId="22" fillId="5" borderId="226" xfId="1" applyNumberFormat="1" applyFont="1" applyFill="1" applyBorder="1" applyAlignment="1" applyProtection="1">
      <alignment horizontal="center" vertical="center"/>
      <protection locked="0"/>
    </xf>
    <xf numFmtId="3" fontId="22" fillId="5" borderId="227" xfId="1" applyNumberFormat="1" applyFont="1" applyFill="1" applyBorder="1" applyAlignment="1" applyProtection="1">
      <alignment horizontal="center" vertical="center"/>
      <protection locked="0"/>
    </xf>
    <xf numFmtId="3" fontId="22" fillId="5" borderId="225" xfId="1" applyNumberFormat="1" applyFont="1" applyFill="1" applyBorder="1" applyAlignment="1" applyProtection="1">
      <alignment horizontal="center" vertical="center"/>
      <protection locked="0"/>
    </xf>
    <xf numFmtId="3" fontId="29" fillId="7" borderId="228" xfId="1" applyNumberFormat="1" applyFont="1" applyFill="1" applyBorder="1" applyAlignment="1">
      <alignment horizontal="center" vertical="center"/>
    </xf>
    <xf numFmtId="3" fontId="29" fillId="7" borderId="205" xfId="1" applyNumberFormat="1" applyFont="1" applyFill="1" applyBorder="1" applyAlignment="1">
      <alignment horizontal="center" vertical="center"/>
    </xf>
    <xf numFmtId="3" fontId="29" fillId="7" borderId="206" xfId="1" applyNumberFormat="1" applyFont="1" applyFill="1" applyBorder="1" applyAlignment="1">
      <alignment horizontal="center" vertical="center"/>
    </xf>
    <xf numFmtId="0" fontId="43" fillId="7" borderId="174" xfId="0" applyFont="1" applyFill="1" applyBorder="1" applyAlignment="1">
      <alignment horizontal="center" vertical="center" wrapText="1"/>
    </xf>
    <xf numFmtId="0" fontId="43" fillId="7" borderId="175" xfId="0" applyFont="1" applyFill="1" applyBorder="1" applyAlignment="1">
      <alignment horizontal="center" vertical="center" wrapText="1"/>
    </xf>
    <xf numFmtId="0" fontId="43" fillId="7" borderId="176" xfId="0" applyFont="1" applyFill="1" applyBorder="1" applyAlignment="1">
      <alignment horizontal="center" vertical="center" wrapText="1"/>
    </xf>
    <xf numFmtId="0" fontId="43" fillId="7" borderId="147" xfId="0" applyFont="1" applyFill="1" applyBorder="1" applyAlignment="1">
      <alignment horizontal="center" vertical="center" wrapText="1"/>
    </xf>
    <xf numFmtId="0" fontId="43" fillId="7" borderId="148" xfId="0" applyFont="1" applyFill="1" applyBorder="1" applyAlignment="1">
      <alignment horizontal="center" vertical="center" wrapText="1"/>
    </xf>
    <xf numFmtId="0" fontId="43" fillId="7" borderId="149" xfId="0" applyFont="1" applyFill="1" applyBorder="1" applyAlignment="1">
      <alignment horizontal="center" vertical="center" wrapText="1"/>
    </xf>
    <xf numFmtId="0" fontId="43" fillId="7" borderId="144" xfId="23" applyFont="1" applyFill="1" applyBorder="1" applyAlignment="1">
      <alignment horizontal="center" vertical="center" wrapText="1"/>
    </xf>
    <xf numFmtId="0" fontId="43" fillId="7" borderId="145" xfId="23" applyFont="1" applyFill="1" applyBorder="1" applyAlignment="1">
      <alignment horizontal="center" vertical="center" wrapText="1"/>
    </xf>
    <xf numFmtId="0" fontId="43" fillId="7" borderId="146" xfId="23" applyFont="1" applyFill="1" applyBorder="1" applyAlignment="1">
      <alignment horizontal="center" vertical="center" wrapText="1"/>
    </xf>
    <xf numFmtId="0" fontId="43" fillId="7" borderId="174" xfId="23" applyFont="1" applyFill="1" applyBorder="1" applyAlignment="1">
      <alignment horizontal="center" vertical="center" wrapText="1"/>
    </xf>
    <xf numFmtId="0" fontId="43" fillId="7" borderId="175" xfId="23" applyFont="1" applyFill="1" applyBorder="1" applyAlignment="1">
      <alignment horizontal="center" vertical="center" wrapText="1"/>
    </xf>
    <xf numFmtId="0" fontId="43" fillId="7" borderId="176" xfId="23" applyFont="1" applyFill="1" applyBorder="1" applyAlignment="1">
      <alignment horizontal="center" vertical="center" wrapText="1"/>
    </xf>
    <xf numFmtId="0" fontId="43" fillId="7" borderId="177" xfId="0" applyFont="1" applyFill="1" applyBorder="1" applyAlignment="1">
      <alignment horizontal="center" vertical="center" wrapText="1"/>
    </xf>
    <xf numFmtId="0" fontId="43" fillId="7" borderId="180" xfId="0" applyFont="1" applyFill="1" applyBorder="1" applyAlignment="1">
      <alignment horizontal="center" vertical="center" wrapText="1"/>
    </xf>
    <xf numFmtId="0" fontId="43" fillId="7" borderId="178" xfId="0" applyFont="1" applyFill="1" applyBorder="1" applyAlignment="1">
      <alignment horizontal="center" vertical="center" wrapText="1"/>
    </xf>
    <xf numFmtId="0" fontId="43" fillId="7" borderId="179" xfId="0" applyFont="1" applyFill="1" applyBorder="1" applyAlignment="1">
      <alignment horizontal="center" vertical="center" wrapText="1"/>
    </xf>
    <xf numFmtId="0" fontId="43" fillId="7" borderId="181" xfId="0" applyFont="1" applyFill="1" applyBorder="1" applyAlignment="1">
      <alignment horizontal="center" vertical="center" wrapText="1"/>
    </xf>
    <xf numFmtId="0" fontId="43" fillId="7" borderId="182" xfId="0" applyFont="1" applyFill="1" applyBorder="1" applyAlignment="1">
      <alignment horizontal="center" vertical="center" wrapText="1"/>
    </xf>
    <xf numFmtId="0" fontId="65" fillId="7" borderId="6" xfId="0" applyFont="1" applyFill="1" applyBorder="1" applyAlignment="1">
      <alignment horizontal="center"/>
    </xf>
    <xf numFmtId="0" fontId="65" fillId="7" borderId="0" xfId="15" applyFont="1" applyFill="1" applyAlignment="1">
      <alignment horizontal="center"/>
    </xf>
    <xf numFmtId="0" fontId="65" fillId="7" borderId="6" xfId="15" applyFont="1" applyFill="1" applyBorder="1" applyAlignment="1">
      <alignment horizontal="center"/>
    </xf>
    <xf numFmtId="0" fontId="22" fillId="7" borderId="150" xfId="0" applyFont="1" applyFill="1" applyBorder="1" applyAlignment="1">
      <alignment horizontal="left" vertical="center" indent="2"/>
    </xf>
    <xf numFmtId="0" fontId="22" fillId="7" borderId="0" xfId="0" applyFont="1" applyFill="1" applyAlignment="1">
      <alignment horizontal="left" vertical="center" indent="2"/>
    </xf>
    <xf numFmtId="0" fontId="22" fillId="7" borderId="61" xfId="0" applyFont="1" applyFill="1" applyBorder="1" applyAlignment="1">
      <alignment horizontal="left" vertical="center" indent="2"/>
    </xf>
    <xf numFmtId="0" fontId="22" fillId="7" borderId="162" xfId="0" applyFont="1" applyFill="1" applyBorder="1" applyAlignment="1">
      <alignment horizontal="left" vertical="center" indent="2"/>
    </xf>
    <xf numFmtId="0" fontId="22" fillId="7" borderId="16" xfId="0" applyFont="1" applyFill="1" applyBorder="1" applyAlignment="1">
      <alignment horizontal="left" vertical="center" indent="2"/>
    </xf>
    <xf numFmtId="0" fontId="22" fillId="7" borderId="55" xfId="0" applyFont="1" applyFill="1" applyBorder="1" applyAlignment="1">
      <alignment horizontal="left" vertical="center" indent="2"/>
    </xf>
    <xf numFmtId="0" fontId="22" fillId="7" borderId="174" xfId="0" applyFont="1" applyFill="1" applyBorder="1" applyAlignment="1">
      <alignment horizontal="left" vertical="center" indent="2"/>
    </xf>
    <xf numFmtId="0" fontId="22" fillId="7" borderId="175" xfId="0" applyFont="1" applyFill="1" applyBorder="1" applyAlignment="1">
      <alignment horizontal="left" vertical="center" indent="2"/>
    </xf>
    <xf numFmtId="0" fontId="22" fillId="7" borderId="176" xfId="0" applyFont="1" applyFill="1" applyBorder="1" applyAlignment="1">
      <alignment horizontal="left" vertical="center" indent="2"/>
    </xf>
    <xf numFmtId="0" fontId="29" fillId="7" borderId="174" xfId="0" applyFont="1" applyFill="1" applyBorder="1" applyAlignment="1">
      <alignment horizontal="center" vertical="center" wrapText="1"/>
    </xf>
    <xf numFmtId="0" fontId="29" fillId="7" borderId="175" xfId="0" applyFont="1" applyFill="1" applyBorder="1" applyAlignment="1">
      <alignment horizontal="center" vertical="center" wrapText="1"/>
    </xf>
    <xf numFmtId="0" fontId="29" fillId="7" borderId="176" xfId="0" applyFont="1" applyFill="1" applyBorder="1" applyAlignment="1">
      <alignment horizontal="center" vertical="center" wrapText="1"/>
    </xf>
    <xf numFmtId="3" fontId="29" fillId="7" borderId="318" xfId="0" applyNumberFormat="1" applyFont="1" applyFill="1" applyBorder="1" applyAlignment="1">
      <alignment horizontal="center" vertical="center" wrapText="1"/>
    </xf>
    <xf numFmtId="0" fontId="26" fillId="7" borderId="0" xfId="12" applyFont="1" applyFill="1" applyAlignment="1">
      <alignment horizontal="left" vertical="top" wrapText="1"/>
    </xf>
    <xf numFmtId="0" fontId="110" fillId="7" borderId="145" xfId="12" applyFont="1" applyFill="1" applyBorder="1" applyAlignment="1">
      <alignment horizontal="left" vertical="top" wrapText="1"/>
    </xf>
    <xf numFmtId="3" fontId="22" fillId="5" borderId="33" xfId="0" applyNumberFormat="1" applyFont="1" applyFill="1" applyBorder="1" applyAlignment="1" applyProtection="1">
      <alignment horizontal="center" vertical="center"/>
      <protection locked="0"/>
    </xf>
    <xf numFmtId="3" fontId="22" fillId="5" borderId="15" xfId="0" applyNumberFormat="1" applyFont="1" applyFill="1" applyBorder="1" applyAlignment="1" applyProtection="1">
      <alignment horizontal="center" vertical="center"/>
      <protection locked="0"/>
    </xf>
    <xf numFmtId="3" fontId="22" fillId="5" borderId="34" xfId="0" applyNumberFormat="1" applyFont="1" applyFill="1" applyBorder="1" applyAlignment="1" applyProtection="1">
      <alignment horizontal="center" vertical="center"/>
      <protection locked="0"/>
    </xf>
    <xf numFmtId="3" fontId="22" fillId="4" borderId="1" xfId="0" applyNumberFormat="1" applyFont="1" applyFill="1" applyBorder="1" applyAlignment="1">
      <alignment horizontal="center" vertical="center"/>
    </xf>
    <xf numFmtId="3" fontId="0" fillId="0" borderId="111" xfId="0" applyNumberFormat="1" applyBorder="1" applyAlignment="1" applyProtection="1">
      <alignment horizontal="center" vertical="center"/>
      <protection locked="0"/>
    </xf>
    <xf numFmtId="3" fontId="0" fillId="0" borderId="342" xfId="0" applyNumberFormat="1" applyBorder="1" applyAlignment="1" applyProtection="1">
      <alignment horizontal="center" vertical="center"/>
      <protection locked="0"/>
    </xf>
    <xf numFmtId="3" fontId="29" fillId="4" borderId="111" xfId="0" applyNumberFormat="1" applyFont="1" applyFill="1" applyBorder="1" applyAlignment="1">
      <alignment horizontal="center" vertical="center"/>
    </xf>
    <xf numFmtId="3" fontId="22" fillId="4" borderId="287" xfId="0" applyNumberFormat="1" applyFont="1" applyFill="1" applyBorder="1" applyAlignment="1">
      <alignment horizontal="center" vertical="center"/>
    </xf>
    <xf numFmtId="3" fontId="22" fillId="5" borderId="14" xfId="0" applyNumberFormat="1" applyFont="1" applyFill="1" applyBorder="1" applyAlignment="1" applyProtection="1">
      <alignment horizontal="center" vertical="center"/>
      <protection locked="0"/>
    </xf>
    <xf numFmtId="0" fontId="29" fillId="7" borderId="144" xfId="0" applyFont="1" applyFill="1" applyBorder="1" applyAlignment="1">
      <alignment horizontal="center" vertical="center"/>
    </xf>
    <xf numFmtId="0" fontId="29" fillId="7" borderId="145" xfId="0" applyFont="1" applyFill="1" applyBorder="1" applyAlignment="1">
      <alignment horizontal="center" vertical="center"/>
    </xf>
    <xf numFmtId="0" fontId="29" fillId="7" borderId="146" xfId="0" applyFont="1" applyFill="1" applyBorder="1" applyAlignment="1">
      <alignment horizontal="center" vertical="center"/>
    </xf>
    <xf numFmtId="0" fontId="29" fillId="7" borderId="150" xfId="0" applyFont="1" applyFill="1" applyBorder="1" applyAlignment="1">
      <alignment horizontal="center" vertical="center"/>
    </xf>
    <xf numFmtId="0" fontId="29" fillId="7" borderId="0" xfId="0" applyFont="1" applyFill="1" applyAlignment="1">
      <alignment horizontal="center" vertical="center"/>
    </xf>
    <xf numFmtId="0" fontId="29" fillId="7" borderId="61" xfId="0" applyFont="1" applyFill="1" applyBorder="1" applyAlignment="1">
      <alignment horizontal="center" vertical="center"/>
    </xf>
    <xf numFmtId="0" fontId="29" fillId="7" borderId="174" xfId="0" applyFont="1" applyFill="1" applyBorder="1" applyAlignment="1">
      <alignment horizontal="center" vertical="center"/>
    </xf>
    <xf numFmtId="0" fontId="26" fillId="7" borderId="0" xfId="12" applyFont="1" applyFill="1" applyAlignment="1">
      <alignment vertical="center" wrapText="1"/>
    </xf>
    <xf numFmtId="0" fontId="26" fillId="7" borderId="0" xfId="12" applyFont="1" applyFill="1" applyAlignment="1">
      <alignment horizontal="justify" vertical="top" wrapText="1"/>
    </xf>
    <xf numFmtId="3" fontId="22" fillId="5" borderId="32" xfId="0" applyNumberFormat="1" applyFont="1" applyFill="1" applyBorder="1" applyAlignment="1" applyProtection="1">
      <alignment horizontal="center" vertical="center"/>
      <protection locked="0"/>
    </xf>
    <xf numFmtId="3" fontId="22" fillId="5" borderId="0" xfId="0" applyNumberFormat="1" applyFont="1" applyFill="1" applyAlignment="1" applyProtection="1">
      <alignment horizontal="center" vertical="center"/>
      <protection locked="0"/>
    </xf>
    <xf numFmtId="3" fontId="22" fillId="5" borderId="72" xfId="0" applyNumberFormat="1" applyFont="1" applyFill="1" applyBorder="1" applyAlignment="1" applyProtection="1">
      <alignment horizontal="center" vertical="center"/>
      <protection locked="0"/>
    </xf>
    <xf numFmtId="3" fontId="22" fillId="5" borderId="71" xfId="0" applyNumberFormat="1" applyFont="1" applyFill="1" applyBorder="1" applyAlignment="1" applyProtection="1">
      <alignment horizontal="center" vertical="center"/>
      <protection locked="0"/>
    </xf>
    <xf numFmtId="3" fontId="22" fillId="5" borderId="73" xfId="0" applyNumberFormat="1" applyFont="1" applyFill="1" applyBorder="1" applyAlignment="1" applyProtection="1">
      <alignment horizontal="center" vertical="center"/>
      <protection locked="0"/>
    </xf>
    <xf numFmtId="3" fontId="29" fillId="7" borderId="228" xfId="0" applyNumberFormat="1" applyFont="1" applyFill="1" applyBorder="1" applyAlignment="1">
      <alignment horizontal="center" vertical="center"/>
    </xf>
    <xf numFmtId="3" fontId="29" fillId="7" borderId="205" xfId="0" applyNumberFormat="1" applyFont="1" applyFill="1" applyBorder="1" applyAlignment="1">
      <alignment horizontal="center" vertical="center"/>
    </xf>
    <xf numFmtId="3" fontId="29" fillId="7" borderId="224" xfId="0" applyNumberFormat="1" applyFont="1" applyFill="1" applyBorder="1" applyAlignment="1">
      <alignment horizontal="center" vertical="center"/>
    </xf>
    <xf numFmtId="3" fontId="22" fillId="5" borderId="205" xfId="0" applyNumberFormat="1" applyFont="1" applyFill="1" applyBorder="1" applyAlignment="1" applyProtection="1">
      <alignment horizontal="center" vertical="center"/>
      <protection locked="0"/>
    </xf>
    <xf numFmtId="3" fontId="22" fillId="5" borderId="226" xfId="0" applyNumberFormat="1" applyFont="1" applyFill="1" applyBorder="1" applyAlignment="1" applyProtection="1">
      <alignment horizontal="center" vertical="center"/>
      <protection locked="0"/>
    </xf>
    <xf numFmtId="3" fontId="22" fillId="5" borderId="227" xfId="0" applyNumberFormat="1" applyFont="1" applyFill="1" applyBorder="1" applyAlignment="1" applyProtection="1">
      <alignment horizontal="center" vertical="center"/>
      <protection locked="0"/>
    </xf>
    <xf numFmtId="3" fontId="22" fillId="5" borderId="225" xfId="0" applyNumberFormat="1" applyFont="1" applyFill="1" applyBorder="1" applyAlignment="1" applyProtection="1">
      <alignment horizontal="center" vertical="center"/>
      <protection locked="0"/>
    </xf>
    <xf numFmtId="3" fontId="26" fillId="7" borderId="205" xfId="0" applyNumberFormat="1" applyFont="1" applyFill="1" applyBorder="1" applyAlignment="1">
      <alignment horizontal="center" vertical="center"/>
    </xf>
    <xf numFmtId="3" fontId="26" fillId="7" borderId="224" xfId="0" applyNumberFormat="1" applyFont="1" applyFill="1" applyBorder="1" applyAlignment="1">
      <alignment horizontal="center" vertical="center"/>
    </xf>
    <xf numFmtId="3" fontId="29" fillId="7" borderId="167" xfId="0" applyNumberFormat="1" applyFont="1" applyFill="1" applyBorder="1" applyAlignment="1">
      <alignment horizontal="center" vertical="center"/>
    </xf>
    <xf numFmtId="3" fontId="29" fillId="7" borderId="165" xfId="0" applyNumberFormat="1" applyFont="1" applyFill="1" applyBorder="1" applyAlignment="1">
      <alignment horizontal="center" vertical="center"/>
    </xf>
    <xf numFmtId="3" fontId="29" fillId="7" borderId="170" xfId="0" applyNumberFormat="1" applyFont="1" applyFill="1" applyBorder="1" applyAlignment="1">
      <alignment horizontal="center" vertical="center"/>
    </xf>
    <xf numFmtId="3" fontId="29" fillId="7" borderId="103" xfId="0" applyNumberFormat="1" applyFont="1" applyFill="1" applyBorder="1" applyAlignment="1">
      <alignment horizontal="center" vertical="center"/>
    </xf>
    <xf numFmtId="3" fontId="29" fillId="7" borderId="39" xfId="0" applyNumberFormat="1" applyFont="1" applyFill="1" applyBorder="1" applyAlignment="1">
      <alignment horizontal="center" vertical="center"/>
    </xf>
    <xf numFmtId="3" fontId="29" fillId="7" borderId="43" xfId="0" applyNumberFormat="1" applyFont="1" applyFill="1" applyBorder="1" applyAlignment="1">
      <alignment horizontal="center" vertical="center"/>
    </xf>
    <xf numFmtId="3" fontId="22" fillId="5" borderId="39" xfId="0" applyNumberFormat="1" applyFont="1" applyFill="1" applyBorder="1" applyAlignment="1" applyProtection="1">
      <alignment horizontal="center" vertical="center"/>
      <protection locked="0"/>
    </xf>
    <xf numFmtId="3" fontId="22" fillId="5" borderId="41" xfId="0" applyNumberFormat="1" applyFont="1" applyFill="1" applyBorder="1" applyAlignment="1" applyProtection="1">
      <alignment horizontal="center" vertical="center"/>
      <protection locked="0"/>
    </xf>
    <xf numFmtId="3" fontId="22" fillId="5" borderId="40" xfId="0" applyNumberFormat="1" applyFont="1" applyFill="1" applyBorder="1" applyAlignment="1" applyProtection="1">
      <alignment horizontal="center" vertical="center"/>
      <protection locked="0"/>
    </xf>
    <xf numFmtId="3" fontId="22" fillId="5" borderId="42" xfId="0" applyNumberFormat="1" applyFont="1" applyFill="1" applyBorder="1" applyAlignment="1" applyProtection="1">
      <alignment horizontal="center" vertical="center"/>
      <protection locked="0"/>
    </xf>
    <xf numFmtId="0" fontId="29" fillId="7" borderId="84" xfId="0" applyFont="1" applyFill="1" applyBorder="1" applyAlignment="1">
      <alignment horizontal="center" vertical="center"/>
    </xf>
    <xf numFmtId="0" fontId="29" fillId="7" borderId="185" xfId="0" applyFont="1" applyFill="1" applyBorder="1" applyAlignment="1">
      <alignment horizontal="center" vertical="center"/>
    </xf>
    <xf numFmtId="3" fontId="29" fillId="7" borderId="171" xfId="0" applyNumberFormat="1" applyFont="1" applyFill="1" applyBorder="1" applyAlignment="1">
      <alignment horizontal="center" vertical="center"/>
    </xf>
    <xf numFmtId="3" fontId="29" fillId="7" borderId="166" xfId="0" applyNumberFormat="1" applyFont="1" applyFill="1" applyBorder="1" applyAlignment="1">
      <alignment horizontal="center" vertical="center"/>
    </xf>
    <xf numFmtId="3" fontId="29" fillId="7" borderId="169" xfId="0" applyNumberFormat="1" applyFont="1" applyFill="1" applyBorder="1" applyAlignment="1">
      <alignment horizontal="center" vertical="center"/>
    </xf>
    <xf numFmtId="3" fontId="29" fillId="7" borderId="165" xfId="0" applyNumberFormat="1" applyFont="1" applyFill="1" applyBorder="1" applyAlignment="1">
      <alignment horizontal="center" vertical="center" wrapText="1"/>
    </xf>
    <xf numFmtId="3" fontId="29" fillId="7" borderId="166" xfId="0" applyNumberFormat="1" applyFont="1" applyFill="1" applyBorder="1" applyAlignment="1">
      <alignment horizontal="center" vertical="center" wrapText="1"/>
    </xf>
    <xf numFmtId="0" fontId="29" fillId="7" borderId="155" xfId="0" applyFont="1" applyFill="1" applyBorder="1" applyAlignment="1">
      <alignment horizontal="center" vertical="center"/>
    </xf>
    <xf numFmtId="0" fontId="29" fillId="7" borderId="9" xfId="0" applyFont="1" applyFill="1" applyBorder="1" applyAlignment="1">
      <alignment horizontal="center" vertical="center"/>
    </xf>
    <xf numFmtId="0" fontId="29" fillId="7" borderId="10" xfId="0" applyFont="1" applyFill="1" applyBorder="1" applyAlignment="1">
      <alignment horizontal="center" vertical="center"/>
    </xf>
    <xf numFmtId="0" fontId="29" fillId="7" borderId="26" xfId="0" applyFont="1" applyFill="1" applyBorder="1" applyAlignment="1">
      <alignment horizontal="center" vertical="center"/>
    </xf>
    <xf numFmtId="0" fontId="29" fillId="7" borderId="24" xfId="0" applyFont="1" applyFill="1" applyBorder="1" applyAlignment="1">
      <alignment horizontal="center" vertical="center"/>
    </xf>
    <xf numFmtId="0" fontId="29" fillId="7" borderId="71" xfId="0" applyFont="1" applyFill="1" applyBorder="1" applyAlignment="1">
      <alignment horizontal="center" vertical="center"/>
    </xf>
    <xf numFmtId="0" fontId="29" fillId="7" borderId="72" xfId="0" applyFont="1" applyFill="1" applyBorder="1" applyAlignment="1">
      <alignment horizontal="center" vertical="center"/>
    </xf>
    <xf numFmtId="0" fontId="29" fillId="7" borderId="152" xfId="0" applyFont="1" applyFill="1" applyBorder="1" applyAlignment="1">
      <alignment horizontal="center" vertical="center"/>
    </xf>
    <xf numFmtId="0" fontId="29" fillId="7" borderId="22" xfId="0" applyFont="1" applyFill="1" applyBorder="1" applyAlignment="1">
      <alignment horizontal="center" vertical="center"/>
    </xf>
    <xf numFmtId="3" fontId="65" fillId="5" borderId="204" xfId="0" applyNumberFormat="1" applyFont="1" applyFill="1" applyBorder="1" applyAlignment="1" applyProtection="1">
      <alignment horizontal="center" vertical="center"/>
      <protection locked="0"/>
    </xf>
    <xf numFmtId="3" fontId="65" fillId="5" borderId="205" xfId="0" applyNumberFormat="1" applyFont="1" applyFill="1" applyBorder="1" applyAlignment="1" applyProtection="1">
      <alignment horizontal="center" vertical="center"/>
      <protection locked="0"/>
    </xf>
    <xf numFmtId="3" fontId="65" fillId="5" borderId="226" xfId="0" applyNumberFormat="1" applyFont="1" applyFill="1" applyBorder="1" applyAlignment="1" applyProtection="1">
      <alignment horizontal="center" vertical="center"/>
      <protection locked="0"/>
    </xf>
    <xf numFmtId="3" fontId="65" fillId="5" borderId="227" xfId="0" applyNumberFormat="1" applyFont="1" applyFill="1" applyBorder="1" applyAlignment="1" applyProtection="1">
      <alignment horizontal="center" vertical="center"/>
      <protection locked="0"/>
    </xf>
    <xf numFmtId="3" fontId="65" fillId="5" borderId="225" xfId="0" applyNumberFormat="1" applyFont="1" applyFill="1" applyBorder="1" applyAlignment="1" applyProtection="1">
      <alignment horizontal="center" vertical="center"/>
      <protection locked="0"/>
    </xf>
    <xf numFmtId="3" fontId="43" fillId="7" borderId="205" xfId="0" applyNumberFormat="1" applyFont="1" applyFill="1" applyBorder="1" applyAlignment="1">
      <alignment horizontal="center" vertical="center"/>
    </xf>
    <xf numFmtId="3" fontId="43" fillId="7" borderId="206" xfId="0" applyNumberFormat="1" applyFont="1" applyFill="1" applyBorder="1" applyAlignment="1">
      <alignment horizontal="center" vertical="center"/>
    </xf>
    <xf numFmtId="3" fontId="43" fillId="7" borderId="224" xfId="0" applyNumberFormat="1" applyFont="1" applyFill="1" applyBorder="1" applyAlignment="1">
      <alignment horizontal="center" vertical="center"/>
    </xf>
    <xf numFmtId="0" fontId="43" fillId="7" borderId="146" xfId="0" applyFont="1" applyFill="1" applyBorder="1" applyAlignment="1">
      <alignment horizontal="center" vertical="center"/>
    </xf>
    <xf numFmtId="0" fontId="43" fillId="7" borderId="176" xfId="0" applyFont="1" applyFill="1" applyBorder="1" applyAlignment="1">
      <alignment horizontal="center" vertical="center"/>
    </xf>
    <xf numFmtId="0" fontId="43" fillId="7" borderId="177" xfId="0" applyFont="1" applyFill="1" applyBorder="1" applyAlignment="1">
      <alignment horizontal="center" vertical="center"/>
    </xf>
    <xf numFmtId="0" fontId="43" fillId="7" borderId="180" xfId="0" applyFont="1" applyFill="1" applyBorder="1" applyAlignment="1">
      <alignment horizontal="center" vertical="center"/>
    </xf>
    <xf numFmtId="0" fontId="43" fillId="7" borderId="178" xfId="0" applyFont="1" applyFill="1" applyBorder="1" applyAlignment="1">
      <alignment horizontal="center" vertical="center"/>
    </xf>
    <xf numFmtId="0" fontId="43" fillId="7" borderId="179" xfId="0" applyFont="1" applyFill="1" applyBorder="1" applyAlignment="1">
      <alignment horizontal="center" vertical="center"/>
    </xf>
    <xf numFmtId="0" fontId="43" fillId="7" borderId="182" xfId="0" applyFont="1" applyFill="1" applyBorder="1" applyAlignment="1">
      <alignment horizontal="center" vertical="center"/>
    </xf>
    <xf numFmtId="3" fontId="65" fillId="5" borderId="17" xfId="0" applyNumberFormat="1" applyFont="1" applyFill="1" applyBorder="1" applyAlignment="1" applyProtection="1">
      <alignment horizontal="center" vertical="center"/>
      <protection locked="0"/>
    </xf>
    <xf numFmtId="3" fontId="65" fillId="5" borderId="16" xfId="0" applyNumberFormat="1" applyFont="1" applyFill="1" applyBorder="1" applyAlignment="1" applyProtection="1">
      <alignment horizontal="center" vertical="center"/>
      <protection locked="0"/>
    </xf>
    <xf numFmtId="3" fontId="65" fillId="5" borderId="66" xfId="0" applyNumberFormat="1" applyFont="1" applyFill="1" applyBorder="1" applyAlignment="1" applyProtection="1">
      <alignment horizontal="center" vertical="center"/>
      <protection locked="0"/>
    </xf>
    <xf numFmtId="3" fontId="65" fillId="5" borderId="63" xfId="0" applyNumberFormat="1" applyFont="1" applyFill="1" applyBorder="1" applyAlignment="1" applyProtection="1">
      <alignment horizontal="center" vertical="center"/>
      <protection locked="0"/>
    </xf>
    <xf numFmtId="3" fontId="65" fillId="5" borderId="64" xfId="0" applyNumberFormat="1" applyFont="1" applyFill="1" applyBorder="1" applyAlignment="1" applyProtection="1">
      <alignment horizontal="center" vertical="center"/>
      <protection locked="0"/>
    </xf>
    <xf numFmtId="3" fontId="43" fillId="7" borderId="16" xfId="0" applyNumberFormat="1" applyFont="1" applyFill="1" applyBorder="1" applyAlignment="1">
      <alignment horizontal="center" vertical="center"/>
    </xf>
    <xf numFmtId="3" fontId="43" fillId="7" borderId="163" xfId="0" applyNumberFormat="1" applyFont="1" applyFill="1" applyBorder="1" applyAlignment="1">
      <alignment horizontal="center" vertical="center"/>
    </xf>
    <xf numFmtId="3" fontId="43" fillId="7" borderId="55" xfId="0" applyNumberFormat="1" applyFont="1" applyFill="1" applyBorder="1" applyAlignment="1">
      <alignment horizontal="center" vertical="center"/>
    </xf>
    <xf numFmtId="3" fontId="65" fillId="5" borderId="38" xfId="0" applyNumberFormat="1" applyFont="1" applyFill="1" applyBorder="1" applyAlignment="1" applyProtection="1">
      <alignment horizontal="center" vertical="center"/>
      <protection locked="0"/>
    </xf>
    <xf numFmtId="3" fontId="65" fillId="5" borderId="39" xfId="0" applyNumberFormat="1" applyFont="1" applyFill="1" applyBorder="1" applyAlignment="1" applyProtection="1">
      <alignment horizontal="center" vertical="center"/>
      <protection locked="0"/>
    </xf>
    <xf numFmtId="3" fontId="65" fillId="5" borderId="41" xfId="0" applyNumberFormat="1" applyFont="1" applyFill="1" applyBorder="1" applyAlignment="1" applyProtection="1">
      <alignment horizontal="center" vertical="center"/>
      <protection locked="0"/>
    </xf>
    <xf numFmtId="3" fontId="65" fillId="5" borderId="40" xfId="0" applyNumberFormat="1" applyFont="1" applyFill="1" applyBorder="1" applyAlignment="1" applyProtection="1">
      <alignment horizontal="center" vertical="center"/>
      <protection locked="0"/>
    </xf>
    <xf numFmtId="3" fontId="65" fillId="5" borderId="42" xfId="0" applyNumberFormat="1" applyFont="1" applyFill="1" applyBorder="1" applyAlignment="1" applyProtection="1">
      <alignment horizontal="center" vertical="center"/>
      <protection locked="0"/>
    </xf>
    <xf numFmtId="3" fontId="43" fillId="7" borderId="39" xfId="0" applyNumberFormat="1" applyFont="1" applyFill="1" applyBorder="1" applyAlignment="1">
      <alignment horizontal="center" vertical="center"/>
    </xf>
    <xf numFmtId="3" fontId="43" fillId="7" borderId="189" xfId="0" applyNumberFormat="1" applyFont="1" applyFill="1" applyBorder="1" applyAlignment="1">
      <alignment horizontal="center" vertical="center"/>
    </xf>
    <xf numFmtId="3" fontId="43" fillId="7" borderId="43" xfId="0" applyNumberFormat="1" applyFont="1" applyFill="1" applyBorder="1" applyAlignment="1">
      <alignment horizontal="center" vertical="center"/>
    </xf>
    <xf numFmtId="3" fontId="43" fillId="7" borderId="175" xfId="0" applyNumberFormat="1" applyFont="1" applyFill="1" applyBorder="1" applyAlignment="1">
      <alignment horizontal="center" vertical="center"/>
    </xf>
    <xf numFmtId="3" fontId="43" fillId="7" borderId="171" xfId="0" applyNumberFormat="1" applyFont="1" applyFill="1" applyBorder="1" applyAlignment="1">
      <alignment horizontal="center" vertical="center"/>
    </xf>
    <xf numFmtId="3" fontId="43" fillId="7" borderId="165" xfId="0" applyNumberFormat="1" applyFont="1" applyFill="1" applyBorder="1" applyAlignment="1">
      <alignment horizontal="center" vertical="center"/>
    </xf>
    <xf numFmtId="3" fontId="43" fillId="7" borderId="166" xfId="0" applyNumberFormat="1" applyFont="1" applyFill="1" applyBorder="1" applyAlignment="1">
      <alignment horizontal="center" vertical="center"/>
    </xf>
    <xf numFmtId="0" fontId="43" fillId="7" borderId="214" xfId="0" applyFont="1" applyFill="1" applyBorder="1" applyAlignment="1">
      <alignment horizontal="center" vertical="center" wrapText="1"/>
    </xf>
    <xf numFmtId="0" fontId="43" fillId="7" borderId="82" xfId="0" applyFont="1" applyFill="1" applyBorder="1" applyAlignment="1">
      <alignment horizontal="center" vertical="center" wrapText="1"/>
    </xf>
    <xf numFmtId="0" fontId="43" fillId="7" borderId="84" xfId="0" applyFont="1" applyFill="1" applyBorder="1" applyAlignment="1">
      <alignment horizontal="center" vertical="center" wrapText="1"/>
    </xf>
    <xf numFmtId="3" fontId="43" fillId="7" borderId="167" xfId="0" applyNumberFormat="1" applyFont="1" applyFill="1" applyBorder="1" applyAlignment="1">
      <alignment horizontal="center" vertical="center"/>
    </xf>
    <xf numFmtId="3" fontId="43" fillId="7" borderId="170" xfId="0" applyNumberFormat="1" applyFont="1" applyFill="1" applyBorder="1" applyAlignment="1">
      <alignment horizontal="center" vertical="center"/>
    </xf>
    <xf numFmtId="3" fontId="43" fillId="7" borderId="172" xfId="0" applyNumberFormat="1" applyFont="1" applyFill="1" applyBorder="1" applyAlignment="1">
      <alignment horizontal="center" vertical="center"/>
    </xf>
    <xf numFmtId="0" fontId="65" fillId="7" borderId="162" xfId="0" applyFont="1" applyFill="1" applyBorder="1" applyAlignment="1">
      <alignment horizontal="left" vertical="center" wrapText="1"/>
    </xf>
    <xf numFmtId="0" fontId="65" fillId="7" borderId="55" xfId="0" applyFont="1" applyFill="1" applyBorder="1" applyAlignment="1">
      <alignment horizontal="left" vertical="center" wrapText="1"/>
    </xf>
    <xf numFmtId="3" fontId="65" fillId="5" borderId="55" xfId="0" applyNumberFormat="1" applyFont="1" applyFill="1" applyBorder="1" applyAlignment="1" applyProtection="1">
      <alignment horizontal="center" vertical="center"/>
      <protection locked="0"/>
    </xf>
    <xf numFmtId="0" fontId="35" fillId="7" borderId="177" xfId="0" applyFont="1" applyFill="1" applyBorder="1" applyAlignment="1">
      <alignment horizontal="center" vertical="center" wrapText="1"/>
    </xf>
    <xf numFmtId="0" fontId="35" fillId="7" borderId="175" xfId="0" applyFont="1" applyFill="1" applyBorder="1" applyAlignment="1">
      <alignment horizontal="center" vertical="center" wrapText="1"/>
    </xf>
    <xf numFmtId="0" fontId="35" fillId="7" borderId="180" xfId="0" applyFont="1" applyFill="1" applyBorder="1" applyAlignment="1">
      <alignment horizontal="center" vertical="center" wrapText="1"/>
    </xf>
    <xf numFmtId="0" fontId="35" fillId="7" borderId="178" xfId="0" applyFont="1" applyFill="1" applyBorder="1" applyAlignment="1">
      <alignment horizontal="center" vertical="center" wrapText="1"/>
    </xf>
    <xf numFmtId="0" fontId="35" fillId="7" borderId="176" xfId="0" applyFont="1" applyFill="1" applyBorder="1" applyAlignment="1">
      <alignment horizontal="center" vertical="center" wrapText="1"/>
    </xf>
    <xf numFmtId="0" fontId="65" fillId="7" borderId="150" xfId="0" applyFont="1" applyFill="1" applyBorder="1" applyAlignment="1">
      <alignment horizontal="left" vertical="center" wrapText="1"/>
    </xf>
    <xf numFmtId="0" fontId="65" fillId="7" borderId="0" xfId="0" applyFont="1" applyFill="1" applyAlignment="1">
      <alignment horizontal="left" vertical="center" wrapText="1"/>
    </xf>
    <xf numFmtId="0" fontId="65" fillId="7" borderId="61" xfId="0" applyFont="1" applyFill="1" applyBorder="1" applyAlignment="1">
      <alignment horizontal="left" vertical="center" wrapText="1"/>
    </xf>
    <xf numFmtId="3" fontId="65" fillId="5" borderId="194" xfId="0" applyNumberFormat="1" applyFont="1" applyFill="1" applyBorder="1" applyAlignment="1" applyProtection="1">
      <alignment horizontal="center" vertical="center"/>
      <protection locked="0"/>
    </xf>
    <xf numFmtId="3" fontId="65" fillId="5" borderId="145" xfId="0" applyNumberFormat="1" applyFont="1" applyFill="1" applyBorder="1" applyAlignment="1" applyProtection="1">
      <alignment horizontal="center" vertical="center"/>
      <protection locked="0"/>
    </xf>
    <xf numFmtId="3" fontId="65" fillId="5" borderId="264" xfId="0" applyNumberFormat="1" applyFont="1" applyFill="1" applyBorder="1" applyAlignment="1" applyProtection="1">
      <alignment horizontal="center" vertical="center"/>
      <protection locked="0"/>
    </xf>
    <xf numFmtId="3" fontId="65" fillId="5" borderId="195" xfId="0" applyNumberFormat="1" applyFont="1" applyFill="1" applyBorder="1" applyAlignment="1" applyProtection="1">
      <alignment horizontal="center" vertical="center"/>
      <protection locked="0"/>
    </xf>
    <xf numFmtId="3" fontId="65" fillId="5" borderId="146" xfId="0" applyNumberFormat="1" applyFont="1" applyFill="1" applyBorder="1" applyAlignment="1" applyProtection="1">
      <alignment horizontal="center" vertical="center"/>
      <protection locked="0"/>
    </xf>
    <xf numFmtId="3" fontId="65" fillId="5" borderId="163" xfId="0" applyNumberFormat="1" applyFont="1" applyFill="1" applyBorder="1" applyAlignment="1" applyProtection="1">
      <alignment horizontal="center" vertical="center"/>
      <protection locked="0"/>
    </xf>
    <xf numFmtId="3" fontId="65" fillId="5" borderId="198" xfId="0" applyNumberFormat="1" applyFont="1" applyFill="1" applyBorder="1" applyAlignment="1" applyProtection="1">
      <alignment horizontal="center" vertical="center"/>
      <protection locked="0"/>
    </xf>
    <xf numFmtId="3" fontId="65" fillId="5" borderId="32" xfId="0" applyNumberFormat="1" applyFont="1" applyFill="1" applyBorder="1" applyAlignment="1" applyProtection="1">
      <alignment horizontal="center" vertical="center"/>
      <protection locked="0"/>
    </xf>
    <xf numFmtId="3" fontId="65" fillId="5" borderId="0" xfId="0" applyNumberFormat="1" applyFont="1" applyFill="1" applyAlignment="1" applyProtection="1">
      <alignment horizontal="center" vertical="center"/>
      <protection locked="0"/>
    </xf>
    <xf numFmtId="3" fontId="65" fillId="5" borderId="72" xfId="0" applyNumberFormat="1" applyFont="1" applyFill="1" applyBorder="1" applyAlignment="1" applyProtection="1">
      <alignment horizontal="center" vertical="center"/>
      <protection locked="0"/>
    </xf>
    <xf numFmtId="3" fontId="65" fillId="5" borderId="71" xfId="0" applyNumberFormat="1" applyFont="1" applyFill="1" applyBorder="1" applyAlignment="1" applyProtection="1">
      <alignment horizontal="center" vertical="center"/>
      <protection locked="0"/>
    </xf>
    <xf numFmtId="3" fontId="65" fillId="5" borderId="61" xfId="0" applyNumberFormat="1" applyFont="1" applyFill="1" applyBorder="1" applyAlignment="1" applyProtection="1">
      <alignment horizontal="center" vertical="center"/>
      <protection locked="0"/>
    </xf>
    <xf numFmtId="3" fontId="65" fillId="5" borderId="152" xfId="0" applyNumberFormat="1" applyFont="1" applyFill="1" applyBorder="1" applyAlignment="1" applyProtection="1">
      <alignment horizontal="center" vertical="center"/>
      <protection locked="0"/>
    </xf>
    <xf numFmtId="0" fontId="65" fillId="7" borderId="174" xfId="0" applyFont="1" applyFill="1" applyBorder="1" applyAlignment="1">
      <alignment horizontal="left" vertical="center" wrapText="1"/>
    </xf>
    <xf numFmtId="0" fontId="65" fillId="7" borderId="175" xfId="0" applyFont="1" applyFill="1" applyBorder="1" applyAlignment="1">
      <alignment horizontal="left" vertical="center" wrapText="1"/>
    </xf>
    <xf numFmtId="0" fontId="65" fillId="7" borderId="176" xfId="0" applyFont="1" applyFill="1" applyBorder="1" applyAlignment="1">
      <alignment horizontal="left" vertical="center" wrapText="1"/>
    </xf>
    <xf numFmtId="3" fontId="65" fillId="5" borderId="7" xfId="0" applyNumberFormat="1" applyFont="1" applyFill="1" applyBorder="1" applyAlignment="1" applyProtection="1">
      <alignment horizontal="center" vertical="center"/>
      <protection locked="0"/>
    </xf>
    <xf numFmtId="3" fontId="65" fillId="5" borderId="12" xfId="0" applyNumberFormat="1" applyFont="1" applyFill="1" applyBorder="1" applyAlignment="1" applyProtection="1">
      <alignment horizontal="center" vertical="center"/>
      <protection locked="0"/>
    </xf>
    <xf numFmtId="3" fontId="65" fillId="5" borderId="8" xfId="0" applyNumberFormat="1" applyFont="1" applyFill="1" applyBorder="1" applyAlignment="1" applyProtection="1">
      <alignment horizontal="center" vertical="center"/>
      <protection locked="0"/>
    </xf>
    <xf numFmtId="3" fontId="65" fillId="5" borderId="25" xfId="0" applyNumberFormat="1" applyFont="1" applyFill="1" applyBorder="1" applyAlignment="1" applyProtection="1">
      <alignment horizontal="center" vertical="center"/>
      <protection locked="0"/>
    </xf>
    <xf numFmtId="3" fontId="65" fillId="5" borderId="13" xfId="0" applyNumberFormat="1" applyFont="1" applyFill="1" applyBorder="1" applyAlignment="1" applyProtection="1">
      <alignment horizontal="center" vertical="center"/>
      <protection locked="0"/>
    </xf>
    <xf numFmtId="3" fontId="65" fillId="5" borderId="335" xfId="0" applyNumberFormat="1" applyFont="1" applyFill="1" applyBorder="1" applyAlignment="1" applyProtection="1">
      <alignment horizontal="center" vertical="center"/>
      <protection locked="0"/>
    </xf>
    <xf numFmtId="0" fontId="43" fillId="7" borderId="48" xfId="0" applyFont="1" applyFill="1" applyBorder="1" applyAlignment="1">
      <alignment horizontal="center" vertical="center" wrapText="1"/>
    </xf>
    <xf numFmtId="0" fontId="43" fillId="7" borderId="32" xfId="0" applyFont="1" applyFill="1" applyBorder="1" applyAlignment="1">
      <alignment horizontal="center" vertical="center" wrapText="1"/>
    </xf>
    <xf numFmtId="0" fontId="43" fillId="7" borderId="22" xfId="0" applyFont="1" applyFill="1" applyBorder="1" applyAlignment="1">
      <alignment horizontal="center" vertical="center" wrapText="1"/>
    </xf>
    <xf numFmtId="0" fontId="43" fillId="7" borderId="17" xfId="0" applyFont="1" applyFill="1" applyBorder="1" applyAlignment="1">
      <alignment horizontal="center" vertical="center" wrapText="1"/>
    </xf>
    <xf numFmtId="0" fontId="43" fillId="7" borderId="16" xfId="0" applyFont="1" applyFill="1" applyBorder="1" applyAlignment="1">
      <alignment horizontal="center" vertical="center" wrapText="1"/>
    </xf>
    <xf numFmtId="0" fontId="43" fillId="7" borderId="55" xfId="0" applyFont="1" applyFill="1" applyBorder="1" applyAlignment="1">
      <alignment horizontal="center" vertical="center" wrapText="1"/>
    </xf>
    <xf numFmtId="0" fontId="74" fillId="7" borderId="18" xfId="0" applyFont="1" applyFill="1" applyBorder="1" applyAlignment="1">
      <alignment horizontal="center" vertical="center" wrapText="1"/>
    </xf>
    <xf numFmtId="0" fontId="74" fillId="7" borderId="5" xfId="0" applyFont="1" applyFill="1" applyBorder="1" applyAlignment="1">
      <alignment horizontal="center" vertical="center" wrapText="1"/>
    </xf>
    <xf numFmtId="0" fontId="74" fillId="7" borderId="65" xfId="0" applyFont="1" applyFill="1" applyBorder="1" applyAlignment="1">
      <alignment horizontal="center" vertical="center" wrapText="1"/>
    </xf>
    <xf numFmtId="0" fontId="74" fillId="7" borderId="32" xfId="0" applyFont="1" applyFill="1" applyBorder="1" applyAlignment="1">
      <alignment horizontal="center" vertical="center" wrapText="1"/>
    </xf>
    <xf numFmtId="0" fontId="74" fillId="7" borderId="0" xfId="0" applyFont="1" applyFill="1" applyAlignment="1">
      <alignment horizontal="center" vertical="center" wrapText="1"/>
    </xf>
    <xf numFmtId="0" fontId="74" fillId="7" borderId="61" xfId="0" applyFont="1" applyFill="1" applyBorder="1" applyAlignment="1">
      <alignment horizontal="center" vertical="center" wrapText="1"/>
    </xf>
    <xf numFmtId="0" fontId="74" fillId="7" borderId="22" xfId="0" applyFont="1" applyFill="1" applyBorder="1" applyAlignment="1">
      <alignment horizontal="center" vertical="center" wrapText="1"/>
    </xf>
    <xf numFmtId="0" fontId="74" fillId="7" borderId="9" xfId="0" applyFont="1" applyFill="1" applyBorder="1" applyAlignment="1">
      <alignment horizontal="center" vertical="center" wrapText="1"/>
    </xf>
    <xf numFmtId="0" fontId="74" fillId="7" borderId="10" xfId="0" applyFont="1" applyFill="1" applyBorder="1" applyAlignment="1">
      <alignment horizontal="center" vertical="center" wrapText="1"/>
    </xf>
    <xf numFmtId="0" fontId="74" fillId="7" borderId="69" xfId="0" applyFont="1" applyFill="1" applyBorder="1" applyAlignment="1">
      <alignment horizontal="center" vertical="center" wrapText="1"/>
    </xf>
    <xf numFmtId="0" fontId="74" fillId="7" borderId="24" xfId="0" applyFont="1" applyFill="1" applyBorder="1" applyAlignment="1">
      <alignment horizontal="center" vertical="center" wrapText="1"/>
    </xf>
    <xf numFmtId="0" fontId="74" fillId="7" borderId="68" xfId="0" applyFont="1" applyFill="1" applyBorder="1" applyAlignment="1">
      <alignment horizontal="center" vertical="center" wrapText="1"/>
    </xf>
    <xf numFmtId="0" fontId="74" fillId="7" borderId="26" xfId="0" applyFont="1" applyFill="1" applyBorder="1" applyAlignment="1">
      <alignment horizontal="center" vertical="center" wrapText="1"/>
    </xf>
    <xf numFmtId="0" fontId="26" fillId="7" borderId="0" xfId="0" applyFont="1" applyFill="1" applyAlignment="1">
      <alignment horizontal="left" vertical="top" wrapText="1"/>
    </xf>
    <xf numFmtId="3" fontId="65" fillId="5" borderId="14" xfId="0" applyNumberFormat="1" applyFont="1" applyFill="1" applyBorder="1" applyAlignment="1" applyProtection="1">
      <alignment horizontal="center" vertical="center"/>
      <protection locked="0"/>
    </xf>
    <xf numFmtId="3" fontId="65" fillId="5" borderId="15" xfId="0" applyNumberFormat="1" applyFont="1" applyFill="1" applyBorder="1" applyAlignment="1" applyProtection="1">
      <alignment horizontal="center" vertical="center"/>
      <protection locked="0"/>
    </xf>
    <xf numFmtId="3" fontId="65" fillId="5" borderId="34" xfId="0" applyNumberFormat="1" applyFont="1" applyFill="1" applyBorder="1" applyAlignment="1" applyProtection="1">
      <alignment horizontal="center" vertical="center"/>
      <protection locked="0"/>
    </xf>
    <xf numFmtId="3" fontId="65" fillId="5" borderId="33" xfId="0" applyNumberFormat="1" applyFont="1" applyFill="1" applyBorder="1" applyAlignment="1" applyProtection="1">
      <alignment horizontal="center" vertical="center"/>
      <protection locked="0"/>
    </xf>
    <xf numFmtId="3" fontId="65" fillId="5" borderId="37" xfId="0" applyNumberFormat="1" applyFont="1" applyFill="1" applyBorder="1" applyAlignment="1" applyProtection="1">
      <alignment horizontal="center" vertical="center"/>
      <protection locked="0"/>
    </xf>
    <xf numFmtId="3" fontId="65" fillId="5" borderId="43" xfId="0" applyNumberFormat="1" applyFont="1" applyFill="1" applyBorder="1" applyAlignment="1" applyProtection="1">
      <alignment horizontal="center" vertical="center"/>
      <protection locked="0"/>
    </xf>
    <xf numFmtId="0" fontId="43" fillId="7" borderId="44" xfId="0" applyFont="1" applyFill="1" applyBorder="1" applyAlignment="1">
      <alignment horizontal="center" vertical="center"/>
    </xf>
    <xf numFmtId="0" fontId="43" fillId="7" borderId="45" xfId="0" applyFont="1" applyFill="1" applyBorder="1" applyAlignment="1">
      <alignment horizontal="center" vertical="center"/>
    </xf>
    <xf numFmtId="0" fontId="43" fillId="7" borderId="47" xfId="0" applyFont="1" applyFill="1" applyBorder="1" applyAlignment="1">
      <alignment horizontal="center" vertical="center"/>
    </xf>
    <xf numFmtId="3" fontId="43" fillId="7" borderId="44" xfId="0" applyNumberFormat="1" applyFont="1" applyFill="1" applyBorder="1" applyAlignment="1">
      <alignment horizontal="center" vertical="center"/>
    </xf>
    <xf numFmtId="3" fontId="43" fillId="7" borderId="45" xfId="0" applyNumberFormat="1" applyFont="1" applyFill="1" applyBorder="1" applyAlignment="1">
      <alignment horizontal="center" vertical="center"/>
    </xf>
    <xf numFmtId="3" fontId="43" fillId="7" borderId="46" xfId="0" applyNumberFormat="1" applyFont="1" applyFill="1" applyBorder="1" applyAlignment="1">
      <alignment horizontal="center" vertical="center"/>
    </xf>
    <xf numFmtId="3" fontId="43" fillId="7" borderId="311" xfId="0" applyNumberFormat="1" applyFont="1" applyFill="1" applyBorder="1" applyAlignment="1">
      <alignment horizontal="center" vertical="center"/>
    </xf>
    <xf numFmtId="3" fontId="43" fillId="7" borderId="9" xfId="0" applyNumberFormat="1" applyFont="1" applyFill="1" applyBorder="1" applyAlignment="1">
      <alignment horizontal="center" vertical="center"/>
    </xf>
    <xf numFmtId="3" fontId="43" fillId="7" borderId="24" xfId="0" applyNumberFormat="1" applyFont="1" applyFill="1" applyBorder="1" applyAlignment="1">
      <alignment horizontal="center" vertical="center"/>
    </xf>
    <xf numFmtId="3" fontId="43" fillId="7" borderId="22" xfId="0" applyNumberFormat="1" applyFont="1" applyFill="1" applyBorder="1" applyAlignment="1">
      <alignment horizontal="center" vertical="center"/>
    </xf>
    <xf numFmtId="3" fontId="43" fillId="7" borderId="10" xfId="0" applyNumberFormat="1" applyFont="1" applyFill="1" applyBorder="1" applyAlignment="1">
      <alignment horizontal="center" vertical="center"/>
    </xf>
    <xf numFmtId="0" fontId="22" fillId="7" borderId="6" xfId="0" quotePrefix="1" applyFont="1" applyFill="1" applyBorder="1" applyAlignment="1">
      <alignment horizontal="center"/>
    </xf>
    <xf numFmtId="0" fontId="43" fillId="7" borderId="207" xfId="0" applyFont="1" applyFill="1" applyBorder="1" applyAlignment="1">
      <alignment horizontal="center" vertical="center"/>
    </xf>
    <xf numFmtId="0" fontId="43" fillId="7" borderId="208" xfId="0" applyFont="1" applyFill="1" applyBorder="1" applyAlignment="1">
      <alignment horizontal="center" vertical="center"/>
    </xf>
    <xf numFmtId="0" fontId="43" fillId="7" borderId="211" xfId="0" applyFont="1" applyFill="1" applyBorder="1" applyAlignment="1">
      <alignment horizontal="center" vertical="center"/>
    </xf>
    <xf numFmtId="0" fontId="43" fillId="7" borderId="209" xfId="0" applyFont="1" applyFill="1" applyBorder="1" applyAlignment="1">
      <alignment horizontal="center" vertical="center"/>
    </xf>
    <xf numFmtId="3" fontId="29" fillId="7" borderId="163" xfId="0" applyNumberFormat="1" applyFont="1" applyFill="1" applyBorder="1" applyAlignment="1">
      <alignment horizontal="center" vertical="center"/>
    </xf>
    <xf numFmtId="0" fontId="43" fillId="7" borderId="32" xfId="0" applyFont="1" applyFill="1" applyBorder="1" applyAlignment="1">
      <alignment horizontal="center" vertical="center" shrinkToFit="1"/>
    </xf>
    <xf numFmtId="0" fontId="43" fillId="7" borderId="0" xfId="0" applyFont="1" applyFill="1" applyAlignment="1">
      <alignment horizontal="center" vertical="center" shrinkToFit="1"/>
    </xf>
    <xf numFmtId="0" fontId="43" fillId="7" borderId="61" xfId="0" applyFont="1" applyFill="1" applyBorder="1" applyAlignment="1">
      <alignment horizontal="center" vertical="center" shrinkToFit="1"/>
    </xf>
    <xf numFmtId="0" fontId="43" fillId="7" borderId="73" xfId="0" applyFont="1" applyFill="1" applyBorder="1" applyAlignment="1">
      <alignment horizontal="center" vertical="center" shrinkToFit="1"/>
    </xf>
    <xf numFmtId="0" fontId="43" fillId="7" borderId="210" xfId="0" applyFont="1" applyFill="1" applyBorder="1" applyAlignment="1">
      <alignment horizontal="center" vertical="center"/>
    </xf>
    <xf numFmtId="0" fontId="43" fillId="7" borderId="212" xfId="0" applyFont="1" applyFill="1" applyBorder="1" applyAlignment="1">
      <alignment horizontal="center" vertical="center"/>
    </xf>
    <xf numFmtId="0" fontId="43" fillId="7" borderId="223" xfId="0" applyFont="1" applyFill="1" applyBorder="1" applyAlignment="1">
      <alignment horizontal="center" vertical="center"/>
    </xf>
    <xf numFmtId="0" fontId="43" fillId="7" borderId="213" xfId="0" applyFont="1" applyFill="1" applyBorder="1" applyAlignment="1">
      <alignment horizontal="center" vertical="center"/>
    </xf>
    <xf numFmtId="0" fontId="67" fillId="7" borderId="162" xfId="0" applyFont="1" applyFill="1" applyBorder="1" applyAlignment="1">
      <alignment horizontal="left" vertical="center" wrapText="1" indent="1"/>
    </xf>
    <xf numFmtId="0" fontId="67" fillId="7" borderId="150" xfId="0" applyFont="1" applyFill="1" applyBorder="1" applyAlignment="1">
      <alignment horizontal="left" vertical="center" indent="1"/>
    </xf>
    <xf numFmtId="0" fontId="67" fillId="7" borderId="0" xfId="0" applyFont="1" applyFill="1" applyAlignment="1">
      <alignment horizontal="left" vertical="center" indent="1"/>
    </xf>
    <xf numFmtId="0" fontId="67" fillId="7" borderId="61" xfId="0" applyFont="1" applyFill="1" applyBorder="1" applyAlignment="1">
      <alignment horizontal="left" vertical="center" indent="1"/>
    </xf>
    <xf numFmtId="0" fontId="67" fillId="7" borderId="162" xfId="0" applyFont="1" applyFill="1" applyBorder="1" applyAlignment="1">
      <alignment horizontal="left" vertical="center" indent="1"/>
    </xf>
    <xf numFmtId="0" fontId="43" fillId="7" borderId="204" xfId="0" applyFont="1" applyFill="1" applyBorder="1" applyAlignment="1">
      <alignment horizontal="center" vertical="center" shrinkToFit="1"/>
    </xf>
    <xf numFmtId="0" fontId="43" fillId="7" borderId="205" xfId="0" applyFont="1" applyFill="1" applyBorder="1" applyAlignment="1">
      <alignment horizontal="center" vertical="center" shrinkToFit="1"/>
    </xf>
    <xf numFmtId="0" fontId="43" fillId="7" borderId="224" xfId="0" applyFont="1" applyFill="1" applyBorder="1" applyAlignment="1">
      <alignment horizontal="center" vertical="center" shrinkToFit="1"/>
    </xf>
    <xf numFmtId="0" fontId="43" fillId="7" borderId="225" xfId="0" applyFont="1" applyFill="1" applyBorder="1" applyAlignment="1">
      <alignment horizontal="center" vertical="center" shrinkToFit="1"/>
    </xf>
    <xf numFmtId="0" fontId="43" fillId="7" borderId="197" xfId="0" applyFont="1" applyFill="1" applyBorder="1" applyAlignment="1">
      <alignment horizontal="center" vertical="center" wrapText="1"/>
    </xf>
    <xf numFmtId="0" fontId="43" fillId="7" borderId="198" xfId="0" applyFont="1" applyFill="1" applyBorder="1" applyAlignment="1">
      <alignment horizontal="center" vertical="center" wrapText="1"/>
    </xf>
    <xf numFmtId="0" fontId="43" fillId="7" borderId="152" xfId="0" applyFont="1" applyFill="1" applyBorder="1" applyAlignment="1">
      <alignment horizontal="center" vertical="center" wrapText="1"/>
    </xf>
    <xf numFmtId="0" fontId="43" fillId="7" borderId="153" xfId="0" applyFont="1" applyFill="1" applyBorder="1" applyAlignment="1">
      <alignment horizontal="center" vertical="center" wrapText="1"/>
    </xf>
    <xf numFmtId="3" fontId="0" fillId="0" borderId="63" xfId="0" applyNumberFormat="1" applyBorder="1" applyAlignment="1" applyProtection="1">
      <alignment horizontal="center" vertical="center"/>
      <protection locked="0"/>
    </xf>
    <xf numFmtId="3" fontId="0" fillId="0" borderId="16" xfId="0" applyNumberFormat="1" applyBorder="1" applyAlignment="1" applyProtection="1">
      <alignment horizontal="center" vertical="center"/>
      <protection locked="0"/>
    </xf>
    <xf numFmtId="3" fontId="0" fillId="0" borderId="55" xfId="0" applyNumberFormat="1" applyBorder="1" applyAlignment="1" applyProtection="1">
      <alignment horizontal="center" vertical="center"/>
      <protection locked="0"/>
    </xf>
    <xf numFmtId="3" fontId="0" fillId="0" borderId="17" xfId="0" applyNumberFormat="1" applyBorder="1" applyAlignment="1" applyProtection="1">
      <alignment horizontal="center" vertical="center"/>
      <protection locked="0"/>
    </xf>
    <xf numFmtId="0" fontId="65" fillId="4" borderId="32" xfId="0" applyFont="1" applyFill="1" applyBorder="1" applyAlignment="1">
      <alignment horizontal="center" vertical="center"/>
    </xf>
    <xf numFmtId="0" fontId="65" fillId="4" borderId="0" xfId="0" applyFont="1" applyFill="1" applyAlignment="1">
      <alignment horizontal="center" vertical="center"/>
    </xf>
    <xf numFmtId="0" fontId="65" fillId="4" borderId="152" xfId="0" applyFont="1" applyFill="1" applyBorder="1" applyAlignment="1">
      <alignment horizontal="center" vertical="center"/>
    </xf>
    <xf numFmtId="0" fontId="65" fillId="4" borderId="163" xfId="0" applyFont="1" applyFill="1" applyBorder="1" applyAlignment="1">
      <alignment horizontal="center" vertical="center"/>
    </xf>
    <xf numFmtId="3" fontId="0" fillId="0" borderId="212" xfId="0" applyNumberFormat="1" applyBorder="1" applyAlignment="1" applyProtection="1">
      <alignment horizontal="center" vertical="center"/>
      <protection locked="0"/>
    </xf>
    <xf numFmtId="3" fontId="0" fillId="0" borderId="208" xfId="0" applyNumberFormat="1" applyBorder="1" applyAlignment="1" applyProtection="1">
      <alignment horizontal="center" vertical="center"/>
      <protection locked="0"/>
    </xf>
    <xf numFmtId="3" fontId="0" fillId="0" borderId="223" xfId="0" applyNumberFormat="1" applyBorder="1" applyAlignment="1" applyProtection="1">
      <alignment horizontal="center" vertical="center"/>
      <protection locked="0"/>
    </xf>
    <xf numFmtId="3" fontId="0" fillId="0" borderId="210" xfId="0" applyNumberFormat="1" applyBorder="1" applyAlignment="1" applyProtection="1">
      <alignment horizontal="center" vertical="center"/>
      <protection locked="0"/>
    </xf>
    <xf numFmtId="3" fontId="29" fillId="7" borderId="207" xfId="0" applyNumberFormat="1" applyFont="1" applyFill="1" applyBorder="1" applyAlignment="1">
      <alignment horizontal="center" vertical="center"/>
    </xf>
    <xf numFmtId="3" fontId="29" fillId="7" borderId="208" xfId="0" applyNumberFormat="1" applyFont="1" applyFill="1" applyBorder="1" applyAlignment="1">
      <alignment horizontal="center" vertical="center"/>
    </xf>
    <xf numFmtId="3" fontId="29" fillId="7" borderId="211" xfId="0" applyNumberFormat="1" applyFont="1" applyFill="1" applyBorder="1" applyAlignment="1">
      <alignment horizontal="center" vertical="center"/>
    </xf>
    <xf numFmtId="3" fontId="29" fillId="7" borderId="212" xfId="0" applyNumberFormat="1" applyFont="1" applyFill="1" applyBorder="1" applyAlignment="1">
      <alignment horizontal="center" vertical="center"/>
    </xf>
    <xf numFmtId="3" fontId="29" fillId="7" borderId="209" xfId="0" applyNumberFormat="1" applyFont="1" applyFill="1" applyBorder="1" applyAlignment="1">
      <alignment horizontal="center" vertical="center"/>
    </xf>
    <xf numFmtId="0" fontId="0" fillId="5" borderId="348" xfId="0" applyFill="1" applyBorder="1" applyAlignment="1" applyProtection="1">
      <alignment horizontal="center" vertical="center" wrapText="1"/>
      <protection locked="0"/>
    </xf>
    <xf numFmtId="0" fontId="0" fillId="5" borderId="338" xfId="0" applyFill="1" applyBorder="1" applyAlignment="1" applyProtection="1">
      <alignment horizontal="center" vertical="center" wrapText="1"/>
      <protection locked="0"/>
    </xf>
    <xf numFmtId="0" fontId="0" fillId="5" borderId="227" xfId="0" applyFill="1" applyBorder="1" applyAlignment="1" applyProtection="1">
      <alignment horizontal="center" vertical="center" wrapText="1"/>
      <protection locked="0"/>
    </xf>
    <xf numFmtId="0" fontId="29" fillId="7" borderId="344" xfId="0" applyFont="1" applyFill="1" applyBorder="1" applyAlignment="1">
      <alignment horizontal="center" vertical="center" wrapText="1"/>
    </xf>
    <xf numFmtId="0" fontId="29" fillId="7" borderId="338" xfId="0" applyFont="1" applyFill="1" applyBorder="1" applyAlignment="1">
      <alignment horizontal="center" vertical="center" wrapText="1"/>
    </xf>
    <xf numFmtId="0" fontId="29" fillId="7" borderId="339" xfId="0" applyFont="1" applyFill="1" applyBorder="1" applyAlignment="1">
      <alignment horizontal="center" vertical="center" wrapText="1"/>
    </xf>
    <xf numFmtId="0" fontId="0" fillId="5" borderId="291" xfId="0" applyFill="1" applyBorder="1" applyAlignment="1" applyProtection="1">
      <alignment horizontal="center" vertical="center" wrapText="1"/>
      <protection locked="0"/>
    </xf>
    <xf numFmtId="0" fontId="0" fillId="5" borderId="346" xfId="0" applyFill="1" applyBorder="1" applyAlignment="1" applyProtection="1">
      <alignment horizontal="center" vertical="center" wrapText="1"/>
      <protection locked="0"/>
    </xf>
    <xf numFmtId="0" fontId="0" fillId="5" borderId="212" xfId="0" applyFill="1" applyBorder="1" applyAlignment="1" applyProtection="1">
      <alignment horizontal="center" vertical="center" wrapText="1"/>
      <protection locked="0"/>
    </xf>
    <xf numFmtId="0" fontId="29" fillId="7" borderId="330" xfId="0" applyFont="1" applyFill="1" applyBorder="1" applyAlignment="1">
      <alignment horizontal="center" vertical="center" wrapText="1"/>
    </xf>
    <xf numFmtId="0" fontId="29" fillId="7" borderId="346" xfId="0" applyFont="1" applyFill="1" applyBorder="1" applyAlignment="1">
      <alignment horizontal="center" vertical="center" wrapText="1"/>
    </xf>
    <xf numFmtId="0" fontId="29" fillId="7" borderId="288" xfId="0" applyFont="1" applyFill="1" applyBorder="1" applyAlignment="1">
      <alignment horizontal="center" vertical="center" wrapText="1"/>
    </xf>
    <xf numFmtId="0" fontId="0" fillId="5" borderId="290" xfId="0" applyFill="1" applyBorder="1" applyAlignment="1" applyProtection="1">
      <alignment horizontal="center" vertical="center" wrapText="1"/>
      <protection locked="0"/>
    </xf>
    <xf numFmtId="0" fontId="0" fillId="5" borderId="1" xfId="0" applyFill="1" applyBorder="1" applyAlignment="1" applyProtection="1">
      <alignment horizontal="center" vertical="center" wrapText="1"/>
      <protection locked="0"/>
    </xf>
    <xf numFmtId="0" fontId="0" fillId="5" borderId="63" xfId="0" applyFill="1" applyBorder="1" applyAlignment="1" applyProtection="1">
      <alignment horizontal="center" vertical="center" wrapText="1"/>
      <protection locked="0"/>
    </xf>
    <xf numFmtId="0" fontId="29" fillId="7" borderId="321" xfId="0" applyFont="1" applyFill="1" applyBorder="1" applyAlignment="1">
      <alignment horizontal="center" vertical="center" wrapText="1"/>
    </xf>
    <xf numFmtId="0" fontId="29" fillId="7" borderId="1" xfId="0" applyFont="1" applyFill="1" applyBorder="1" applyAlignment="1">
      <alignment horizontal="center" vertical="center" wrapText="1"/>
    </xf>
    <xf numFmtId="0" fontId="29" fillId="7" borderId="287" xfId="0" applyFont="1" applyFill="1" applyBorder="1" applyAlignment="1">
      <alignment horizontal="center" vertical="center" wrapText="1"/>
    </xf>
    <xf numFmtId="3" fontId="0" fillId="5" borderId="6" xfId="13" applyNumberFormat="1" applyFont="1" applyFill="1" applyBorder="1" applyAlignment="1" applyProtection="1">
      <alignment horizontal="center" vertical="center"/>
      <protection locked="0"/>
    </xf>
    <xf numFmtId="3" fontId="22" fillId="5" borderId="6" xfId="13" applyNumberFormat="1" applyFont="1" applyFill="1" applyBorder="1" applyAlignment="1" applyProtection="1">
      <alignment horizontal="center" vertical="center"/>
      <protection locked="0"/>
    </xf>
    <xf numFmtId="0" fontId="22" fillId="7" borderId="0" xfId="13" applyFont="1" applyFill="1" applyAlignment="1">
      <alignment horizontal="center" vertical="center"/>
    </xf>
    <xf numFmtId="0" fontId="0" fillId="0" borderId="0" xfId="0" applyAlignment="1" applyProtection="1">
      <alignment horizontal="center"/>
      <protection locked="0"/>
    </xf>
    <xf numFmtId="0" fontId="22" fillId="0" borderId="0" xfId="0" applyFont="1" applyAlignment="1" applyProtection="1">
      <alignment horizontal="center"/>
      <protection locked="0"/>
    </xf>
    <xf numFmtId="3" fontId="22" fillId="5" borderId="5" xfId="13" applyNumberFormat="1" applyFont="1" applyFill="1" applyBorder="1" applyAlignment="1" applyProtection="1">
      <alignment horizontal="center" vertical="center"/>
      <protection locked="0"/>
    </xf>
    <xf numFmtId="0" fontId="29" fillId="7" borderId="181" xfId="0" applyFont="1" applyFill="1" applyBorder="1" applyAlignment="1">
      <alignment horizontal="center" vertical="center" wrapText="1"/>
    </xf>
    <xf numFmtId="0" fontId="29" fillId="7" borderId="182" xfId="0" applyFont="1" applyFill="1" applyBorder="1" applyAlignment="1">
      <alignment horizontal="center" vertical="center" wrapText="1"/>
    </xf>
    <xf numFmtId="3" fontId="22" fillId="0" borderId="63" xfId="13" applyNumberFormat="1" applyFont="1" applyBorder="1" applyAlignment="1" applyProtection="1">
      <alignment horizontal="center" vertical="center"/>
      <protection locked="0"/>
    </xf>
    <xf numFmtId="3" fontId="22" fillId="0" borderId="16" xfId="13" applyNumberFormat="1" applyFont="1" applyBorder="1" applyAlignment="1" applyProtection="1">
      <alignment horizontal="center" vertical="center"/>
      <protection locked="0"/>
    </xf>
    <xf numFmtId="3" fontId="22" fillId="0" borderId="64" xfId="13" applyNumberFormat="1" applyFont="1" applyBorder="1" applyAlignment="1" applyProtection="1">
      <alignment horizontal="center" vertical="center"/>
      <protection locked="0"/>
    </xf>
    <xf numFmtId="3" fontId="22" fillId="0" borderId="17" xfId="13" applyNumberFormat="1" applyFont="1" applyBorder="1" applyAlignment="1" applyProtection="1">
      <alignment horizontal="center" vertical="center"/>
      <protection locked="0"/>
    </xf>
    <xf numFmtId="3" fontId="22" fillId="0" borderId="66" xfId="13" applyNumberFormat="1" applyFont="1" applyBorder="1" applyAlignment="1" applyProtection="1">
      <alignment horizontal="center" vertical="center"/>
      <protection locked="0"/>
    </xf>
    <xf numFmtId="3" fontId="22" fillId="0" borderId="227" xfId="13" applyNumberFormat="1" applyFont="1" applyBorder="1" applyAlignment="1" applyProtection="1">
      <alignment horizontal="center" vertical="center"/>
      <protection locked="0"/>
    </xf>
    <xf numFmtId="3" fontId="22" fillId="0" borderId="205" xfId="13" applyNumberFormat="1" applyFont="1" applyBorder="1" applyAlignment="1" applyProtection="1">
      <alignment horizontal="center" vertical="center"/>
      <protection locked="0"/>
    </xf>
    <xf numFmtId="3" fontId="22" fillId="0" borderId="225" xfId="13" applyNumberFormat="1" applyFont="1" applyBorder="1" applyAlignment="1" applyProtection="1">
      <alignment horizontal="center" vertical="center"/>
      <protection locked="0"/>
    </xf>
    <xf numFmtId="3" fontId="22" fillId="0" borderId="204" xfId="13" applyNumberFormat="1" applyFont="1" applyBorder="1" applyAlignment="1" applyProtection="1">
      <alignment horizontal="center" vertical="center"/>
      <protection locked="0"/>
    </xf>
    <xf numFmtId="3" fontId="22" fillId="0" borderId="226" xfId="13" applyNumberFormat="1" applyFont="1" applyBorder="1" applyAlignment="1" applyProtection="1">
      <alignment horizontal="center" vertical="center"/>
      <protection locked="0"/>
    </xf>
    <xf numFmtId="3" fontId="29" fillId="7" borderId="207" xfId="13" applyNumberFormat="1" applyFont="1" applyFill="1" applyBorder="1" applyAlignment="1">
      <alignment horizontal="center" vertical="center"/>
    </xf>
    <xf numFmtId="3" fontId="29" fillId="7" borderId="208" xfId="13" applyNumberFormat="1" applyFont="1" applyFill="1" applyBorder="1" applyAlignment="1">
      <alignment horizontal="center" vertical="center"/>
    </xf>
    <xf numFmtId="3" fontId="29" fillId="7" borderId="209" xfId="13" applyNumberFormat="1" applyFont="1" applyFill="1" applyBorder="1" applyAlignment="1">
      <alignment horizontal="center" vertical="center"/>
    </xf>
    <xf numFmtId="3" fontId="29" fillId="7" borderId="67" xfId="13" applyNumberFormat="1" applyFont="1" applyFill="1" applyBorder="1" applyAlignment="1">
      <alignment horizontal="center" vertical="center"/>
    </xf>
    <xf numFmtId="3" fontId="29" fillId="7" borderId="16" xfId="13" applyNumberFormat="1" applyFont="1" applyFill="1" applyBorder="1" applyAlignment="1">
      <alignment horizontal="center" vertical="center"/>
    </xf>
    <xf numFmtId="3" fontId="29" fillId="7" borderId="163" xfId="13" applyNumberFormat="1" applyFont="1" applyFill="1" applyBorder="1" applyAlignment="1">
      <alignment horizontal="center" vertical="center"/>
    </xf>
    <xf numFmtId="3" fontId="29" fillId="7" borderId="228" xfId="13" applyNumberFormat="1" applyFont="1" applyFill="1" applyBorder="1" applyAlignment="1">
      <alignment horizontal="center" vertical="center"/>
    </xf>
    <xf numFmtId="3" fontId="29" fillId="7" borderId="205" xfId="13" applyNumberFormat="1" applyFont="1" applyFill="1" applyBorder="1" applyAlignment="1">
      <alignment horizontal="center" vertical="center"/>
    </xf>
    <xf numFmtId="3" fontId="29" fillId="7" borderId="206" xfId="13" applyNumberFormat="1" applyFont="1" applyFill="1" applyBorder="1" applyAlignment="1">
      <alignment horizontal="center" vertical="center"/>
    </xf>
    <xf numFmtId="0" fontId="29" fillId="7" borderId="181" xfId="0" applyFont="1" applyFill="1" applyBorder="1" applyAlignment="1">
      <alignment horizontal="center" vertical="center"/>
    </xf>
    <xf numFmtId="0" fontId="29" fillId="7" borderId="147" xfId="0" applyFont="1" applyFill="1" applyBorder="1" applyAlignment="1">
      <alignment horizontal="center" vertical="top" wrapText="1"/>
    </xf>
    <xf numFmtId="0" fontId="29" fillId="7" borderId="148" xfId="0" applyFont="1" applyFill="1" applyBorder="1" applyAlignment="1">
      <alignment horizontal="center" vertical="top" wrapText="1"/>
    </xf>
    <xf numFmtId="0" fontId="29" fillId="7" borderId="214" xfId="0" applyFont="1" applyFill="1" applyBorder="1" applyAlignment="1">
      <alignment horizontal="center" vertical="top" wrapText="1"/>
    </xf>
    <xf numFmtId="0" fontId="29" fillId="7" borderId="149" xfId="0" applyFont="1" applyFill="1" applyBorder="1" applyAlignment="1">
      <alignment horizontal="center" vertical="center" wrapText="1"/>
    </xf>
    <xf numFmtId="3" fontId="29" fillId="7" borderId="175" xfId="0" applyNumberFormat="1" applyFont="1" applyFill="1" applyBorder="1" applyAlignment="1">
      <alignment horizontal="center" vertical="center"/>
    </xf>
    <xf numFmtId="3" fontId="29" fillId="7" borderId="181" xfId="0" applyNumberFormat="1" applyFont="1" applyFill="1" applyBorder="1" applyAlignment="1">
      <alignment horizontal="center" vertical="center"/>
    </xf>
    <xf numFmtId="3" fontId="29" fillId="7" borderId="182" xfId="0" applyNumberFormat="1" applyFont="1" applyFill="1" applyBorder="1" applyAlignment="1">
      <alignment horizontal="center" vertical="center"/>
    </xf>
    <xf numFmtId="0" fontId="29" fillId="7" borderId="177" xfId="0" applyFont="1" applyFill="1" applyBorder="1" applyAlignment="1">
      <alignment horizontal="center" vertical="center" wrapText="1"/>
    </xf>
    <xf numFmtId="0" fontId="29" fillId="7" borderId="178" xfId="0" applyFont="1" applyFill="1" applyBorder="1" applyAlignment="1">
      <alignment horizontal="center" vertical="center" wrapText="1"/>
    </xf>
    <xf numFmtId="3" fontId="29" fillId="7" borderId="178" xfId="0" applyNumberFormat="1" applyFont="1" applyFill="1" applyBorder="1" applyAlignment="1">
      <alignment horizontal="center" vertical="center"/>
    </xf>
    <xf numFmtId="3" fontId="29" fillId="7" borderId="180" xfId="0" applyNumberFormat="1" applyFont="1" applyFill="1" applyBorder="1" applyAlignment="1">
      <alignment horizontal="center" vertical="center"/>
    </xf>
    <xf numFmtId="3" fontId="22" fillId="0" borderId="205" xfId="0" applyNumberFormat="1" applyFont="1" applyBorder="1" applyAlignment="1" applyProtection="1">
      <alignment horizontal="center" vertical="center"/>
      <protection locked="0"/>
    </xf>
    <xf numFmtId="3" fontId="22" fillId="0" borderId="225" xfId="0" applyNumberFormat="1" applyFont="1" applyBorder="1" applyAlignment="1" applyProtection="1">
      <alignment horizontal="center" vertical="center"/>
      <protection locked="0"/>
    </xf>
    <xf numFmtId="3" fontId="29" fillId="7" borderId="204" xfId="0" applyNumberFormat="1" applyFont="1" applyFill="1" applyBorder="1" applyAlignment="1">
      <alignment horizontal="center" vertical="center"/>
    </xf>
    <xf numFmtId="3" fontId="29" fillId="7" borderId="206" xfId="0" applyNumberFormat="1" applyFont="1" applyFill="1" applyBorder="1" applyAlignment="1">
      <alignment horizontal="center" vertical="center"/>
    </xf>
    <xf numFmtId="3" fontId="22" fillId="0" borderId="16" xfId="0" applyNumberFormat="1" applyFont="1" applyBorder="1" applyAlignment="1" applyProtection="1">
      <alignment horizontal="center" vertical="center"/>
      <protection locked="0"/>
    </xf>
    <xf numFmtId="3" fontId="22" fillId="0" borderId="64" xfId="0" applyNumberFormat="1" applyFont="1" applyBorder="1" applyAlignment="1" applyProtection="1">
      <alignment horizontal="center" vertical="center"/>
      <protection locked="0"/>
    </xf>
    <xf numFmtId="3" fontId="29" fillId="7" borderId="17" xfId="0" applyNumberFormat="1" applyFont="1" applyFill="1" applyBorder="1" applyAlignment="1">
      <alignment horizontal="center" vertical="center"/>
    </xf>
    <xf numFmtId="3" fontId="22" fillId="0" borderId="39" xfId="0" applyNumberFormat="1" applyFont="1" applyBorder="1" applyAlignment="1" applyProtection="1">
      <alignment horizontal="center" vertical="center"/>
      <protection locked="0"/>
    </xf>
    <xf numFmtId="3" fontId="22" fillId="0" borderId="42" xfId="0" applyNumberFormat="1" applyFont="1" applyBorder="1" applyAlignment="1" applyProtection="1">
      <alignment horizontal="center" vertical="center"/>
      <protection locked="0"/>
    </xf>
    <xf numFmtId="3" fontId="29" fillId="7" borderId="38" xfId="0" applyNumberFormat="1" applyFont="1" applyFill="1" applyBorder="1" applyAlignment="1">
      <alignment horizontal="center" vertical="center"/>
    </xf>
    <xf numFmtId="3" fontId="29" fillId="7" borderId="189" xfId="0" applyNumberFormat="1" applyFont="1" applyFill="1" applyBorder="1" applyAlignment="1">
      <alignment horizontal="center" vertical="center"/>
    </xf>
    <xf numFmtId="3" fontId="22" fillId="0" borderId="227" xfId="0" applyNumberFormat="1" applyFont="1" applyBorder="1" applyAlignment="1" applyProtection="1">
      <alignment horizontal="center" vertical="center"/>
      <protection locked="0"/>
    </xf>
    <xf numFmtId="3" fontId="22" fillId="0" borderId="204" xfId="0" applyNumberFormat="1" applyFont="1" applyBorder="1" applyAlignment="1" applyProtection="1">
      <alignment horizontal="center" vertical="center"/>
      <protection locked="0"/>
    </xf>
    <xf numFmtId="3" fontId="22" fillId="0" borderId="226" xfId="0" applyNumberFormat="1" applyFont="1" applyBorder="1" applyAlignment="1" applyProtection="1">
      <alignment horizontal="center" vertical="center"/>
      <protection locked="0"/>
    </xf>
    <xf numFmtId="3" fontId="22" fillId="0" borderId="17" xfId="0" applyNumberFormat="1" applyFont="1" applyBorder="1" applyAlignment="1" applyProtection="1">
      <alignment horizontal="center" vertical="center"/>
      <protection locked="0"/>
    </xf>
    <xf numFmtId="3" fontId="22" fillId="0" borderId="66" xfId="0" applyNumberFormat="1" applyFont="1" applyBorder="1" applyAlignment="1" applyProtection="1">
      <alignment horizontal="center" vertical="center"/>
      <protection locked="0"/>
    </xf>
    <xf numFmtId="3" fontId="22" fillId="0" borderId="38" xfId="0" applyNumberFormat="1" applyFont="1" applyBorder="1" applyAlignment="1" applyProtection="1">
      <alignment horizontal="center" vertical="center"/>
      <protection locked="0"/>
    </xf>
    <xf numFmtId="3" fontId="22" fillId="0" borderId="41" xfId="0" applyNumberFormat="1" applyFont="1" applyBorder="1" applyAlignment="1" applyProtection="1">
      <alignment horizontal="center" vertical="center"/>
      <protection locked="0"/>
    </xf>
    <xf numFmtId="3" fontId="22" fillId="0" borderId="63" xfId="0" applyNumberFormat="1" applyFont="1" applyBorder="1" applyAlignment="1" applyProtection="1">
      <alignment horizontal="center" vertical="center"/>
      <protection locked="0"/>
    </xf>
    <xf numFmtId="3" fontId="22" fillId="0" borderId="40" xfId="0" applyNumberFormat="1" applyFont="1" applyBorder="1" applyAlignment="1" applyProtection="1">
      <alignment horizontal="center" vertical="center"/>
      <protection locked="0"/>
    </xf>
    <xf numFmtId="0" fontId="29" fillId="7" borderId="177" xfId="13" applyFont="1" applyFill="1" applyBorder="1" applyAlignment="1">
      <alignment horizontal="center" vertical="center"/>
    </xf>
    <xf numFmtId="0" fontId="29" fillId="7" borderId="175" xfId="13" applyFont="1" applyFill="1" applyBorder="1" applyAlignment="1">
      <alignment horizontal="center" vertical="center"/>
    </xf>
    <xf numFmtId="0" fontId="29" fillId="7" borderId="180" xfId="13" applyFont="1" applyFill="1" applyBorder="1" applyAlignment="1">
      <alignment horizontal="center" vertical="center"/>
    </xf>
    <xf numFmtId="0" fontId="29" fillId="7" borderId="179" xfId="13" applyFont="1" applyFill="1" applyBorder="1" applyAlignment="1">
      <alignment horizontal="center" vertical="center"/>
    </xf>
    <xf numFmtId="0" fontId="29" fillId="7" borderId="181" xfId="37" applyFont="1" applyFill="1" applyBorder="1" applyAlignment="1">
      <alignment horizontal="center" vertical="center" wrapText="1"/>
    </xf>
    <xf numFmtId="0" fontId="29" fillId="7" borderId="175" xfId="37" applyFont="1" applyFill="1" applyBorder="1" applyAlignment="1">
      <alignment horizontal="center" vertical="center" wrapText="1"/>
    </xf>
    <xf numFmtId="0" fontId="29" fillId="7" borderId="182" xfId="37" applyFont="1" applyFill="1" applyBorder="1" applyAlignment="1">
      <alignment horizontal="center" vertical="center" wrapText="1"/>
    </xf>
    <xf numFmtId="0" fontId="29" fillId="7" borderId="147" xfId="13" applyFont="1" applyFill="1" applyBorder="1" applyAlignment="1">
      <alignment horizontal="center" vertical="center"/>
    </xf>
    <xf numFmtId="0" fontId="29" fillId="7" borderId="148" xfId="13" applyFont="1" applyFill="1" applyBorder="1" applyAlignment="1">
      <alignment horizontal="center" vertical="center"/>
    </xf>
    <xf numFmtId="0" fontId="29" fillId="7" borderId="149" xfId="13" applyFont="1" applyFill="1" applyBorder="1" applyAlignment="1">
      <alignment horizontal="center" vertical="center"/>
    </xf>
    <xf numFmtId="0" fontId="37" fillId="7" borderId="0" xfId="12" applyFont="1" applyFill="1" applyAlignment="1">
      <alignment horizontal="justify" vertical="top" wrapText="1"/>
    </xf>
    <xf numFmtId="0" fontId="37" fillId="7" borderId="0" xfId="12" applyFont="1" applyFill="1" applyAlignment="1">
      <alignment horizontal="justify" vertical="top"/>
    </xf>
    <xf numFmtId="0" fontId="29" fillId="7" borderId="144" xfId="13" applyFont="1" applyFill="1" applyBorder="1" applyAlignment="1">
      <alignment horizontal="center" vertical="center" wrapText="1"/>
    </xf>
    <xf numFmtId="0" fontId="29" fillId="7" borderId="145" xfId="13" applyFont="1" applyFill="1" applyBorder="1" applyAlignment="1">
      <alignment horizontal="center" vertical="center" wrapText="1"/>
    </xf>
    <xf numFmtId="0" fontId="29" fillId="7" borderId="146" xfId="13" applyFont="1" applyFill="1" applyBorder="1" applyAlignment="1">
      <alignment horizontal="center" vertical="center" wrapText="1"/>
    </xf>
    <xf numFmtId="0" fontId="29" fillId="7" borderId="174" xfId="13" applyFont="1" applyFill="1" applyBorder="1" applyAlignment="1">
      <alignment horizontal="center" vertical="center" wrapText="1"/>
    </xf>
    <xf numFmtId="0" fontId="29" fillId="7" borderId="175" xfId="13" applyFont="1" applyFill="1" applyBorder="1" applyAlignment="1">
      <alignment horizontal="center" vertical="center" wrapText="1"/>
    </xf>
    <xf numFmtId="0" fontId="29" fillId="7" borderId="176" xfId="13" applyFont="1" applyFill="1" applyBorder="1" applyAlignment="1">
      <alignment horizontal="center" vertical="center" wrapText="1"/>
    </xf>
    <xf numFmtId="3" fontId="29" fillId="7" borderId="177" xfId="0" applyNumberFormat="1" applyFont="1" applyFill="1" applyBorder="1" applyAlignment="1">
      <alignment horizontal="center" vertical="center"/>
    </xf>
    <xf numFmtId="0" fontId="37" fillId="7" borderId="175" xfId="12" applyFont="1" applyFill="1" applyBorder="1" applyAlignment="1">
      <alignment horizontal="justify" vertical="top"/>
    </xf>
    <xf numFmtId="0" fontId="88" fillId="0" borderId="0" xfId="13" applyFont="1" applyAlignment="1" applyProtection="1">
      <alignment horizontal="center" vertical="center"/>
      <protection locked="0"/>
    </xf>
    <xf numFmtId="0" fontId="22" fillId="7" borderId="0" xfId="13" applyFont="1" applyFill="1" applyAlignment="1">
      <alignment vertical="center" wrapText="1"/>
    </xf>
    <xf numFmtId="0" fontId="22" fillId="7" borderId="0" xfId="13" applyFont="1" applyFill="1" applyAlignment="1">
      <alignment horizontal="justify" vertical="center" wrapText="1"/>
    </xf>
    <xf numFmtId="0" fontId="0" fillId="0" borderId="0" xfId="13" applyFont="1" applyAlignment="1" applyProtection="1">
      <alignment horizontal="center" vertical="center" wrapText="1"/>
      <protection locked="0"/>
    </xf>
    <xf numFmtId="0" fontId="22" fillId="0" borderId="0" xfId="13" applyFont="1" applyAlignment="1" applyProtection="1">
      <alignment horizontal="center" vertical="center" wrapText="1"/>
      <protection locked="0"/>
    </xf>
    <xf numFmtId="0" fontId="22" fillId="0" borderId="6" xfId="13" applyFont="1" applyBorder="1" applyAlignment="1" applyProtection="1">
      <alignment horizontal="center" vertical="center" wrapText="1"/>
      <protection locked="0"/>
    </xf>
    <xf numFmtId="0" fontId="37" fillId="7" borderId="145" xfId="12" quotePrefix="1" applyFont="1" applyFill="1" applyBorder="1" applyAlignment="1">
      <alignment horizontal="right" vertical="top"/>
    </xf>
    <xf numFmtId="0" fontId="37" fillId="7" borderId="0" xfId="12" quotePrefix="1" applyFont="1" applyFill="1" applyAlignment="1">
      <alignment horizontal="right" vertical="top"/>
    </xf>
    <xf numFmtId="0" fontId="37" fillId="7" borderId="145" xfId="12" applyFont="1" applyFill="1" applyBorder="1" applyAlignment="1">
      <alignment vertical="top" wrapText="1"/>
    </xf>
    <xf numFmtId="0" fontId="37" fillId="7" borderId="0" xfId="12" applyFont="1" applyFill="1" applyAlignment="1">
      <alignment vertical="top" wrapText="1"/>
    </xf>
    <xf numFmtId="3" fontId="22" fillId="0" borderId="210" xfId="13" applyNumberFormat="1" applyFont="1" applyBorder="1" applyAlignment="1" applyProtection="1">
      <alignment horizontal="center" vertical="center"/>
      <protection locked="0"/>
    </xf>
    <xf numFmtId="3" fontId="22" fillId="0" borderId="208" xfId="13" applyNumberFormat="1" applyFont="1" applyBorder="1" applyAlignment="1" applyProtection="1">
      <alignment horizontal="center" vertical="center"/>
      <protection locked="0"/>
    </xf>
    <xf numFmtId="3" fontId="22" fillId="0" borderId="211" xfId="13" applyNumberFormat="1" applyFont="1" applyBorder="1" applyAlignment="1" applyProtection="1">
      <alignment horizontal="center" vertical="center"/>
      <protection locked="0"/>
    </xf>
    <xf numFmtId="3" fontId="22" fillId="0" borderId="212" xfId="13" applyNumberFormat="1" applyFont="1" applyBorder="1" applyAlignment="1" applyProtection="1">
      <alignment horizontal="center" vertical="center"/>
      <protection locked="0"/>
    </xf>
    <xf numFmtId="3" fontId="22" fillId="0" borderId="213" xfId="13" applyNumberFormat="1" applyFont="1" applyBorder="1" applyAlignment="1" applyProtection="1">
      <alignment horizontal="center" vertical="center"/>
      <protection locked="0"/>
    </xf>
    <xf numFmtId="0" fontId="22" fillId="7" borderId="0" xfId="25" applyFill="1" applyAlignment="1">
      <alignment vertical="center" wrapText="1"/>
    </xf>
    <xf numFmtId="0" fontId="22" fillId="7" borderId="0" xfId="25" applyFill="1" applyAlignment="1">
      <alignment vertical="top" wrapText="1"/>
    </xf>
    <xf numFmtId="1" fontId="22" fillId="0" borderId="6" xfId="13" applyNumberFormat="1" applyFont="1" applyBorder="1" applyAlignment="1" applyProtection="1">
      <alignment horizontal="center" vertical="center"/>
      <protection locked="0"/>
    </xf>
    <xf numFmtId="0" fontId="0" fillId="0" borderId="6" xfId="13" applyFont="1" applyBorder="1" applyAlignment="1" applyProtection="1">
      <alignment horizontal="center" vertical="center"/>
      <protection locked="0"/>
    </xf>
    <xf numFmtId="0" fontId="22" fillId="0" borderId="6" xfId="13" applyFont="1" applyBorder="1" applyAlignment="1" applyProtection="1">
      <alignment horizontal="center" vertical="center"/>
      <protection locked="0"/>
    </xf>
    <xf numFmtId="0" fontId="105" fillId="0" borderId="6" xfId="13" applyFont="1" applyBorder="1" applyAlignment="1" applyProtection="1">
      <alignment horizontal="center" vertical="center"/>
      <protection locked="0"/>
    </xf>
    <xf numFmtId="0" fontId="26" fillId="7" borderId="162" xfId="13" applyFont="1" applyFill="1" applyBorder="1" applyAlignment="1">
      <alignment horizontal="left" vertical="center" indent="1"/>
    </xf>
    <xf numFmtId="0" fontId="26" fillId="7" borderId="16" xfId="13" applyFont="1" applyFill="1" applyBorder="1" applyAlignment="1">
      <alignment horizontal="left" vertical="center" indent="1"/>
    </xf>
    <xf numFmtId="0" fontId="26" fillId="7" borderId="55" xfId="13" applyFont="1" applyFill="1" applyBorder="1" applyAlignment="1">
      <alignment horizontal="left" vertical="center" indent="1"/>
    </xf>
    <xf numFmtId="0" fontId="29" fillId="4" borderId="32" xfId="0" applyFont="1" applyFill="1" applyBorder="1" applyAlignment="1">
      <alignment horizontal="center" vertical="center" wrapText="1"/>
    </xf>
    <xf numFmtId="0" fontId="29" fillId="4" borderId="0" xfId="0" applyFont="1" applyFill="1" applyAlignment="1">
      <alignment horizontal="center" vertical="center" wrapText="1"/>
    </xf>
    <xf numFmtId="0" fontId="29" fillId="4" borderId="152" xfId="0" applyFont="1" applyFill="1" applyBorder="1" applyAlignment="1">
      <alignment horizontal="center" vertical="center" wrapText="1"/>
    </xf>
    <xf numFmtId="0" fontId="22" fillId="4" borderId="17" xfId="0" applyFont="1" applyFill="1" applyBorder="1" applyAlignment="1">
      <alignment horizontal="center" vertical="center" wrapText="1"/>
    </xf>
    <xf numFmtId="0" fontId="22" fillId="4" borderId="16" xfId="0" applyFont="1" applyFill="1" applyBorder="1" applyAlignment="1">
      <alignment horizontal="center" vertical="center" wrapText="1"/>
    </xf>
    <xf numFmtId="0" fontId="22" fillId="4" borderId="163" xfId="0" applyFont="1" applyFill="1" applyBorder="1" applyAlignment="1">
      <alignment horizontal="center" vertical="center" wrapText="1"/>
    </xf>
    <xf numFmtId="0" fontId="22" fillId="5" borderId="0" xfId="15" applyFont="1" applyFill="1" applyAlignment="1" applyProtection="1">
      <alignment horizontal="center"/>
      <protection locked="0"/>
    </xf>
    <xf numFmtId="0" fontId="22" fillId="5" borderId="6" xfId="15" applyFont="1" applyFill="1" applyBorder="1" applyAlignment="1" applyProtection="1">
      <alignment horizontal="center"/>
      <protection locked="0"/>
    </xf>
    <xf numFmtId="0" fontId="35" fillId="7" borderId="0" xfId="11" applyFont="1" applyFill="1" applyAlignment="1">
      <alignment horizontal="left" wrapText="1" indent="3"/>
    </xf>
    <xf numFmtId="0" fontId="32" fillId="7" borderId="0" xfId="11" quotePrefix="1" applyFont="1" applyFill="1" applyAlignment="1">
      <alignment horizontal="justify" wrapText="1"/>
    </xf>
    <xf numFmtId="0" fontId="37" fillId="7" borderId="0" xfId="11" quotePrefix="1" applyFont="1" applyFill="1" applyAlignment="1">
      <alignment horizontal="justify" wrapText="1"/>
    </xf>
    <xf numFmtId="0" fontId="32" fillId="7" borderId="0" xfId="11" applyFont="1" applyFill="1" applyAlignment="1">
      <alignment horizontal="left" wrapText="1" indent="3"/>
    </xf>
    <xf numFmtId="0" fontId="37" fillId="7" borderId="0" xfId="11" applyFont="1" applyFill="1" applyAlignment="1">
      <alignment horizontal="left" wrapText="1" indent="3"/>
    </xf>
    <xf numFmtId="0" fontId="26" fillId="7" borderId="150" xfId="13" applyFont="1" applyFill="1" applyBorder="1" applyAlignment="1">
      <alignment horizontal="left" vertical="center" indent="1"/>
    </xf>
    <xf numFmtId="0" fontId="26" fillId="7" borderId="0" xfId="13" applyFont="1" applyFill="1" applyAlignment="1">
      <alignment horizontal="left" vertical="center" indent="1"/>
    </xf>
    <xf numFmtId="0" fontId="26" fillId="7" borderId="61" xfId="13" applyFont="1" applyFill="1" applyBorder="1" applyAlignment="1">
      <alignment horizontal="left" vertical="center" indent="1"/>
    </xf>
    <xf numFmtId="0" fontId="29" fillId="7" borderId="147" xfId="0" applyFont="1" applyFill="1" applyBorder="1" applyAlignment="1">
      <alignment horizontal="center"/>
    </xf>
    <xf numFmtId="0" fontId="29" fillId="7" borderId="148" xfId="0" applyFont="1" applyFill="1" applyBorder="1" applyAlignment="1">
      <alignment horizontal="center"/>
    </xf>
    <xf numFmtId="0" fontId="29" fillId="7" borderId="149" xfId="0" applyFont="1" applyFill="1" applyBorder="1" applyAlignment="1">
      <alignment horizontal="center"/>
    </xf>
    <xf numFmtId="0" fontId="29" fillId="7" borderId="180" xfId="0" applyFont="1" applyFill="1" applyBorder="1" applyAlignment="1">
      <alignment horizontal="center" vertical="center" wrapText="1"/>
    </xf>
    <xf numFmtId="0" fontId="29" fillId="7" borderId="178" xfId="0" applyFont="1" applyFill="1" applyBorder="1" applyAlignment="1">
      <alignment horizontal="center" vertical="center" wrapText="1" shrinkToFit="1"/>
    </xf>
    <xf numFmtId="0" fontId="29" fillId="7" borderId="175" xfId="0" applyFont="1" applyFill="1" applyBorder="1" applyAlignment="1">
      <alignment horizontal="center" vertical="center" wrapText="1" shrinkToFit="1"/>
    </xf>
    <xf numFmtId="0" fontId="29" fillId="7" borderId="180" xfId="0" applyFont="1" applyFill="1" applyBorder="1" applyAlignment="1">
      <alignment horizontal="center" vertical="center" wrapText="1" shrinkToFit="1"/>
    </xf>
    <xf numFmtId="0" fontId="29" fillId="7" borderId="179" xfId="0" applyFont="1" applyFill="1" applyBorder="1" applyAlignment="1">
      <alignment horizontal="center" vertical="center" wrapText="1"/>
    </xf>
    <xf numFmtId="3" fontId="22" fillId="5" borderId="18" xfId="0" applyNumberFormat="1" applyFont="1" applyFill="1" applyBorder="1" applyAlignment="1" applyProtection="1">
      <alignment horizontal="center" vertical="center"/>
      <protection locked="0"/>
    </xf>
    <xf numFmtId="3" fontId="22" fillId="5" borderId="5" xfId="0" applyNumberFormat="1" applyFont="1" applyFill="1" applyBorder="1" applyAlignment="1" applyProtection="1">
      <alignment horizontal="center" vertical="center"/>
      <protection locked="0"/>
    </xf>
    <xf numFmtId="3" fontId="22" fillId="5" borderId="69" xfId="0" applyNumberFormat="1" applyFont="1" applyFill="1" applyBorder="1" applyAlignment="1" applyProtection="1">
      <alignment horizontal="center" vertical="center"/>
      <protection locked="0"/>
    </xf>
    <xf numFmtId="3" fontId="22" fillId="5" borderId="68" xfId="0" applyNumberFormat="1" applyFont="1" applyFill="1" applyBorder="1" applyAlignment="1" applyProtection="1">
      <alignment horizontal="center" vertical="center"/>
      <protection locked="0"/>
    </xf>
    <xf numFmtId="3" fontId="22" fillId="5" borderId="70" xfId="0" applyNumberFormat="1" applyFont="1" applyFill="1" applyBorder="1" applyAlignment="1" applyProtection="1">
      <alignment horizontal="center" vertical="center"/>
      <protection locked="0"/>
    </xf>
    <xf numFmtId="3" fontId="29" fillId="7" borderId="345" xfId="0" applyNumberFormat="1" applyFont="1" applyFill="1" applyBorder="1" applyAlignment="1">
      <alignment horizontal="center" vertical="center"/>
    </xf>
    <xf numFmtId="3" fontId="29" fillId="7" borderId="5" xfId="0" applyNumberFormat="1" applyFont="1" applyFill="1" applyBorder="1" applyAlignment="1">
      <alignment horizontal="center" vertical="center"/>
    </xf>
    <xf numFmtId="3" fontId="29" fillId="7" borderId="154" xfId="0" applyNumberFormat="1" applyFont="1" applyFill="1" applyBorder="1" applyAlignment="1">
      <alignment horizontal="center" vertical="center"/>
    </xf>
    <xf numFmtId="0" fontId="29" fillId="7" borderId="0" xfId="11" applyFont="1" applyFill="1" applyAlignment="1">
      <alignment horizontal="left" wrapText="1" indent="3"/>
    </xf>
    <xf numFmtId="3" fontId="29" fillId="7" borderId="172" xfId="0" applyNumberFormat="1" applyFont="1" applyFill="1" applyBorder="1" applyAlignment="1">
      <alignment horizontal="center" vertical="center"/>
    </xf>
    <xf numFmtId="3" fontId="29" fillId="7" borderId="168" xfId="0" applyNumberFormat="1" applyFont="1" applyFill="1" applyBorder="1" applyAlignment="1">
      <alignment horizontal="center" vertical="center"/>
    </xf>
    <xf numFmtId="0" fontId="22" fillId="4" borderId="163" xfId="0" applyFont="1" applyFill="1" applyBorder="1" applyAlignment="1">
      <alignment horizontal="center" vertical="center"/>
    </xf>
    <xf numFmtId="3" fontId="29" fillId="7" borderId="67" xfId="0" applyNumberFormat="1" applyFont="1" applyFill="1" applyBorder="1" applyAlignment="1">
      <alignment horizontal="center" vertical="center" shrinkToFit="1"/>
    </xf>
    <xf numFmtId="3" fontId="29" fillId="7" borderId="16" xfId="0" applyNumberFormat="1" applyFont="1" applyFill="1" applyBorder="1" applyAlignment="1">
      <alignment horizontal="center" vertical="center" shrinkToFit="1"/>
    </xf>
    <xf numFmtId="3" fontId="29" fillId="7" borderId="163" xfId="0" applyNumberFormat="1" applyFont="1" applyFill="1" applyBorder="1" applyAlignment="1">
      <alignment horizontal="center" vertical="center" shrinkToFit="1"/>
    </xf>
    <xf numFmtId="0" fontId="35" fillId="7" borderId="0" xfId="11" applyFont="1" applyFill="1" applyAlignment="1">
      <alignment horizontal="justify" wrapText="1"/>
    </xf>
    <xf numFmtId="0" fontId="119" fillId="7" borderId="0" xfId="13" applyFont="1" applyFill="1" applyAlignment="1">
      <alignment horizontal="center" vertical="center" wrapText="1"/>
    </xf>
    <xf numFmtId="0" fontId="119" fillId="7" borderId="175" xfId="13" applyFont="1" applyFill="1" applyBorder="1" applyAlignment="1">
      <alignment horizontal="center" vertical="center" wrapText="1"/>
    </xf>
    <xf numFmtId="0" fontId="23" fillId="7" borderId="150" xfId="13" applyFont="1" applyFill="1" applyBorder="1" applyAlignment="1">
      <alignment horizontal="center" vertical="top" wrapText="1"/>
    </xf>
    <xf numFmtId="0" fontId="23" fillId="7" borderId="0" xfId="13" applyFont="1" applyFill="1" applyAlignment="1">
      <alignment horizontal="center" vertical="top" wrapText="1"/>
    </xf>
    <xf numFmtId="0" fontId="23" fillId="7" borderId="174" xfId="13" applyFont="1" applyFill="1" applyBorder="1" applyAlignment="1">
      <alignment horizontal="center" vertical="top" wrapText="1"/>
    </xf>
    <xf numFmtId="0" fontId="23" fillId="7" borderId="175" xfId="13" applyFont="1" applyFill="1" applyBorder="1" applyAlignment="1">
      <alignment horizontal="center" vertical="top" wrapText="1"/>
    </xf>
    <xf numFmtId="0" fontId="23" fillId="7" borderId="32" xfId="13" applyFont="1" applyFill="1" applyBorder="1" applyAlignment="1">
      <alignment horizontal="center" vertical="top" wrapText="1" shrinkToFit="1"/>
    </xf>
    <xf numFmtId="0" fontId="23" fillId="7" borderId="0" xfId="13" applyFont="1" applyFill="1" applyAlignment="1">
      <alignment horizontal="center" vertical="top" wrapText="1" shrinkToFit="1"/>
    </xf>
    <xf numFmtId="0" fontId="23" fillId="7" borderId="61" xfId="13" applyFont="1" applyFill="1" applyBorder="1" applyAlignment="1">
      <alignment horizontal="center" vertical="top" wrapText="1" shrinkToFit="1"/>
    </xf>
    <xf numFmtId="0" fontId="23" fillId="7" borderId="177" xfId="13" applyFont="1" applyFill="1" applyBorder="1" applyAlignment="1">
      <alignment horizontal="center" vertical="top" wrapText="1" shrinkToFit="1"/>
    </xf>
    <xf numFmtId="0" fontId="23" fillId="7" borderId="175" xfId="13" applyFont="1" applyFill="1" applyBorder="1" applyAlignment="1">
      <alignment horizontal="center" vertical="top" wrapText="1" shrinkToFit="1"/>
    </xf>
    <xf numFmtId="0" fontId="23" fillId="7" borderId="176" xfId="13" applyFont="1" applyFill="1" applyBorder="1" applyAlignment="1">
      <alignment horizontal="center" vertical="top" wrapText="1" shrinkToFit="1"/>
    </xf>
    <xf numFmtId="0" fontId="23" fillId="7" borderId="0" xfId="13" applyFont="1" applyFill="1" applyAlignment="1">
      <alignment horizontal="center" vertical="center" wrapText="1" shrinkToFit="1"/>
    </xf>
    <xf numFmtId="0" fontId="23" fillId="7" borderId="152" xfId="13" applyFont="1" applyFill="1" applyBorder="1" applyAlignment="1">
      <alignment horizontal="center" vertical="center" wrapText="1" shrinkToFit="1"/>
    </xf>
    <xf numFmtId="0" fontId="23" fillId="7" borderId="175" xfId="13" applyFont="1" applyFill="1" applyBorder="1" applyAlignment="1">
      <alignment horizontal="center" vertical="center" wrapText="1" shrinkToFit="1"/>
    </xf>
    <xf numFmtId="0" fontId="23" fillId="7" borderId="182" xfId="13" applyFont="1" applyFill="1" applyBorder="1" applyAlignment="1">
      <alignment horizontal="center" vertical="center" wrapText="1" shrinkToFit="1"/>
    </xf>
    <xf numFmtId="0" fontId="35" fillId="7" borderId="0" xfId="11" quotePrefix="1" applyFont="1" applyFill="1" applyAlignment="1">
      <alignment horizontal="justify" wrapText="1"/>
    </xf>
    <xf numFmtId="0" fontId="29" fillId="7" borderId="194" xfId="13" applyFont="1" applyFill="1" applyBorder="1" applyAlignment="1">
      <alignment horizontal="center" vertical="center" wrapText="1" shrinkToFit="1"/>
    </xf>
    <xf numFmtId="0" fontId="29" fillId="7" borderId="145" xfId="13" applyFont="1" applyFill="1" applyBorder="1" applyAlignment="1">
      <alignment horizontal="center" vertical="center" wrapText="1" shrinkToFit="1"/>
    </xf>
    <xf numFmtId="0" fontId="29" fillId="7" borderId="146" xfId="13" applyFont="1" applyFill="1" applyBorder="1" applyAlignment="1">
      <alignment horizontal="center" vertical="center" wrapText="1" shrinkToFit="1"/>
    </xf>
    <xf numFmtId="0" fontId="29" fillId="7" borderId="194" xfId="13" applyFont="1" applyFill="1" applyBorder="1" applyAlignment="1">
      <alignment horizontal="center" vertical="center" shrinkToFit="1"/>
    </xf>
    <xf numFmtId="0" fontId="29" fillId="7" borderId="145" xfId="13" applyFont="1" applyFill="1" applyBorder="1" applyAlignment="1">
      <alignment horizontal="center" vertical="center" shrinkToFit="1"/>
    </xf>
    <xf numFmtId="0" fontId="29" fillId="7" borderId="146" xfId="13" applyFont="1" applyFill="1" applyBorder="1" applyAlignment="1">
      <alignment horizontal="center" vertical="center" shrinkToFit="1"/>
    </xf>
    <xf numFmtId="0" fontId="29" fillId="7" borderId="198" xfId="13" applyFont="1" applyFill="1" applyBorder="1" applyAlignment="1">
      <alignment horizontal="center" vertical="center" wrapText="1" shrinkToFit="1"/>
    </xf>
    <xf numFmtId="0" fontId="32" fillId="5" borderId="6" xfId="14" applyFont="1" applyFill="1" applyBorder="1" applyAlignment="1" applyProtection="1">
      <alignment horizontal="center"/>
      <protection locked="0"/>
    </xf>
    <xf numFmtId="14" fontId="0" fillId="5" borderId="6" xfId="14" applyNumberFormat="1" applyFont="1" applyFill="1" applyBorder="1" applyAlignment="1" applyProtection="1">
      <alignment horizontal="center"/>
      <protection locked="0"/>
    </xf>
    <xf numFmtId="0" fontId="22" fillId="5" borderId="6" xfId="14" applyFont="1" applyFill="1" applyBorder="1" applyAlignment="1" applyProtection="1">
      <alignment horizontal="center"/>
      <protection locked="0"/>
    </xf>
    <xf numFmtId="3" fontId="22" fillId="5" borderId="6" xfId="14" applyNumberFormat="1" applyFont="1" applyFill="1" applyBorder="1" applyAlignment="1" applyProtection="1">
      <alignment horizontal="center"/>
      <protection locked="0"/>
    </xf>
    <xf numFmtId="4" fontId="22" fillId="5" borderId="6" xfId="14" applyNumberFormat="1" applyFont="1" applyFill="1" applyBorder="1" applyAlignment="1" applyProtection="1">
      <alignment horizontal="center"/>
      <protection locked="0"/>
    </xf>
    <xf numFmtId="172" fontId="29" fillId="5" borderId="6" xfId="14" applyNumberFormat="1" applyFont="1" applyFill="1" applyBorder="1" applyAlignment="1" applyProtection="1">
      <alignment horizontal="center"/>
      <protection locked="0"/>
    </xf>
    <xf numFmtId="0" fontId="32" fillId="5" borderId="150" xfId="13" applyFont="1" applyFill="1" applyBorder="1" applyAlignment="1" applyProtection="1">
      <alignment horizontal="center" vertical="center"/>
      <protection locked="0"/>
    </xf>
    <xf numFmtId="0" fontId="32" fillId="5" borderId="0" xfId="13" applyFont="1" applyFill="1" applyAlignment="1" applyProtection="1">
      <alignment horizontal="center" vertical="center"/>
      <protection locked="0"/>
    </xf>
    <xf numFmtId="0" fontId="32" fillId="5" borderId="32" xfId="13" applyFont="1" applyFill="1" applyBorder="1" applyAlignment="1" applyProtection="1">
      <alignment horizontal="center" vertical="center"/>
      <protection locked="0"/>
    </xf>
    <xf numFmtId="0" fontId="32" fillId="5" borderId="61" xfId="13" applyFont="1" applyFill="1" applyBorder="1" applyAlignment="1" applyProtection="1">
      <alignment horizontal="center" vertical="center"/>
      <protection locked="0"/>
    </xf>
    <xf numFmtId="4" fontId="32" fillId="5" borderId="32" xfId="13" applyNumberFormat="1" applyFont="1" applyFill="1" applyBorder="1" applyAlignment="1" applyProtection="1">
      <alignment horizontal="center" vertical="center"/>
      <protection locked="0"/>
    </xf>
    <xf numFmtId="4" fontId="32" fillId="5" borderId="0" xfId="13" applyNumberFormat="1" applyFont="1" applyFill="1" applyAlignment="1" applyProtection="1">
      <alignment horizontal="center" vertical="center"/>
      <protection locked="0"/>
    </xf>
    <xf numFmtId="4" fontId="32" fillId="5" borderId="61" xfId="13" applyNumberFormat="1" applyFont="1" applyFill="1" applyBorder="1" applyAlignment="1" applyProtection="1">
      <alignment horizontal="center" vertical="center"/>
      <protection locked="0"/>
    </xf>
    <xf numFmtId="0" fontId="32" fillId="5" borderId="152" xfId="13" applyFont="1" applyFill="1" applyBorder="1" applyAlignment="1" applyProtection="1">
      <alignment horizontal="center" vertical="center"/>
      <protection locked="0"/>
    </xf>
    <xf numFmtId="0" fontId="32" fillId="5" borderId="162" xfId="13" applyFont="1" applyFill="1" applyBorder="1" applyAlignment="1" applyProtection="1">
      <alignment horizontal="center" vertical="center"/>
      <protection locked="0"/>
    </xf>
    <xf numFmtId="0" fontId="32" fillId="5" borderId="16" xfId="13" applyFont="1" applyFill="1" applyBorder="1" applyAlignment="1" applyProtection="1">
      <alignment horizontal="center" vertical="center"/>
      <protection locked="0"/>
    </xf>
    <xf numFmtId="0" fontId="32" fillId="5" borderId="17" xfId="13" applyFont="1" applyFill="1" applyBorder="1" applyAlignment="1" applyProtection="1">
      <alignment horizontal="center" vertical="center"/>
      <protection locked="0"/>
    </xf>
    <xf numFmtId="0" fontId="32" fillId="5" borderId="55" xfId="13" applyFont="1" applyFill="1" applyBorder="1" applyAlignment="1" applyProtection="1">
      <alignment horizontal="center" vertical="center"/>
      <protection locked="0"/>
    </xf>
    <xf numFmtId="4" fontId="32" fillId="5" borderId="17" xfId="13" applyNumberFormat="1" applyFont="1" applyFill="1" applyBorder="1" applyAlignment="1" applyProtection="1">
      <alignment horizontal="center" vertical="center"/>
      <protection locked="0"/>
    </xf>
    <xf numFmtId="4" fontId="32" fillId="5" borderId="16" xfId="13" applyNumberFormat="1" applyFont="1" applyFill="1" applyBorder="1" applyAlignment="1" applyProtection="1">
      <alignment horizontal="center" vertical="center"/>
      <protection locked="0"/>
    </xf>
    <xf numFmtId="4" fontId="32" fillId="5" borderId="55" xfId="13" applyNumberFormat="1" applyFont="1" applyFill="1" applyBorder="1" applyAlignment="1" applyProtection="1">
      <alignment horizontal="center" vertical="center"/>
      <protection locked="0"/>
    </xf>
    <xf numFmtId="0" fontId="32" fillId="5" borderId="163" xfId="13" applyFont="1" applyFill="1" applyBorder="1" applyAlignment="1" applyProtection="1">
      <alignment horizontal="center" vertical="center"/>
      <protection locked="0"/>
    </xf>
    <xf numFmtId="0" fontId="32" fillId="5" borderId="174" xfId="14" applyFont="1" applyFill="1" applyBorder="1" applyAlignment="1" applyProtection="1">
      <alignment horizontal="center" vertical="center"/>
      <protection locked="0"/>
    </xf>
    <xf numFmtId="0" fontId="32" fillId="5" borderId="175" xfId="14" applyFont="1" applyFill="1" applyBorder="1" applyAlignment="1" applyProtection="1">
      <alignment horizontal="center" vertical="center"/>
      <protection locked="0"/>
    </xf>
    <xf numFmtId="0" fontId="32" fillId="5" borderId="177" xfId="14" applyFont="1" applyFill="1" applyBorder="1" applyAlignment="1" applyProtection="1">
      <alignment horizontal="center" vertical="center"/>
      <protection locked="0"/>
    </xf>
    <xf numFmtId="0" fontId="32" fillId="5" borderId="176" xfId="14" applyFont="1" applyFill="1" applyBorder="1" applyAlignment="1" applyProtection="1">
      <alignment horizontal="center" vertical="center"/>
      <protection locked="0"/>
    </xf>
    <xf numFmtId="4" fontId="32" fillId="5" borderId="177" xfId="13" applyNumberFormat="1" applyFont="1" applyFill="1" applyBorder="1" applyAlignment="1" applyProtection="1">
      <alignment horizontal="center" vertical="center"/>
      <protection locked="0"/>
    </xf>
    <xf numFmtId="4" fontId="32" fillId="5" borderId="175" xfId="13" applyNumberFormat="1" applyFont="1" applyFill="1" applyBorder="1" applyAlignment="1" applyProtection="1">
      <alignment horizontal="center" vertical="center"/>
      <protection locked="0"/>
    </xf>
    <xf numFmtId="4" fontId="32" fillId="5" borderId="176" xfId="13" applyNumberFormat="1" applyFont="1" applyFill="1" applyBorder="1" applyAlignment="1" applyProtection="1">
      <alignment horizontal="center" vertical="center"/>
      <protection locked="0"/>
    </xf>
    <xf numFmtId="0" fontId="32" fillId="5" borderId="175" xfId="13" applyFont="1" applyFill="1" applyBorder="1" applyAlignment="1" applyProtection="1">
      <alignment horizontal="center" vertical="center"/>
      <protection locked="0"/>
    </xf>
    <xf numFmtId="0" fontId="32" fillId="5" borderId="182" xfId="13" applyFont="1" applyFill="1" applyBorder="1" applyAlignment="1" applyProtection="1">
      <alignment horizontal="center" vertical="center"/>
      <protection locked="0"/>
    </xf>
    <xf numFmtId="0" fontId="97" fillId="7" borderId="0" xfId="11" quotePrefix="1" applyFont="1" applyFill="1" applyAlignment="1">
      <alignment horizontal="justify" vertical="top" wrapText="1"/>
    </xf>
    <xf numFmtId="0" fontId="67" fillId="7" borderId="0" xfId="11" applyFont="1" applyFill="1" applyAlignment="1">
      <alignment vertical="center"/>
    </xf>
    <xf numFmtId="0" fontId="32" fillId="5" borderId="188" xfId="13" applyFont="1" applyFill="1" applyBorder="1" applyAlignment="1" applyProtection="1">
      <alignment horizontal="center" vertical="center"/>
      <protection locked="0"/>
    </xf>
    <xf numFmtId="0" fontId="32" fillId="5" borderId="96" xfId="13" applyFont="1" applyFill="1" applyBorder="1" applyAlignment="1" applyProtection="1">
      <alignment horizontal="center" vertical="center"/>
      <protection locked="0"/>
    </xf>
    <xf numFmtId="0" fontId="32" fillId="5" borderId="159" xfId="13" applyFont="1" applyFill="1" applyBorder="1" applyAlignment="1" applyProtection="1">
      <alignment horizontal="center" vertical="center"/>
      <protection locked="0"/>
    </xf>
    <xf numFmtId="0" fontId="32" fillId="5" borderId="57" xfId="13" applyFont="1" applyFill="1" applyBorder="1" applyAlignment="1" applyProtection="1">
      <alignment horizontal="center" vertical="center"/>
      <protection locked="0"/>
    </xf>
    <xf numFmtId="0" fontId="35" fillId="7" borderId="0" xfId="12" applyFont="1" applyFill="1"/>
    <xf numFmtId="0" fontId="37" fillId="7" borderId="0" xfId="12" applyFont="1" applyFill="1"/>
    <xf numFmtId="0" fontId="35" fillId="7" borderId="0" xfId="11" quotePrefix="1" applyFont="1" applyFill="1" applyAlignment="1">
      <alignment wrapText="1"/>
    </xf>
    <xf numFmtId="4" fontId="32" fillId="5" borderId="60" xfId="13" applyNumberFormat="1" applyFont="1" applyFill="1" applyBorder="1" applyAlignment="1" applyProtection="1">
      <alignment horizontal="center" vertical="center"/>
      <protection locked="0"/>
    </xf>
    <xf numFmtId="4" fontId="32" fillId="5" borderId="96" xfId="13" applyNumberFormat="1" applyFont="1" applyFill="1" applyBorder="1" applyAlignment="1" applyProtection="1">
      <alignment horizontal="center" vertical="center"/>
      <protection locked="0"/>
    </xf>
    <xf numFmtId="4" fontId="32" fillId="5" borderId="97" xfId="13" applyNumberFormat="1" applyFont="1" applyFill="1" applyBorder="1" applyAlignment="1" applyProtection="1">
      <alignment horizontal="center" vertical="center"/>
      <protection locked="0"/>
    </xf>
    <xf numFmtId="4" fontId="32" fillId="5" borderId="59" xfId="13" applyNumberFormat="1" applyFont="1" applyFill="1" applyBorder="1" applyAlignment="1" applyProtection="1">
      <alignment horizontal="center" vertical="center"/>
      <protection locked="0"/>
    </xf>
    <xf numFmtId="4" fontId="32" fillId="5" borderId="57" xfId="13" applyNumberFormat="1" applyFont="1" applyFill="1" applyBorder="1" applyAlignment="1" applyProtection="1">
      <alignment horizontal="center" vertical="center"/>
      <protection locked="0"/>
    </xf>
    <xf numFmtId="4" fontId="32" fillId="5" borderId="58" xfId="13" applyNumberFormat="1" applyFont="1" applyFill="1" applyBorder="1" applyAlignment="1" applyProtection="1">
      <alignment horizontal="center" vertical="center"/>
      <protection locked="0"/>
    </xf>
    <xf numFmtId="0" fontId="32" fillId="5" borderId="161" xfId="13" applyFont="1" applyFill="1" applyBorder="1" applyAlignment="1" applyProtection="1">
      <alignment horizontal="center" vertical="center"/>
      <protection locked="0"/>
    </xf>
    <xf numFmtId="0" fontId="32" fillId="5" borderId="160" xfId="13" applyFont="1" applyFill="1" applyBorder="1" applyAlignment="1" applyProtection="1">
      <alignment horizontal="center" vertical="center"/>
      <protection locked="0"/>
    </xf>
    <xf numFmtId="0" fontId="32" fillId="5" borderId="174" xfId="13" applyFont="1" applyFill="1" applyBorder="1" applyAlignment="1" applyProtection="1">
      <alignment horizontal="center" vertical="center"/>
      <protection locked="0"/>
    </xf>
    <xf numFmtId="0" fontId="29" fillId="7" borderId="144" xfId="13" applyFont="1" applyFill="1" applyBorder="1" applyAlignment="1">
      <alignment horizontal="center" vertical="center"/>
    </xf>
    <xf numFmtId="0" fontId="29" fillId="7" borderId="145" xfId="13" applyFont="1" applyFill="1" applyBorder="1" applyAlignment="1">
      <alignment horizontal="center" vertical="center"/>
    </xf>
    <xf numFmtId="0" fontId="29" fillId="7" borderId="194" xfId="13" applyFont="1" applyFill="1" applyBorder="1" applyAlignment="1">
      <alignment horizontal="center" vertical="center" wrapText="1"/>
    </xf>
    <xf numFmtId="0" fontId="23" fillId="7" borderId="32" xfId="13" applyFont="1" applyFill="1" applyBorder="1" applyAlignment="1">
      <alignment horizontal="center" vertical="top" wrapText="1"/>
    </xf>
    <xf numFmtId="0" fontId="23" fillId="7" borderId="61" xfId="13" applyFont="1" applyFill="1" applyBorder="1" applyAlignment="1">
      <alignment horizontal="center" vertical="top" wrapText="1"/>
    </xf>
    <xf numFmtId="0" fontId="29" fillId="7" borderId="198" xfId="13" applyFont="1" applyFill="1" applyBorder="1" applyAlignment="1">
      <alignment horizontal="center" vertical="center" wrapText="1"/>
    </xf>
    <xf numFmtId="0" fontId="23" fillId="7" borderId="152" xfId="13" applyFont="1" applyFill="1" applyBorder="1" applyAlignment="1">
      <alignment horizontal="center" vertical="top" wrapText="1"/>
    </xf>
    <xf numFmtId="0" fontId="23" fillId="7" borderId="182" xfId="13" applyFont="1" applyFill="1" applyBorder="1" applyAlignment="1">
      <alignment horizontal="center" vertical="top" wrapText="1"/>
    </xf>
    <xf numFmtId="0" fontId="37" fillId="8" borderId="0" xfId="5" applyFont="1" applyFill="1" applyAlignment="1">
      <alignment vertical="center"/>
    </xf>
    <xf numFmtId="0" fontId="35" fillId="7" borderId="0" xfId="5" applyFont="1" applyFill="1" applyAlignment="1">
      <alignment vertical="center"/>
    </xf>
    <xf numFmtId="0" fontId="29" fillId="7" borderId="230" xfId="5" applyFont="1" applyFill="1" applyBorder="1" applyAlignment="1">
      <alignment horizontal="center" vertical="center" shrinkToFit="1"/>
    </xf>
    <xf numFmtId="0" fontId="32" fillId="7" borderId="230" xfId="5" applyFont="1" applyFill="1" applyBorder="1"/>
    <xf numFmtId="0" fontId="32" fillId="7" borderId="231" xfId="5" applyFont="1" applyFill="1" applyBorder="1"/>
    <xf numFmtId="0" fontId="23" fillId="7" borderId="232" xfId="5" applyFont="1" applyFill="1" applyBorder="1" applyAlignment="1">
      <alignment horizontal="center" vertical="top" wrapText="1"/>
    </xf>
    <xf numFmtId="0" fontId="23" fillId="7" borderId="0" xfId="5" applyFont="1" applyFill="1" applyAlignment="1">
      <alignment horizontal="center" vertical="top" wrapText="1"/>
    </xf>
    <xf numFmtId="0" fontId="23" fillId="7" borderId="234" xfId="5" applyFont="1" applyFill="1" applyBorder="1" applyAlignment="1">
      <alignment horizontal="center" vertical="top" wrapText="1"/>
    </xf>
    <xf numFmtId="0" fontId="23" fillId="7" borderId="235" xfId="5" applyFont="1" applyFill="1" applyBorder="1" applyAlignment="1">
      <alignment horizontal="center" vertical="top" wrapText="1"/>
    </xf>
    <xf numFmtId="0" fontId="23" fillId="7" borderId="120" xfId="5" applyFont="1" applyFill="1" applyBorder="1" applyAlignment="1">
      <alignment horizontal="center" vertical="top" shrinkToFit="1"/>
    </xf>
    <xf numFmtId="0" fontId="37" fillId="7" borderId="0" xfId="5" applyFont="1" applyFill="1"/>
    <xf numFmtId="0" fontId="37" fillId="7" borderId="123" xfId="5" applyFont="1" applyFill="1" applyBorder="1"/>
    <xf numFmtId="0" fontId="37" fillId="7" borderId="242" xfId="5" applyFont="1" applyFill="1" applyBorder="1"/>
    <xf numFmtId="0" fontId="37" fillId="7" borderId="235" xfId="5" applyFont="1" applyFill="1" applyBorder="1"/>
    <xf numFmtId="0" fontId="37" fillId="7" borderId="243" xfId="5" applyFont="1" applyFill="1" applyBorder="1"/>
    <xf numFmtId="0" fontId="23" fillId="7" borderId="0" xfId="5" applyFont="1" applyFill="1" applyAlignment="1">
      <alignment horizontal="center" vertical="top" shrinkToFit="1"/>
    </xf>
    <xf numFmtId="0" fontId="23" fillId="7" borderId="120" xfId="5" applyFont="1" applyFill="1" applyBorder="1" applyAlignment="1">
      <alignment horizontal="center" vertical="top" wrapText="1"/>
    </xf>
    <xf numFmtId="0" fontId="37" fillId="7" borderId="0" xfId="5" applyFont="1" applyFill="1" applyAlignment="1">
      <alignment vertical="top"/>
    </xf>
    <xf numFmtId="0" fontId="37" fillId="7" borderId="123" xfId="5" applyFont="1" applyFill="1" applyBorder="1" applyAlignment="1">
      <alignment vertical="top"/>
    </xf>
    <xf numFmtId="0" fontId="37" fillId="7" borderId="242" xfId="5" applyFont="1" applyFill="1" applyBorder="1" applyAlignment="1">
      <alignment vertical="top"/>
    </xf>
    <xf numFmtId="0" fontId="37" fillId="7" borderId="235" xfId="5" applyFont="1" applyFill="1" applyBorder="1" applyAlignment="1">
      <alignment vertical="top"/>
    </xf>
    <xf numFmtId="0" fontId="37" fillId="7" borderId="243" xfId="5" applyFont="1" applyFill="1" applyBorder="1" applyAlignment="1">
      <alignment vertical="top"/>
    </xf>
    <xf numFmtId="0" fontId="23" fillId="7" borderId="0" xfId="5" applyFont="1" applyFill="1" applyAlignment="1">
      <alignment vertical="top"/>
    </xf>
    <xf numFmtId="0" fontId="23" fillId="7" borderId="233" xfId="5" applyFont="1" applyFill="1" applyBorder="1" applyAlignment="1">
      <alignment vertical="top"/>
    </xf>
    <xf numFmtId="0" fontId="23" fillId="7" borderId="235" xfId="5" applyFont="1" applyFill="1" applyBorder="1" applyAlignment="1">
      <alignment vertical="top"/>
    </xf>
    <xf numFmtId="0" fontId="23" fillId="7" borderId="236" xfId="5" applyFont="1" applyFill="1" applyBorder="1" applyAlignment="1">
      <alignment vertical="top"/>
    </xf>
    <xf numFmtId="0" fontId="29" fillId="7" borderId="229" xfId="5" applyFont="1" applyFill="1" applyBorder="1" applyAlignment="1">
      <alignment horizontal="center" vertical="center" shrinkToFit="1"/>
    </xf>
    <xf numFmtId="0" fontId="29" fillId="7" borderId="240" xfId="5" applyFont="1" applyFill="1" applyBorder="1" applyAlignment="1">
      <alignment horizontal="center" vertical="center" shrinkToFit="1"/>
    </xf>
    <xf numFmtId="0" fontId="32" fillId="7" borderId="241" xfId="5" applyFont="1" applyFill="1" applyBorder="1"/>
    <xf numFmtId="0" fontId="32" fillId="5" borderId="0" xfId="5" applyFont="1" applyFill="1" applyAlignment="1" applyProtection="1">
      <alignment horizontal="center" vertical="center"/>
      <protection locked="0"/>
    </xf>
    <xf numFmtId="0" fontId="32" fillId="5" borderId="0" xfId="5" applyFont="1" applyFill="1" applyProtection="1">
      <protection locked="0"/>
    </xf>
    <xf numFmtId="0" fontId="32" fillId="5" borderId="233" xfId="5" applyFont="1" applyFill="1" applyBorder="1" applyProtection="1">
      <protection locked="0"/>
    </xf>
    <xf numFmtId="0" fontId="32" fillId="5" borderId="237" xfId="5" applyFont="1" applyFill="1" applyBorder="1" applyAlignment="1" applyProtection="1">
      <alignment horizontal="center" vertical="center"/>
      <protection locked="0"/>
    </xf>
    <xf numFmtId="0" fontId="32" fillId="5" borderId="238" xfId="5" applyFont="1" applyFill="1" applyBorder="1" applyProtection="1">
      <protection locked="0"/>
    </xf>
    <xf numFmtId="0" fontId="32" fillId="5" borderId="244" xfId="5" applyFont="1" applyFill="1" applyBorder="1" applyAlignment="1" applyProtection="1">
      <alignment horizontal="center" vertical="center"/>
      <protection locked="0"/>
    </xf>
    <xf numFmtId="0" fontId="32" fillId="5" borderId="245" xfId="5" applyFont="1" applyFill="1" applyBorder="1" applyProtection="1">
      <protection locked="0"/>
    </xf>
    <xf numFmtId="4" fontId="32" fillId="5" borderId="238" xfId="5" applyNumberFormat="1" applyFont="1" applyFill="1" applyBorder="1" applyAlignment="1" applyProtection="1">
      <alignment horizontal="center" vertical="center"/>
      <protection locked="0"/>
    </xf>
    <xf numFmtId="4" fontId="32" fillId="5" borderId="238" xfId="5" applyNumberFormat="1" applyFont="1" applyFill="1" applyBorder="1" applyProtection="1">
      <protection locked="0"/>
    </xf>
    <xf numFmtId="0" fontId="32" fillId="5" borderId="238" xfId="5" applyFont="1" applyFill="1" applyBorder="1" applyAlignment="1" applyProtection="1">
      <alignment horizontal="center" vertical="center"/>
      <protection locked="0"/>
    </xf>
    <xf numFmtId="0" fontId="32" fillId="5" borderId="239" xfId="5" applyFont="1" applyFill="1" applyBorder="1" applyProtection="1">
      <protection locked="0"/>
    </xf>
    <xf numFmtId="0" fontId="32" fillId="5" borderId="232" xfId="5" applyFont="1" applyFill="1" applyBorder="1" applyAlignment="1" applyProtection="1">
      <alignment horizontal="center" vertical="center"/>
      <protection locked="0"/>
    </xf>
    <xf numFmtId="0" fontId="32" fillId="5" borderId="120" xfId="5" applyFont="1" applyFill="1" applyBorder="1" applyAlignment="1" applyProtection="1">
      <alignment horizontal="center" vertical="center"/>
      <protection locked="0"/>
    </xf>
    <xf numFmtId="0" fontId="32" fillId="5" borderId="123" xfId="5" applyFont="1" applyFill="1" applyBorder="1" applyProtection="1">
      <protection locked="0"/>
    </xf>
    <xf numFmtId="4" fontId="32" fillId="5" borderId="0" xfId="5" applyNumberFormat="1" applyFont="1" applyFill="1" applyAlignment="1" applyProtection="1">
      <alignment horizontal="center" vertical="center"/>
      <protection locked="0"/>
    </xf>
    <xf numFmtId="4" fontId="32" fillId="5" borderId="0" xfId="5" applyNumberFormat="1" applyFont="1" applyFill="1" applyProtection="1">
      <protection locked="0"/>
    </xf>
    <xf numFmtId="0" fontId="32" fillId="5" borderId="234" xfId="5" applyFont="1" applyFill="1" applyBorder="1" applyAlignment="1" applyProtection="1">
      <alignment horizontal="center" vertical="center"/>
      <protection locked="0"/>
    </xf>
    <xf numFmtId="0" fontId="32" fillId="5" borderId="235" xfId="5" applyFont="1" applyFill="1" applyBorder="1" applyProtection="1">
      <protection locked="0"/>
    </xf>
    <xf numFmtId="0" fontId="32" fillId="5" borderId="242" xfId="5" applyFont="1" applyFill="1" applyBorder="1" applyAlignment="1" applyProtection="1">
      <alignment horizontal="center" vertical="center"/>
      <protection locked="0"/>
    </xf>
    <xf numFmtId="0" fontId="32" fillId="5" borderId="243" xfId="5" applyFont="1" applyFill="1" applyBorder="1" applyProtection="1">
      <protection locked="0"/>
    </xf>
    <xf numFmtId="4" fontId="32" fillId="5" borderId="235" xfId="5" applyNumberFormat="1" applyFont="1" applyFill="1" applyBorder="1" applyAlignment="1" applyProtection="1">
      <alignment horizontal="center" vertical="center"/>
      <protection locked="0"/>
    </xf>
    <xf numFmtId="4" fontId="32" fillId="5" borderId="235" xfId="5" applyNumberFormat="1" applyFont="1" applyFill="1" applyBorder="1" applyProtection="1">
      <protection locked="0"/>
    </xf>
    <xf numFmtId="0" fontId="32" fillId="5" borderId="235" xfId="5" applyFont="1" applyFill="1" applyBorder="1" applyAlignment="1" applyProtection="1">
      <alignment horizontal="center" vertical="center"/>
      <protection locked="0"/>
    </xf>
    <xf numFmtId="0" fontId="32" fillId="5" borderId="236" xfId="5" applyFont="1" applyFill="1" applyBorder="1" applyProtection="1">
      <protection locked="0"/>
    </xf>
    <xf numFmtId="0" fontId="32" fillId="5" borderId="17" xfId="5" applyFont="1" applyFill="1" applyBorder="1" applyAlignment="1" applyProtection="1">
      <alignment horizontal="center" vertical="center"/>
      <protection locked="0"/>
    </xf>
    <xf numFmtId="0" fontId="32" fillId="5" borderId="16" xfId="5" applyFont="1" applyFill="1" applyBorder="1" applyAlignment="1" applyProtection="1">
      <alignment horizontal="center" vertical="center"/>
      <protection locked="0"/>
    </xf>
    <xf numFmtId="0" fontId="32" fillId="5" borderId="55" xfId="5" applyFont="1" applyFill="1" applyBorder="1" applyAlignment="1" applyProtection="1">
      <alignment horizontal="center" vertical="center"/>
      <protection locked="0"/>
    </xf>
    <xf numFmtId="0" fontId="32" fillId="5" borderId="210" xfId="5" applyFont="1" applyFill="1" applyBorder="1" applyAlignment="1" applyProtection="1">
      <alignment horizontal="center" vertical="center"/>
      <protection locked="0"/>
    </xf>
    <xf numFmtId="0" fontId="32" fillId="5" borderId="208" xfId="5" applyFont="1" applyFill="1" applyBorder="1" applyAlignment="1" applyProtection="1">
      <alignment horizontal="center" vertical="center"/>
      <protection locked="0"/>
    </xf>
    <xf numFmtId="0" fontId="32" fillId="5" borderId="223" xfId="5" applyFont="1" applyFill="1" applyBorder="1" applyAlignment="1" applyProtection="1">
      <alignment horizontal="center" vertical="center"/>
      <protection locked="0"/>
    </xf>
    <xf numFmtId="173" fontId="32" fillId="5" borderId="17" xfId="5" applyNumberFormat="1" applyFont="1" applyFill="1" applyBorder="1" applyAlignment="1" applyProtection="1">
      <alignment horizontal="center" vertical="center"/>
      <protection locked="0"/>
    </xf>
    <xf numFmtId="173" fontId="32" fillId="5" borderId="16" xfId="5" applyNumberFormat="1" applyFont="1" applyFill="1" applyBorder="1" applyAlignment="1" applyProtection="1">
      <alignment horizontal="center" vertical="center"/>
      <protection locked="0"/>
    </xf>
    <xf numFmtId="173" fontId="32" fillId="5" borderId="55" xfId="5" applyNumberFormat="1" applyFont="1" applyFill="1" applyBorder="1" applyAlignment="1" applyProtection="1">
      <alignment horizontal="center" vertical="center"/>
      <protection locked="0"/>
    </xf>
    <xf numFmtId="173" fontId="32" fillId="5" borderId="210" xfId="5" applyNumberFormat="1" applyFont="1" applyFill="1" applyBorder="1" applyAlignment="1" applyProtection="1">
      <alignment horizontal="center" vertical="center"/>
      <protection locked="0"/>
    </xf>
    <xf numFmtId="173" fontId="32" fillId="5" borderId="208" xfId="5" applyNumberFormat="1" applyFont="1" applyFill="1" applyBorder="1" applyAlignment="1" applyProtection="1">
      <alignment horizontal="center" vertical="center"/>
      <protection locked="0"/>
    </xf>
    <xf numFmtId="173" fontId="32" fillId="5" borderId="223" xfId="5" applyNumberFormat="1" applyFont="1" applyFill="1" applyBorder="1" applyAlignment="1" applyProtection="1">
      <alignment horizontal="center" vertical="center"/>
      <protection locked="0"/>
    </xf>
    <xf numFmtId="0" fontId="32" fillId="5" borderId="163" xfId="5" applyFont="1" applyFill="1" applyBorder="1" applyAlignment="1" applyProtection="1">
      <alignment horizontal="center" vertical="center"/>
      <protection locked="0"/>
    </xf>
    <xf numFmtId="0" fontId="32" fillId="5" borderId="209" xfId="5" applyFont="1" applyFill="1" applyBorder="1" applyAlignment="1" applyProtection="1">
      <alignment horizontal="center" vertical="center"/>
      <protection locked="0"/>
    </xf>
    <xf numFmtId="0" fontId="32" fillId="5" borderId="204" xfId="5" applyFont="1" applyFill="1" applyBorder="1" applyAlignment="1" applyProtection="1">
      <alignment horizontal="center" vertical="center"/>
      <protection locked="0"/>
    </xf>
    <xf numFmtId="0" fontId="32" fillId="5" borderId="205" xfId="5" applyFont="1" applyFill="1" applyBorder="1" applyAlignment="1" applyProtection="1">
      <alignment horizontal="center" vertical="center"/>
      <protection locked="0"/>
    </xf>
    <xf numFmtId="0" fontId="32" fillId="5" borderId="224" xfId="5" applyFont="1" applyFill="1" applyBorder="1" applyAlignment="1" applyProtection="1">
      <alignment horizontal="center" vertical="center"/>
      <protection locked="0"/>
    </xf>
    <xf numFmtId="0" fontId="32" fillId="5" borderId="246" xfId="5" applyFont="1" applyFill="1" applyBorder="1" applyAlignment="1" applyProtection="1">
      <alignment horizontal="center" vertical="center"/>
      <protection locked="0"/>
    </xf>
    <xf numFmtId="0" fontId="32" fillId="5" borderId="247" xfId="5" applyFont="1" applyFill="1" applyBorder="1" applyAlignment="1" applyProtection="1">
      <alignment horizontal="center" vertical="center"/>
      <protection locked="0"/>
    </xf>
    <xf numFmtId="0" fontId="32" fillId="5" borderId="162" xfId="5" applyFont="1" applyFill="1" applyBorder="1" applyAlignment="1" applyProtection="1">
      <alignment horizontal="center" vertical="center"/>
      <protection locked="0"/>
    </xf>
    <xf numFmtId="0" fontId="32" fillId="7" borderId="0" xfId="5" applyFont="1" applyFill="1" applyAlignment="1">
      <alignment horizontal="center"/>
    </xf>
    <xf numFmtId="0" fontId="32" fillId="7" borderId="6" xfId="5" applyFont="1" applyFill="1" applyBorder="1" applyAlignment="1">
      <alignment horizontal="center"/>
    </xf>
    <xf numFmtId="0" fontId="23" fillId="7" borderId="5" xfId="5" applyFont="1" applyFill="1" applyBorder="1" applyAlignment="1">
      <alignment horizontal="center" vertical="top"/>
    </xf>
    <xf numFmtId="0" fontId="67" fillId="7" borderId="0" xfId="5" applyFont="1" applyFill="1" applyAlignment="1">
      <alignment vertical="center"/>
    </xf>
    <xf numFmtId="0" fontId="37" fillId="8" borderId="0" xfId="5" applyFont="1" applyFill="1"/>
    <xf numFmtId="0" fontId="29" fillId="7" borderId="147" xfId="5" applyFont="1" applyFill="1" applyBorder="1" applyAlignment="1">
      <alignment horizontal="center" vertical="center" wrapText="1"/>
    </xf>
    <xf numFmtId="0" fontId="29" fillId="7" borderId="148" xfId="5" applyFont="1" applyFill="1" applyBorder="1" applyAlignment="1">
      <alignment horizontal="center" vertical="center" wrapText="1"/>
    </xf>
    <xf numFmtId="0" fontId="29" fillId="7" borderId="149" xfId="5" applyFont="1" applyFill="1" applyBorder="1" applyAlignment="1">
      <alignment horizontal="center" vertical="center" wrapText="1"/>
    </xf>
    <xf numFmtId="0" fontId="23" fillId="7" borderId="175" xfId="5" applyFont="1" applyFill="1" applyBorder="1" applyAlignment="1">
      <alignment horizontal="center" vertical="center" wrapText="1"/>
    </xf>
    <xf numFmtId="0" fontId="23" fillId="7" borderId="177" xfId="5" applyFont="1" applyFill="1" applyBorder="1" applyAlignment="1">
      <alignment horizontal="center" vertical="center" wrapText="1"/>
    </xf>
    <xf numFmtId="0" fontId="23" fillId="7" borderId="176" xfId="5" applyFont="1" applyFill="1" applyBorder="1" applyAlignment="1">
      <alignment horizontal="center" vertical="center" wrapText="1"/>
    </xf>
    <xf numFmtId="0" fontId="23" fillId="7" borderId="215" xfId="5" applyFont="1" applyFill="1" applyBorder="1" applyAlignment="1">
      <alignment horizontal="center" vertical="center" wrapText="1"/>
    </xf>
    <xf numFmtId="0" fontId="23" fillId="7" borderId="216" xfId="5" applyFont="1" applyFill="1" applyBorder="1" applyAlignment="1">
      <alignment horizontal="center" vertical="center" wrapText="1"/>
    </xf>
    <xf numFmtId="0" fontId="23" fillId="7" borderId="222" xfId="5" applyFont="1" applyFill="1" applyBorder="1" applyAlignment="1">
      <alignment horizontal="center" vertical="center" wrapText="1"/>
    </xf>
    <xf numFmtId="0" fontId="32" fillId="5" borderId="206" xfId="5" applyFont="1" applyFill="1" applyBorder="1" applyAlignment="1" applyProtection="1">
      <alignment horizontal="center" vertical="center"/>
      <protection locked="0"/>
    </xf>
    <xf numFmtId="0" fontId="23" fillId="7" borderId="177" xfId="5" applyFont="1" applyFill="1" applyBorder="1" applyAlignment="1">
      <alignment horizontal="center" vertical="top" wrapText="1"/>
    </xf>
    <xf numFmtId="0" fontId="23" fillId="7" borderId="175" xfId="5" applyFont="1" applyFill="1" applyBorder="1" applyAlignment="1">
      <alignment horizontal="center" vertical="top" wrapText="1"/>
    </xf>
    <xf numFmtId="0" fontId="23" fillId="7" borderId="176" xfId="5" applyFont="1" applyFill="1" applyBorder="1" applyAlignment="1">
      <alignment horizontal="center" vertical="top" wrapText="1"/>
    </xf>
    <xf numFmtId="0" fontId="29" fillId="7" borderId="194" xfId="5" applyFont="1" applyFill="1" applyBorder="1" applyAlignment="1">
      <alignment horizontal="center" vertical="center" wrapText="1"/>
    </xf>
    <xf numFmtId="0" fontId="29" fillId="7" borderId="145" xfId="5" applyFont="1" applyFill="1" applyBorder="1" applyAlignment="1">
      <alignment horizontal="center" vertical="center" wrapText="1"/>
    </xf>
    <xf numFmtId="0" fontId="29" fillId="7" borderId="146" xfId="5" applyFont="1" applyFill="1" applyBorder="1" applyAlignment="1">
      <alignment horizontal="center" vertical="center" wrapText="1"/>
    </xf>
    <xf numFmtId="173" fontId="32" fillId="5" borderId="204" xfId="5" applyNumberFormat="1" applyFont="1" applyFill="1" applyBorder="1" applyAlignment="1" applyProtection="1">
      <alignment horizontal="center" vertical="center"/>
      <protection locked="0"/>
    </xf>
    <xf numFmtId="173" fontId="32" fillId="5" borderId="205" xfId="5" applyNumberFormat="1" applyFont="1" applyFill="1" applyBorder="1" applyAlignment="1" applyProtection="1">
      <alignment horizontal="center" vertical="center"/>
      <protection locked="0"/>
    </xf>
    <xf numFmtId="173" fontId="32" fillId="5" borderId="224" xfId="5" applyNumberFormat="1" applyFont="1" applyFill="1" applyBorder="1" applyAlignment="1" applyProtection="1">
      <alignment horizontal="center" vertical="center"/>
      <protection locked="0"/>
    </xf>
    <xf numFmtId="0" fontId="23" fillId="7" borderId="174" xfId="5" applyFont="1" applyFill="1" applyBorder="1" applyAlignment="1">
      <alignment horizontal="center" vertical="top" wrapText="1"/>
    </xf>
    <xf numFmtId="0" fontId="29" fillId="7" borderId="144" xfId="5" applyFont="1" applyFill="1" applyBorder="1" applyAlignment="1">
      <alignment horizontal="center" vertical="center" wrapText="1"/>
    </xf>
    <xf numFmtId="0" fontId="23" fillId="7" borderId="177" xfId="5" applyFont="1" applyFill="1" applyBorder="1" applyAlignment="1">
      <alignment horizontal="center" vertical="top"/>
    </xf>
    <xf numFmtId="0" fontId="23" fillId="7" borderId="175" xfId="5" applyFont="1" applyFill="1" applyBorder="1" applyAlignment="1">
      <alignment horizontal="center" vertical="top"/>
    </xf>
    <xf numFmtId="0" fontId="23" fillId="7" borderId="176" xfId="5" applyFont="1" applyFill="1" applyBorder="1" applyAlignment="1">
      <alignment horizontal="center" vertical="top"/>
    </xf>
    <xf numFmtId="0" fontId="37" fillId="7" borderId="116" xfId="5" quotePrefix="1" applyFont="1" applyFill="1" applyBorder="1"/>
    <xf numFmtId="0" fontId="32" fillId="7" borderId="0" xfId="5" applyFont="1" applyFill="1" applyAlignment="1">
      <alignment vertical="top"/>
    </xf>
    <xf numFmtId="0" fontId="32" fillId="5" borderId="134" xfId="5" applyFont="1" applyFill="1" applyBorder="1" applyAlignment="1" applyProtection="1">
      <alignment horizontal="center" vertical="center"/>
      <protection locked="0"/>
    </xf>
    <xf numFmtId="0" fontId="32" fillId="5" borderId="135" xfId="5" applyFont="1" applyFill="1" applyBorder="1" applyProtection="1">
      <protection locked="0"/>
    </xf>
    <xf numFmtId="0" fontId="32" fillId="5" borderId="136" xfId="5" applyFont="1" applyFill="1" applyBorder="1" applyProtection="1">
      <protection locked="0"/>
    </xf>
    <xf numFmtId="0" fontId="32" fillId="5" borderId="135" xfId="5" applyFont="1" applyFill="1" applyBorder="1" applyAlignment="1" applyProtection="1">
      <alignment horizontal="center" vertical="center"/>
      <protection locked="0"/>
    </xf>
    <xf numFmtId="0" fontId="32" fillId="5" borderId="137" xfId="5" applyFont="1" applyFill="1" applyBorder="1" applyAlignment="1" applyProtection="1">
      <alignment horizontal="center" vertical="center"/>
      <protection locked="0"/>
    </xf>
    <xf numFmtId="0" fontId="32" fillId="5" borderId="138" xfId="5" applyFont="1" applyFill="1" applyBorder="1" applyProtection="1">
      <protection locked="0"/>
    </xf>
    <xf numFmtId="0" fontId="32" fillId="5" borderId="139" xfId="5" applyFont="1" applyFill="1" applyBorder="1" applyAlignment="1" applyProtection="1">
      <alignment horizontal="center" vertical="center"/>
      <protection locked="0"/>
    </xf>
    <xf numFmtId="0" fontId="32" fillId="5" borderId="140" xfId="5" applyFont="1" applyFill="1" applyBorder="1" applyProtection="1">
      <protection locked="0"/>
    </xf>
    <xf numFmtId="0" fontId="32" fillId="5" borderId="141" xfId="5" applyFont="1" applyFill="1" applyBorder="1" applyProtection="1">
      <protection locked="0"/>
    </xf>
    <xf numFmtId="0" fontId="32" fillId="5" borderId="140" xfId="5" applyFont="1" applyFill="1" applyBorder="1" applyAlignment="1" applyProtection="1">
      <alignment horizontal="center" vertical="center"/>
      <protection locked="0"/>
    </xf>
    <xf numFmtId="0" fontId="32" fillId="5" borderId="142" xfId="5" applyFont="1" applyFill="1" applyBorder="1" applyAlignment="1" applyProtection="1">
      <alignment horizontal="center" vertical="center"/>
      <protection locked="0"/>
    </xf>
    <xf numFmtId="0" fontId="32" fillId="5" borderId="143" xfId="5" applyFont="1" applyFill="1" applyBorder="1" applyProtection="1">
      <protection locked="0"/>
    </xf>
    <xf numFmtId="0" fontId="32" fillId="5" borderId="129" xfId="5" applyFont="1" applyFill="1" applyBorder="1" applyAlignment="1" applyProtection="1">
      <alignment horizontal="center" vertical="center"/>
      <protection locked="0"/>
    </xf>
    <xf numFmtId="0" fontId="32" fillId="5" borderId="130" xfId="5" applyFont="1" applyFill="1" applyBorder="1" applyProtection="1">
      <protection locked="0"/>
    </xf>
    <xf numFmtId="0" fontId="32" fillId="5" borderId="131" xfId="5" applyFont="1" applyFill="1" applyBorder="1" applyProtection="1">
      <protection locked="0"/>
    </xf>
    <xf numFmtId="0" fontId="32" fillId="5" borderId="130" xfId="5" applyFont="1" applyFill="1" applyBorder="1" applyAlignment="1" applyProtection="1">
      <alignment horizontal="center" vertical="center"/>
      <protection locked="0"/>
    </xf>
    <xf numFmtId="0" fontId="32" fillId="5" borderId="132" xfId="5" applyFont="1" applyFill="1" applyBorder="1" applyAlignment="1" applyProtection="1">
      <alignment horizontal="center" vertical="center"/>
      <protection locked="0"/>
    </xf>
    <xf numFmtId="0" fontId="32" fillId="5" borderId="133" xfId="5" applyFont="1" applyFill="1" applyBorder="1" applyProtection="1">
      <protection locked="0"/>
    </xf>
    <xf numFmtId="0" fontId="29" fillId="7" borderId="115" xfId="5" applyFont="1" applyFill="1" applyBorder="1" applyAlignment="1">
      <alignment horizontal="center" vertical="center" shrinkToFit="1"/>
    </xf>
    <xf numFmtId="0" fontId="29" fillId="7" borderId="116" xfId="5" applyFont="1" applyFill="1" applyBorder="1" applyAlignment="1">
      <alignment horizontal="center" vertical="center" shrinkToFit="1"/>
    </xf>
    <xf numFmtId="0" fontId="29" fillId="7" borderId="117" xfId="5" applyFont="1" applyFill="1" applyBorder="1" applyAlignment="1">
      <alignment horizontal="center" vertical="center" shrinkToFit="1"/>
    </xf>
    <xf numFmtId="0" fontId="29" fillId="7" borderId="118" xfId="5" applyFont="1" applyFill="1" applyBorder="1" applyAlignment="1">
      <alignment horizontal="center" vertical="center" shrinkToFit="1"/>
    </xf>
    <xf numFmtId="0" fontId="32" fillId="7" borderId="116" xfId="5" applyFont="1" applyFill="1" applyBorder="1"/>
    <xf numFmtId="0" fontId="32" fillId="7" borderId="117" xfId="5" applyFont="1" applyFill="1" applyBorder="1"/>
    <xf numFmtId="0" fontId="32" fillId="7" borderId="119" xfId="5" applyFont="1" applyFill="1" applyBorder="1"/>
    <xf numFmtId="0" fontId="23" fillId="7" borderId="121" xfId="5" applyFont="1" applyFill="1" applyBorder="1" applyAlignment="1">
      <alignment horizontal="center" vertical="top" wrapText="1"/>
    </xf>
    <xf numFmtId="0" fontId="23" fillId="7" borderId="124" xfId="5" applyFont="1" applyFill="1" applyBorder="1" applyAlignment="1">
      <alignment horizontal="center" vertical="top" wrapText="1"/>
    </xf>
    <xf numFmtId="0" fontId="23" fillId="7" borderId="125" xfId="5" applyFont="1" applyFill="1" applyBorder="1" applyAlignment="1">
      <alignment horizontal="center" vertical="top" wrapText="1"/>
    </xf>
    <xf numFmtId="0" fontId="23" fillId="7" borderId="126" xfId="5" applyFont="1" applyFill="1" applyBorder="1" applyAlignment="1">
      <alignment horizontal="center" vertical="top" wrapText="1"/>
    </xf>
    <xf numFmtId="0" fontId="23" fillId="7" borderId="122" xfId="5" applyFont="1" applyFill="1" applyBorder="1" applyAlignment="1">
      <alignment horizontal="center" vertical="top" wrapText="1"/>
    </xf>
    <xf numFmtId="0" fontId="23" fillId="7" borderId="121" xfId="5" applyFont="1" applyFill="1" applyBorder="1" applyAlignment="1">
      <alignment vertical="top"/>
    </xf>
    <xf numFmtId="0" fontId="23" fillId="7" borderId="127" xfId="5" applyFont="1" applyFill="1" applyBorder="1" applyAlignment="1">
      <alignment vertical="top"/>
    </xf>
    <xf numFmtId="0" fontId="23" fillId="7" borderId="125" xfId="5" applyFont="1" applyFill="1" applyBorder="1" applyAlignment="1">
      <alignment vertical="top"/>
    </xf>
    <xf numFmtId="0" fontId="23" fillId="7" borderId="126" xfId="5" applyFont="1" applyFill="1" applyBorder="1" applyAlignment="1">
      <alignment vertical="top"/>
    </xf>
    <xf numFmtId="0" fontId="37" fillId="7" borderId="121" xfId="5" applyFont="1" applyFill="1" applyBorder="1"/>
    <xf numFmtId="0" fontId="37" fillId="7" borderId="125" xfId="5" applyFont="1" applyFill="1" applyBorder="1"/>
    <xf numFmtId="0" fontId="37" fillId="7" borderId="126" xfId="5" applyFont="1" applyFill="1" applyBorder="1"/>
    <xf numFmtId="0" fontId="37" fillId="7" borderId="127" xfId="5" applyFont="1" applyFill="1" applyBorder="1" applyAlignment="1">
      <alignment vertical="top"/>
    </xf>
    <xf numFmtId="0" fontId="37" fillId="7" borderId="125" xfId="5" applyFont="1" applyFill="1" applyBorder="1" applyAlignment="1">
      <alignment vertical="top"/>
    </xf>
    <xf numFmtId="0" fontId="23" fillId="7" borderId="123" xfId="5" applyFont="1" applyFill="1" applyBorder="1" applyAlignment="1">
      <alignment vertical="top"/>
    </xf>
    <xf numFmtId="0" fontId="23" fillId="7" borderId="128" xfId="5" applyFont="1" applyFill="1" applyBorder="1" applyAlignment="1">
      <alignment vertical="top"/>
    </xf>
    <xf numFmtId="0" fontId="37" fillId="7" borderId="0" xfId="11" applyFont="1" applyFill="1" applyAlignment="1">
      <alignment horizontal="justify" vertical="top" wrapText="1"/>
    </xf>
    <xf numFmtId="0" fontId="37" fillId="7" borderId="0" xfId="11" applyFont="1" applyFill="1" applyAlignment="1">
      <alignment horizontal="justify" vertical="center"/>
    </xf>
    <xf numFmtId="0" fontId="23" fillId="7" borderId="0" xfId="15" applyFont="1" applyFill="1" applyAlignment="1">
      <alignment horizontal="center" vertical="top"/>
    </xf>
    <xf numFmtId="0" fontId="22" fillId="7" borderId="174" xfId="0" applyFont="1" applyFill="1" applyBorder="1" applyAlignment="1">
      <alignment horizontal="center" vertical="center"/>
    </xf>
    <xf numFmtId="0" fontId="22" fillId="7" borderId="175" xfId="0" applyFont="1" applyFill="1" applyBorder="1" applyAlignment="1">
      <alignment horizontal="center" vertical="center"/>
    </xf>
    <xf numFmtId="0" fontId="22" fillId="7" borderId="176" xfId="0" applyFont="1" applyFill="1" applyBorder="1" applyAlignment="1">
      <alignment horizontal="center" vertical="center"/>
    </xf>
    <xf numFmtId="0" fontId="37" fillId="7" borderId="0" xfId="11" quotePrefix="1" applyFont="1" applyFill="1" applyAlignment="1">
      <alignment horizontal="right" vertical="top"/>
    </xf>
    <xf numFmtId="4" fontId="22" fillId="0" borderId="177" xfId="0" applyNumberFormat="1" applyFont="1" applyBorder="1" applyAlignment="1" applyProtection="1">
      <alignment horizontal="center" vertical="center"/>
      <protection locked="0"/>
    </xf>
    <xf numFmtId="4" fontId="22" fillId="0" borderId="175" xfId="0" applyNumberFormat="1" applyFont="1" applyBorder="1" applyAlignment="1" applyProtection="1">
      <alignment horizontal="center" vertical="center"/>
      <protection locked="0"/>
    </xf>
    <xf numFmtId="4" fontId="22" fillId="0" borderId="182" xfId="0" applyNumberFormat="1" applyFont="1" applyBorder="1" applyAlignment="1" applyProtection="1">
      <alignment horizontal="center" vertical="center"/>
      <protection locked="0"/>
    </xf>
    <xf numFmtId="3" fontId="22" fillId="0" borderId="6" xfId="13" applyNumberFormat="1" applyFont="1" applyBorder="1" applyAlignment="1" applyProtection="1">
      <alignment horizontal="center" vertical="center"/>
      <protection locked="0"/>
    </xf>
    <xf numFmtId="4" fontId="22" fillId="0" borderId="6" xfId="13" applyNumberFormat="1" applyFont="1" applyBorder="1" applyAlignment="1" applyProtection="1">
      <alignment horizontal="center" vertical="center"/>
      <protection locked="0"/>
    </xf>
    <xf numFmtId="4" fontId="22" fillId="0" borderId="17" xfId="0" applyNumberFormat="1" applyFont="1" applyBorder="1" applyAlignment="1" applyProtection="1">
      <alignment horizontal="center" vertical="center"/>
      <protection locked="0"/>
    </xf>
    <xf numFmtId="4" fontId="22" fillId="0" borderId="16" xfId="0" applyNumberFormat="1" applyFont="1" applyBorder="1" applyAlignment="1" applyProtection="1">
      <alignment horizontal="center" vertical="center"/>
      <protection locked="0"/>
    </xf>
    <xf numFmtId="4" fontId="22" fillId="0" borderId="163" xfId="0" applyNumberFormat="1" applyFont="1" applyBorder="1" applyAlignment="1" applyProtection="1">
      <alignment horizontal="center" vertical="center"/>
      <protection locked="0"/>
    </xf>
    <xf numFmtId="0" fontId="29" fillId="7" borderId="248" xfId="0" applyFont="1" applyFill="1" applyBorder="1" applyAlignment="1">
      <alignment horizontal="center" vertical="center"/>
    </xf>
    <xf numFmtId="0" fontId="29" fillId="7" borderId="249" xfId="0" applyFont="1" applyFill="1" applyBorder="1" applyAlignment="1">
      <alignment horizontal="center" vertical="center"/>
    </xf>
    <xf numFmtId="0" fontId="29" fillId="7" borderId="251" xfId="0" applyFont="1" applyFill="1" applyBorder="1" applyAlignment="1">
      <alignment horizontal="center" vertical="center"/>
    </xf>
    <xf numFmtId="0" fontId="29" fillId="7" borderId="252" xfId="0" applyFont="1" applyFill="1" applyBorder="1" applyAlignment="1">
      <alignment horizontal="center" vertical="center"/>
    </xf>
    <xf numFmtId="0" fontId="29" fillId="7" borderId="250" xfId="0" applyFont="1" applyFill="1" applyBorder="1" applyAlignment="1">
      <alignment horizontal="center" vertical="center"/>
    </xf>
    <xf numFmtId="0" fontId="29" fillId="7" borderId="253" xfId="0" applyFont="1" applyFill="1" applyBorder="1" applyAlignment="1">
      <alignment horizontal="center" vertical="center"/>
    </xf>
    <xf numFmtId="0" fontId="29" fillId="7" borderId="0" xfId="0" applyFont="1" applyFill="1" applyAlignment="1">
      <alignment horizontal="justify"/>
    </xf>
    <xf numFmtId="0" fontId="29" fillId="7" borderId="0" xfId="23" applyFont="1" applyFill="1" applyAlignment="1">
      <alignment horizontal="justify" vertical="center"/>
    </xf>
    <xf numFmtId="4" fontId="22" fillId="0" borderId="32" xfId="0" applyNumberFormat="1" applyFont="1" applyBorder="1" applyAlignment="1" applyProtection="1">
      <alignment horizontal="center" vertical="center"/>
      <protection locked="0"/>
    </xf>
    <xf numFmtId="4" fontId="22" fillId="0" borderId="0" xfId="0" applyNumberFormat="1" applyFont="1" applyAlignment="1" applyProtection="1">
      <alignment horizontal="center" vertical="center"/>
      <protection locked="0"/>
    </xf>
    <xf numFmtId="4" fontId="22" fillId="0" borderId="152" xfId="0" applyNumberFormat="1" applyFont="1" applyBorder="1" applyAlignment="1" applyProtection="1">
      <alignment horizontal="center" vertical="center"/>
      <protection locked="0"/>
    </xf>
    <xf numFmtId="0" fontId="22" fillId="7" borderId="150" xfId="0" applyFont="1" applyFill="1" applyBorder="1" applyAlignment="1">
      <alignment horizontal="center" vertical="center"/>
    </xf>
    <xf numFmtId="0" fontId="22" fillId="7" borderId="0" xfId="0" applyFont="1" applyFill="1" applyAlignment="1">
      <alignment horizontal="center" vertical="center"/>
    </xf>
    <xf numFmtId="0" fontId="22" fillId="7" borderId="61" xfId="0" applyFont="1" applyFill="1" applyBorder="1" applyAlignment="1">
      <alignment horizontal="center" vertical="center"/>
    </xf>
    <xf numFmtId="0" fontId="22" fillId="7" borderId="162" xfId="0" applyFont="1" applyFill="1" applyBorder="1" applyAlignment="1">
      <alignment horizontal="center" vertical="center"/>
    </xf>
    <xf numFmtId="0" fontId="22" fillId="7" borderId="16" xfId="0" applyFont="1" applyFill="1" applyBorder="1" applyAlignment="1">
      <alignment horizontal="center" vertical="center"/>
    </xf>
    <xf numFmtId="0" fontId="22" fillId="7" borderId="55" xfId="0" applyFont="1" applyFill="1" applyBorder="1" applyAlignment="1">
      <alignment horizontal="center" vertical="center"/>
    </xf>
    <xf numFmtId="0" fontId="115" fillId="7" borderId="150" xfId="13" applyFont="1" applyFill="1" applyBorder="1" applyAlignment="1">
      <alignment horizontal="left" vertical="center" wrapText="1"/>
    </xf>
    <xf numFmtId="0" fontId="115" fillId="7" borderId="0" xfId="13" applyFont="1" applyFill="1" applyAlignment="1">
      <alignment horizontal="left" vertical="center" wrapText="1"/>
    </xf>
    <xf numFmtId="0" fontId="37" fillId="7" borderId="0" xfId="11" applyFont="1" applyFill="1" applyAlignment="1">
      <alignment horizontal="justify" vertical="top"/>
    </xf>
    <xf numFmtId="0" fontId="29" fillId="7" borderId="194" xfId="23" applyFont="1" applyFill="1" applyBorder="1" applyAlignment="1">
      <alignment horizontal="center" vertical="center" wrapText="1"/>
    </xf>
    <xf numFmtId="0" fontId="22" fillId="7" borderId="145" xfId="0" applyFont="1" applyFill="1" applyBorder="1"/>
    <xf numFmtId="0" fontId="22" fillId="7" borderId="198" xfId="0" applyFont="1" applyFill="1" applyBorder="1"/>
    <xf numFmtId="0" fontId="22" fillId="7" borderId="177" xfId="0" applyFont="1" applyFill="1" applyBorder="1"/>
    <xf numFmtId="0" fontId="22" fillId="7" borderId="175" xfId="0" applyFont="1" applyFill="1" applyBorder="1"/>
    <xf numFmtId="0" fontId="22" fillId="7" borderId="182" xfId="0" applyFont="1" applyFill="1" applyBorder="1"/>
    <xf numFmtId="0" fontId="22" fillId="7" borderId="5" xfId="13" applyFont="1" applyFill="1" applyBorder="1" applyAlignment="1">
      <alignment vertical="top" wrapText="1"/>
    </xf>
    <xf numFmtId="0" fontId="22" fillId="7" borderId="65" xfId="13" applyFont="1" applyFill="1" applyBorder="1" applyAlignment="1">
      <alignment vertical="top" wrapText="1"/>
    </xf>
    <xf numFmtId="0" fontId="22" fillId="7" borderId="6" xfId="13" applyFont="1" applyFill="1" applyBorder="1" applyAlignment="1">
      <alignment vertical="top" wrapText="1"/>
    </xf>
    <xf numFmtId="0" fontId="22" fillId="7" borderId="54" xfId="13" applyFont="1" applyFill="1" applyBorder="1" applyAlignment="1">
      <alignment vertical="top" wrapText="1"/>
    </xf>
    <xf numFmtId="0" fontId="22" fillId="5" borderId="18" xfId="23" applyFill="1" applyBorder="1" applyAlignment="1" applyProtection="1">
      <alignment horizontal="center"/>
      <protection locked="0"/>
    </xf>
    <xf numFmtId="0" fontId="22" fillId="5" borderId="5" xfId="23" applyFill="1" applyBorder="1" applyAlignment="1" applyProtection="1">
      <alignment horizontal="center"/>
      <protection locked="0"/>
    </xf>
    <xf numFmtId="0" fontId="22" fillId="5" borderId="154" xfId="23" applyFill="1" applyBorder="1" applyAlignment="1" applyProtection="1">
      <alignment horizontal="center"/>
      <protection locked="0"/>
    </xf>
    <xf numFmtId="0" fontId="22" fillId="5" borderId="32" xfId="23" applyFill="1" applyBorder="1" applyAlignment="1" applyProtection="1">
      <alignment horizontal="center"/>
      <protection locked="0"/>
    </xf>
    <xf numFmtId="0" fontId="22" fillId="5" borderId="0" xfId="23" applyFill="1" applyAlignment="1" applyProtection="1">
      <alignment horizontal="center"/>
      <protection locked="0"/>
    </xf>
    <xf numFmtId="0" fontId="22" fillId="5" borderId="152" xfId="23" applyFill="1" applyBorder="1" applyAlignment="1" applyProtection="1">
      <alignment horizontal="center"/>
      <protection locked="0"/>
    </xf>
    <xf numFmtId="0" fontId="22" fillId="5" borderId="6" xfId="13" applyFont="1" applyFill="1" applyBorder="1" applyAlignment="1" applyProtection="1">
      <alignment horizontal="center" vertical="center"/>
      <protection locked="0"/>
    </xf>
    <xf numFmtId="0" fontId="22" fillId="5" borderId="17" xfId="23" applyFill="1" applyBorder="1" applyAlignment="1" applyProtection="1">
      <alignment horizontal="center" vertical="center"/>
      <protection locked="0"/>
    </xf>
    <xf numFmtId="0" fontId="22" fillId="5" borderId="16" xfId="23" applyFill="1" applyBorder="1" applyAlignment="1" applyProtection="1">
      <alignment horizontal="center" vertical="center"/>
      <protection locked="0"/>
    </xf>
    <xf numFmtId="0" fontId="22" fillId="5" borderId="163" xfId="23" applyFill="1" applyBorder="1" applyAlignment="1" applyProtection="1">
      <alignment horizontal="center" vertical="center"/>
      <protection locked="0"/>
    </xf>
    <xf numFmtId="4" fontId="22" fillId="5" borderId="6" xfId="13" applyNumberFormat="1" applyFont="1" applyFill="1" applyBorder="1" applyAlignment="1" applyProtection="1">
      <alignment horizontal="center" vertical="center"/>
      <protection locked="0"/>
    </xf>
    <xf numFmtId="0" fontId="35" fillId="7" borderId="144" xfId="13" applyFont="1" applyFill="1" applyBorder="1" applyAlignment="1">
      <alignment horizontal="center" vertical="center"/>
    </xf>
    <xf numFmtId="0" fontId="35" fillId="7" borderId="145" xfId="13" applyFont="1" applyFill="1" applyBorder="1" applyAlignment="1">
      <alignment horizontal="center" vertical="center"/>
    </xf>
    <xf numFmtId="0" fontId="35" fillId="7" borderId="146" xfId="13" applyFont="1" applyFill="1" applyBorder="1" applyAlignment="1">
      <alignment horizontal="center" vertical="center"/>
    </xf>
    <xf numFmtId="0" fontId="35" fillId="7" borderId="174" xfId="13" applyFont="1" applyFill="1" applyBorder="1" applyAlignment="1">
      <alignment horizontal="center" vertical="center"/>
    </xf>
    <xf numFmtId="0" fontId="35" fillId="7" borderId="175" xfId="13" applyFont="1" applyFill="1" applyBorder="1" applyAlignment="1">
      <alignment horizontal="center" vertical="center"/>
    </xf>
    <xf numFmtId="0" fontId="35" fillId="7" borderId="176" xfId="13" applyFont="1" applyFill="1" applyBorder="1" applyAlignment="1">
      <alignment horizontal="center" vertical="center"/>
    </xf>
    <xf numFmtId="0" fontId="22" fillId="5" borderId="20" xfId="23" applyFill="1" applyBorder="1" applyAlignment="1" applyProtection="1">
      <alignment horizontal="center"/>
      <protection locked="0"/>
    </xf>
    <xf numFmtId="0" fontId="22" fillId="5" borderId="6" xfId="23" applyFill="1" applyBorder="1" applyAlignment="1" applyProtection="1">
      <alignment horizontal="center"/>
      <protection locked="0"/>
    </xf>
    <xf numFmtId="0" fontId="22" fillId="5" borderId="153" xfId="23" applyFill="1" applyBorder="1" applyAlignment="1" applyProtection="1">
      <alignment horizontal="center"/>
      <protection locked="0"/>
    </xf>
    <xf numFmtId="0" fontId="22" fillId="5" borderId="20" xfId="23" applyFill="1" applyBorder="1" applyAlignment="1" applyProtection="1">
      <alignment horizontal="center" vertical="center"/>
      <protection locked="0"/>
    </xf>
    <xf numFmtId="0" fontId="22" fillId="5" borderId="6" xfId="23" applyFill="1" applyBorder="1" applyAlignment="1" applyProtection="1">
      <alignment horizontal="center" vertical="center"/>
      <protection locked="0"/>
    </xf>
    <xf numFmtId="0" fontId="22" fillId="5" borderId="153" xfId="23" applyFill="1" applyBorder="1" applyAlignment="1" applyProtection="1">
      <alignment horizontal="center" vertical="center"/>
      <protection locked="0"/>
    </xf>
    <xf numFmtId="0" fontId="32" fillId="5" borderId="17" xfId="23" applyFont="1" applyFill="1" applyBorder="1" applyAlignment="1" applyProtection="1">
      <alignment horizontal="center" vertical="center"/>
      <protection locked="0"/>
    </xf>
    <xf numFmtId="0" fontId="32" fillId="5" borderId="16" xfId="23" applyFont="1" applyFill="1" applyBorder="1" applyAlignment="1" applyProtection="1">
      <alignment horizontal="center" vertical="center"/>
      <protection locked="0"/>
    </xf>
    <xf numFmtId="0" fontId="32" fillId="5" borderId="163" xfId="23" applyFont="1" applyFill="1" applyBorder="1" applyAlignment="1" applyProtection="1">
      <alignment horizontal="center" vertical="center"/>
      <protection locked="0"/>
    </xf>
    <xf numFmtId="0" fontId="22" fillId="0" borderId="6" xfId="36" applyBorder="1" applyAlignment="1" applyProtection="1">
      <alignment horizontal="center" vertical="center"/>
      <protection locked="0"/>
    </xf>
    <xf numFmtId="0" fontId="29" fillId="7" borderId="0" xfId="43" applyFont="1" applyFill="1" applyAlignment="1">
      <alignment horizontal="right"/>
    </xf>
    <xf numFmtId="0" fontId="26" fillId="7" borderId="0" xfId="23" quotePrefix="1" applyFont="1" applyFill="1" applyAlignment="1">
      <alignment horizontal="center" vertical="center"/>
    </xf>
    <xf numFmtId="0" fontId="26" fillId="7" borderId="158" xfId="13" applyFont="1" applyFill="1" applyBorder="1" applyAlignment="1">
      <alignment horizontal="left" vertical="center" indent="1"/>
    </xf>
    <xf numFmtId="0" fontId="26" fillId="7" borderId="6" xfId="13" applyFont="1" applyFill="1" applyBorder="1" applyAlignment="1">
      <alignment horizontal="left" vertical="center" indent="1"/>
    </xf>
    <xf numFmtId="0" fontId="26" fillId="7" borderId="54" xfId="13" applyFont="1" applyFill="1" applyBorder="1" applyAlignment="1">
      <alignment horizontal="left" vertical="center" indent="1"/>
    </xf>
    <xf numFmtId="0" fontId="29" fillId="7" borderId="164" xfId="13" applyFont="1" applyFill="1" applyBorder="1" applyAlignment="1">
      <alignment horizontal="center" vertical="center"/>
    </xf>
    <xf numFmtId="0" fontId="29" fillId="7" borderId="165" xfId="13" applyFont="1" applyFill="1" applyBorder="1" applyAlignment="1">
      <alignment horizontal="center" vertical="center"/>
    </xf>
    <xf numFmtId="0" fontId="29" fillId="7" borderId="166" xfId="13" applyFont="1" applyFill="1" applyBorder="1" applyAlignment="1">
      <alignment horizontal="center" vertical="center"/>
    </xf>
    <xf numFmtId="3" fontId="29" fillId="7" borderId="165" xfId="13" applyNumberFormat="1" applyFont="1" applyFill="1" applyBorder="1" applyAlignment="1">
      <alignment horizontal="center" vertical="center"/>
    </xf>
    <xf numFmtId="3" fontId="29" fillId="7" borderId="170" xfId="13" applyNumberFormat="1" applyFont="1" applyFill="1" applyBorder="1" applyAlignment="1">
      <alignment horizontal="center" vertical="center"/>
    </xf>
    <xf numFmtId="3" fontId="29" fillId="7" borderId="167" xfId="13" applyNumberFormat="1" applyFont="1" applyFill="1" applyBorder="1" applyAlignment="1">
      <alignment horizontal="center" vertical="center"/>
    </xf>
    <xf numFmtId="3" fontId="29" fillId="7" borderId="171" xfId="13" applyNumberFormat="1" applyFont="1" applyFill="1" applyBorder="1" applyAlignment="1">
      <alignment horizontal="center" vertical="center"/>
    </xf>
    <xf numFmtId="3" fontId="29" fillId="7" borderId="172" xfId="13" applyNumberFormat="1" applyFont="1" applyFill="1" applyBorder="1" applyAlignment="1">
      <alignment horizontal="center" vertical="center"/>
    </xf>
    <xf numFmtId="3" fontId="22" fillId="5" borderId="63" xfId="13" applyNumberFormat="1" applyFont="1" applyFill="1" applyBorder="1" applyAlignment="1" applyProtection="1">
      <alignment horizontal="center" vertical="center"/>
      <protection locked="0"/>
    </xf>
    <xf numFmtId="3" fontId="22" fillId="5" borderId="16" xfId="13" applyNumberFormat="1" applyFont="1" applyFill="1" applyBorder="1" applyAlignment="1" applyProtection="1">
      <alignment horizontal="center" vertical="center"/>
      <protection locked="0"/>
    </xf>
    <xf numFmtId="3" fontId="22" fillId="5" borderId="55" xfId="13" applyNumberFormat="1" applyFont="1" applyFill="1" applyBorder="1" applyAlignment="1" applyProtection="1">
      <alignment horizontal="center" vertical="center"/>
      <protection locked="0"/>
    </xf>
    <xf numFmtId="3" fontId="22" fillId="5" borderId="17" xfId="13" applyNumberFormat="1" applyFont="1" applyFill="1" applyBorder="1" applyAlignment="1" applyProtection="1">
      <alignment horizontal="center" vertical="center"/>
      <protection locked="0"/>
    </xf>
    <xf numFmtId="3" fontId="22" fillId="5" borderId="66" xfId="13" applyNumberFormat="1" applyFont="1" applyFill="1" applyBorder="1" applyAlignment="1" applyProtection="1">
      <alignment horizontal="center" vertical="center"/>
      <protection locked="0"/>
    </xf>
    <xf numFmtId="3" fontId="22" fillId="5" borderId="64" xfId="13" applyNumberFormat="1" applyFont="1" applyFill="1" applyBorder="1" applyAlignment="1" applyProtection="1">
      <alignment horizontal="center" vertical="center"/>
      <protection locked="0"/>
    </xf>
    <xf numFmtId="3" fontId="29" fillId="7" borderId="66" xfId="13" applyNumberFormat="1" applyFont="1" applyFill="1" applyBorder="1" applyAlignment="1">
      <alignment horizontal="center" vertical="center"/>
    </xf>
    <xf numFmtId="3" fontId="29" fillId="7" borderId="63" xfId="13" applyNumberFormat="1" applyFont="1" applyFill="1" applyBorder="1" applyAlignment="1">
      <alignment horizontal="center" vertical="center"/>
    </xf>
    <xf numFmtId="0" fontId="29" fillId="4" borderId="20" xfId="13" applyFont="1" applyFill="1" applyBorder="1" applyAlignment="1">
      <alignment horizontal="center" vertical="center"/>
    </xf>
    <xf numFmtId="0" fontId="29" fillId="4" borderId="6" xfId="13" applyFont="1" applyFill="1" applyBorder="1" applyAlignment="1">
      <alignment horizontal="center" vertical="center"/>
    </xf>
    <xf numFmtId="0" fontId="29" fillId="4" borderId="153" xfId="13" applyFont="1" applyFill="1" applyBorder="1" applyAlignment="1">
      <alignment horizontal="center" vertical="center"/>
    </xf>
    <xf numFmtId="0" fontId="29" fillId="7" borderId="146" xfId="13" applyFont="1" applyFill="1" applyBorder="1" applyAlignment="1">
      <alignment horizontal="center" vertical="center"/>
    </xf>
    <xf numFmtId="0" fontId="29" fillId="7" borderId="174" xfId="13" applyFont="1" applyFill="1" applyBorder="1" applyAlignment="1">
      <alignment horizontal="center" vertical="center"/>
    </xf>
    <xf numFmtId="0" fontId="29" fillId="7" borderId="176" xfId="13" applyFont="1" applyFill="1" applyBorder="1" applyAlignment="1">
      <alignment horizontal="center" vertical="center"/>
    </xf>
    <xf numFmtId="0" fontId="29" fillId="7" borderId="178" xfId="13" applyFont="1" applyFill="1" applyBorder="1" applyAlignment="1">
      <alignment horizontal="center" vertical="center"/>
    </xf>
    <xf numFmtId="0" fontId="29" fillId="7" borderId="182" xfId="13" applyFont="1" applyFill="1" applyBorder="1" applyAlignment="1">
      <alignment horizontal="center" vertical="center"/>
    </xf>
    <xf numFmtId="0" fontId="29" fillId="7" borderId="150" xfId="13" applyFont="1" applyFill="1" applyBorder="1" applyAlignment="1">
      <alignment horizontal="center" vertical="center"/>
    </xf>
    <xf numFmtId="0" fontId="29" fillId="7" borderId="0" xfId="13" applyFont="1" applyFill="1" applyAlignment="1">
      <alignment horizontal="center" vertical="center"/>
    </xf>
    <xf numFmtId="0" fontId="29" fillId="7" borderId="61" xfId="13" applyFont="1" applyFill="1" applyBorder="1" applyAlignment="1">
      <alignment horizontal="center" vertical="center"/>
    </xf>
    <xf numFmtId="0" fontId="29" fillId="7" borderId="194" xfId="13" applyFont="1" applyFill="1" applyBorder="1" applyAlignment="1">
      <alignment horizontal="center" vertical="center"/>
    </xf>
    <xf numFmtId="0" fontId="29" fillId="7" borderId="22" xfId="13" applyFont="1" applyFill="1" applyBorder="1" applyAlignment="1">
      <alignment horizontal="center" vertical="center"/>
    </xf>
    <xf numFmtId="0" fontId="29" fillId="7" borderId="9" xfId="13" applyFont="1" applyFill="1" applyBorder="1" applyAlignment="1">
      <alignment horizontal="center" vertical="center"/>
    </xf>
    <xf numFmtId="0" fontId="29" fillId="7" borderId="10" xfId="13" applyFont="1" applyFill="1" applyBorder="1" applyAlignment="1">
      <alignment horizontal="center" vertical="center"/>
    </xf>
    <xf numFmtId="3" fontId="22" fillId="5" borderId="210" xfId="13" applyNumberFormat="1" applyFont="1" applyFill="1" applyBorder="1" applyAlignment="1" applyProtection="1">
      <alignment horizontal="center" vertical="center"/>
      <protection locked="0"/>
    </xf>
    <xf numFmtId="3" fontId="22" fillId="5" borderId="208" xfId="13" applyNumberFormat="1" applyFont="1" applyFill="1" applyBorder="1" applyAlignment="1" applyProtection="1">
      <alignment horizontal="center" vertical="center"/>
      <protection locked="0"/>
    </xf>
    <xf numFmtId="3" fontId="22" fillId="5" borderId="211" xfId="13" applyNumberFormat="1" applyFont="1" applyFill="1" applyBorder="1" applyAlignment="1" applyProtection="1">
      <alignment horizontal="center" vertical="center"/>
      <protection locked="0"/>
    </xf>
    <xf numFmtId="3" fontId="22" fillId="5" borderId="212" xfId="13" applyNumberFormat="1" applyFont="1" applyFill="1" applyBorder="1" applyAlignment="1" applyProtection="1">
      <alignment horizontal="center" vertical="center"/>
      <protection locked="0"/>
    </xf>
    <xf numFmtId="3" fontId="22" fillId="5" borderId="213" xfId="13" applyNumberFormat="1" applyFont="1" applyFill="1" applyBorder="1" applyAlignment="1" applyProtection="1">
      <alignment horizontal="center" vertical="center"/>
      <protection locked="0"/>
    </xf>
    <xf numFmtId="3" fontId="22" fillId="5" borderId="20" xfId="13" applyNumberFormat="1" applyFont="1" applyFill="1" applyBorder="1" applyAlignment="1" applyProtection="1">
      <alignment horizontal="center" vertical="center"/>
      <protection locked="0"/>
    </xf>
    <xf numFmtId="3" fontId="22" fillId="5" borderId="21" xfId="13" applyNumberFormat="1" applyFont="1" applyFill="1" applyBorder="1" applyAlignment="1" applyProtection="1">
      <alignment horizontal="center" vertical="center"/>
      <protection locked="0"/>
    </xf>
    <xf numFmtId="3" fontId="22" fillId="5" borderId="75" xfId="13" applyNumberFormat="1" applyFont="1" applyFill="1" applyBorder="1" applyAlignment="1" applyProtection="1">
      <alignment horizontal="center" vertical="center"/>
      <protection locked="0"/>
    </xf>
    <xf numFmtId="3" fontId="22" fillId="5" borderId="53" xfId="13" applyNumberFormat="1" applyFont="1" applyFill="1" applyBorder="1" applyAlignment="1" applyProtection="1">
      <alignment horizontal="center" vertical="center"/>
      <protection locked="0"/>
    </xf>
    <xf numFmtId="3" fontId="29" fillId="7" borderId="6" xfId="13" applyNumberFormat="1" applyFont="1" applyFill="1" applyBorder="1" applyAlignment="1">
      <alignment horizontal="center" vertical="center"/>
    </xf>
    <xf numFmtId="3" fontId="29" fillId="7" borderId="153" xfId="13" applyNumberFormat="1" applyFont="1" applyFill="1" applyBorder="1" applyAlignment="1">
      <alignment horizontal="center" vertical="center"/>
    </xf>
    <xf numFmtId="0" fontId="22" fillId="7" borderId="6" xfId="13" applyFont="1" applyFill="1" applyBorder="1" applyAlignment="1">
      <alignment horizontal="left" vertical="center" wrapText="1" indent="1"/>
    </xf>
    <xf numFmtId="0" fontId="29" fillId="7" borderId="194" xfId="37" applyFont="1" applyFill="1" applyBorder="1" applyAlignment="1">
      <alignment horizontal="center" vertical="center" wrapText="1" shrinkToFit="1"/>
    </xf>
    <xf numFmtId="0" fontId="29" fillId="7" borderId="145" xfId="37" applyFont="1" applyFill="1" applyBorder="1" applyAlignment="1">
      <alignment horizontal="center" vertical="center" wrapText="1" shrinkToFit="1"/>
    </xf>
    <xf numFmtId="0" fontId="29" fillId="7" borderId="196" xfId="37" applyFont="1" applyFill="1" applyBorder="1" applyAlignment="1">
      <alignment horizontal="center" vertical="center" wrapText="1" shrinkToFit="1"/>
    </xf>
    <xf numFmtId="0" fontId="29" fillId="7" borderId="22" xfId="37" applyFont="1" applyFill="1" applyBorder="1" applyAlignment="1">
      <alignment horizontal="center" vertical="center" wrapText="1" shrinkToFit="1"/>
    </xf>
    <xf numFmtId="0" fontId="29" fillId="7" borderId="9" xfId="37" applyFont="1" applyFill="1" applyBorder="1" applyAlignment="1">
      <alignment horizontal="center" vertical="center" wrapText="1" shrinkToFit="1"/>
    </xf>
    <xf numFmtId="0" fontId="29" fillId="7" borderId="11" xfId="37" applyFont="1" applyFill="1" applyBorder="1" applyAlignment="1">
      <alignment horizontal="center" vertical="center" wrapText="1" shrinkToFit="1"/>
    </xf>
    <xf numFmtId="0" fontId="29" fillId="7" borderId="197" xfId="37" applyFont="1" applyFill="1" applyBorder="1" applyAlignment="1">
      <alignment horizontal="center" vertical="center" wrapText="1"/>
    </xf>
    <xf numFmtId="0" fontId="29" fillId="7" borderId="145" xfId="37" applyFont="1" applyFill="1" applyBorder="1" applyAlignment="1">
      <alignment horizontal="center" vertical="center" wrapText="1"/>
    </xf>
    <xf numFmtId="0" fontId="29" fillId="7" borderId="198" xfId="37" applyFont="1" applyFill="1" applyBorder="1" applyAlignment="1">
      <alignment horizontal="center" vertical="center" wrapText="1"/>
    </xf>
    <xf numFmtId="0" fontId="29" fillId="7" borderId="29" xfId="37" applyFont="1" applyFill="1" applyBorder="1" applyAlignment="1">
      <alignment horizontal="center" vertical="center" wrapText="1"/>
    </xf>
    <xf numFmtId="0" fontId="29" fillId="7" borderId="9" xfId="37" applyFont="1" applyFill="1" applyBorder="1" applyAlignment="1">
      <alignment horizontal="center" vertical="center" wrapText="1"/>
    </xf>
    <xf numFmtId="0" fontId="29" fillId="7" borderId="156" xfId="37" applyFont="1" applyFill="1" applyBorder="1" applyAlignment="1">
      <alignment horizontal="center" vertical="center" wrapText="1"/>
    </xf>
    <xf numFmtId="0" fontId="29" fillId="7" borderId="181" xfId="13" applyFont="1" applyFill="1" applyBorder="1" applyAlignment="1">
      <alignment horizontal="center" vertical="center"/>
    </xf>
    <xf numFmtId="0" fontId="22" fillId="7" borderId="39" xfId="13" applyFont="1" applyFill="1" applyBorder="1" applyAlignment="1">
      <alignment horizontal="left" vertical="center" wrapText="1" indent="1"/>
    </xf>
    <xf numFmtId="3" fontId="29" fillId="7" borderId="166" xfId="13" applyNumberFormat="1" applyFont="1" applyFill="1" applyBorder="1" applyAlignment="1">
      <alignment horizontal="center" vertical="center"/>
    </xf>
    <xf numFmtId="3" fontId="22" fillId="5" borderId="281" xfId="13" applyNumberFormat="1" applyFont="1" applyFill="1" applyBorder="1" applyAlignment="1" applyProtection="1">
      <alignment horizontal="center" vertical="center"/>
      <protection locked="0"/>
    </xf>
    <xf numFmtId="3" fontId="22" fillId="5" borderId="268" xfId="13" applyNumberFormat="1" applyFont="1" applyFill="1" applyBorder="1" applyAlignment="1" applyProtection="1">
      <alignment horizontal="center" vertical="center"/>
      <protection locked="0"/>
    </xf>
    <xf numFmtId="3" fontId="22" fillId="5" borderId="269" xfId="13" applyNumberFormat="1" applyFont="1" applyFill="1" applyBorder="1" applyAlignment="1" applyProtection="1">
      <alignment horizontal="center" vertical="center"/>
      <protection locked="0"/>
    </xf>
    <xf numFmtId="3" fontId="22" fillId="5" borderId="270" xfId="13" applyNumberFormat="1" applyFont="1" applyFill="1" applyBorder="1" applyAlignment="1" applyProtection="1">
      <alignment horizontal="center" vertical="center"/>
      <protection locked="0"/>
    </xf>
    <xf numFmtId="3" fontId="22" fillId="5" borderId="280" xfId="13" applyNumberFormat="1" applyFont="1" applyFill="1" applyBorder="1" applyAlignment="1" applyProtection="1">
      <alignment horizontal="center" vertical="center"/>
      <protection locked="0"/>
    </xf>
    <xf numFmtId="3" fontId="22" fillId="5" borderId="294" xfId="13" applyNumberFormat="1" applyFont="1" applyFill="1" applyBorder="1" applyAlignment="1" applyProtection="1">
      <alignment horizontal="center" vertical="center"/>
      <protection locked="0"/>
    </xf>
    <xf numFmtId="3" fontId="29" fillId="7" borderId="268" xfId="13" applyNumberFormat="1" applyFont="1" applyFill="1" applyBorder="1" applyAlignment="1">
      <alignment horizontal="center" vertical="center"/>
    </xf>
    <xf numFmtId="3" fontId="29" fillId="7" borderId="280" xfId="13" applyNumberFormat="1" applyFont="1" applyFill="1" applyBorder="1" applyAlignment="1">
      <alignment horizontal="center" vertical="center"/>
    </xf>
    <xf numFmtId="3" fontId="29" fillId="7" borderId="271" xfId="13" applyNumberFormat="1" applyFont="1" applyFill="1" applyBorder="1" applyAlignment="1">
      <alignment horizontal="center" vertical="center"/>
    </xf>
    <xf numFmtId="3" fontId="22" fillId="5" borderId="177" xfId="13" applyNumberFormat="1" applyFont="1" applyFill="1" applyBorder="1" applyAlignment="1" applyProtection="1">
      <alignment horizontal="center" vertical="center"/>
      <protection locked="0"/>
    </xf>
    <xf numFmtId="3" fontId="22" fillId="5" borderId="175" xfId="13" applyNumberFormat="1" applyFont="1" applyFill="1" applyBorder="1" applyAlignment="1" applyProtection="1">
      <alignment horizontal="center" vertical="center"/>
      <protection locked="0"/>
    </xf>
    <xf numFmtId="3" fontId="22" fillId="5" borderId="180" xfId="13" applyNumberFormat="1" applyFont="1" applyFill="1" applyBorder="1" applyAlignment="1" applyProtection="1">
      <alignment horizontal="center" vertical="center"/>
      <protection locked="0"/>
    </xf>
    <xf numFmtId="0" fontId="29" fillId="7" borderId="248" xfId="13" applyFont="1" applyFill="1" applyBorder="1" applyAlignment="1">
      <alignment horizontal="center" vertical="center" wrapText="1"/>
    </xf>
    <xf numFmtId="0" fontId="29" fillId="7" borderId="249" xfId="13" applyFont="1" applyFill="1" applyBorder="1" applyAlignment="1">
      <alignment horizontal="center" vertical="center" wrapText="1"/>
    </xf>
    <xf numFmtId="0" fontId="29" fillId="7" borderId="255" xfId="13" applyFont="1" applyFill="1" applyBorder="1" applyAlignment="1">
      <alignment horizontal="center" vertical="center" wrapText="1"/>
    </xf>
    <xf numFmtId="0" fontId="29" fillId="7" borderId="104" xfId="13" applyFont="1" applyFill="1" applyBorder="1" applyAlignment="1">
      <alignment horizontal="center" vertical="center" wrapText="1"/>
    </xf>
    <xf numFmtId="0" fontId="29" fillId="7" borderId="251" xfId="13" applyFont="1" applyFill="1" applyBorder="1" applyAlignment="1">
      <alignment horizontal="center" vertical="center" wrapText="1"/>
    </xf>
    <xf numFmtId="0" fontId="29" fillId="7" borderId="252" xfId="13" applyFont="1" applyFill="1" applyBorder="1" applyAlignment="1">
      <alignment horizontal="center" vertical="center" wrapText="1"/>
    </xf>
    <xf numFmtId="0" fontId="29" fillId="7" borderId="249" xfId="13" applyFont="1" applyFill="1" applyBorder="1" applyAlignment="1">
      <alignment horizontal="center" vertical="center"/>
    </xf>
    <xf numFmtId="0" fontId="29" fillId="7" borderId="104" xfId="13" applyFont="1" applyFill="1" applyBorder="1" applyAlignment="1">
      <alignment horizontal="center" vertical="center"/>
    </xf>
    <xf numFmtId="0" fontId="29" fillId="7" borderId="215" xfId="13" applyFont="1" applyFill="1" applyBorder="1" applyAlignment="1">
      <alignment horizontal="center" vertical="center"/>
    </xf>
    <xf numFmtId="0" fontId="29" fillId="7" borderId="216" xfId="13" applyFont="1" applyFill="1" applyBorder="1" applyAlignment="1">
      <alignment horizontal="center" vertical="center"/>
    </xf>
    <xf numFmtId="0" fontId="29" fillId="7" borderId="217" xfId="13" applyFont="1" applyFill="1" applyBorder="1" applyAlignment="1">
      <alignment horizontal="center" vertical="center"/>
    </xf>
    <xf numFmtId="0" fontId="29" fillId="7" borderId="221" xfId="13" applyFont="1" applyFill="1" applyBorder="1" applyAlignment="1">
      <alignment horizontal="center" vertical="center"/>
    </xf>
    <xf numFmtId="0" fontId="29" fillId="7" borderId="259" xfId="13" applyFont="1" applyFill="1" applyBorder="1" applyAlignment="1">
      <alignment horizontal="center" vertical="center"/>
    </xf>
    <xf numFmtId="0" fontId="29" fillId="7" borderId="258" xfId="13" applyFont="1" applyFill="1" applyBorder="1" applyAlignment="1">
      <alignment horizontal="center" vertical="center"/>
    </xf>
    <xf numFmtId="0" fontId="29" fillId="7" borderId="249" xfId="37" applyFont="1" applyFill="1" applyBorder="1" applyAlignment="1">
      <alignment horizontal="center" vertical="center" wrapText="1" shrinkToFit="1"/>
    </xf>
    <xf numFmtId="0" fontId="29" fillId="7" borderId="254" xfId="37" applyFont="1" applyFill="1" applyBorder="1" applyAlignment="1">
      <alignment horizontal="center" vertical="center" wrapText="1" shrinkToFit="1"/>
    </xf>
    <xf numFmtId="0" fontId="29" fillId="7" borderId="104" xfId="37" applyFont="1" applyFill="1" applyBorder="1" applyAlignment="1">
      <alignment horizontal="center" vertical="center" wrapText="1" shrinkToFit="1"/>
    </xf>
    <xf numFmtId="0" fontId="29" fillId="7" borderId="256" xfId="37" applyFont="1" applyFill="1" applyBorder="1" applyAlignment="1">
      <alignment horizontal="center" vertical="center" wrapText="1" shrinkToFit="1"/>
    </xf>
    <xf numFmtId="0" fontId="29" fillId="7" borderId="146" xfId="37" applyFont="1" applyFill="1" applyBorder="1" applyAlignment="1">
      <alignment horizontal="center" vertical="center" wrapText="1"/>
    </xf>
    <xf numFmtId="0" fontId="29" fillId="7" borderId="249" xfId="37" applyFont="1" applyFill="1" applyBorder="1" applyAlignment="1">
      <alignment horizontal="center" vertical="center" wrapText="1"/>
    </xf>
    <xf numFmtId="0" fontId="29" fillId="7" borderId="250" xfId="37" applyFont="1" applyFill="1" applyBorder="1" applyAlignment="1">
      <alignment horizontal="center" vertical="center" wrapText="1"/>
    </xf>
    <xf numFmtId="0" fontId="29" fillId="7" borderId="61" xfId="37" applyFont="1" applyFill="1" applyBorder="1" applyAlignment="1">
      <alignment horizontal="center" vertical="center" wrapText="1"/>
    </xf>
    <xf numFmtId="0" fontId="29" fillId="7" borderId="104" xfId="37" applyFont="1" applyFill="1" applyBorder="1" applyAlignment="1">
      <alignment horizontal="center" vertical="center" wrapText="1"/>
    </xf>
    <xf numFmtId="0" fontId="29" fillId="7" borderId="257" xfId="37" applyFont="1" applyFill="1" applyBorder="1" applyAlignment="1">
      <alignment horizontal="center" vertical="center" wrapText="1"/>
    </xf>
    <xf numFmtId="0" fontId="29" fillId="7" borderId="260" xfId="13" applyFont="1" applyFill="1" applyBorder="1" applyAlignment="1">
      <alignment horizontal="center" vertical="center"/>
    </xf>
    <xf numFmtId="0" fontId="22" fillId="7" borderId="246" xfId="13" applyFont="1" applyFill="1" applyBorder="1" applyAlignment="1">
      <alignment horizontal="left" vertical="center" wrapText="1" indent="1"/>
    </xf>
    <xf numFmtId="0" fontId="22" fillId="7" borderId="205" xfId="13" applyFont="1" applyFill="1" applyBorder="1" applyAlignment="1">
      <alignment horizontal="left" vertical="center" wrapText="1" indent="1"/>
    </xf>
    <xf numFmtId="0" fontId="22" fillId="7" borderId="224" xfId="13" applyFont="1" applyFill="1" applyBorder="1" applyAlignment="1">
      <alignment horizontal="left" vertical="center" wrapText="1" indent="1"/>
    </xf>
    <xf numFmtId="0" fontId="22" fillId="7" borderId="162" xfId="13" applyFont="1" applyFill="1" applyBorder="1" applyAlignment="1">
      <alignment horizontal="left" vertical="center" wrapText="1" indent="1"/>
    </xf>
    <xf numFmtId="0" fontId="22" fillId="7" borderId="16" xfId="13" applyFont="1" applyFill="1" applyBorder="1" applyAlignment="1">
      <alignment horizontal="left" vertical="center" wrapText="1" indent="1"/>
    </xf>
    <xf numFmtId="0" fontId="22" fillId="7" borderId="55" xfId="13" applyFont="1" applyFill="1" applyBorder="1" applyAlignment="1">
      <alignment horizontal="left" vertical="center" wrapText="1" indent="1"/>
    </xf>
    <xf numFmtId="3" fontId="22" fillId="5" borderId="204" xfId="13" applyNumberFormat="1" applyFont="1" applyFill="1" applyBorder="1" applyAlignment="1" applyProtection="1">
      <alignment horizontal="center" vertical="center"/>
      <protection locked="0"/>
    </xf>
    <xf numFmtId="3" fontId="22" fillId="5" borderId="205" xfId="13" applyNumberFormat="1" applyFont="1" applyFill="1" applyBorder="1" applyAlignment="1" applyProtection="1">
      <alignment horizontal="center" vertical="center"/>
      <protection locked="0"/>
    </xf>
    <xf numFmtId="3" fontId="22" fillId="5" borderId="224" xfId="13" applyNumberFormat="1" applyFont="1" applyFill="1" applyBorder="1" applyAlignment="1" applyProtection="1">
      <alignment horizontal="center" vertical="center"/>
      <protection locked="0"/>
    </xf>
    <xf numFmtId="0" fontId="29" fillId="7" borderId="32" xfId="13" applyFont="1" applyFill="1" applyBorder="1" applyAlignment="1">
      <alignment horizontal="center" vertical="center" wrapText="1"/>
    </xf>
    <xf numFmtId="0" fontId="29" fillId="7" borderId="0" xfId="13" applyFont="1" applyFill="1" applyAlignment="1">
      <alignment horizontal="center" vertical="center" wrapText="1"/>
    </xf>
    <xf numFmtId="0" fontId="29" fillId="7" borderId="61" xfId="13" applyFont="1" applyFill="1" applyBorder="1" applyAlignment="1">
      <alignment horizontal="center" vertical="center" wrapText="1"/>
    </xf>
    <xf numFmtId="0" fontId="29" fillId="7" borderId="32" xfId="13" applyFont="1" applyFill="1" applyBorder="1" applyAlignment="1">
      <alignment horizontal="center" vertical="center"/>
    </xf>
    <xf numFmtId="0" fontId="29" fillId="7" borderId="32" xfId="37" applyFont="1" applyFill="1" applyBorder="1" applyAlignment="1">
      <alignment horizontal="center" vertical="center" wrapText="1" shrinkToFit="1"/>
    </xf>
    <xf numFmtId="0" fontId="29" fillId="7" borderId="0" xfId="37" applyFont="1" applyFill="1" applyAlignment="1">
      <alignment horizontal="center" vertical="center" wrapText="1" shrinkToFit="1"/>
    </xf>
    <xf numFmtId="0" fontId="29" fillId="7" borderId="73" xfId="37" applyFont="1" applyFill="1" applyBorder="1" applyAlignment="1">
      <alignment horizontal="center" vertical="center" wrapText="1" shrinkToFit="1"/>
    </xf>
    <xf numFmtId="0" fontId="29" fillId="7" borderId="3" xfId="37" applyFont="1" applyFill="1" applyBorder="1" applyAlignment="1">
      <alignment horizontal="center" vertical="center" wrapText="1"/>
    </xf>
    <xf numFmtId="0" fontId="29" fillId="7" borderId="0" xfId="37" applyFont="1" applyFill="1" applyAlignment="1">
      <alignment horizontal="center" vertical="center" wrapText="1"/>
    </xf>
    <xf numFmtId="0" fontId="29" fillId="7" borderId="152" xfId="37" applyFont="1" applyFill="1" applyBorder="1" applyAlignment="1">
      <alignment horizontal="center" vertical="center" wrapText="1"/>
    </xf>
    <xf numFmtId="3" fontId="22" fillId="5" borderId="225" xfId="13" applyNumberFormat="1" applyFont="1" applyFill="1" applyBorder="1" applyAlignment="1" applyProtection="1">
      <alignment horizontal="center" vertical="center"/>
      <protection locked="0"/>
    </xf>
    <xf numFmtId="0" fontId="22" fillId="7" borderId="247" xfId="13" applyFont="1" applyFill="1" applyBorder="1" applyAlignment="1">
      <alignment horizontal="left" vertical="center" wrapText="1" indent="1"/>
    </xf>
    <xf numFmtId="0" fontId="22" fillId="7" borderId="208" xfId="13" applyFont="1" applyFill="1" applyBorder="1" applyAlignment="1">
      <alignment horizontal="left" vertical="center" wrapText="1" indent="1"/>
    </xf>
    <xf numFmtId="0" fontId="22" fillId="7" borderId="223" xfId="13" applyFont="1" applyFill="1" applyBorder="1" applyAlignment="1">
      <alignment horizontal="left" vertical="center" wrapText="1" indent="1"/>
    </xf>
    <xf numFmtId="0" fontId="22" fillId="7" borderId="144" xfId="25" applyFill="1" applyBorder="1" applyAlignment="1">
      <alignment horizontal="center" vertical="center" wrapText="1"/>
    </xf>
    <xf numFmtId="0" fontId="22" fillId="7" borderId="145" xfId="25" applyFill="1" applyBorder="1" applyAlignment="1">
      <alignment horizontal="center" vertical="center" wrapText="1"/>
    </xf>
    <xf numFmtId="0" fontId="22" fillId="7" borderId="146" xfId="25" applyFill="1" applyBorder="1" applyAlignment="1">
      <alignment horizontal="center" vertical="center" wrapText="1"/>
    </xf>
    <xf numFmtId="0" fontId="22" fillId="7" borderId="150" xfId="25" applyFill="1" applyBorder="1" applyAlignment="1">
      <alignment horizontal="center" vertical="center" wrapText="1"/>
    </xf>
    <xf numFmtId="0" fontId="22" fillId="7" borderId="0" xfId="25" applyFill="1" applyAlignment="1">
      <alignment horizontal="center" vertical="center" wrapText="1"/>
    </xf>
    <xf numFmtId="0" fontId="22" fillId="7" borderId="61" xfId="25" applyFill="1" applyBorder="1" applyAlignment="1">
      <alignment horizontal="center" vertical="center" wrapText="1"/>
    </xf>
    <xf numFmtId="0" fontId="22" fillId="5" borderId="18" xfId="13" applyFont="1" applyFill="1" applyBorder="1" applyAlignment="1" applyProtection="1">
      <alignment horizontal="center" vertical="center"/>
      <protection locked="0"/>
    </xf>
    <xf numFmtId="0" fontId="22" fillId="5" borderId="5" xfId="13" applyFont="1" applyFill="1" applyBorder="1" applyAlignment="1" applyProtection="1">
      <alignment horizontal="center" vertical="center"/>
      <protection locked="0"/>
    </xf>
    <xf numFmtId="0" fontId="22" fillId="5" borderId="154" xfId="13" applyFont="1" applyFill="1" applyBorder="1" applyAlignment="1" applyProtection="1">
      <alignment horizontal="center" vertical="center"/>
      <protection locked="0"/>
    </xf>
    <xf numFmtId="0" fontId="22" fillId="5" borderId="17" xfId="13" applyFont="1" applyFill="1" applyBorder="1" applyAlignment="1" applyProtection="1">
      <alignment horizontal="center" vertical="center"/>
      <protection locked="0"/>
    </xf>
    <xf numFmtId="0" fontId="22" fillId="5" borderId="16" xfId="13" applyFont="1" applyFill="1" applyBorder="1" applyAlignment="1" applyProtection="1">
      <alignment horizontal="center" vertical="center"/>
      <protection locked="0"/>
    </xf>
    <xf numFmtId="0" fontId="22" fillId="5" borderId="163" xfId="13" applyFont="1" applyFill="1" applyBorder="1" applyAlignment="1" applyProtection="1">
      <alignment horizontal="center" vertical="center"/>
      <protection locked="0"/>
    </xf>
    <xf numFmtId="0" fontId="22" fillId="5" borderId="204" xfId="13" applyFont="1" applyFill="1" applyBorder="1" applyAlignment="1" applyProtection="1">
      <alignment horizontal="center" vertical="center"/>
      <protection locked="0"/>
    </xf>
    <xf numFmtId="0" fontId="22" fillId="5" borderId="205" xfId="13" applyFont="1" applyFill="1" applyBorder="1" applyAlignment="1" applyProtection="1">
      <alignment horizontal="center" vertical="center"/>
      <protection locked="0"/>
    </xf>
    <xf numFmtId="0" fontId="22" fillId="5" borderId="206" xfId="13" applyFont="1" applyFill="1" applyBorder="1" applyAlignment="1" applyProtection="1">
      <alignment horizontal="center" vertical="center"/>
      <protection locked="0"/>
    </xf>
    <xf numFmtId="0" fontId="22" fillId="7" borderId="246" xfId="25" applyFill="1" applyBorder="1" applyAlignment="1">
      <alignment horizontal="left" vertical="center" indent="2"/>
    </xf>
    <xf numFmtId="0" fontId="22" fillId="7" borderId="205" xfId="25" applyFill="1" applyBorder="1" applyAlignment="1">
      <alignment horizontal="left" vertical="center" indent="2"/>
    </xf>
    <xf numFmtId="0" fontId="22" fillId="7" borderId="224" xfId="25" applyFill="1" applyBorder="1" applyAlignment="1">
      <alignment horizontal="left" vertical="center" indent="2"/>
    </xf>
    <xf numFmtId="0" fontId="22" fillId="7" borderId="162" xfId="25" applyFill="1" applyBorder="1" applyAlignment="1">
      <alignment horizontal="left" vertical="center" indent="2"/>
    </xf>
    <xf numFmtId="0" fontId="22" fillId="7" borderId="16" xfId="25" applyFill="1" applyBorder="1" applyAlignment="1">
      <alignment horizontal="left" vertical="center" indent="2"/>
    </xf>
    <xf numFmtId="0" fontId="22" fillId="7" borderId="55" xfId="25" applyFill="1" applyBorder="1" applyAlignment="1">
      <alignment horizontal="left" vertical="center" indent="2"/>
    </xf>
    <xf numFmtId="0" fontId="22" fillId="7" borderId="157" xfId="25" applyFill="1" applyBorder="1" applyAlignment="1">
      <alignment horizontal="left" vertical="center" indent="2"/>
    </xf>
    <xf numFmtId="0" fontId="22" fillId="7" borderId="5" xfId="25" applyFill="1" applyBorder="1" applyAlignment="1">
      <alignment horizontal="left" vertical="center" indent="2"/>
    </xf>
    <xf numFmtId="0" fontId="22" fillId="5" borderId="16" xfId="25" applyFill="1" applyBorder="1" applyAlignment="1" applyProtection="1">
      <alignment horizontal="center" vertical="center"/>
      <protection locked="0"/>
    </xf>
    <xf numFmtId="0" fontId="22" fillId="5" borderId="55" xfId="25" applyFill="1" applyBorder="1" applyAlignment="1" applyProtection="1">
      <alignment horizontal="center" vertical="center"/>
      <protection locked="0"/>
    </xf>
    <xf numFmtId="0" fontId="22" fillId="7" borderId="194" xfId="13" applyFont="1" applyFill="1" applyBorder="1" applyAlignment="1">
      <alignment horizontal="center" vertical="center" wrapText="1"/>
    </xf>
    <xf numFmtId="0" fontId="22" fillId="7" borderId="145" xfId="13" applyFont="1" applyFill="1" applyBorder="1" applyAlignment="1">
      <alignment horizontal="center" vertical="center" wrapText="1"/>
    </xf>
    <xf numFmtId="0" fontId="22" fillId="7" borderId="198" xfId="13" applyFont="1" applyFill="1" applyBorder="1" applyAlignment="1">
      <alignment horizontal="center" vertical="center" wrapText="1"/>
    </xf>
    <xf numFmtId="0" fontId="22" fillId="7" borderId="32" xfId="13" applyFont="1" applyFill="1" applyBorder="1" applyAlignment="1">
      <alignment horizontal="center" vertical="center" wrapText="1"/>
    </xf>
    <xf numFmtId="0" fontId="22" fillId="7" borderId="0" xfId="13" applyFont="1" applyFill="1" applyAlignment="1">
      <alignment horizontal="center" vertical="center" wrapText="1"/>
    </xf>
    <xf numFmtId="0" fontId="22" fillId="7" borderId="152" xfId="13" applyFont="1" applyFill="1" applyBorder="1" applyAlignment="1">
      <alignment horizontal="center" vertical="center" wrapText="1"/>
    </xf>
    <xf numFmtId="0" fontId="22" fillId="5" borderId="6" xfId="13" applyFont="1" applyFill="1" applyBorder="1" applyAlignment="1" applyProtection="1">
      <alignment horizontal="center"/>
      <protection locked="0"/>
    </xf>
    <xf numFmtId="3" fontId="22" fillId="5" borderId="223" xfId="13" applyNumberFormat="1" applyFont="1" applyFill="1" applyBorder="1" applyAlignment="1" applyProtection="1">
      <alignment horizontal="center" vertical="center"/>
      <protection locked="0"/>
    </xf>
    <xf numFmtId="0" fontId="116" fillId="7" borderId="177" xfId="13" applyFont="1" applyFill="1" applyBorder="1" applyAlignment="1">
      <alignment horizontal="center" vertical="center"/>
    </xf>
    <xf numFmtId="0" fontId="116" fillId="7" borderId="175" xfId="13" applyFont="1" applyFill="1" applyBorder="1" applyAlignment="1">
      <alignment horizontal="center" vertical="center"/>
    </xf>
    <xf numFmtId="0" fontId="116" fillId="7" borderId="182" xfId="13" applyFont="1" applyFill="1" applyBorder="1" applyAlignment="1">
      <alignment horizontal="center" vertical="center"/>
    </xf>
    <xf numFmtId="0" fontId="37" fillId="7" borderId="0" xfId="11" applyFont="1" applyFill="1" applyAlignment="1">
      <alignment horizontal="justify"/>
    </xf>
    <xf numFmtId="3" fontId="22" fillId="5" borderId="210" xfId="36" applyNumberFormat="1" applyFill="1" applyBorder="1" applyAlignment="1" applyProtection="1">
      <alignment horizontal="center" vertical="center"/>
      <protection locked="0"/>
    </xf>
    <xf numFmtId="3" fontId="22" fillId="5" borderId="208" xfId="36" applyNumberFormat="1" applyFill="1" applyBorder="1" applyAlignment="1" applyProtection="1">
      <alignment horizontal="center" vertical="center"/>
      <protection locked="0"/>
    </xf>
    <xf numFmtId="3" fontId="22" fillId="5" borderId="211" xfId="36" applyNumberFormat="1" applyFill="1" applyBorder="1" applyAlignment="1" applyProtection="1">
      <alignment horizontal="center" vertical="center"/>
      <protection locked="0"/>
    </xf>
    <xf numFmtId="3" fontId="22" fillId="5" borderId="212" xfId="36" applyNumberFormat="1" applyFill="1" applyBorder="1" applyAlignment="1" applyProtection="1">
      <alignment horizontal="center" vertical="center"/>
      <protection locked="0"/>
    </xf>
    <xf numFmtId="3" fontId="22" fillId="5" borderId="223" xfId="36" applyNumberFormat="1" applyFill="1" applyBorder="1" applyAlignment="1" applyProtection="1">
      <alignment horizontal="center" vertical="center"/>
      <protection locked="0"/>
    </xf>
    <xf numFmtId="3" fontId="22" fillId="5" borderId="213" xfId="36" applyNumberFormat="1" applyFill="1" applyBorder="1" applyAlignment="1" applyProtection="1">
      <alignment horizontal="center" vertical="center"/>
      <protection locked="0"/>
    </xf>
    <xf numFmtId="3" fontId="29" fillId="7" borderId="208" xfId="36" applyNumberFormat="1" applyFont="1" applyFill="1" applyBorder="1" applyAlignment="1">
      <alignment horizontal="center" vertical="center"/>
    </xf>
    <xf numFmtId="3" fontId="29" fillId="7" borderId="213" xfId="36" applyNumberFormat="1" applyFont="1" applyFill="1" applyBorder="1" applyAlignment="1">
      <alignment horizontal="center" vertical="center"/>
    </xf>
    <xf numFmtId="3" fontId="22" fillId="5" borderId="207" xfId="36" applyNumberFormat="1" applyFill="1" applyBorder="1" applyAlignment="1" applyProtection="1">
      <alignment horizontal="center" vertical="center"/>
      <protection locked="0"/>
    </xf>
    <xf numFmtId="3" fontId="22" fillId="5" borderId="209" xfId="36" applyNumberFormat="1" applyFill="1" applyBorder="1" applyAlignment="1" applyProtection="1">
      <alignment horizontal="center" vertical="center"/>
      <protection locked="0"/>
    </xf>
    <xf numFmtId="0" fontId="22" fillId="7" borderId="247" xfId="29" applyFont="1" applyFill="1" applyBorder="1" applyAlignment="1">
      <alignment horizontal="left" vertical="center" indent="2"/>
    </xf>
    <xf numFmtId="0" fontId="22" fillId="7" borderId="208" xfId="29" applyFont="1" applyFill="1" applyBorder="1" applyAlignment="1">
      <alignment horizontal="left" vertical="center" indent="2"/>
    </xf>
    <xf numFmtId="0" fontId="22" fillId="7" borderId="223" xfId="29" applyFont="1" applyFill="1" applyBorder="1" applyAlignment="1">
      <alignment horizontal="left" vertical="center" indent="2"/>
    </xf>
    <xf numFmtId="3" fontId="29" fillId="7" borderId="205" xfId="36" applyNumberFormat="1" applyFont="1" applyFill="1" applyBorder="1" applyAlignment="1">
      <alignment horizontal="center" vertical="center"/>
    </xf>
    <xf numFmtId="3" fontId="29" fillId="7" borderId="225" xfId="36" applyNumberFormat="1" applyFont="1" applyFill="1" applyBorder="1" applyAlignment="1">
      <alignment horizontal="center" vertical="center"/>
    </xf>
    <xf numFmtId="0" fontId="22" fillId="7" borderId="246" xfId="29" applyFont="1" applyFill="1" applyBorder="1" applyAlignment="1">
      <alignment horizontal="left" vertical="center" indent="2"/>
    </xf>
    <xf numFmtId="0" fontId="22" fillId="7" borderId="205" xfId="29" applyFont="1" applyFill="1" applyBorder="1" applyAlignment="1">
      <alignment horizontal="left" vertical="center" indent="2"/>
    </xf>
    <xf numFmtId="0" fontId="22" fillId="7" borderId="224" xfId="29" applyFont="1" applyFill="1" applyBorder="1" applyAlignment="1">
      <alignment horizontal="left" vertical="center" indent="2"/>
    </xf>
    <xf numFmtId="0" fontId="29" fillId="7" borderId="261" xfId="29" applyFont="1" applyFill="1" applyBorder="1" applyAlignment="1">
      <alignment horizontal="center" vertical="center" wrapText="1"/>
    </xf>
    <xf numFmtId="0" fontId="29" fillId="7" borderId="262" xfId="29" applyFont="1" applyFill="1" applyBorder="1" applyAlignment="1">
      <alignment horizontal="center" vertical="center" wrapText="1"/>
    </xf>
    <xf numFmtId="0" fontId="29" fillId="7" borderId="263" xfId="29" applyFont="1" applyFill="1" applyBorder="1" applyAlignment="1">
      <alignment horizontal="center" vertical="center" wrapText="1"/>
    </xf>
    <xf numFmtId="0" fontId="29" fillId="7" borderId="265" xfId="29" applyFont="1" applyFill="1" applyBorder="1" applyAlignment="1">
      <alignment horizontal="center" vertical="center" wrapText="1"/>
    </xf>
    <xf numFmtId="0" fontId="29" fillId="7" borderId="91" xfId="29" applyFont="1" applyFill="1" applyBorder="1" applyAlignment="1">
      <alignment horizontal="center" vertical="center" wrapText="1"/>
    </xf>
    <xf numFmtId="0" fontId="29" fillId="7" borderId="173" xfId="29" applyFont="1" applyFill="1" applyBorder="1" applyAlignment="1">
      <alignment horizontal="center" vertical="center" wrapText="1"/>
    </xf>
    <xf numFmtId="0" fontId="29" fillId="7" borderId="264" xfId="29" applyFont="1" applyFill="1" applyBorder="1" applyAlignment="1">
      <alignment horizontal="center" vertical="center" wrapText="1"/>
    </xf>
    <xf numFmtId="0" fontId="29" fillId="7" borderId="72" xfId="29" applyFont="1" applyFill="1" applyBorder="1" applyAlignment="1">
      <alignment horizontal="center" vertical="center" wrapText="1"/>
    </xf>
    <xf numFmtId="0" fontId="29" fillId="7" borderId="145" xfId="29" applyFont="1" applyFill="1" applyBorder="1" applyAlignment="1">
      <alignment horizontal="center" vertical="center" wrapText="1"/>
    </xf>
    <xf numFmtId="0" fontId="29" fillId="7" borderId="198" xfId="29" applyFont="1" applyFill="1" applyBorder="1" applyAlignment="1">
      <alignment horizontal="center" vertical="center" wrapText="1"/>
    </xf>
    <xf numFmtId="0" fontId="29" fillId="7" borderId="0" xfId="29" applyFont="1" applyFill="1" applyAlignment="1">
      <alignment horizontal="center" vertical="center" wrapText="1"/>
    </xf>
    <xf numFmtId="0" fontId="29" fillId="7" borderId="152" xfId="29" applyFont="1" applyFill="1" applyBorder="1" applyAlignment="1">
      <alignment horizontal="center" vertical="center" wrapText="1"/>
    </xf>
    <xf numFmtId="3" fontId="22" fillId="5" borderId="228" xfId="36" applyNumberFormat="1" applyFill="1" applyBorder="1" applyAlignment="1" applyProtection="1">
      <alignment horizontal="center" vertical="center"/>
      <protection locked="0"/>
    </xf>
    <xf numFmtId="3" fontId="22" fillId="5" borderId="205" xfId="36" applyNumberFormat="1" applyFill="1" applyBorder="1" applyAlignment="1" applyProtection="1">
      <alignment horizontal="center" vertical="center"/>
      <protection locked="0"/>
    </xf>
    <xf numFmtId="3" fontId="22" fillId="5" borderId="206" xfId="36" applyNumberFormat="1" applyFill="1" applyBorder="1" applyAlignment="1" applyProtection="1">
      <alignment horizontal="center" vertical="center"/>
      <protection locked="0"/>
    </xf>
    <xf numFmtId="0" fontId="29" fillId="7" borderId="144" xfId="29" applyFont="1" applyFill="1" applyBorder="1" applyAlignment="1">
      <alignment horizontal="center" vertical="center" wrapText="1"/>
    </xf>
    <xf numFmtId="0" fontId="29" fillId="7" borderId="146" xfId="29" applyFont="1" applyFill="1" applyBorder="1" applyAlignment="1">
      <alignment horizontal="center" vertical="center" wrapText="1"/>
    </xf>
    <xf numFmtId="0" fontId="29" fillId="7" borderId="150" xfId="29" applyFont="1" applyFill="1" applyBorder="1" applyAlignment="1">
      <alignment horizontal="center" vertical="center" wrapText="1"/>
    </xf>
    <xf numFmtId="0" fontId="29" fillId="7" borderId="61" xfId="29" applyFont="1" applyFill="1" applyBorder="1" applyAlignment="1">
      <alignment horizontal="center" vertical="center" wrapText="1"/>
    </xf>
    <xf numFmtId="0" fontId="29" fillId="7" borderId="32" xfId="29" applyFont="1" applyFill="1" applyBorder="1" applyAlignment="1">
      <alignment horizontal="center" vertical="center" wrapText="1"/>
    </xf>
    <xf numFmtId="0" fontId="29" fillId="7" borderId="71" xfId="29" applyFont="1" applyFill="1" applyBorder="1" applyAlignment="1">
      <alignment horizontal="center" vertical="center" wrapText="1"/>
    </xf>
    <xf numFmtId="0" fontId="29" fillId="7" borderId="147" xfId="29" applyFont="1" applyFill="1" applyBorder="1" applyAlignment="1">
      <alignment horizontal="center" vertical="center" wrapText="1"/>
    </xf>
    <xf numFmtId="0" fontId="29" fillId="7" borderId="148" xfId="29" applyFont="1" applyFill="1" applyBorder="1" applyAlignment="1">
      <alignment horizontal="center" vertical="center" wrapText="1"/>
    </xf>
    <xf numFmtId="0" fontId="29" fillId="7" borderId="214" xfId="29" applyFont="1" applyFill="1" applyBorder="1" applyAlignment="1">
      <alignment horizontal="center" vertical="center" wrapText="1"/>
    </xf>
    <xf numFmtId="3" fontId="22" fillId="5" borderId="204" xfId="36" applyNumberFormat="1" applyFill="1" applyBorder="1" applyAlignment="1" applyProtection="1">
      <alignment horizontal="center" vertical="center"/>
      <protection locked="0"/>
    </xf>
    <xf numFmtId="3" fontId="22" fillId="5" borderId="226" xfId="36" applyNumberFormat="1" applyFill="1" applyBorder="1" applyAlignment="1" applyProtection="1">
      <alignment horizontal="center" vertical="center"/>
      <protection locked="0"/>
    </xf>
    <xf numFmtId="3" fontId="22" fillId="5" borderId="227" xfId="36" applyNumberFormat="1" applyFill="1" applyBorder="1" applyAlignment="1" applyProtection="1">
      <alignment horizontal="center" vertical="center"/>
      <protection locked="0"/>
    </xf>
    <xf numFmtId="3" fontId="22" fillId="5" borderId="224" xfId="36" applyNumberFormat="1" applyFill="1" applyBorder="1" applyAlignment="1" applyProtection="1">
      <alignment horizontal="center" vertical="center"/>
      <protection locked="0"/>
    </xf>
    <xf numFmtId="3" fontId="22" fillId="5" borderId="225" xfId="36" applyNumberFormat="1" applyFill="1" applyBorder="1" applyAlignment="1" applyProtection="1">
      <alignment horizontal="center" vertical="center"/>
      <protection locked="0"/>
    </xf>
    <xf numFmtId="49" fontId="32" fillId="5" borderId="6" xfId="14" applyNumberFormat="1" applyFont="1" applyFill="1" applyBorder="1" applyAlignment="1" applyProtection="1">
      <alignment horizontal="center"/>
      <protection locked="0"/>
    </xf>
    <xf numFmtId="4" fontId="32" fillId="5" borderId="6" xfId="14" applyNumberFormat="1" applyFont="1" applyFill="1" applyBorder="1" applyAlignment="1" applyProtection="1">
      <alignment horizontal="center"/>
      <protection locked="0"/>
    </xf>
    <xf numFmtId="0" fontId="110" fillId="7" borderId="0" xfId="0" applyFont="1" applyFill="1" applyAlignment="1">
      <alignment horizontal="center" vertical="top"/>
    </xf>
    <xf numFmtId="0" fontId="29" fillId="7" borderId="362" xfId="25" applyFont="1" applyFill="1" applyBorder="1" applyAlignment="1">
      <alignment horizontal="center" vertical="center" wrapText="1"/>
    </xf>
    <xf numFmtId="0" fontId="29" fillId="7" borderId="109" xfId="25" applyFont="1" applyFill="1" applyBorder="1" applyAlignment="1">
      <alignment horizontal="center" vertical="center" wrapText="1"/>
    </xf>
    <xf numFmtId="0" fontId="29" fillId="7" borderId="303" xfId="25" applyFont="1" applyFill="1" applyBorder="1" applyAlignment="1">
      <alignment horizontal="center" vertical="center" wrapText="1"/>
    </xf>
    <xf numFmtId="0" fontId="29" fillId="7" borderId="376" xfId="25" applyFont="1" applyFill="1" applyBorder="1" applyAlignment="1">
      <alignment horizontal="center" vertical="center" wrapText="1"/>
    </xf>
    <xf numFmtId="0" fontId="29" fillId="7" borderId="82" xfId="25" applyFont="1" applyFill="1" applyBorder="1" applyAlignment="1">
      <alignment horizontal="center" vertical="center"/>
    </xf>
    <xf numFmtId="0" fontId="29" fillId="7" borderId="83" xfId="25" applyFont="1" applyFill="1" applyBorder="1" applyAlignment="1">
      <alignment horizontal="center" vertical="center"/>
    </xf>
    <xf numFmtId="0" fontId="29" fillId="7" borderId="84" xfId="25" applyFont="1" applyFill="1" applyBorder="1" applyAlignment="1">
      <alignment horizontal="center" vertical="center"/>
    </xf>
    <xf numFmtId="3" fontId="22" fillId="5" borderId="227" xfId="25" applyNumberFormat="1" applyFill="1" applyBorder="1" applyAlignment="1" applyProtection="1">
      <alignment horizontal="center" vertical="center"/>
      <protection locked="0"/>
    </xf>
    <xf numFmtId="3" fontId="22" fillId="5" borderId="226" xfId="25" applyNumberFormat="1" applyFill="1" applyBorder="1" applyAlignment="1" applyProtection="1">
      <alignment horizontal="center" vertical="center"/>
      <protection locked="0"/>
    </xf>
    <xf numFmtId="3" fontId="22" fillId="5" borderId="204" xfId="25" applyNumberFormat="1" applyFill="1" applyBorder="1" applyAlignment="1" applyProtection="1">
      <alignment horizontal="center" vertical="center"/>
      <protection locked="0"/>
    </xf>
    <xf numFmtId="3" fontId="22" fillId="5" borderId="40" xfId="25" applyNumberFormat="1" applyFill="1" applyBorder="1" applyAlignment="1" applyProtection="1">
      <alignment horizontal="center" vertical="center"/>
      <protection locked="0"/>
    </xf>
    <xf numFmtId="3" fontId="22" fillId="5" borderId="41" xfId="25" applyNumberFormat="1" applyFill="1" applyBorder="1" applyAlignment="1" applyProtection="1">
      <alignment horizontal="center" vertical="center"/>
      <protection locked="0"/>
    </xf>
    <xf numFmtId="3" fontId="22" fillId="5" borderId="39" xfId="25" applyNumberFormat="1" applyFill="1" applyBorder="1" applyAlignment="1" applyProtection="1">
      <alignment horizontal="center" vertical="center"/>
      <protection locked="0"/>
    </xf>
    <xf numFmtId="3" fontId="22" fillId="5" borderId="319" xfId="25" applyNumberFormat="1" applyFill="1" applyBorder="1" applyAlignment="1" applyProtection="1">
      <alignment horizontal="center" vertical="center"/>
      <protection locked="0"/>
    </xf>
    <xf numFmtId="3" fontId="22" fillId="5" borderId="315" xfId="25" applyNumberFormat="1" applyFill="1" applyBorder="1" applyAlignment="1" applyProtection="1">
      <alignment horizontal="center" vertical="center"/>
      <protection locked="0"/>
    </xf>
    <xf numFmtId="3" fontId="22" fillId="5" borderId="348" xfId="25" applyNumberFormat="1" applyFill="1" applyBorder="1" applyAlignment="1" applyProtection="1">
      <alignment horizontal="center" vertical="center"/>
      <protection locked="0"/>
    </xf>
    <xf numFmtId="3" fontId="22" fillId="5" borderId="338" xfId="25" applyNumberFormat="1" applyFill="1" applyBorder="1" applyAlignment="1" applyProtection="1">
      <alignment horizontal="center" vertical="center"/>
      <protection locked="0"/>
    </xf>
    <xf numFmtId="3" fontId="22" fillId="5" borderId="205" xfId="25" applyNumberFormat="1" applyFill="1" applyBorder="1" applyAlignment="1" applyProtection="1">
      <alignment horizontal="center" vertical="center"/>
      <protection locked="0"/>
    </xf>
    <xf numFmtId="0" fontId="29" fillId="7" borderId="265" xfId="25" applyFont="1" applyFill="1" applyBorder="1" applyAlignment="1">
      <alignment horizontal="center" vertical="center"/>
    </xf>
    <xf numFmtId="0" fontId="29" fillId="7" borderId="91" xfId="25" applyFont="1" applyFill="1" applyBorder="1" applyAlignment="1">
      <alignment horizontal="center" vertical="center"/>
    </xf>
    <xf numFmtId="0" fontId="29" fillId="7" borderId="370" xfId="25" applyFont="1" applyFill="1" applyBorder="1" applyAlignment="1">
      <alignment horizontal="center" vertical="center"/>
    </xf>
    <xf numFmtId="0" fontId="29" fillId="7" borderId="278" xfId="25" applyFont="1" applyFill="1" applyBorder="1" applyAlignment="1">
      <alignment horizontal="center" vertical="center"/>
    </xf>
    <xf numFmtId="0" fontId="29" fillId="7" borderId="48" xfId="25" applyFont="1" applyFill="1" applyBorder="1" applyAlignment="1">
      <alignment horizontal="center" vertical="center"/>
    </xf>
    <xf numFmtId="0" fontId="29" fillId="7" borderId="50" xfId="25" applyFont="1" applyFill="1" applyBorder="1" applyAlignment="1">
      <alignment horizontal="center" vertical="center"/>
    </xf>
    <xf numFmtId="0" fontId="29" fillId="7" borderId="0" xfId="25" applyFont="1" applyFill="1" applyAlignment="1">
      <alignment horizontal="center" vertical="center"/>
    </xf>
    <xf numFmtId="0" fontId="29" fillId="7" borderId="71" xfId="25" applyFont="1" applyFill="1" applyBorder="1" applyAlignment="1">
      <alignment horizontal="center" vertical="center"/>
    </xf>
    <xf numFmtId="0" fontId="29" fillId="7" borderId="72" xfId="25" applyFont="1" applyFill="1" applyBorder="1" applyAlignment="1">
      <alignment horizontal="center" vertical="center"/>
    </xf>
    <xf numFmtId="0" fontId="29" fillId="7" borderId="61" xfId="25" applyFont="1" applyFill="1" applyBorder="1" applyAlignment="1">
      <alignment horizontal="center" vertical="center"/>
    </xf>
    <xf numFmtId="0" fontId="29" fillId="7" borderId="82" xfId="25" applyFont="1" applyFill="1" applyBorder="1" applyAlignment="1">
      <alignment horizontal="center" vertical="center" wrapText="1"/>
    </xf>
    <xf numFmtId="0" fontId="29" fillId="7" borderId="83" xfId="25" applyFont="1" applyFill="1" applyBorder="1" applyAlignment="1">
      <alignment horizontal="center" vertical="center" wrapText="1"/>
    </xf>
    <xf numFmtId="0" fontId="29" fillId="7" borderId="84" xfId="25" applyFont="1" applyFill="1" applyBorder="1" applyAlignment="1">
      <alignment horizontal="center" vertical="center" wrapText="1"/>
    </xf>
    <xf numFmtId="3" fontId="22" fillId="5" borderId="350" xfId="25" applyNumberFormat="1" applyFill="1" applyBorder="1" applyAlignment="1" applyProtection="1">
      <alignment horizontal="center" vertical="center"/>
      <protection locked="0"/>
    </xf>
    <xf numFmtId="3" fontId="29" fillId="7" borderId="328" xfId="25" applyNumberFormat="1" applyFont="1" applyFill="1" applyBorder="1" applyAlignment="1">
      <alignment horizontal="center" vertical="center"/>
    </xf>
    <xf numFmtId="3" fontId="29" fillId="7" borderId="375" xfId="25" applyNumberFormat="1" applyFont="1" applyFill="1" applyBorder="1" applyAlignment="1">
      <alignment horizontal="center" vertical="center"/>
    </xf>
    <xf numFmtId="3" fontId="22" fillId="5" borderId="324" xfId="25" applyNumberFormat="1" applyFill="1" applyBorder="1" applyAlignment="1" applyProtection="1">
      <alignment horizontal="center" vertical="center"/>
      <protection locked="0"/>
    </xf>
    <xf numFmtId="3" fontId="29" fillId="7" borderId="374" xfId="25" applyNumberFormat="1" applyFont="1" applyFill="1" applyBorder="1" applyAlignment="1">
      <alignment horizontal="center" vertical="center"/>
    </xf>
    <xf numFmtId="3" fontId="29" fillId="7" borderId="168" xfId="25" applyNumberFormat="1" applyFont="1" applyFill="1" applyBorder="1" applyAlignment="1">
      <alignment horizontal="center" vertical="center"/>
    </xf>
    <xf numFmtId="3" fontId="29" fillId="7" borderId="165" xfId="25" applyNumberFormat="1" applyFont="1" applyFill="1" applyBorder="1" applyAlignment="1">
      <alignment horizontal="center" vertical="center"/>
    </xf>
    <xf numFmtId="3" fontId="29" fillId="7" borderId="170" xfId="25" applyNumberFormat="1" applyFont="1" applyFill="1" applyBorder="1" applyAlignment="1">
      <alignment horizontal="center" vertical="center"/>
    </xf>
    <xf numFmtId="3" fontId="29" fillId="7" borderId="167" xfId="25" applyNumberFormat="1" applyFont="1" applyFill="1" applyBorder="1" applyAlignment="1">
      <alignment horizontal="center" vertical="center"/>
    </xf>
    <xf numFmtId="3" fontId="22" fillId="5" borderId="38" xfId="25" applyNumberFormat="1" applyFill="1" applyBorder="1" applyAlignment="1" applyProtection="1">
      <alignment horizontal="center" vertical="center"/>
      <protection locked="0"/>
    </xf>
    <xf numFmtId="0" fontId="22" fillId="7" borderId="246" xfId="13" applyFont="1" applyFill="1" applyBorder="1" applyAlignment="1">
      <alignment horizontal="left" vertical="center" wrapText="1"/>
    </xf>
    <xf numFmtId="0" fontId="22" fillId="7" borderId="205" xfId="13" applyFont="1" applyFill="1" applyBorder="1" applyAlignment="1">
      <alignment horizontal="left" vertical="center" wrapText="1"/>
    </xf>
    <xf numFmtId="0" fontId="22" fillId="7" borderId="224" xfId="13" applyFont="1" applyFill="1" applyBorder="1" applyAlignment="1">
      <alignment horizontal="left" vertical="center" wrapText="1"/>
    </xf>
    <xf numFmtId="0" fontId="29" fillId="7" borderId="177" xfId="13" applyFont="1" applyFill="1" applyBorder="1" applyAlignment="1">
      <alignment horizontal="center" vertical="center" wrapText="1"/>
    </xf>
    <xf numFmtId="0" fontId="29" fillId="7" borderId="177" xfId="37" applyFont="1" applyFill="1" applyBorder="1" applyAlignment="1">
      <alignment horizontal="center" vertical="center" wrapText="1" shrinkToFit="1"/>
    </xf>
    <xf numFmtId="0" fontId="29" fillId="7" borderId="175" xfId="37" applyFont="1" applyFill="1" applyBorder="1" applyAlignment="1">
      <alignment horizontal="center" vertical="center" wrapText="1" shrinkToFit="1"/>
    </xf>
    <xf numFmtId="0" fontId="29" fillId="7" borderId="179" xfId="37" applyFont="1" applyFill="1" applyBorder="1" applyAlignment="1">
      <alignment horizontal="center" vertical="center" wrapText="1" shrinkToFit="1"/>
    </xf>
    <xf numFmtId="0" fontId="22" fillId="7" borderId="162" xfId="13" applyFont="1" applyFill="1" applyBorder="1" applyAlignment="1">
      <alignment horizontal="left" vertical="center" wrapText="1" indent="5"/>
    </xf>
    <xf numFmtId="0" fontId="22" fillId="7" borderId="16" xfId="0" applyFont="1" applyFill="1" applyBorder="1" applyAlignment="1">
      <alignment horizontal="left" vertical="center" wrapText="1" indent="5"/>
    </xf>
    <xf numFmtId="0" fontId="22" fillId="7" borderId="55" xfId="0" applyFont="1" applyFill="1" applyBorder="1" applyAlignment="1">
      <alignment horizontal="left" vertical="center" wrapText="1" indent="5"/>
    </xf>
    <xf numFmtId="0" fontId="22" fillId="7" borderId="162" xfId="13" applyFont="1" applyFill="1" applyBorder="1" applyAlignment="1">
      <alignment horizontal="left" vertical="center" wrapText="1"/>
    </xf>
    <xf numFmtId="0" fontId="22" fillId="7" borderId="16" xfId="0" applyFont="1" applyFill="1" applyBorder="1" applyAlignment="1">
      <alignment horizontal="left" vertical="center" wrapText="1"/>
    </xf>
    <xf numFmtId="0" fontId="22" fillId="7" borderId="55" xfId="0" applyFont="1" applyFill="1" applyBorder="1" applyAlignment="1">
      <alignment horizontal="left" vertical="center" wrapText="1"/>
    </xf>
    <xf numFmtId="0" fontId="22" fillId="4" borderId="17" xfId="13" applyFont="1" applyFill="1" applyBorder="1" applyAlignment="1">
      <alignment horizontal="center" vertical="center"/>
    </xf>
    <xf numFmtId="0" fontId="22" fillId="4" borderId="16" xfId="13" applyFont="1" applyFill="1" applyBorder="1" applyAlignment="1">
      <alignment horizontal="center" vertical="center"/>
    </xf>
    <xf numFmtId="0" fontId="22" fillId="4" borderId="163" xfId="13" applyFont="1" applyFill="1" applyBorder="1" applyAlignment="1">
      <alignment horizontal="center" vertical="center"/>
    </xf>
    <xf numFmtId="0" fontId="22" fillId="7" borderId="247" xfId="13" applyFont="1" applyFill="1" applyBorder="1" applyAlignment="1">
      <alignment horizontal="left" vertical="center" wrapText="1"/>
    </xf>
    <xf numFmtId="0" fontId="22" fillId="7" borderId="208" xfId="0" applyFont="1" applyFill="1" applyBorder="1" applyAlignment="1">
      <alignment horizontal="left" vertical="center" wrapText="1"/>
    </xf>
    <xf numFmtId="0" fontId="22" fillId="7" borderId="223" xfId="0" applyFont="1" applyFill="1" applyBorder="1" applyAlignment="1">
      <alignment horizontal="left" vertical="center" wrapText="1"/>
    </xf>
    <xf numFmtId="0" fontId="29" fillId="7" borderId="150" xfId="13" applyFont="1" applyFill="1" applyBorder="1" applyAlignment="1">
      <alignment horizontal="center" vertical="center" wrapText="1"/>
    </xf>
    <xf numFmtId="0" fontId="29" fillId="7" borderId="218" xfId="25" applyFont="1" applyFill="1" applyBorder="1" applyAlignment="1">
      <alignment horizontal="center" vertical="center"/>
    </xf>
    <xf numFmtId="0" fontId="29" fillId="7" borderId="217" xfId="25" applyFont="1" applyFill="1" applyBorder="1" applyAlignment="1">
      <alignment horizontal="center" vertical="center"/>
    </xf>
    <xf numFmtId="0" fontId="29" fillId="7" borderId="216" xfId="25" applyFont="1" applyFill="1" applyBorder="1" applyAlignment="1">
      <alignment horizontal="center" vertical="center"/>
    </xf>
    <xf numFmtId="0" fontId="29" fillId="7" borderId="144" xfId="25" applyFont="1" applyFill="1" applyBorder="1" applyAlignment="1">
      <alignment horizontal="center" vertical="center" wrapText="1"/>
    </xf>
    <xf numFmtId="0" fontId="29" fillId="7" borderId="145" xfId="25" applyFont="1" applyFill="1" applyBorder="1" applyAlignment="1">
      <alignment horizontal="center" vertical="center" wrapText="1"/>
    </xf>
    <xf numFmtId="0" fontId="29" fillId="7" borderId="146" xfId="25" applyFont="1" applyFill="1" applyBorder="1" applyAlignment="1">
      <alignment horizontal="center" vertical="center" wrapText="1"/>
    </xf>
    <xf numFmtId="0" fontId="29" fillId="7" borderId="150" xfId="25" applyFont="1" applyFill="1" applyBorder="1" applyAlignment="1">
      <alignment horizontal="center" vertical="center" wrapText="1"/>
    </xf>
    <xf numFmtId="0" fontId="29" fillId="7" borderId="0" xfId="25" applyFont="1" applyFill="1" applyAlignment="1">
      <alignment horizontal="center" vertical="center" wrapText="1"/>
    </xf>
    <xf numFmtId="0" fontId="29" fillId="7" borderId="61" xfId="25" applyFont="1" applyFill="1" applyBorder="1" applyAlignment="1">
      <alignment horizontal="center" vertical="center" wrapText="1"/>
    </xf>
    <xf numFmtId="0" fontId="29" fillId="7" borderId="147" xfId="25" applyFont="1" applyFill="1" applyBorder="1" applyAlignment="1">
      <alignment horizontal="center" vertical="center" wrapText="1"/>
    </xf>
    <xf numFmtId="0" fontId="29" fillId="7" borderId="148" xfId="25" applyFont="1" applyFill="1" applyBorder="1" applyAlignment="1">
      <alignment horizontal="center" vertical="center" wrapText="1"/>
    </xf>
    <xf numFmtId="0" fontId="29" fillId="7" borderId="149" xfId="25" applyFont="1" applyFill="1" applyBorder="1" applyAlignment="1">
      <alignment horizontal="center" vertical="center" wrapText="1"/>
    </xf>
    <xf numFmtId="0" fontId="29" fillId="7" borderId="185" xfId="25" applyFont="1" applyFill="1" applyBorder="1" applyAlignment="1">
      <alignment horizontal="center" vertical="center"/>
    </xf>
    <xf numFmtId="0" fontId="29" fillId="7" borderId="32" xfId="25" applyFont="1" applyFill="1" applyBorder="1" applyAlignment="1">
      <alignment horizontal="center" vertical="center"/>
    </xf>
    <xf numFmtId="0" fontId="29" fillId="7" borderId="279" xfId="25" applyFont="1" applyFill="1" applyBorder="1" applyAlignment="1">
      <alignment horizontal="center" vertical="center"/>
    </xf>
    <xf numFmtId="0" fontId="22" fillId="7" borderId="246" xfId="25" applyFill="1" applyBorder="1" applyAlignment="1">
      <alignment horizontal="left" vertical="center" wrapText="1" indent="1"/>
    </xf>
    <xf numFmtId="0" fontId="22" fillId="7" borderId="205" xfId="25" applyFill="1" applyBorder="1" applyAlignment="1">
      <alignment horizontal="left" vertical="center" wrapText="1" indent="1"/>
    </xf>
    <xf numFmtId="0" fontId="22" fillId="7" borderId="224" xfId="25" applyFill="1" applyBorder="1" applyAlignment="1">
      <alignment horizontal="left" vertical="center" wrapText="1" indent="1"/>
    </xf>
    <xf numFmtId="3" fontId="22" fillId="5" borderId="224" xfId="25" applyNumberFormat="1" applyFill="1" applyBorder="1" applyAlignment="1" applyProtection="1">
      <alignment horizontal="center" vertical="center"/>
      <protection locked="0"/>
    </xf>
    <xf numFmtId="3" fontId="22" fillId="5" borderId="339" xfId="25" applyNumberFormat="1" applyFill="1" applyBorder="1" applyAlignment="1" applyProtection="1">
      <alignment horizontal="center" vertical="center"/>
      <protection locked="0"/>
    </xf>
    <xf numFmtId="0" fontId="29" fillId="7" borderId="215" xfId="25" applyFont="1" applyFill="1" applyBorder="1" applyAlignment="1">
      <alignment horizontal="center" vertical="center"/>
    </xf>
    <xf numFmtId="0" fontId="22" fillId="7" borderId="266" xfId="25" applyFill="1" applyBorder="1" applyAlignment="1">
      <alignment horizontal="left" vertical="center" wrapText="1" indent="1"/>
    </xf>
    <xf numFmtId="0" fontId="22" fillId="7" borderId="39" xfId="25" applyFill="1" applyBorder="1" applyAlignment="1">
      <alignment horizontal="left" vertical="center" wrapText="1" indent="1"/>
    </xf>
    <xf numFmtId="0" fontId="22" fillId="7" borderId="43" xfId="25" applyFill="1" applyBorder="1" applyAlignment="1">
      <alignment horizontal="left" vertical="center" wrapText="1" indent="1"/>
    </xf>
    <xf numFmtId="3" fontId="22" fillId="5" borderId="43" xfId="25" applyNumberFormat="1" applyFill="1" applyBorder="1" applyAlignment="1" applyProtection="1">
      <alignment horizontal="center" vertical="center"/>
      <protection locked="0"/>
    </xf>
    <xf numFmtId="3" fontId="22" fillId="5" borderId="313" xfId="25" applyNumberFormat="1" applyFill="1" applyBorder="1" applyAlignment="1" applyProtection="1">
      <alignment horizontal="center" vertical="center"/>
      <protection locked="0"/>
    </xf>
    <xf numFmtId="0" fontId="29" fillId="7" borderId="164" xfId="25" applyFont="1" applyFill="1" applyBorder="1" applyAlignment="1">
      <alignment horizontal="center" vertical="center" wrapText="1"/>
    </xf>
    <xf numFmtId="0" fontId="29" fillId="7" borderId="165" xfId="25" applyFont="1" applyFill="1" applyBorder="1" applyAlignment="1">
      <alignment horizontal="center" vertical="center" wrapText="1"/>
    </xf>
    <xf numFmtId="0" fontId="29" fillId="7" borderId="166" xfId="25" applyFont="1" applyFill="1" applyBorder="1" applyAlignment="1">
      <alignment horizontal="center" vertical="center" wrapText="1"/>
    </xf>
    <xf numFmtId="3" fontId="29" fillId="7" borderId="371" xfId="25" applyNumberFormat="1" applyFont="1" applyFill="1" applyBorder="1" applyAlignment="1">
      <alignment horizontal="center" vertical="center"/>
    </xf>
    <xf numFmtId="3" fontId="29" fillId="7" borderId="372" xfId="25" applyNumberFormat="1" applyFont="1" applyFill="1" applyBorder="1" applyAlignment="1">
      <alignment horizontal="center" vertical="center"/>
    </xf>
    <xf numFmtId="3" fontId="29" fillId="7" borderId="373" xfId="25" applyNumberFormat="1" applyFont="1" applyFill="1" applyBorder="1" applyAlignment="1">
      <alignment horizontal="center" vertical="center"/>
    </xf>
    <xf numFmtId="3" fontId="29" fillId="7" borderId="172" xfId="25" applyNumberFormat="1" applyFont="1" applyFill="1" applyBorder="1" applyAlignment="1">
      <alignment horizontal="center" vertical="center"/>
    </xf>
    <xf numFmtId="0" fontId="29" fillId="7" borderId="194" xfId="25" applyFont="1" applyFill="1" applyBorder="1" applyAlignment="1">
      <alignment horizontal="center" vertical="center" wrapText="1"/>
    </xf>
    <xf numFmtId="0" fontId="29" fillId="7" borderId="198" xfId="25" applyFont="1" applyFill="1" applyBorder="1" applyAlignment="1">
      <alignment horizontal="center" vertical="center" wrapText="1"/>
    </xf>
    <xf numFmtId="3" fontId="22" fillId="5" borderId="206" xfId="25" applyNumberFormat="1" applyFill="1" applyBorder="1" applyAlignment="1" applyProtection="1">
      <alignment horizontal="center" vertical="center"/>
      <protection locked="0"/>
    </xf>
    <xf numFmtId="3" fontId="22" fillId="5" borderId="17" xfId="25" applyNumberFormat="1" applyFill="1" applyBorder="1" applyAlignment="1" applyProtection="1">
      <alignment horizontal="center" vertical="center"/>
      <protection locked="0"/>
    </xf>
    <xf numFmtId="3" fontId="22" fillId="5" borderId="16" xfId="25" applyNumberFormat="1" applyFill="1" applyBorder="1" applyAlignment="1" applyProtection="1">
      <alignment horizontal="center" vertical="center"/>
      <protection locked="0"/>
    </xf>
    <xf numFmtId="3" fontId="22" fillId="5" borderId="163" xfId="25" applyNumberFormat="1" applyFill="1" applyBorder="1" applyAlignment="1" applyProtection="1">
      <alignment horizontal="center" vertical="center"/>
      <protection locked="0"/>
    </xf>
    <xf numFmtId="3" fontId="22" fillId="5" borderId="189" xfId="25" applyNumberFormat="1" applyFill="1" applyBorder="1" applyAlignment="1" applyProtection="1">
      <alignment horizontal="center" vertical="center"/>
      <protection locked="0"/>
    </xf>
    <xf numFmtId="0" fontId="29" fillId="7" borderId="164" xfId="25" applyFont="1" applyFill="1" applyBorder="1" applyAlignment="1">
      <alignment horizontal="center" vertical="center"/>
    </xf>
    <xf numFmtId="0" fontId="29" fillId="7" borderId="165" xfId="25" applyFont="1" applyFill="1" applyBorder="1" applyAlignment="1">
      <alignment horizontal="center" vertical="center"/>
    </xf>
    <xf numFmtId="0" fontId="29" fillId="7" borderId="166" xfId="25" applyFont="1" applyFill="1" applyBorder="1" applyAlignment="1">
      <alignment horizontal="center" vertical="center"/>
    </xf>
    <xf numFmtId="3" fontId="29" fillId="7" borderId="177" xfId="25" applyNumberFormat="1" applyFont="1" applyFill="1" applyBorder="1" applyAlignment="1">
      <alignment horizontal="center" vertical="center"/>
    </xf>
    <xf numFmtId="3" fontId="29" fillId="7" borderId="175" xfId="25" applyNumberFormat="1" applyFont="1" applyFill="1" applyBorder="1" applyAlignment="1">
      <alignment horizontal="center" vertical="center"/>
    </xf>
    <xf numFmtId="3" fontId="29" fillId="7" borderId="182" xfId="25" applyNumberFormat="1" applyFont="1" applyFill="1" applyBorder="1" applyAlignment="1">
      <alignment horizontal="center" vertical="center"/>
    </xf>
    <xf numFmtId="0" fontId="29" fillId="7" borderId="144" xfId="25" applyFont="1" applyFill="1" applyBorder="1" applyAlignment="1">
      <alignment horizontal="center" vertical="center"/>
    </xf>
    <xf numFmtId="0" fontId="29" fillId="7" borderId="145" xfId="25" applyFont="1" applyFill="1" applyBorder="1" applyAlignment="1">
      <alignment horizontal="center" vertical="center"/>
    </xf>
    <xf numFmtId="0" fontId="29" fillId="7" borderId="146" xfId="25" applyFont="1" applyFill="1" applyBorder="1" applyAlignment="1">
      <alignment horizontal="center" vertical="center"/>
    </xf>
    <xf numFmtId="3" fontId="29" fillId="7" borderId="166" xfId="25" applyNumberFormat="1" applyFont="1" applyFill="1" applyBorder="1" applyAlignment="1">
      <alignment horizontal="center" vertical="center"/>
    </xf>
    <xf numFmtId="0" fontId="22" fillId="7" borderId="0" xfId="25" applyFill="1" applyAlignment="1">
      <alignment horizontal="center" wrapText="1"/>
    </xf>
    <xf numFmtId="0" fontId="22" fillId="7" borderId="0" xfId="25" applyFill="1" applyAlignment="1">
      <alignment horizontal="justify" wrapText="1"/>
    </xf>
    <xf numFmtId="3" fontId="22" fillId="5" borderId="204" xfId="25" applyNumberFormat="1" applyFill="1" applyBorder="1" applyAlignment="1" applyProtection="1">
      <alignment horizontal="center" vertical="center" wrapText="1"/>
      <protection locked="0"/>
    </xf>
    <xf numFmtId="3" fontId="22" fillId="5" borderId="205" xfId="25" applyNumberFormat="1" applyFill="1" applyBorder="1" applyAlignment="1" applyProtection="1">
      <alignment horizontal="center" vertical="center" wrapText="1"/>
      <protection locked="0"/>
    </xf>
    <xf numFmtId="3" fontId="22" fillId="5" borderId="224" xfId="25" applyNumberFormat="1" applyFill="1" applyBorder="1" applyAlignment="1" applyProtection="1">
      <alignment horizontal="center" vertical="center" wrapText="1"/>
      <protection locked="0"/>
    </xf>
    <xf numFmtId="3" fontId="22" fillId="5" borderId="55" xfId="25" applyNumberFormat="1" applyFill="1" applyBorder="1" applyAlignment="1" applyProtection="1">
      <alignment horizontal="center" vertical="center"/>
      <protection locked="0"/>
    </xf>
    <xf numFmtId="3" fontId="22" fillId="5" borderId="18" xfId="25" applyNumberFormat="1" applyFill="1" applyBorder="1" applyAlignment="1" applyProtection="1">
      <alignment horizontal="center" vertical="center"/>
      <protection locked="0"/>
    </xf>
    <xf numFmtId="3" fontId="22" fillId="5" borderId="5" xfId="25" applyNumberFormat="1" applyFill="1" applyBorder="1" applyAlignment="1" applyProtection="1">
      <alignment horizontal="center" vertical="center"/>
      <protection locked="0"/>
    </xf>
    <xf numFmtId="3" fontId="22" fillId="5" borderId="65" xfId="25" applyNumberFormat="1" applyFill="1" applyBorder="1" applyAlignment="1" applyProtection="1">
      <alignment horizontal="center" vertical="center"/>
      <protection locked="0"/>
    </xf>
    <xf numFmtId="3" fontId="22" fillId="5" borderId="206" xfId="25" applyNumberFormat="1" applyFill="1" applyBorder="1" applyAlignment="1" applyProtection="1">
      <alignment horizontal="center" vertical="center" wrapText="1"/>
      <protection locked="0"/>
    </xf>
    <xf numFmtId="3" fontId="22" fillId="5" borderId="154" xfId="25" applyNumberFormat="1" applyFill="1" applyBorder="1" applyAlignment="1" applyProtection="1">
      <alignment horizontal="center" vertical="center"/>
      <protection locked="0"/>
    </xf>
    <xf numFmtId="0" fontId="26" fillId="7" borderId="0" xfId="36" applyFont="1" applyFill="1" applyAlignment="1">
      <alignment horizontal="justify" vertical="center" wrapText="1"/>
    </xf>
    <xf numFmtId="0" fontId="26" fillId="7" borderId="0" xfId="36" applyFont="1" applyFill="1" applyAlignment="1">
      <alignment horizontal="justify" vertical="top" wrapText="1"/>
    </xf>
    <xf numFmtId="0" fontId="22" fillId="7" borderId="266" xfId="25" applyFill="1" applyBorder="1" applyAlignment="1">
      <alignment horizontal="left" vertical="center" indent="1"/>
    </xf>
    <xf numFmtId="0" fontId="22" fillId="7" borderId="39" xfId="25" applyFill="1" applyBorder="1" applyAlignment="1">
      <alignment horizontal="left" vertical="center" indent="1"/>
    </xf>
    <xf numFmtId="0" fontId="22" fillId="7" borderId="43" xfId="25" applyFill="1" applyBorder="1" applyAlignment="1">
      <alignment horizontal="left" vertical="center" indent="1"/>
    </xf>
    <xf numFmtId="0" fontId="29" fillId="7" borderId="174" xfId="25" applyFont="1" applyFill="1" applyBorder="1" applyAlignment="1">
      <alignment horizontal="center" vertical="center"/>
    </xf>
    <xf numFmtId="0" fontId="29" fillId="7" borderId="175" xfId="25" applyFont="1" applyFill="1" applyBorder="1" applyAlignment="1">
      <alignment horizontal="center" vertical="center"/>
    </xf>
    <xf numFmtId="0" fontId="29" fillId="7" borderId="176" xfId="25" applyFont="1" applyFill="1" applyBorder="1" applyAlignment="1">
      <alignment horizontal="center" vertical="center"/>
    </xf>
    <xf numFmtId="3" fontId="29" fillId="7" borderId="176" xfId="25" applyNumberFormat="1" applyFont="1" applyFill="1" applyBorder="1" applyAlignment="1">
      <alignment horizontal="center" vertical="center"/>
    </xf>
    <xf numFmtId="0" fontId="22" fillId="7" borderId="162" xfId="25" applyFill="1" applyBorder="1" applyAlignment="1">
      <alignment horizontal="left" vertical="center" indent="1"/>
    </xf>
    <xf numFmtId="0" fontId="22" fillId="7" borderId="16" xfId="25" applyFill="1" applyBorder="1" applyAlignment="1">
      <alignment horizontal="left" vertical="center" indent="1"/>
    </xf>
    <xf numFmtId="0" fontId="22" fillId="7" borderId="55" xfId="25" applyFill="1" applyBorder="1" applyAlignment="1">
      <alignment horizontal="left" vertical="center" indent="1"/>
    </xf>
    <xf numFmtId="0" fontId="29" fillId="7" borderId="150" xfId="25" applyFont="1" applyFill="1" applyBorder="1" applyAlignment="1">
      <alignment horizontal="center" vertical="center"/>
    </xf>
    <xf numFmtId="0" fontId="29" fillId="7" borderId="147" xfId="25" applyFont="1" applyFill="1" applyBorder="1" applyAlignment="1">
      <alignment horizontal="center" vertical="center"/>
    </xf>
    <xf numFmtId="0" fontId="29" fillId="7" borderId="148" xfId="25" applyFont="1" applyFill="1" applyBorder="1" applyAlignment="1">
      <alignment horizontal="center" vertical="center"/>
    </xf>
    <xf numFmtId="0" fontId="29" fillId="7" borderId="149" xfId="25" applyFont="1" applyFill="1" applyBorder="1" applyAlignment="1">
      <alignment horizontal="center" vertical="center"/>
    </xf>
    <xf numFmtId="0" fontId="29" fillId="7" borderId="32" xfId="25" applyFont="1" applyFill="1" applyBorder="1" applyAlignment="1">
      <alignment horizontal="center" vertical="center" wrapText="1"/>
    </xf>
    <xf numFmtId="0" fontId="29" fillId="7" borderId="152" xfId="25" applyFont="1" applyFill="1" applyBorder="1" applyAlignment="1">
      <alignment horizontal="center" vertical="center"/>
    </xf>
    <xf numFmtId="0" fontId="29" fillId="7" borderId="214" xfId="25" applyFont="1" applyFill="1" applyBorder="1" applyAlignment="1">
      <alignment horizontal="center" vertical="center" wrapText="1"/>
    </xf>
    <xf numFmtId="0" fontId="29" fillId="7" borderId="152" xfId="25" applyFont="1" applyFill="1" applyBorder="1" applyAlignment="1">
      <alignment horizontal="center" vertical="center" wrapText="1"/>
    </xf>
    <xf numFmtId="0" fontId="22" fillId="7" borderId="0" xfId="25" applyFill="1" applyAlignment="1">
      <alignment wrapText="1"/>
    </xf>
    <xf numFmtId="0" fontId="32" fillId="5" borderId="6" xfId="14" applyFont="1" applyFill="1" applyBorder="1" applyAlignment="1" applyProtection="1">
      <alignment horizontal="center" vertical="center"/>
      <protection locked="0"/>
    </xf>
    <xf numFmtId="0" fontId="29" fillId="7" borderId="0" xfId="29" applyFont="1" applyFill="1" applyAlignment="1">
      <alignment vertical="center" wrapText="1"/>
    </xf>
    <xf numFmtId="14" fontId="22" fillId="5" borderId="6" xfId="13" applyNumberFormat="1" applyFont="1" applyFill="1" applyBorder="1" applyAlignment="1" applyProtection="1">
      <alignment horizontal="center" vertical="center"/>
      <protection locked="0"/>
    </xf>
    <xf numFmtId="0" fontId="29" fillId="7" borderId="267" xfId="25" applyFont="1" applyFill="1" applyBorder="1" applyAlignment="1">
      <alignment horizontal="center" vertical="top"/>
    </xf>
    <xf numFmtId="0" fontId="29" fillId="7" borderId="268" xfId="25" applyFont="1" applyFill="1" applyBorder="1" applyAlignment="1">
      <alignment horizontal="center" vertical="top"/>
    </xf>
    <xf numFmtId="0" fontId="29" fillId="7" borderId="269" xfId="25" applyFont="1" applyFill="1" applyBorder="1" applyAlignment="1">
      <alignment horizontal="center" vertical="top"/>
    </xf>
    <xf numFmtId="0" fontId="29" fillId="7" borderId="270" xfId="25" applyFont="1" applyFill="1" applyBorder="1" applyAlignment="1">
      <alignment horizontal="center" vertical="top"/>
    </xf>
    <xf numFmtId="0" fontId="29" fillId="7" borderId="270" xfId="25" applyFont="1" applyFill="1" applyBorder="1" applyAlignment="1">
      <alignment horizontal="center" vertical="center" wrapText="1"/>
    </xf>
    <xf numFmtId="0" fontId="29" fillId="7" borderId="268" xfId="25" applyFont="1" applyFill="1" applyBorder="1" applyAlignment="1">
      <alignment horizontal="center" vertical="center" wrapText="1"/>
    </xf>
    <xf numFmtId="0" fontId="29" fillId="7" borderId="271" xfId="25" applyFont="1" applyFill="1" applyBorder="1" applyAlignment="1">
      <alignment horizontal="center" vertical="center" wrapText="1"/>
    </xf>
    <xf numFmtId="14" fontId="22" fillId="5" borderId="16" xfId="13" applyNumberFormat="1" applyFont="1" applyFill="1" applyBorder="1" applyAlignment="1" applyProtection="1">
      <alignment horizontal="center" vertical="center"/>
      <protection locked="0"/>
    </xf>
    <xf numFmtId="0" fontId="32" fillId="0" borderId="6" xfId="14" applyFont="1" applyBorder="1" applyAlignment="1" applyProtection="1">
      <alignment horizontal="center"/>
      <protection locked="0"/>
    </xf>
    <xf numFmtId="3" fontId="32" fillId="5" borderId="6" xfId="14" applyNumberFormat="1" applyFont="1" applyFill="1" applyBorder="1" applyAlignment="1" applyProtection="1">
      <alignment horizontal="center"/>
      <protection locked="0"/>
    </xf>
    <xf numFmtId="0" fontId="35" fillId="7" borderId="32" xfId="25" applyFont="1" applyFill="1" applyBorder="1" applyAlignment="1">
      <alignment horizontal="center" vertical="center" wrapText="1"/>
    </xf>
    <xf numFmtId="0" fontId="35" fillId="7" borderId="0" xfId="25" applyFont="1" applyFill="1" applyAlignment="1">
      <alignment horizontal="center" vertical="center" wrapText="1"/>
    </xf>
    <xf numFmtId="0" fontId="35" fillId="7" borderId="61" xfId="25" applyFont="1" applyFill="1" applyBorder="1" applyAlignment="1">
      <alignment horizontal="center" vertical="center" wrapText="1"/>
    </xf>
    <xf numFmtId="0" fontId="35" fillId="7" borderId="73" xfId="25" applyFont="1" applyFill="1" applyBorder="1" applyAlignment="1">
      <alignment horizontal="center" vertical="center" wrapText="1"/>
    </xf>
    <xf numFmtId="0" fontId="35" fillId="7" borderId="152" xfId="25" applyFont="1" applyFill="1" applyBorder="1" applyAlignment="1">
      <alignment horizontal="center" vertical="center" wrapText="1"/>
    </xf>
    <xf numFmtId="3" fontId="22" fillId="5" borderId="64" xfId="25" applyNumberFormat="1" applyFill="1" applyBorder="1" applyAlignment="1" applyProtection="1">
      <alignment horizontal="center" vertical="center"/>
      <protection locked="0"/>
    </xf>
    <xf numFmtId="3" fontId="29" fillId="7" borderId="16" xfId="25" applyNumberFormat="1" applyFont="1" applyFill="1" applyBorder="1" applyAlignment="1">
      <alignment horizontal="center" vertical="center"/>
    </xf>
    <xf numFmtId="3" fontId="29" fillId="7" borderId="55" xfId="25" applyNumberFormat="1" applyFont="1" applyFill="1" applyBorder="1" applyAlignment="1">
      <alignment horizontal="center" vertical="center"/>
    </xf>
    <xf numFmtId="3" fontId="22" fillId="5" borderId="225" xfId="25" applyNumberFormat="1" applyFill="1" applyBorder="1" applyAlignment="1" applyProtection="1">
      <alignment horizontal="center" vertical="center"/>
      <protection locked="0"/>
    </xf>
    <xf numFmtId="3" fontId="29" fillId="7" borderId="205" xfId="25" applyNumberFormat="1" applyFont="1" applyFill="1" applyBorder="1" applyAlignment="1">
      <alignment horizontal="center" vertical="center"/>
    </xf>
    <xf numFmtId="3" fontId="29" fillId="7" borderId="224" xfId="25" applyNumberFormat="1" applyFont="1" applyFill="1" applyBorder="1" applyAlignment="1">
      <alignment horizontal="center" vertical="center"/>
    </xf>
    <xf numFmtId="3" fontId="22" fillId="5" borderId="42" xfId="25" applyNumberFormat="1" applyFill="1" applyBorder="1" applyAlignment="1" applyProtection="1">
      <alignment horizontal="center" vertical="center"/>
      <protection locked="0"/>
    </xf>
    <xf numFmtId="3" fontId="29" fillId="7" borderId="39" xfId="25" applyNumberFormat="1" applyFont="1" applyFill="1" applyBorder="1" applyAlignment="1">
      <alignment horizontal="center" vertical="center"/>
    </xf>
    <xf numFmtId="3" fontId="29" fillId="7" borderId="43" xfId="25" applyNumberFormat="1" applyFont="1" applyFill="1" applyBorder="1" applyAlignment="1">
      <alignment horizontal="center" vertical="center"/>
    </xf>
    <xf numFmtId="0" fontId="29" fillId="7" borderId="196" xfId="25" applyFont="1" applyFill="1" applyBorder="1" applyAlignment="1">
      <alignment horizontal="center" vertical="center" wrapText="1"/>
    </xf>
    <xf numFmtId="0" fontId="29" fillId="7" borderId="197" xfId="25" applyFont="1" applyFill="1" applyBorder="1" applyAlignment="1">
      <alignment horizontal="center" vertical="center" wrapText="1"/>
    </xf>
    <xf numFmtId="3" fontId="29" fillId="7" borderId="206" xfId="25" applyNumberFormat="1" applyFont="1" applyFill="1" applyBorder="1" applyAlignment="1">
      <alignment horizontal="center" vertical="center"/>
    </xf>
    <xf numFmtId="3" fontId="29" fillId="7" borderId="163" xfId="25" applyNumberFormat="1" applyFont="1" applyFill="1" applyBorder="1" applyAlignment="1">
      <alignment horizontal="center" vertical="center"/>
    </xf>
    <xf numFmtId="3" fontId="29" fillId="7" borderId="189" xfId="25" applyNumberFormat="1" applyFont="1" applyFill="1" applyBorder="1" applyAlignment="1">
      <alignment horizontal="center" vertical="center"/>
    </xf>
    <xf numFmtId="0" fontId="26" fillId="7" borderId="0" xfId="29" applyFont="1" applyFill="1" applyAlignment="1">
      <alignment vertical="center"/>
    </xf>
    <xf numFmtId="3" fontId="29" fillId="7" borderId="169" xfId="25" applyNumberFormat="1" applyFont="1" applyFill="1" applyBorder="1" applyAlignment="1">
      <alignment horizontal="center" vertical="center"/>
    </xf>
    <xf numFmtId="0" fontId="22" fillId="7" borderId="162" xfId="25" applyFill="1" applyBorder="1" applyAlignment="1">
      <alignment vertical="center"/>
    </xf>
    <xf numFmtId="0" fontId="22" fillId="7" borderId="16" xfId="25" applyFill="1" applyBorder="1" applyAlignment="1">
      <alignment vertical="center"/>
    </xf>
    <xf numFmtId="0" fontId="22" fillId="7" borderId="55" xfId="25" applyFill="1" applyBorder="1" applyAlignment="1">
      <alignment vertical="center"/>
    </xf>
    <xf numFmtId="0" fontId="22" fillId="7" borderId="246" xfId="25" applyFill="1" applyBorder="1" applyAlignment="1">
      <alignment vertical="center" wrapText="1"/>
    </xf>
    <xf numFmtId="0" fontId="22" fillId="7" borderId="205" xfId="25" applyFill="1" applyBorder="1" applyAlignment="1">
      <alignment vertical="center" wrapText="1"/>
    </xf>
    <xf numFmtId="0" fontId="22" fillId="7" borderId="224" xfId="25" applyFill="1" applyBorder="1" applyAlignment="1">
      <alignment vertical="center" wrapText="1"/>
    </xf>
    <xf numFmtId="3" fontId="29" fillId="7" borderId="171" xfId="25" applyNumberFormat="1" applyFont="1" applyFill="1" applyBorder="1" applyAlignment="1">
      <alignment horizontal="center" vertical="center"/>
    </xf>
    <xf numFmtId="0" fontId="26" fillId="7" borderId="0" xfId="29" applyFont="1" applyFill="1" applyAlignment="1">
      <alignment horizontal="justify" vertical="center"/>
    </xf>
    <xf numFmtId="0" fontId="26" fillId="7" borderId="0" xfId="29" applyFont="1" applyFill="1" applyAlignment="1">
      <alignment horizontal="justify" vertical="top" wrapText="1"/>
    </xf>
    <xf numFmtId="0" fontId="22" fillId="7" borderId="157" xfId="25" applyFill="1" applyBorder="1" applyAlignment="1">
      <alignment vertical="center"/>
    </xf>
    <xf numFmtId="0" fontId="22" fillId="7" borderId="5" xfId="25" applyFill="1" applyBorder="1" applyAlignment="1">
      <alignment vertical="center"/>
    </xf>
    <xf numFmtId="0" fontId="22" fillId="7" borderId="65" xfId="25" applyFill="1" applyBorder="1" applyAlignment="1">
      <alignment vertical="center"/>
    </xf>
    <xf numFmtId="0" fontId="32" fillId="5" borderId="6" xfId="0" applyFont="1" applyFill="1" applyBorder="1" applyAlignment="1" applyProtection="1">
      <alignment horizontal="center"/>
      <protection locked="0"/>
    </xf>
    <xf numFmtId="0" fontId="29" fillId="7" borderId="196" xfId="13" applyFont="1" applyFill="1" applyBorder="1" applyAlignment="1">
      <alignment horizontal="center" vertical="center" wrapText="1"/>
    </xf>
    <xf numFmtId="0" fontId="29" fillId="7" borderId="197" xfId="13" applyFont="1" applyFill="1" applyBorder="1" applyAlignment="1">
      <alignment horizontal="center" vertical="center" wrapText="1"/>
    </xf>
    <xf numFmtId="0" fontId="29" fillId="7" borderId="264" xfId="13" applyFont="1" applyFill="1" applyBorder="1" applyAlignment="1">
      <alignment horizontal="center" vertical="center" wrapText="1"/>
    </xf>
    <xf numFmtId="0" fontId="29" fillId="7" borderId="195" xfId="13" applyFont="1" applyFill="1" applyBorder="1" applyAlignment="1">
      <alignment horizontal="center" vertical="center" wrapText="1"/>
    </xf>
    <xf numFmtId="0" fontId="88" fillId="0" borderId="1" xfId="0" applyFont="1" applyBorder="1" applyAlignment="1" applyProtection="1">
      <alignment horizontal="center"/>
      <protection locked="0"/>
    </xf>
    <xf numFmtId="0" fontId="88" fillId="0" borderId="321" xfId="0" applyFont="1" applyBorder="1" applyAlignment="1" applyProtection="1">
      <alignment horizontal="center"/>
      <protection locked="0"/>
    </xf>
    <xf numFmtId="0" fontId="88" fillId="0" borderId="110" xfId="0" applyFont="1" applyBorder="1" applyAlignment="1" applyProtection="1">
      <alignment horizontal="center"/>
      <protection locked="0"/>
    </xf>
    <xf numFmtId="0" fontId="26" fillId="7" borderId="0" xfId="23" applyFont="1" applyFill="1" applyAlignment="1">
      <alignment horizontal="justify" vertical="center" wrapText="1"/>
    </xf>
    <xf numFmtId="0" fontId="32" fillId="7" borderId="177" xfId="13" quotePrefix="1" applyFont="1" applyFill="1" applyBorder="1" applyAlignment="1">
      <alignment horizontal="center" vertical="center"/>
    </xf>
    <xf numFmtId="0" fontId="32" fillId="7" borderId="175" xfId="13" quotePrefix="1" applyFont="1" applyFill="1" applyBorder="1" applyAlignment="1">
      <alignment horizontal="center" vertical="center"/>
    </xf>
    <xf numFmtId="0" fontId="32" fillId="7" borderId="182" xfId="13" quotePrefix="1" applyFont="1" applyFill="1" applyBorder="1" applyAlignment="1">
      <alignment horizontal="center" vertical="center"/>
    </xf>
    <xf numFmtId="0" fontId="88" fillId="0" borderId="317" xfId="0" applyFont="1" applyBorder="1" applyAlignment="1" applyProtection="1">
      <alignment horizontal="center"/>
      <protection locked="0"/>
    </xf>
    <xf numFmtId="0" fontId="88" fillId="0" borderId="323" xfId="0" applyFont="1" applyBorder="1" applyAlignment="1" applyProtection="1">
      <alignment horizontal="center"/>
      <protection locked="0"/>
    </xf>
    <xf numFmtId="0" fontId="88" fillId="0" borderId="320" xfId="0" applyFont="1" applyBorder="1" applyAlignment="1" applyProtection="1">
      <alignment horizontal="center"/>
      <protection locked="0"/>
    </xf>
    <xf numFmtId="0" fontId="88" fillId="0" borderId="346" xfId="0" applyFont="1" applyBorder="1" applyAlignment="1" applyProtection="1">
      <alignment horizontal="center"/>
      <protection locked="0"/>
    </xf>
    <xf numFmtId="0" fontId="88" fillId="0" borderId="292" xfId="0" applyFont="1" applyBorder="1" applyAlignment="1" applyProtection="1">
      <alignment horizontal="center"/>
      <protection locked="0"/>
    </xf>
    <xf numFmtId="0" fontId="88" fillId="0" borderId="330" xfId="0" applyFont="1" applyBorder="1" applyAlignment="1" applyProtection="1">
      <alignment horizontal="center"/>
      <protection locked="0"/>
    </xf>
    <xf numFmtId="0" fontId="88" fillId="0" borderId="287" xfId="0" applyFont="1" applyBorder="1" applyAlignment="1" applyProtection="1">
      <alignment horizontal="center"/>
      <protection locked="0"/>
    </xf>
    <xf numFmtId="0" fontId="88" fillId="0" borderId="338" xfId="0" applyFont="1" applyBorder="1" applyAlignment="1" applyProtection="1">
      <alignment horizontal="center"/>
      <protection locked="0"/>
    </xf>
    <xf numFmtId="0" fontId="88" fillId="0" borderId="339" xfId="0" applyFont="1" applyBorder="1" applyAlignment="1" applyProtection="1">
      <alignment horizontal="center"/>
      <protection locked="0"/>
    </xf>
    <xf numFmtId="0" fontId="88" fillId="0" borderId="344" xfId="0" applyFont="1" applyBorder="1" applyAlignment="1" applyProtection="1">
      <alignment horizontal="center"/>
      <protection locked="0"/>
    </xf>
    <xf numFmtId="0" fontId="22" fillId="7" borderId="0" xfId="23" applyFill="1" applyAlignment="1">
      <alignment horizontal="justify" wrapText="1"/>
    </xf>
    <xf numFmtId="0" fontId="105" fillId="0" borderId="67" xfId="13" applyFont="1" applyBorder="1" applyAlignment="1" applyProtection="1">
      <alignment horizontal="center" vertical="center"/>
      <protection locked="0"/>
    </xf>
    <xf numFmtId="0" fontId="105" fillId="0" borderId="16" xfId="13" applyFont="1" applyBorder="1" applyAlignment="1" applyProtection="1">
      <alignment horizontal="center" vertical="center"/>
      <protection locked="0"/>
    </xf>
    <xf numFmtId="0" fontId="105" fillId="0" borderId="66" xfId="13" applyFont="1" applyBorder="1" applyAlignment="1" applyProtection="1">
      <alignment horizontal="center" vertical="center"/>
      <protection locked="0"/>
    </xf>
    <xf numFmtId="0" fontId="105" fillId="0" borderId="63" xfId="13" applyFont="1" applyBorder="1" applyAlignment="1" applyProtection="1">
      <alignment horizontal="center" vertical="center"/>
      <protection locked="0"/>
    </xf>
    <xf numFmtId="0" fontId="105" fillId="0" borderId="163" xfId="13" applyFont="1" applyBorder="1" applyAlignment="1" applyProtection="1">
      <alignment horizontal="center" vertical="center"/>
      <protection locked="0"/>
    </xf>
    <xf numFmtId="0" fontId="43" fillId="7" borderId="144" xfId="13" applyFont="1" applyFill="1" applyBorder="1" applyAlignment="1">
      <alignment horizontal="center" vertical="center" wrapText="1"/>
    </xf>
    <xf numFmtId="0" fontId="43" fillId="7" borderId="145" xfId="13" applyFont="1" applyFill="1" applyBorder="1" applyAlignment="1">
      <alignment horizontal="center" vertical="center" wrapText="1"/>
    </xf>
    <xf numFmtId="0" fontId="43" fillId="7" borderId="196" xfId="13" applyFont="1" applyFill="1" applyBorder="1" applyAlignment="1">
      <alignment horizontal="center" vertical="center" wrapText="1"/>
    </xf>
    <xf numFmtId="0" fontId="43" fillId="7" borderId="197" xfId="13" applyFont="1" applyFill="1" applyBorder="1" applyAlignment="1">
      <alignment horizontal="center" vertical="center" wrapText="1"/>
    </xf>
    <xf numFmtId="0" fontId="43" fillId="7" borderId="264" xfId="13" applyFont="1" applyFill="1" applyBorder="1" applyAlignment="1">
      <alignment horizontal="center" vertical="center" wrapText="1"/>
    </xf>
    <xf numFmtId="0" fontId="43" fillId="7" borderId="195" xfId="13" applyFont="1" applyFill="1" applyBorder="1" applyAlignment="1">
      <alignment horizontal="center" vertical="center" wrapText="1"/>
    </xf>
    <xf numFmtId="0" fontId="43" fillId="7" borderId="198" xfId="13" applyFont="1" applyFill="1" applyBorder="1" applyAlignment="1">
      <alignment horizontal="center" vertical="center" wrapText="1"/>
    </xf>
    <xf numFmtId="0" fontId="105" fillId="0" borderId="228" xfId="13" applyFont="1" applyBorder="1" applyAlignment="1" applyProtection="1">
      <alignment horizontal="center" vertical="center"/>
      <protection locked="0"/>
    </xf>
    <xf numFmtId="0" fontId="105" fillId="0" borderId="205" xfId="13" applyFont="1" applyBorder="1" applyAlignment="1" applyProtection="1">
      <alignment horizontal="center" vertical="center"/>
      <protection locked="0"/>
    </xf>
    <xf numFmtId="0" fontId="105" fillId="0" borderId="226" xfId="13" applyFont="1" applyBorder="1" applyAlignment="1" applyProtection="1">
      <alignment horizontal="center" vertical="center"/>
      <protection locked="0"/>
    </xf>
    <xf numFmtId="0" fontId="105" fillId="0" borderId="227" xfId="13" applyFont="1" applyBorder="1" applyAlignment="1" applyProtection="1">
      <alignment horizontal="center" vertical="center"/>
      <protection locked="0"/>
    </xf>
    <xf numFmtId="0" fontId="105" fillId="0" borderId="206" xfId="13" applyFont="1" applyBorder="1" applyAlignment="1" applyProtection="1">
      <alignment horizontal="center" vertical="center"/>
      <protection locked="0"/>
    </xf>
    <xf numFmtId="0" fontId="105" fillId="0" borderId="212" xfId="13" applyFont="1" applyBorder="1" applyAlignment="1" applyProtection="1">
      <alignment horizontal="center" vertical="center"/>
      <protection locked="0"/>
    </xf>
    <xf numFmtId="0" fontId="105" fillId="0" borderId="208" xfId="13" applyFont="1" applyBorder="1" applyAlignment="1" applyProtection="1">
      <alignment horizontal="center" vertical="center"/>
      <protection locked="0"/>
    </xf>
    <xf numFmtId="0" fontId="105" fillId="0" borderId="209" xfId="13" applyFont="1" applyBorder="1" applyAlignment="1" applyProtection="1">
      <alignment horizontal="center" vertical="center"/>
      <protection locked="0"/>
    </xf>
    <xf numFmtId="0" fontId="105" fillId="0" borderId="207" xfId="13" applyFont="1" applyBorder="1" applyAlignment="1" applyProtection="1">
      <alignment horizontal="center" vertical="center"/>
      <protection locked="0"/>
    </xf>
    <xf numFmtId="0" fontId="105" fillId="0" borderId="211" xfId="13" applyFont="1" applyBorder="1" applyAlignment="1" applyProtection="1">
      <alignment horizontal="center" vertical="center"/>
      <protection locked="0"/>
    </xf>
    <xf numFmtId="0" fontId="26" fillId="7" borderId="0" xfId="23" applyFont="1" applyFill="1" applyAlignment="1">
      <alignment horizontal="left" wrapText="1"/>
    </xf>
    <xf numFmtId="0" fontId="22" fillId="5" borderId="351" xfId="13" applyFont="1" applyFill="1" applyBorder="1" applyAlignment="1" applyProtection="1">
      <alignment horizontal="center" vertical="center"/>
      <protection locked="0"/>
    </xf>
    <xf numFmtId="0" fontId="22" fillId="5" borderId="352" xfId="13" applyFont="1" applyFill="1" applyBorder="1" applyAlignment="1" applyProtection="1">
      <alignment horizontal="center" vertical="center"/>
      <protection locked="0"/>
    </xf>
    <xf numFmtId="0" fontId="22" fillId="5" borderId="99" xfId="13" applyFont="1" applyFill="1" applyBorder="1" applyAlignment="1" applyProtection="1">
      <alignment horizontal="center" vertical="center"/>
      <protection locked="0"/>
    </xf>
    <xf numFmtId="0" fontId="22" fillId="5" borderId="98" xfId="13" applyFont="1" applyFill="1" applyBorder="1" applyAlignment="1" applyProtection="1">
      <alignment horizontal="center" vertical="center"/>
      <protection locked="0"/>
    </xf>
    <xf numFmtId="0" fontId="22" fillId="5" borderId="30" xfId="13" applyFont="1" applyFill="1" applyBorder="1" applyAlignment="1" applyProtection="1">
      <alignment horizontal="center" vertical="center"/>
      <protection locked="0"/>
    </xf>
    <xf numFmtId="0" fontId="22" fillId="5" borderId="273" xfId="13" applyFont="1" applyFill="1" applyBorder="1" applyAlignment="1" applyProtection="1">
      <alignment horizontal="center" vertical="center"/>
      <protection locked="0"/>
    </xf>
    <xf numFmtId="0" fontId="22" fillId="5" borderId="19" xfId="13" applyFont="1" applyFill="1" applyBorder="1" applyAlignment="1" applyProtection="1">
      <alignment horizontal="center" vertical="center"/>
      <protection locked="0"/>
    </xf>
    <xf numFmtId="0" fontId="22" fillId="5" borderId="31" xfId="13" applyFont="1" applyFill="1" applyBorder="1" applyAlignment="1" applyProtection="1">
      <alignment horizontal="center" vertical="center"/>
      <protection locked="0"/>
    </xf>
    <xf numFmtId="0" fontId="65" fillId="7" borderId="354" xfId="13" applyFont="1" applyFill="1" applyBorder="1" applyAlignment="1">
      <alignment horizontal="justify" vertical="center" wrapText="1"/>
    </xf>
    <xf numFmtId="0" fontId="22" fillId="5" borderId="60" xfId="13" applyFont="1" applyFill="1" applyBorder="1" applyAlignment="1" applyProtection="1">
      <alignment horizontal="center" vertical="center"/>
      <protection locked="0"/>
    </xf>
    <xf numFmtId="0" fontId="22" fillId="5" borderId="96" xfId="13" applyFont="1" applyFill="1" applyBorder="1" applyAlignment="1" applyProtection="1">
      <alignment horizontal="center" vertical="center"/>
      <protection locked="0"/>
    </xf>
    <xf numFmtId="0" fontId="22" fillId="7" borderId="178" xfId="13" applyFont="1" applyFill="1" applyBorder="1" applyAlignment="1">
      <alignment horizontal="center" vertical="center"/>
    </xf>
    <xf numFmtId="0" fontId="22" fillId="7" borderId="180" xfId="13" applyFont="1" applyFill="1" applyBorder="1" applyAlignment="1">
      <alignment horizontal="center" vertical="center"/>
    </xf>
    <xf numFmtId="0" fontId="22" fillId="5" borderId="71" xfId="13" applyFont="1" applyFill="1" applyBorder="1" applyAlignment="1" applyProtection="1">
      <alignment horizontal="center" vertical="center"/>
      <protection locked="0"/>
    </xf>
    <xf numFmtId="0" fontId="22" fillId="5" borderId="72" xfId="13" applyFont="1" applyFill="1" applyBorder="1" applyAlignment="1" applyProtection="1">
      <alignment horizontal="center" vertical="center"/>
      <protection locked="0"/>
    </xf>
    <xf numFmtId="0" fontId="22" fillId="5" borderId="161" xfId="13" applyFont="1" applyFill="1" applyBorder="1" applyAlignment="1" applyProtection="1">
      <alignment horizontal="center" vertical="center"/>
      <protection locked="0"/>
    </xf>
    <xf numFmtId="0" fontId="43" fillId="7" borderId="148" xfId="13" applyFont="1" applyFill="1" applyBorder="1" applyAlignment="1">
      <alignment horizontal="center" vertical="center"/>
    </xf>
    <xf numFmtId="0" fontId="43" fillId="7" borderId="149" xfId="13" applyFont="1" applyFill="1" applyBorder="1" applyAlignment="1">
      <alignment horizontal="center" vertical="center"/>
    </xf>
    <xf numFmtId="0" fontId="43" fillId="7" borderId="147" xfId="13" applyFont="1" applyFill="1" applyBorder="1" applyAlignment="1">
      <alignment horizontal="center" vertical="center"/>
    </xf>
    <xf numFmtId="0" fontId="43" fillId="7" borderId="214" xfId="13" applyFont="1" applyFill="1" applyBorder="1" applyAlignment="1">
      <alignment horizontal="center" vertical="center"/>
    </xf>
    <xf numFmtId="0" fontId="43" fillId="7" borderId="144" xfId="13" applyFont="1" applyFill="1" applyBorder="1" applyAlignment="1">
      <alignment horizontal="center" vertical="center"/>
    </xf>
    <xf numFmtId="0" fontId="43" fillId="7" borderId="145" xfId="13" applyFont="1" applyFill="1" applyBorder="1" applyAlignment="1">
      <alignment horizontal="center" vertical="center"/>
    </xf>
    <xf numFmtId="0" fontId="43" fillId="7" borderId="146" xfId="13" applyFont="1" applyFill="1" applyBorder="1" applyAlignment="1">
      <alignment horizontal="center" vertical="center"/>
    </xf>
    <xf numFmtId="0" fontId="43" fillId="7" borderId="174" xfId="13" applyFont="1" applyFill="1" applyBorder="1" applyAlignment="1">
      <alignment horizontal="center" vertical="center"/>
    </xf>
    <xf numFmtId="0" fontId="43" fillId="7" borderId="175" xfId="13" applyFont="1" applyFill="1" applyBorder="1" applyAlignment="1">
      <alignment horizontal="center" vertical="center"/>
    </xf>
    <xf numFmtId="0" fontId="43" fillId="7" borderId="176" xfId="13" applyFont="1" applyFill="1" applyBorder="1" applyAlignment="1">
      <alignment horizontal="center" vertical="center"/>
    </xf>
    <xf numFmtId="0" fontId="43" fillId="7" borderId="274" xfId="13" applyFont="1" applyFill="1" applyBorder="1" applyAlignment="1">
      <alignment horizontal="center" vertical="center"/>
    </xf>
    <xf numFmtId="0" fontId="43" fillId="7" borderId="275" xfId="13" applyFont="1" applyFill="1" applyBorder="1" applyAlignment="1">
      <alignment horizontal="center" vertical="center"/>
    </xf>
    <xf numFmtId="0" fontId="65" fillId="7" borderId="30" xfId="13" applyFont="1" applyFill="1" applyBorder="1" applyAlignment="1">
      <alignment horizontal="justify" vertical="center" wrapText="1"/>
    </xf>
    <xf numFmtId="0" fontId="43" fillId="7" borderId="180" xfId="13" applyFont="1" applyFill="1" applyBorder="1" applyAlignment="1">
      <alignment horizontal="center" vertical="center"/>
    </xf>
    <xf numFmtId="0" fontId="43" fillId="7" borderId="277" xfId="13" applyFont="1" applyFill="1" applyBorder="1" applyAlignment="1">
      <alignment horizontal="center" vertical="center"/>
    </xf>
    <xf numFmtId="0" fontId="43" fillId="7" borderId="276" xfId="13" applyFont="1" applyFill="1" applyBorder="1" applyAlignment="1">
      <alignment horizontal="center" vertical="center"/>
    </xf>
    <xf numFmtId="0" fontId="65" fillId="7" borderId="175" xfId="13" applyFont="1" applyFill="1" applyBorder="1" applyAlignment="1">
      <alignment horizontal="justify" vertical="center" wrapText="1"/>
    </xf>
    <xf numFmtId="0" fontId="22" fillId="7" borderId="177" xfId="13" applyFont="1" applyFill="1" applyBorder="1" applyAlignment="1">
      <alignment horizontal="center" vertical="center"/>
    </xf>
    <xf numFmtId="0" fontId="22" fillId="7" borderId="175" xfId="13" applyFont="1" applyFill="1" applyBorder="1" applyAlignment="1">
      <alignment horizontal="center" vertical="center"/>
    </xf>
    <xf numFmtId="0" fontId="22" fillId="5" borderId="97" xfId="13" applyFont="1" applyFill="1" applyBorder="1" applyAlignment="1" applyProtection="1">
      <alignment horizontal="center" vertical="center"/>
      <protection locked="0"/>
    </xf>
    <xf numFmtId="0" fontId="22" fillId="7" borderId="176" xfId="13" applyFont="1" applyFill="1" applyBorder="1" applyAlignment="1">
      <alignment horizontal="center" vertical="center"/>
    </xf>
    <xf numFmtId="0" fontId="65" fillId="4" borderId="59" xfId="13" applyFont="1" applyFill="1" applyBorder="1" applyAlignment="1">
      <alignment horizontal="center"/>
    </xf>
    <xf numFmtId="0" fontId="65" fillId="4" borderId="57" xfId="13" applyFont="1" applyFill="1" applyBorder="1" applyAlignment="1">
      <alignment horizontal="center"/>
    </xf>
    <xf numFmtId="0" fontId="65" fillId="4" borderId="160" xfId="13" applyFont="1" applyFill="1" applyBorder="1" applyAlignment="1">
      <alignment horizontal="center"/>
    </xf>
    <xf numFmtId="0" fontId="65" fillId="4" borderId="19" xfId="13" applyFont="1" applyFill="1" applyBorder="1" applyAlignment="1">
      <alignment horizontal="center"/>
    </xf>
    <xf numFmtId="0" fontId="65" fillId="4" borderId="30" xfId="13" applyFont="1" applyFill="1" applyBorder="1" applyAlignment="1">
      <alignment horizontal="center"/>
    </xf>
    <xf numFmtId="0" fontId="65" fillId="4" borderId="273" xfId="13" applyFont="1" applyFill="1" applyBorder="1" applyAlignment="1">
      <alignment horizontal="center"/>
    </xf>
    <xf numFmtId="0" fontId="22" fillId="7" borderId="182" xfId="13" applyFont="1" applyFill="1" applyBorder="1" applyAlignment="1">
      <alignment horizontal="center" vertical="center"/>
    </xf>
    <xf numFmtId="0" fontId="65" fillId="5" borderId="6" xfId="13" applyFont="1" applyFill="1" applyBorder="1" applyAlignment="1" applyProtection="1">
      <alignment horizontal="justify" vertical="center" wrapText="1"/>
      <protection locked="0"/>
    </xf>
    <xf numFmtId="0" fontId="22" fillId="5" borderId="32" xfId="13" applyFont="1" applyFill="1" applyBorder="1" applyAlignment="1" applyProtection="1">
      <alignment horizontal="center" vertical="center"/>
      <protection locked="0"/>
    </xf>
    <xf numFmtId="0" fontId="22" fillId="5" borderId="61" xfId="13" applyFont="1" applyFill="1" applyBorder="1" applyAlignment="1" applyProtection="1">
      <alignment horizontal="center" vertical="center"/>
      <protection locked="0"/>
    </xf>
    <xf numFmtId="0" fontId="22" fillId="5" borderId="152" xfId="13" applyFont="1" applyFill="1" applyBorder="1" applyAlignment="1" applyProtection="1">
      <alignment horizontal="center" vertical="center"/>
      <protection locked="0"/>
    </xf>
    <xf numFmtId="0" fontId="65" fillId="7" borderId="0" xfId="13" applyFont="1" applyFill="1" applyAlignment="1">
      <alignment horizontal="justify" vertical="top" wrapText="1"/>
    </xf>
    <xf numFmtId="0" fontId="24" fillId="7" borderId="0" xfId="13" applyFont="1" applyFill="1" applyAlignment="1">
      <alignment horizontal="justify" vertical="top" wrapText="1"/>
    </xf>
    <xf numFmtId="0" fontId="24" fillId="7" borderId="0" xfId="73" applyFont="1" applyFill="1" applyAlignment="1">
      <alignment horizontal="justify" vertical="top" wrapText="1"/>
    </xf>
    <xf numFmtId="0" fontId="24" fillId="7" borderId="0" xfId="13" applyFont="1" applyFill="1" applyAlignment="1">
      <alignment vertical="top" wrapText="1"/>
    </xf>
    <xf numFmtId="0" fontId="87" fillId="4" borderId="0" xfId="13" applyFont="1" applyFill="1" applyAlignment="1">
      <alignment horizontal="center" vertical="center"/>
    </xf>
    <xf numFmtId="0" fontId="87" fillId="4" borderId="152" xfId="13" applyFont="1" applyFill="1" applyBorder="1" applyAlignment="1">
      <alignment horizontal="center" vertical="center"/>
    </xf>
    <xf numFmtId="0" fontId="87" fillId="4" borderId="57" xfId="13" applyFont="1" applyFill="1" applyBorder="1" applyAlignment="1">
      <alignment horizontal="justify" vertical="center"/>
    </xf>
    <xf numFmtId="0" fontId="87" fillId="4" borderId="160" xfId="13" applyFont="1" applyFill="1" applyBorder="1" applyAlignment="1">
      <alignment horizontal="justify" vertical="center"/>
    </xf>
    <xf numFmtId="0" fontId="22" fillId="5" borderId="212" xfId="13" applyFont="1" applyFill="1" applyBorder="1" applyAlignment="1" applyProtection="1">
      <alignment horizontal="center" vertical="center"/>
      <protection locked="0"/>
    </xf>
    <xf numFmtId="0" fontId="22" fillId="5" borderId="211" xfId="13" applyFont="1" applyFill="1" applyBorder="1" applyAlignment="1" applyProtection="1">
      <alignment horizontal="center" vertical="center"/>
      <protection locked="0"/>
    </xf>
    <xf numFmtId="0" fontId="22" fillId="5" borderId="209" xfId="13" applyFont="1" applyFill="1" applyBorder="1" applyAlignment="1" applyProtection="1">
      <alignment horizontal="center" vertical="center"/>
      <protection locked="0"/>
    </xf>
    <xf numFmtId="0" fontId="22" fillId="5" borderId="63" xfId="13" applyFont="1" applyFill="1" applyBorder="1" applyAlignment="1" applyProtection="1">
      <alignment horizontal="center" vertical="center"/>
      <protection locked="0"/>
    </xf>
    <xf numFmtId="0" fontId="65" fillId="7" borderId="175" xfId="13" applyFont="1" applyFill="1" applyBorder="1" applyAlignment="1">
      <alignment horizontal="justify" vertical="center"/>
    </xf>
    <xf numFmtId="0" fontId="22" fillId="5" borderId="210" xfId="13" applyFont="1" applyFill="1" applyBorder="1" applyAlignment="1" applyProtection="1">
      <alignment horizontal="center" vertical="center"/>
      <protection locked="0"/>
    </xf>
    <xf numFmtId="0" fontId="22" fillId="5" borderId="208" xfId="13" applyFont="1" applyFill="1" applyBorder="1" applyAlignment="1" applyProtection="1">
      <alignment horizontal="center" vertical="center"/>
      <protection locked="0"/>
    </xf>
    <xf numFmtId="0" fontId="22" fillId="5" borderId="223" xfId="13" applyFont="1" applyFill="1" applyBorder="1" applyAlignment="1" applyProtection="1">
      <alignment horizontal="center" vertical="center"/>
      <protection locked="0"/>
    </xf>
    <xf numFmtId="0" fontId="22" fillId="5" borderId="66" xfId="13" applyFont="1" applyFill="1" applyBorder="1" applyAlignment="1" applyProtection="1">
      <alignment horizontal="center" vertical="center"/>
      <protection locked="0"/>
    </xf>
    <xf numFmtId="0" fontId="87" fillId="4" borderId="0" xfId="13" applyFont="1" applyFill="1" applyAlignment="1">
      <alignment horizontal="justify" vertical="center"/>
    </xf>
    <xf numFmtId="0" fontId="87" fillId="4" borderId="152" xfId="13" applyFont="1" applyFill="1" applyBorder="1" applyAlignment="1">
      <alignment horizontal="justify" vertical="center"/>
    </xf>
    <xf numFmtId="0" fontId="87" fillId="4" borderId="6" xfId="13" applyFont="1" applyFill="1" applyBorder="1" applyAlignment="1">
      <alignment horizontal="justify" vertical="center"/>
    </xf>
    <xf numFmtId="0" fontId="87" fillId="4" borderId="153" xfId="13" applyFont="1" applyFill="1" applyBorder="1" applyAlignment="1">
      <alignment horizontal="justify" vertical="center"/>
    </xf>
    <xf numFmtId="0" fontId="22" fillId="5" borderId="6" xfId="13" applyFont="1" applyFill="1" applyBorder="1" applyAlignment="1" applyProtection="1">
      <alignment horizontal="center" vertical="center" wrapText="1"/>
      <protection locked="0"/>
    </xf>
    <xf numFmtId="0" fontId="65" fillId="7" borderId="5" xfId="13" applyFont="1" applyFill="1" applyBorder="1" applyAlignment="1">
      <alignment horizontal="justify" vertical="center" wrapText="1"/>
    </xf>
    <xf numFmtId="0" fontId="22" fillId="5" borderId="55" xfId="13" applyFont="1" applyFill="1" applyBorder="1" applyAlignment="1" applyProtection="1">
      <alignment horizontal="center" vertical="center"/>
      <protection locked="0"/>
    </xf>
    <xf numFmtId="0" fontId="22" fillId="5" borderId="68" xfId="13" applyFont="1" applyFill="1" applyBorder="1" applyAlignment="1" applyProtection="1">
      <alignment horizontal="center" vertical="center"/>
      <protection locked="0"/>
    </xf>
    <xf numFmtId="0" fontId="22" fillId="5" borderId="69" xfId="13" applyFont="1" applyFill="1" applyBorder="1" applyAlignment="1" applyProtection="1">
      <alignment horizontal="center" vertical="center"/>
      <protection locked="0"/>
    </xf>
    <xf numFmtId="0" fontId="22" fillId="5" borderId="75" xfId="13" applyFont="1" applyFill="1" applyBorder="1" applyAlignment="1" applyProtection="1">
      <alignment horizontal="center" vertical="center"/>
      <protection locked="0"/>
    </xf>
    <xf numFmtId="0" fontId="22" fillId="5" borderId="21" xfId="13" applyFont="1" applyFill="1" applyBorder="1" applyAlignment="1" applyProtection="1">
      <alignment horizontal="center" vertical="center"/>
      <protection locked="0"/>
    </xf>
    <xf numFmtId="0" fontId="22" fillId="5" borderId="153" xfId="13" applyFont="1" applyFill="1" applyBorder="1" applyAlignment="1" applyProtection="1">
      <alignment horizontal="center" vertical="center"/>
      <protection locked="0"/>
    </xf>
    <xf numFmtId="0" fontId="22" fillId="5" borderId="20" xfId="13" applyFont="1" applyFill="1" applyBorder="1" applyAlignment="1" applyProtection="1">
      <alignment horizontal="center" vertical="center"/>
      <protection locked="0"/>
    </xf>
    <xf numFmtId="0" fontId="65" fillId="7" borderId="16" xfId="13" applyFont="1" applyFill="1" applyBorder="1" applyAlignment="1">
      <alignment horizontal="justify" vertical="center"/>
    </xf>
    <xf numFmtId="0" fontId="87" fillId="4" borderId="96" xfId="13" applyFont="1" applyFill="1" applyBorder="1" applyAlignment="1">
      <alignment vertical="center"/>
    </xf>
    <xf numFmtId="0" fontId="87" fillId="4" borderId="161" xfId="13" applyFont="1" applyFill="1" applyBorder="1" applyAlignment="1">
      <alignment vertical="center"/>
    </xf>
    <xf numFmtId="0" fontId="65" fillId="7" borderId="0" xfId="13" applyFont="1" applyFill="1" applyAlignment="1">
      <alignment horizontal="justify" vertical="center"/>
    </xf>
    <xf numFmtId="0" fontId="110" fillId="7" borderId="6" xfId="13" applyFont="1" applyFill="1" applyBorder="1" applyAlignment="1">
      <alignment horizontal="justify" vertical="top" wrapText="1"/>
    </xf>
    <xf numFmtId="0" fontId="65" fillId="7" borderId="16" xfId="13" applyFont="1" applyFill="1" applyBorder="1" applyAlignment="1">
      <alignment horizontal="justify" vertical="center" wrapText="1"/>
    </xf>
    <xf numFmtId="0" fontId="87" fillId="4" borderId="0" xfId="13" applyFont="1" applyFill="1" applyAlignment="1">
      <alignment vertical="center"/>
    </xf>
    <xf numFmtId="0" fontId="87" fillId="4" borderId="152" xfId="13" applyFont="1" applyFill="1" applyBorder="1" applyAlignment="1">
      <alignment vertical="center"/>
    </xf>
    <xf numFmtId="0" fontId="22" fillId="5" borderId="65" xfId="13" applyFont="1" applyFill="1" applyBorder="1" applyAlignment="1" applyProtection="1">
      <alignment horizontal="center" vertical="center"/>
      <protection locked="0"/>
    </xf>
    <xf numFmtId="0" fontId="22" fillId="5" borderId="54" xfId="13" applyFont="1" applyFill="1" applyBorder="1" applyAlignment="1" applyProtection="1">
      <alignment horizontal="center" vertical="center"/>
      <protection locked="0"/>
    </xf>
    <xf numFmtId="0" fontId="43" fillId="7" borderId="91" xfId="13" applyFont="1" applyFill="1" applyBorder="1" applyAlignment="1">
      <alignment horizontal="center" vertical="center"/>
    </xf>
    <xf numFmtId="0" fontId="22" fillId="5" borderId="227" xfId="13" applyFont="1" applyFill="1" applyBorder="1" applyAlignment="1" applyProtection="1">
      <alignment horizontal="center" vertical="center"/>
      <protection locked="0"/>
    </xf>
    <xf numFmtId="0" fontId="22" fillId="5" borderId="226" xfId="13" applyFont="1" applyFill="1" applyBorder="1" applyAlignment="1" applyProtection="1">
      <alignment horizontal="center" vertical="center"/>
      <protection locked="0"/>
    </xf>
    <xf numFmtId="0" fontId="43" fillId="7" borderId="279" xfId="13" applyFont="1" applyFill="1" applyBorder="1" applyAlignment="1">
      <alignment horizontal="center" vertical="center"/>
    </xf>
    <xf numFmtId="0" fontId="22" fillId="5" borderId="224" xfId="13" applyFont="1" applyFill="1" applyBorder="1" applyAlignment="1" applyProtection="1">
      <alignment horizontal="center" vertical="center"/>
      <protection locked="0"/>
    </xf>
    <xf numFmtId="0" fontId="43" fillId="7" borderId="205" xfId="13" applyFont="1" applyFill="1" applyBorder="1" applyAlignment="1">
      <alignment horizontal="center" vertical="center"/>
    </xf>
    <xf numFmtId="0" fontId="43" fillId="7" borderId="206" xfId="13" applyFont="1" applyFill="1" applyBorder="1" applyAlignment="1">
      <alignment horizontal="center" vertical="center"/>
    </xf>
    <xf numFmtId="0" fontId="43" fillId="7" borderId="265" xfId="13" applyFont="1" applyFill="1" applyBorder="1" applyAlignment="1">
      <alignment horizontal="center" vertical="center"/>
    </xf>
    <xf numFmtId="0" fontId="65" fillId="7" borderId="205" xfId="13" applyFont="1" applyFill="1" applyBorder="1" applyAlignment="1">
      <alignment horizontal="justify" vertical="center" wrapText="1"/>
    </xf>
    <xf numFmtId="0" fontId="43" fillId="7" borderId="278" xfId="13" applyFont="1" applyFill="1" applyBorder="1" applyAlignment="1">
      <alignment horizontal="center" vertical="center"/>
    </xf>
    <xf numFmtId="0" fontId="43" fillId="7" borderId="72" xfId="13" applyFont="1" applyFill="1" applyBorder="1" applyAlignment="1">
      <alignment horizontal="center" vertical="center"/>
    </xf>
    <xf numFmtId="0" fontId="43" fillId="7" borderId="150" xfId="13" applyFont="1" applyFill="1" applyBorder="1" applyAlignment="1">
      <alignment horizontal="center" vertical="center"/>
    </xf>
    <xf numFmtId="0" fontId="43" fillId="7" borderId="0" xfId="13" applyFont="1" applyFill="1" applyAlignment="1">
      <alignment horizontal="center" vertical="center"/>
    </xf>
    <xf numFmtId="0" fontId="43" fillId="7" borderId="61" xfId="13" applyFont="1" applyFill="1" applyBorder="1" applyAlignment="1">
      <alignment horizontal="center" vertical="center"/>
    </xf>
    <xf numFmtId="0" fontId="43" fillId="7" borderId="204" xfId="13" applyFont="1" applyFill="1" applyBorder="1" applyAlignment="1">
      <alignment horizontal="center" vertical="center"/>
    </xf>
    <xf numFmtId="0" fontId="43" fillId="7" borderId="224" xfId="13" applyFont="1" applyFill="1" applyBorder="1" applyAlignment="1">
      <alignment horizontal="center" vertical="center"/>
    </xf>
    <xf numFmtId="0" fontId="103" fillId="7" borderId="216" xfId="5" applyFont="1" applyFill="1" applyBorder="1" applyAlignment="1">
      <alignment horizontal="center" vertical="center"/>
    </xf>
    <xf numFmtId="0" fontId="103" fillId="7" borderId="221" xfId="5" applyFont="1" applyFill="1" applyBorder="1" applyAlignment="1">
      <alignment horizontal="center" vertical="center"/>
    </xf>
    <xf numFmtId="0" fontId="103" fillId="7" borderId="217" xfId="5" applyFont="1" applyFill="1" applyBorder="1" applyAlignment="1">
      <alignment horizontal="center" vertical="center"/>
    </xf>
    <xf numFmtId="0" fontId="103" fillId="7" borderId="218" xfId="5" applyFont="1" applyFill="1" applyBorder="1" applyAlignment="1">
      <alignment horizontal="center" vertical="center"/>
    </xf>
    <xf numFmtId="0" fontId="103" fillId="7" borderId="222" xfId="5" applyFont="1" applyFill="1" applyBorder="1" applyAlignment="1">
      <alignment horizontal="center" vertical="center"/>
    </xf>
    <xf numFmtId="3" fontId="105" fillId="5" borderId="174" xfId="5" applyNumberFormat="1" applyFont="1" applyFill="1" applyBorder="1" applyAlignment="1" applyProtection="1">
      <alignment horizontal="center" vertical="center" wrapText="1"/>
      <protection locked="0"/>
    </xf>
    <xf numFmtId="3" fontId="105" fillId="5" borderId="175" xfId="5" applyNumberFormat="1" applyFont="1" applyFill="1" applyBorder="1" applyAlignment="1" applyProtection="1">
      <alignment horizontal="center" vertical="center" wrapText="1"/>
      <protection locked="0"/>
    </xf>
    <xf numFmtId="3" fontId="105" fillId="5" borderId="180" xfId="5" applyNumberFormat="1" applyFont="1" applyFill="1" applyBorder="1" applyAlignment="1" applyProtection="1">
      <alignment horizontal="center" vertical="center" wrapText="1"/>
      <protection locked="0"/>
    </xf>
    <xf numFmtId="0" fontId="103" fillId="7" borderId="282" xfId="5" applyFont="1" applyFill="1" applyBorder="1" applyAlignment="1">
      <alignment horizontal="center" vertical="center"/>
    </xf>
    <xf numFmtId="0" fontId="103" fillId="7" borderId="215" xfId="5" applyFont="1" applyFill="1" applyBorder="1" applyAlignment="1">
      <alignment horizontal="center" vertical="center"/>
    </xf>
    <xf numFmtId="0" fontId="0" fillId="7" borderId="0" xfId="75" applyFont="1" applyFill="1" applyAlignment="1">
      <alignment horizontal="justify" vertical="top" wrapText="1"/>
    </xf>
    <xf numFmtId="0" fontId="0" fillId="7" borderId="0" xfId="75" applyFont="1" applyFill="1" applyAlignment="1">
      <alignment horizontal="justify" vertical="center" wrapText="1"/>
    </xf>
    <xf numFmtId="0" fontId="29" fillId="7" borderId="268" xfId="75" applyFont="1" applyFill="1" applyBorder="1" applyAlignment="1">
      <alignment horizontal="center" vertical="center"/>
    </xf>
    <xf numFmtId="0" fontId="29" fillId="7" borderId="269" xfId="75" applyFont="1" applyFill="1" applyBorder="1" applyAlignment="1">
      <alignment horizontal="center" vertical="center"/>
    </xf>
    <xf numFmtId="0" fontId="29" fillId="7" borderId="268" xfId="75" applyFont="1" applyFill="1" applyBorder="1" applyAlignment="1">
      <alignment horizontal="center" vertical="center" wrapText="1"/>
    </xf>
    <xf numFmtId="0" fontId="29" fillId="7" borderId="271" xfId="75" applyFont="1" applyFill="1" applyBorder="1" applyAlignment="1">
      <alignment horizontal="center" vertical="center" wrapText="1"/>
    </xf>
    <xf numFmtId="0" fontId="0" fillId="7" borderId="16" xfId="75" applyFont="1" applyFill="1" applyBorder="1" applyAlignment="1">
      <alignment horizontal="justify" vertical="center" wrapText="1"/>
    </xf>
    <xf numFmtId="0" fontId="103" fillId="7" borderId="280" xfId="5" applyFont="1" applyFill="1" applyBorder="1" applyAlignment="1">
      <alignment horizontal="center" vertical="center" wrapText="1"/>
    </xf>
    <xf numFmtId="0" fontId="103" fillId="7" borderId="283" xfId="5" applyFont="1" applyFill="1" applyBorder="1" applyAlignment="1">
      <alignment horizontal="center" vertical="center" wrapText="1"/>
    </xf>
    <xf numFmtId="0" fontId="103" fillId="7" borderId="281" xfId="5" applyFont="1" applyFill="1" applyBorder="1" applyAlignment="1">
      <alignment horizontal="center" vertical="center" wrapText="1"/>
    </xf>
    <xf numFmtId="0" fontId="103" fillId="7" borderId="284" xfId="5" applyFont="1" applyFill="1" applyBorder="1" applyAlignment="1">
      <alignment horizontal="center" vertical="center" wrapText="1"/>
    </xf>
    <xf numFmtId="0" fontId="103" fillId="7" borderId="285" xfId="5" applyFont="1" applyFill="1" applyBorder="1" applyAlignment="1">
      <alignment horizontal="center" vertical="center" wrapText="1"/>
    </xf>
    <xf numFmtId="0" fontId="103" fillId="7" borderId="268" xfId="5" applyFont="1" applyFill="1" applyBorder="1" applyAlignment="1">
      <alignment horizontal="center" vertical="center" wrapText="1"/>
    </xf>
    <xf numFmtId="0" fontId="103" fillId="7" borderId="271" xfId="5" applyFont="1" applyFill="1" applyBorder="1" applyAlignment="1">
      <alignment horizontal="center" vertical="center" wrapText="1"/>
    </xf>
    <xf numFmtId="3" fontId="105" fillId="5" borderId="178" xfId="5" applyNumberFormat="1" applyFont="1" applyFill="1" applyBorder="1" applyAlignment="1" applyProtection="1">
      <alignment horizontal="center" vertical="center"/>
      <protection locked="0"/>
    </xf>
    <xf numFmtId="3" fontId="105" fillId="5" borderId="175" xfId="5" applyNumberFormat="1" applyFont="1" applyFill="1" applyBorder="1" applyAlignment="1" applyProtection="1">
      <alignment horizontal="center" vertical="center"/>
      <protection locked="0"/>
    </xf>
    <xf numFmtId="3" fontId="105" fillId="5" borderId="177" xfId="5" applyNumberFormat="1" applyFont="1" applyFill="1" applyBorder="1" applyAlignment="1" applyProtection="1">
      <alignment horizontal="center" vertical="center" wrapText="1"/>
      <protection locked="0"/>
    </xf>
    <xf numFmtId="3" fontId="105" fillId="5" borderId="176" xfId="5" applyNumberFormat="1" applyFont="1" applyFill="1" applyBorder="1" applyAlignment="1" applyProtection="1">
      <alignment horizontal="center" vertical="center"/>
      <protection locked="0"/>
    </xf>
    <xf numFmtId="0" fontId="108" fillId="7" borderId="0" xfId="5" applyFont="1" applyFill="1" applyAlignment="1">
      <alignment horizontal="justify" vertical="top" wrapText="1"/>
    </xf>
    <xf numFmtId="0" fontId="103" fillId="7" borderId="144" xfId="5" applyFont="1" applyFill="1" applyBorder="1" applyAlignment="1">
      <alignment horizontal="center" vertical="center" wrapText="1"/>
    </xf>
    <xf numFmtId="0" fontId="103" fillId="7" borderId="145" xfId="5" applyFont="1" applyFill="1" applyBorder="1" applyAlignment="1">
      <alignment horizontal="center" vertical="center" wrapText="1"/>
    </xf>
    <xf numFmtId="0" fontId="103" fillId="7" borderId="194" xfId="5" applyFont="1" applyFill="1" applyBorder="1" applyAlignment="1">
      <alignment horizontal="center" vertical="center" wrapText="1"/>
    </xf>
    <xf numFmtId="0" fontId="103" fillId="7" borderId="146" xfId="5" applyFont="1" applyFill="1" applyBorder="1" applyAlignment="1">
      <alignment horizontal="center" vertical="center" wrapText="1"/>
    </xf>
    <xf numFmtId="0" fontId="103" fillId="7" borderId="198" xfId="5" applyFont="1" applyFill="1" applyBorder="1" applyAlignment="1">
      <alignment horizontal="center" vertical="center" wrapText="1"/>
    </xf>
    <xf numFmtId="3" fontId="105" fillId="5" borderId="274" xfId="5" applyNumberFormat="1" applyFont="1" applyFill="1" applyBorder="1" applyAlignment="1" applyProtection="1">
      <alignment horizontal="center" vertical="center" wrapText="1"/>
      <protection locked="0"/>
    </xf>
    <xf numFmtId="3" fontId="105" fillId="5" borderId="275" xfId="5" applyNumberFormat="1" applyFont="1" applyFill="1" applyBorder="1" applyAlignment="1" applyProtection="1">
      <alignment horizontal="center" vertical="center" wrapText="1"/>
      <protection locked="0"/>
    </xf>
    <xf numFmtId="3" fontId="105" fillId="5" borderId="276" xfId="5" applyNumberFormat="1" applyFont="1" applyFill="1" applyBorder="1" applyAlignment="1" applyProtection="1">
      <alignment horizontal="center" vertical="center" wrapText="1"/>
      <protection locked="0"/>
    </xf>
    <xf numFmtId="3" fontId="105" fillId="5" borderId="178" xfId="5" applyNumberFormat="1" applyFont="1" applyFill="1" applyBorder="1" applyAlignment="1" applyProtection="1">
      <alignment horizontal="center" vertical="center" wrapText="1"/>
      <protection locked="0"/>
    </xf>
    <xf numFmtId="3" fontId="105" fillId="5" borderId="182" xfId="5" applyNumberFormat="1" applyFont="1" applyFill="1" applyBorder="1" applyAlignment="1" applyProtection="1">
      <alignment horizontal="center" vertical="center"/>
      <protection locked="0"/>
    </xf>
    <xf numFmtId="3" fontId="105" fillId="5" borderId="182" xfId="5" applyNumberFormat="1" applyFont="1" applyFill="1" applyBorder="1" applyAlignment="1" applyProtection="1">
      <alignment horizontal="center" vertical="center" wrapText="1"/>
      <protection locked="0"/>
    </xf>
    <xf numFmtId="0" fontId="0" fillId="7" borderId="0" xfId="75" applyFont="1" applyFill="1" applyAlignment="1">
      <alignment vertical="top" wrapText="1"/>
    </xf>
    <xf numFmtId="0" fontId="103" fillId="7" borderId="267" xfId="5" applyFont="1" applyFill="1" applyBorder="1" applyAlignment="1">
      <alignment horizontal="center" vertical="center" wrapText="1"/>
    </xf>
    <xf numFmtId="0" fontId="0" fillId="0" borderId="82" xfId="75" applyFont="1" applyBorder="1" applyAlignment="1" applyProtection="1">
      <alignment horizontal="center" vertical="center" wrapText="1"/>
      <protection locked="0"/>
    </xf>
    <xf numFmtId="0" fontId="0" fillId="0" borderId="83" xfId="75" applyFont="1" applyBorder="1" applyAlignment="1" applyProtection="1">
      <alignment horizontal="center" vertical="center" wrapText="1"/>
      <protection locked="0"/>
    </xf>
    <xf numFmtId="0" fontId="0" fillId="0" borderId="84" xfId="75" applyFont="1" applyBorder="1" applyAlignment="1" applyProtection="1">
      <alignment horizontal="center" vertical="center" wrapText="1"/>
      <protection locked="0"/>
    </xf>
    <xf numFmtId="3" fontId="105" fillId="0" borderId="175" xfId="5" applyNumberFormat="1" applyFont="1" applyBorder="1" applyAlignment="1" applyProtection="1">
      <alignment horizontal="center" vertical="center" wrapText="1"/>
      <protection locked="0"/>
    </xf>
    <xf numFmtId="3" fontId="105" fillId="0" borderId="180" xfId="5" applyNumberFormat="1" applyFont="1" applyBorder="1" applyAlignment="1" applyProtection="1">
      <alignment horizontal="center" vertical="center" wrapText="1"/>
      <protection locked="0"/>
    </xf>
    <xf numFmtId="3" fontId="105" fillId="0" borderId="178" xfId="5" applyNumberFormat="1" applyFont="1" applyBorder="1" applyAlignment="1" applyProtection="1">
      <alignment horizontal="center" vertical="center"/>
      <protection locked="0"/>
    </xf>
    <xf numFmtId="3" fontId="105" fillId="0" borderId="175" xfId="5" applyNumberFormat="1" applyFont="1" applyBorder="1" applyAlignment="1" applyProtection="1">
      <alignment horizontal="center" vertical="center"/>
      <protection locked="0"/>
    </xf>
    <xf numFmtId="3" fontId="105" fillId="0" borderId="182" xfId="5" applyNumberFormat="1" applyFont="1" applyBorder="1" applyAlignment="1" applyProtection="1">
      <alignment horizontal="center" vertical="center"/>
      <protection locked="0"/>
    </xf>
    <xf numFmtId="4" fontId="117" fillId="0" borderId="178" xfId="5" applyNumberFormat="1" applyFont="1" applyBorder="1" applyAlignment="1" applyProtection="1">
      <alignment horizontal="center" vertical="center"/>
      <protection locked="0"/>
    </xf>
    <xf numFmtId="4" fontId="117" fillId="0" borderId="175" xfId="5" applyNumberFormat="1" applyFont="1" applyBorder="1" applyAlignment="1" applyProtection="1">
      <alignment horizontal="center" vertical="center"/>
      <protection locked="0"/>
    </xf>
    <xf numFmtId="4" fontId="117" fillId="0" borderId="180" xfId="5" applyNumberFormat="1" applyFont="1" applyBorder="1" applyAlignment="1" applyProtection="1">
      <alignment horizontal="center" vertical="center"/>
      <protection locked="0"/>
    </xf>
    <xf numFmtId="10" fontId="105" fillId="0" borderId="175" xfId="5" applyNumberFormat="1" applyFont="1" applyBorder="1" applyAlignment="1" applyProtection="1">
      <alignment horizontal="center" vertical="center"/>
      <protection locked="0"/>
    </xf>
    <xf numFmtId="10" fontId="105" fillId="0" borderId="182" xfId="5" applyNumberFormat="1" applyFont="1" applyBorder="1" applyAlignment="1" applyProtection="1">
      <alignment horizontal="center" vertical="center"/>
      <protection locked="0"/>
    </xf>
    <xf numFmtId="3" fontId="105" fillId="0" borderId="176" xfId="5" applyNumberFormat="1" applyFont="1" applyBorder="1" applyAlignment="1" applyProtection="1">
      <alignment horizontal="center" vertical="center"/>
      <protection locked="0"/>
    </xf>
    <xf numFmtId="0" fontId="106" fillId="7" borderId="216" xfId="5" applyFont="1" applyFill="1" applyBorder="1" applyAlignment="1">
      <alignment horizontal="center" vertical="center" wrapText="1"/>
    </xf>
    <xf numFmtId="0" fontId="106" fillId="7" borderId="217" xfId="5" applyFont="1" applyFill="1" applyBorder="1" applyAlignment="1">
      <alignment horizontal="center" vertical="center" wrapText="1"/>
    </xf>
    <xf numFmtId="0" fontId="106" fillId="7" borderId="218" xfId="5" applyFont="1" applyFill="1" applyBorder="1" applyAlignment="1">
      <alignment horizontal="center" vertical="center" wrapText="1"/>
    </xf>
    <xf numFmtId="0" fontId="102" fillId="7" borderId="218" xfId="5" applyFont="1" applyFill="1" applyBorder="1" applyAlignment="1">
      <alignment horizontal="center" vertical="center" wrapText="1"/>
    </xf>
    <xf numFmtId="0" fontId="102" fillId="7" borderId="216" xfId="5" applyFont="1" applyFill="1" applyBorder="1" applyAlignment="1">
      <alignment horizontal="center" vertical="center" wrapText="1"/>
    </xf>
    <xf numFmtId="0" fontId="102" fillId="7" borderId="222" xfId="5" applyFont="1" applyFill="1" applyBorder="1" applyAlignment="1">
      <alignment horizontal="center" vertical="center" wrapText="1"/>
    </xf>
    <xf numFmtId="1" fontId="117" fillId="0" borderId="174" xfId="5" applyNumberFormat="1" applyFont="1" applyBorder="1" applyAlignment="1" applyProtection="1">
      <alignment horizontal="center" vertical="center" wrapText="1"/>
      <protection locked="0"/>
    </xf>
    <xf numFmtId="1" fontId="117" fillId="0" borderId="175" xfId="5" applyNumberFormat="1" applyFont="1" applyBorder="1" applyAlignment="1" applyProtection="1">
      <alignment horizontal="center" vertical="center" wrapText="1"/>
      <protection locked="0"/>
    </xf>
    <xf numFmtId="1" fontId="117" fillId="0" borderId="180" xfId="5" applyNumberFormat="1" applyFont="1" applyBorder="1" applyAlignment="1" applyProtection="1">
      <alignment horizontal="center" vertical="center" wrapText="1"/>
      <protection locked="0"/>
    </xf>
    <xf numFmtId="10" fontId="105" fillId="0" borderId="178" xfId="5" applyNumberFormat="1" applyFont="1" applyBorder="1" applyAlignment="1" applyProtection="1">
      <alignment horizontal="center" vertical="center" wrapText="1"/>
      <protection locked="0"/>
    </xf>
    <xf numFmtId="10" fontId="105" fillId="0" borderId="175" xfId="5" applyNumberFormat="1" applyFont="1" applyBorder="1" applyAlignment="1" applyProtection="1">
      <alignment horizontal="center" vertical="center" wrapText="1"/>
      <protection locked="0"/>
    </xf>
    <xf numFmtId="10" fontId="105" fillId="0" borderId="176" xfId="5" applyNumberFormat="1" applyFont="1" applyBorder="1" applyAlignment="1" applyProtection="1">
      <alignment horizontal="center" vertical="center" wrapText="1"/>
      <protection locked="0"/>
    </xf>
    <xf numFmtId="1" fontId="117" fillId="0" borderId="177" xfId="5" applyNumberFormat="1" applyFont="1" applyBorder="1" applyAlignment="1" applyProtection="1">
      <alignment horizontal="center" vertical="center"/>
      <protection locked="0"/>
    </xf>
    <xf numFmtId="1" fontId="117" fillId="0" borderId="175" xfId="5" applyNumberFormat="1" applyFont="1" applyBorder="1" applyAlignment="1" applyProtection="1">
      <alignment horizontal="center" vertical="center"/>
      <protection locked="0"/>
    </xf>
    <xf numFmtId="1" fontId="117" fillId="0" borderId="180" xfId="5" applyNumberFormat="1" applyFont="1" applyBorder="1" applyAlignment="1" applyProtection="1">
      <alignment horizontal="center" vertical="center"/>
      <protection locked="0"/>
    </xf>
    <xf numFmtId="4" fontId="117" fillId="0" borderId="178" xfId="5" applyNumberFormat="1" applyFont="1" applyBorder="1" applyAlignment="1" applyProtection="1">
      <alignment horizontal="center" vertical="center" wrapText="1"/>
      <protection locked="0"/>
    </xf>
    <xf numFmtId="4" fontId="117" fillId="0" borderId="175" xfId="5" applyNumberFormat="1" applyFont="1" applyBorder="1" applyAlignment="1" applyProtection="1">
      <alignment horizontal="center" vertical="center" wrapText="1"/>
      <protection locked="0"/>
    </xf>
    <xf numFmtId="4" fontId="117" fillId="0" borderId="180" xfId="5" applyNumberFormat="1" applyFont="1" applyBorder="1" applyAlignment="1" applyProtection="1">
      <alignment horizontal="center" vertical="center" wrapText="1"/>
      <protection locked="0"/>
    </xf>
    <xf numFmtId="10" fontId="105" fillId="0" borderId="176" xfId="5" applyNumberFormat="1" applyFont="1" applyBorder="1" applyAlignment="1" applyProtection="1">
      <alignment horizontal="center" vertical="center"/>
      <protection locked="0"/>
    </xf>
    <xf numFmtId="0" fontId="106" fillId="7" borderId="282" xfId="5" applyFont="1" applyFill="1" applyBorder="1" applyAlignment="1">
      <alignment horizontal="center" vertical="center" wrapText="1"/>
    </xf>
    <xf numFmtId="0" fontId="102" fillId="7" borderId="221" xfId="5" applyFont="1" applyFill="1" applyBorder="1" applyAlignment="1">
      <alignment horizontal="center" vertical="center" wrapText="1"/>
    </xf>
    <xf numFmtId="0" fontId="106" fillId="7" borderId="215" xfId="5" applyFont="1" applyFill="1" applyBorder="1" applyAlignment="1">
      <alignment horizontal="center" vertical="center" wrapText="1"/>
    </xf>
    <xf numFmtId="0" fontId="0" fillId="7" borderId="0" xfId="77" applyFont="1" applyFill="1" applyAlignment="1">
      <alignment horizontal="justify" vertical="center"/>
    </xf>
    <xf numFmtId="0" fontId="103" fillId="7" borderId="190" xfId="5" applyFont="1" applyFill="1" applyBorder="1" applyAlignment="1">
      <alignment horizontal="center" vertical="center" wrapText="1"/>
    </xf>
    <xf numFmtId="0" fontId="103" fillId="7" borderId="148" xfId="5" applyFont="1" applyFill="1" applyBorder="1" applyAlignment="1">
      <alignment horizontal="center" vertical="center" wrapText="1"/>
    </xf>
    <xf numFmtId="0" fontId="103" fillId="7" borderId="214" xfId="5" applyFont="1" applyFill="1" applyBorder="1" applyAlignment="1">
      <alignment horizontal="center" vertical="center" wrapText="1"/>
    </xf>
    <xf numFmtId="0" fontId="103" fillId="7" borderId="147" xfId="5" applyFont="1" applyFill="1" applyBorder="1" applyAlignment="1">
      <alignment horizontal="center" vertical="center" wrapText="1"/>
    </xf>
    <xf numFmtId="0" fontId="103" fillId="7" borderId="149" xfId="5" applyFont="1" applyFill="1" applyBorder="1" applyAlignment="1">
      <alignment horizontal="center" vertical="center" wrapText="1"/>
    </xf>
    <xf numFmtId="3" fontId="105" fillId="0" borderId="177" xfId="5" applyNumberFormat="1" applyFont="1" applyBorder="1" applyAlignment="1" applyProtection="1">
      <alignment horizontal="center" vertical="center" wrapText="1"/>
      <protection locked="0"/>
    </xf>
    <xf numFmtId="0" fontId="0" fillId="7" borderId="0" xfId="77" applyFont="1" applyFill="1" applyAlignment="1">
      <alignment vertical="center" wrapText="1"/>
    </xf>
    <xf numFmtId="3" fontId="105" fillId="0" borderId="174" xfId="5" applyNumberFormat="1" applyFont="1" applyBorder="1" applyAlignment="1" applyProtection="1">
      <alignment horizontal="center" vertical="center" wrapText="1"/>
      <protection locked="0"/>
    </xf>
    <xf numFmtId="0" fontId="37" fillId="7" borderId="0" xfId="75" applyFont="1" applyFill="1" applyAlignment="1">
      <alignment horizontal="justify" vertical="top" wrapText="1"/>
    </xf>
    <xf numFmtId="0" fontId="105" fillId="5" borderId="174" xfId="5" applyFont="1" applyFill="1" applyBorder="1" applyAlignment="1" applyProtection="1">
      <alignment horizontal="center" vertical="center" wrapText="1"/>
      <protection locked="0"/>
    </xf>
    <xf numFmtId="0" fontId="105" fillId="5" borderId="175" xfId="5" applyFont="1" applyFill="1" applyBorder="1" applyAlignment="1" applyProtection="1">
      <alignment horizontal="center" vertical="center" wrapText="1"/>
      <protection locked="0"/>
    </xf>
    <xf numFmtId="0" fontId="105" fillId="5" borderId="176" xfId="5" applyFont="1" applyFill="1" applyBorder="1" applyAlignment="1" applyProtection="1">
      <alignment horizontal="center" vertical="center" wrapText="1"/>
      <protection locked="0"/>
    </xf>
    <xf numFmtId="0" fontId="105" fillId="5" borderId="182" xfId="5" applyFont="1" applyFill="1" applyBorder="1" applyAlignment="1" applyProtection="1">
      <alignment horizontal="center" vertical="center" wrapText="1"/>
      <protection locked="0"/>
    </xf>
    <xf numFmtId="0" fontId="0" fillId="5" borderId="82" xfId="75" applyFont="1" applyFill="1" applyBorder="1" applyAlignment="1" applyProtection="1">
      <alignment horizontal="center" vertical="center" wrapText="1"/>
      <protection locked="0"/>
    </xf>
    <xf numFmtId="0" fontId="0" fillId="5" borderId="83" xfId="75" applyFont="1" applyFill="1" applyBorder="1" applyAlignment="1" applyProtection="1">
      <alignment horizontal="center" vertical="center" wrapText="1"/>
      <protection locked="0"/>
    </xf>
    <xf numFmtId="0" fontId="0" fillId="5" borderId="84" xfId="75" applyFont="1" applyFill="1" applyBorder="1" applyAlignment="1" applyProtection="1">
      <alignment horizontal="center" vertical="center" wrapText="1"/>
      <protection locked="0"/>
    </xf>
    <xf numFmtId="0" fontId="105" fillId="7" borderId="0" xfId="5" applyFont="1" applyFill="1" applyAlignment="1">
      <alignment horizontal="center" wrapText="1"/>
    </xf>
    <xf numFmtId="0" fontId="105" fillId="7" borderId="0" xfId="5" applyFont="1" applyFill="1" applyAlignment="1">
      <alignment horizontal="center"/>
    </xf>
    <xf numFmtId="0" fontId="103" fillId="7" borderId="174" xfId="5" applyFont="1" applyFill="1" applyBorder="1" applyAlignment="1">
      <alignment horizontal="center" vertical="center" wrapText="1"/>
    </xf>
    <xf numFmtId="0" fontId="103" fillId="7" borderId="175" xfId="5" applyFont="1" applyFill="1" applyBorder="1" applyAlignment="1">
      <alignment horizontal="center" vertical="center" wrapText="1"/>
    </xf>
    <xf numFmtId="0" fontId="103" fillId="7" borderId="182" xfId="5" applyFont="1" applyFill="1" applyBorder="1" applyAlignment="1">
      <alignment horizontal="center" vertical="center" wrapText="1"/>
    </xf>
    <xf numFmtId="0" fontId="103" fillId="7" borderId="269" xfId="5" applyFont="1" applyFill="1" applyBorder="1" applyAlignment="1">
      <alignment horizontal="center" vertical="center" wrapText="1"/>
    </xf>
    <xf numFmtId="0" fontId="103" fillId="7" borderId="0" xfId="5" applyFont="1" applyFill="1" applyAlignment="1">
      <alignment horizontal="center" vertical="center" wrapText="1"/>
    </xf>
    <xf numFmtId="0" fontId="22" fillId="5" borderId="6" xfId="76" applyFont="1" applyFill="1" applyBorder="1" applyAlignment="1" applyProtection="1">
      <alignment horizontal="center" vertical="center"/>
      <protection locked="0"/>
    </xf>
    <xf numFmtId="0" fontId="103" fillId="7" borderId="32" xfId="5" applyFont="1" applyFill="1" applyBorder="1" applyAlignment="1">
      <alignment horizontal="center" vertical="center" shrinkToFit="1"/>
    </xf>
    <xf numFmtId="0" fontId="103" fillId="7" borderId="0" xfId="5" applyFont="1" applyFill="1" applyAlignment="1">
      <alignment horizontal="center" vertical="center" shrinkToFit="1"/>
    </xf>
    <xf numFmtId="0" fontId="103" fillId="7" borderId="61" xfId="5" applyFont="1" applyFill="1" applyBorder="1" applyAlignment="1">
      <alignment horizontal="center" vertical="center" shrinkToFit="1"/>
    </xf>
    <xf numFmtId="0" fontId="103" fillId="7" borderId="152" xfId="5" applyFont="1" applyFill="1" applyBorder="1" applyAlignment="1">
      <alignment horizontal="center" vertical="center" shrinkToFit="1"/>
    </xf>
    <xf numFmtId="0" fontId="103" fillId="7" borderId="145" xfId="5" applyFont="1" applyFill="1" applyBorder="1" applyAlignment="1">
      <alignment horizontal="center" vertical="center" shrinkToFit="1"/>
    </xf>
    <xf numFmtId="0" fontId="113" fillId="0" borderId="0" xfId="13" applyFont="1" applyAlignment="1" applyProtection="1">
      <alignment horizontal="center" vertical="top"/>
      <protection locked="0"/>
    </xf>
    <xf numFmtId="0" fontId="103" fillId="7" borderId="194" xfId="5" applyFont="1" applyFill="1" applyBorder="1" applyAlignment="1">
      <alignment horizontal="center" vertical="center" shrinkToFit="1"/>
    </xf>
    <xf numFmtId="0" fontId="103" fillId="7" borderId="146" xfId="5" applyFont="1" applyFill="1" applyBorder="1" applyAlignment="1">
      <alignment horizontal="center" vertical="center" shrinkToFit="1"/>
    </xf>
    <xf numFmtId="0" fontId="113" fillId="0" borderId="32" xfId="13" applyFont="1" applyBorder="1" applyAlignment="1" applyProtection="1">
      <alignment horizontal="center" vertical="top"/>
      <protection locked="0"/>
    </xf>
    <xf numFmtId="0" fontId="113" fillId="0" borderId="61" xfId="13" applyFont="1" applyBorder="1" applyAlignment="1" applyProtection="1">
      <alignment horizontal="center" vertical="top"/>
      <protection locked="0"/>
    </xf>
    <xf numFmtId="0" fontId="103" fillId="7" borderId="198" xfId="5" applyFont="1" applyFill="1" applyBorder="1" applyAlignment="1">
      <alignment horizontal="center" vertical="center" shrinkToFit="1"/>
    </xf>
    <xf numFmtId="0" fontId="113" fillId="0" borderId="152" xfId="13" applyFont="1" applyBorder="1" applyAlignment="1" applyProtection="1">
      <alignment horizontal="center" vertical="top"/>
      <protection locked="0"/>
    </xf>
    <xf numFmtId="1" fontId="105" fillId="5" borderId="174" xfId="5" applyNumberFormat="1" applyFont="1" applyFill="1" applyBorder="1" applyAlignment="1" applyProtection="1">
      <alignment horizontal="center" vertical="center" wrapText="1"/>
      <protection locked="0"/>
    </xf>
    <xf numFmtId="1" fontId="105" fillId="5" borderId="175" xfId="5" applyNumberFormat="1" applyFont="1" applyFill="1" applyBorder="1" applyAlignment="1" applyProtection="1">
      <alignment horizontal="center" vertical="center" wrapText="1"/>
      <protection locked="0"/>
    </xf>
    <xf numFmtId="1" fontId="105" fillId="5" borderId="176" xfId="5" applyNumberFormat="1" applyFont="1" applyFill="1" applyBorder="1" applyAlignment="1" applyProtection="1">
      <alignment horizontal="center" vertical="center" wrapText="1"/>
      <protection locked="0"/>
    </xf>
    <xf numFmtId="1" fontId="105" fillId="5" borderId="182" xfId="5" applyNumberFormat="1" applyFont="1" applyFill="1" applyBorder="1" applyAlignment="1" applyProtection="1">
      <alignment horizontal="center" vertical="center" wrapText="1"/>
      <protection locked="0"/>
    </xf>
    <xf numFmtId="1" fontId="105" fillId="5" borderId="204" xfId="5" applyNumberFormat="1" applyFont="1" applyFill="1" applyBorder="1" applyAlignment="1" applyProtection="1">
      <alignment horizontal="center" vertical="center" wrapText="1"/>
      <protection locked="0"/>
    </xf>
    <xf numFmtId="1" fontId="105" fillId="5" borderId="205" xfId="5" applyNumberFormat="1" applyFont="1" applyFill="1" applyBorder="1" applyAlignment="1" applyProtection="1">
      <alignment horizontal="center" vertical="center" wrapText="1"/>
      <protection locked="0"/>
    </xf>
    <xf numFmtId="1" fontId="105" fillId="5" borderId="206" xfId="5" applyNumberFormat="1" applyFont="1" applyFill="1" applyBorder="1" applyAlignment="1" applyProtection="1">
      <alignment horizontal="center" vertical="center" wrapText="1"/>
      <protection locked="0"/>
    </xf>
    <xf numFmtId="1" fontId="105" fillId="5" borderId="246" xfId="5" applyNumberFormat="1" applyFont="1" applyFill="1" applyBorder="1" applyAlignment="1" applyProtection="1">
      <alignment horizontal="center" vertical="center" wrapText="1"/>
      <protection locked="0"/>
    </xf>
    <xf numFmtId="1" fontId="105" fillId="5" borderId="224" xfId="5" applyNumberFormat="1" applyFont="1" applyFill="1" applyBorder="1" applyAlignment="1" applyProtection="1">
      <alignment horizontal="center" vertical="center" wrapText="1"/>
      <protection locked="0"/>
    </xf>
    <xf numFmtId="0" fontId="103" fillId="7" borderId="150" xfId="5" applyFont="1" applyFill="1" applyBorder="1" applyAlignment="1">
      <alignment horizontal="center" vertical="center" wrapText="1"/>
    </xf>
    <xf numFmtId="0" fontId="103" fillId="7" borderId="152" xfId="5" applyFont="1" applyFill="1" applyBorder="1" applyAlignment="1">
      <alignment horizontal="center" vertical="center" wrapText="1"/>
    </xf>
    <xf numFmtId="0" fontId="113" fillId="0" borderId="175" xfId="13" applyFont="1" applyBorder="1" applyAlignment="1" applyProtection="1">
      <alignment horizontal="center" vertical="top"/>
      <protection locked="0"/>
    </xf>
    <xf numFmtId="0" fontId="113" fillId="0" borderId="177" xfId="13" applyFont="1" applyBorder="1" applyAlignment="1" applyProtection="1">
      <alignment horizontal="center" vertical="top"/>
      <protection locked="0"/>
    </xf>
    <xf numFmtId="0" fontId="113" fillId="0" borderId="176" xfId="13" applyFont="1" applyBorder="1" applyAlignment="1" applyProtection="1">
      <alignment horizontal="center" vertical="top"/>
      <protection locked="0"/>
    </xf>
    <xf numFmtId="0" fontId="113" fillId="0" borderId="182" xfId="13" applyFont="1" applyBorder="1" applyAlignment="1" applyProtection="1">
      <alignment horizontal="center" vertical="top"/>
      <protection locked="0"/>
    </xf>
    <xf numFmtId="0" fontId="105" fillId="7" borderId="246" xfId="5" applyFont="1" applyFill="1" applyBorder="1" applyAlignment="1">
      <alignment horizontal="left" vertical="center" wrapText="1" indent="1"/>
    </xf>
    <xf numFmtId="0" fontId="105" fillId="7" borderId="205" xfId="5" applyFont="1" applyFill="1" applyBorder="1" applyAlignment="1">
      <alignment horizontal="left" vertical="center" wrapText="1" indent="1"/>
    </xf>
    <xf numFmtId="0" fontId="105" fillId="7" borderId="206" xfId="5" applyFont="1" applyFill="1" applyBorder="1" applyAlignment="1">
      <alignment horizontal="left" vertical="center" wrapText="1" indent="1"/>
    </xf>
    <xf numFmtId="0" fontId="105" fillId="7" borderId="174" xfId="5" applyFont="1" applyFill="1" applyBorder="1" applyAlignment="1">
      <alignment horizontal="left" vertical="center" wrapText="1" indent="1"/>
    </xf>
    <xf numFmtId="0" fontId="105" fillId="7" borderId="175" xfId="5" applyFont="1" applyFill="1" applyBorder="1" applyAlignment="1">
      <alignment horizontal="left" vertical="center" wrapText="1" indent="1"/>
    </xf>
    <xf numFmtId="0" fontId="105" fillId="7" borderId="182" xfId="5" applyFont="1" applyFill="1" applyBorder="1" applyAlignment="1">
      <alignment horizontal="left" vertical="center" wrapText="1" indent="1"/>
    </xf>
    <xf numFmtId="0" fontId="105" fillId="7" borderId="174" xfId="5" applyFont="1" applyFill="1" applyBorder="1" applyAlignment="1">
      <alignment horizontal="left" vertical="center" wrapText="1" indent="2"/>
    </xf>
    <xf numFmtId="0" fontId="105" fillId="7" borderId="175" xfId="5" applyFont="1" applyFill="1" applyBorder="1" applyAlignment="1">
      <alignment horizontal="left" vertical="center" wrapText="1" indent="2"/>
    </xf>
    <xf numFmtId="0" fontId="105" fillId="7" borderId="182" xfId="5" applyFont="1" applyFill="1" applyBorder="1" applyAlignment="1">
      <alignment horizontal="left" vertical="center" wrapText="1" indent="2"/>
    </xf>
    <xf numFmtId="0" fontId="105" fillId="5" borderId="274" xfId="5" applyFont="1" applyFill="1" applyBorder="1" applyAlignment="1" applyProtection="1">
      <alignment horizontal="center" vertical="center" wrapText="1"/>
      <protection locked="0"/>
    </xf>
    <xf numFmtId="0" fontId="105" fillId="5" borderId="275" xfId="5" applyFont="1" applyFill="1" applyBorder="1" applyAlignment="1" applyProtection="1">
      <alignment horizontal="center" vertical="center" wrapText="1"/>
      <protection locked="0"/>
    </xf>
    <xf numFmtId="0" fontId="105" fillId="5" borderId="276" xfId="5" applyFont="1" applyFill="1" applyBorder="1" applyAlignment="1" applyProtection="1">
      <alignment horizontal="center" vertical="center" wrapText="1"/>
      <protection locked="0"/>
    </xf>
    <xf numFmtId="0" fontId="105" fillId="7" borderId="158" xfId="5" applyFont="1" applyFill="1" applyBorder="1" applyAlignment="1">
      <alignment horizontal="left" vertical="center" wrapText="1" indent="2"/>
    </xf>
    <xf numFmtId="0" fontId="105" fillId="7" borderId="6" xfId="5" applyFont="1" applyFill="1" applyBorder="1" applyAlignment="1">
      <alignment horizontal="left" vertical="center" wrapText="1" indent="2"/>
    </xf>
    <xf numFmtId="0" fontId="105" fillId="7" borderId="153" xfId="5" applyFont="1" applyFill="1" applyBorder="1" applyAlignment="1">
      <alignment horizontal="left" vertical="center" wrapText="1" indent="2"/>
    </xf>
    <xf numFmtId="0" fontId="105" fillId="5" borderId="6" xfId="5" applyFont="1" applyFill="1" applyBorder="1" applyAlignment="1" applyProtection="1">
      <alignment horizontal="center" vertical="center" wrapText="1"/>
      <protection locked="0"/>
    </xf>
    <xf numFmtId="0" fontId="105" fillId="5" borderId="112" xfId="5" applyFont="1" applyFill="1" applyBorder="1" applyAlignment="1" applyProtection="1">
      <alignment horizontal="center" vertical="center" wrapText="1"/>
      <protection locked="0"/>
    </xf>
    <xf numFmtId="0" fontId="105" fillId="5" borderId="100" xfId="5" applyFont="1" applyFill="1" applyBorder="1" applyAlignment="1" applyProtection="1">
      <alignment horizontal="center" vertical="center" wrapText="1"/>
      <protection locked="0"/>
    </xf>
    <xf numFmtId="0" fontId="105" fillId="5" borderId="113" xfId="5" applyFont="1" applyFill="1" applyBorder="1" applyAlignment="1" applyProtection="1">
      <alignment horizontal="center" vertical="center" wrapText="1"/>
      <protection locked="0"/>
    </xf>
    <xf numFmtId="0" fontId="105" fillId="5" borderId="153" xfId="5" applyFont="1" applyFill="1" applyBorder="1" applyAlignment="1" applyProtection="1">
      <alignment horizontal="center" vertical="center" wrapText="1"/>
      <protection locked="0"/>
    </xf>
    <xf numFmtId="0" fontId="103" fillId="7" borderId="190" xfId="5" applyFont="1" applyFill="1" applyBorder="1" applyAlignment="1">
      <alignment horizontal="left" vertical="center" indent="1"/>
    </xf>
    <xf numFmtId="0" fontId="103" fillId="7" borderId="148" xfId="5" applyFont="1" applyFill="1" applyBorder="1" applyAlignment="1">
      <alignment horizontal="left" vertical="center" indent="1"/>
    </xf>
    <xf numFmtId="0" fontId="103" fillId="7" borderId="149" xfId="5" applyFont="1" applyFill="1" applyBorder="1" applyAlignment="1">
      <alignment horizontal="left" vertical="center" indent="1"/>
    </xf>
    <xf numFmtId="0" fontId="0" fillId="7" borderId="0" xfId="77" applyFont="1" applyFill="1" applyAlignment="1">
      <alignment horizontal="justify" vertical="center" wrapText="1"/>
    </xf>
    <xf numFmtId="0" fontId="0" fillId="7" borderId="0" xfId="76" applyFont="1" applyFill="1" applyAlignment="1">
      <alignment vertical="top" wrapText="1"/>
    </xf>
    <xf numFmtId="0" fontId="0" fillId="7" borderId="0" xfId="76" applyFont="1" applyFill="1" applyAlignment="1">
      <alignment vertical="center" wrapText="1"/>
    </xf>
    <xf numFmtId="0" fontId="67" fillId="7" borderId="0" xfId="11" applyFont="1" applyFill="1" applyAlignment="1">
      <alignment horizontal="justify" vertical="center"/>
    </xf>
    <xf numFmtId="0" fontId="0" fillId="7" borderId="0" xfId="75" applyFont="1" applyFill="1" applyAlignment="1">
      <alignment vertical="center" wrapText="1"/>
    </xf>
    <xf numFmtId="0" fontId="43" fillId="7" borderId="284" xfId="13" applyFont="1" applyFill="1" applyBorder="1" applyAlignment="1">
      <alignment horizontal="center" vertical="center"/>
    </xf>
    <xf numFmtId="0" fontId="43" fillId="7" borderId="285" xfId="13" applyFont="1" applyFill="1" applyBorder="1" applyAlignment="1">
      <alignment horizontal="center" vertical="center"/>
    </xf>
    <xf numFmtId="0" fontId="103" fillId="7" borderId="145" xfId="5" applyFont="1" applyFill="1" applyBorder="1" applyAlignment="1">
      <alignment horizontal="left" vertical="center" wrapText="1"/>
    </xf>
    <xf numFmtId="0" fontId="105" fillId="7" borderId="162" xfId="5" applyFont="1" applyFill="1" applyBorder="1" applyAlignment="1">
      <alignment horizontal="left" vertical="center" wrapText="1" indent="1"/>
    </xf>
    <xf numFmtId="0" fontId="105" fillId="7" borderId="16" xfId="5" applyFont="1" applyFill="1" applyBorder="1" applyAlignment="1">
      <alignment horizontal="left" vertical="center" wrapText="1" indent="1"/>
    </xf>
    <xf numFmtId="3" fontId="105" fillId="0" borderId="162" xfId="5" applyNumberFormat="1" applyFont="1" applyBorder="1" applyAlignment="1" applyProtection="1">
      <alignment horizontal="center" vertical="center" wrapText="1"/>
      <protection locked="0"/>
    </xf>
    <xf numFmtId="3" fontId="105" fillId="0" borderId="16" xfId="5" applyNumberFormat="1" applyFont="1" applyBorder="1" applyAlignment="1" applyProtection="1">
      <alignment horizontal="center" vertical="center" wrapText="1"/>
      <protection locked="0"/>
    </xf>
    <xf numFmtId="3" fontId="105" fillId="0" borderId="55" xfId="5" applyNumberFormat="1" applyFont="1" applyBorder="1" applyAlignment="1" applyProtection="1">
      <alignment horizontal="center" vertical="center" wrapText="1"/>
      <protection locked="0"/>
    </xf>
    <xf numFmtId="0" fontId="43" fillId="7" borderId="280" xfId="13" applyFont="1" applyFill="1" applyBorder="1" applyAlignment="1">
      <alignment horizontal="center" vertical="center"/>
    </xf>
    <xf numFmtId="0" fontId="43" fillId="7" borderId="281" xfId="13" applyFont="1" applyFill="1" applyBorder="1" applyAlignment="1">
      <alignment horizontal="center" vertical="center"/>
    </xf>
    <xf numFmtId="3" fontId="105" fillId="0" borderId="246" xfId="5" applyNumberFormat="1" applyFont="1" applyBorder="1" applyAlignment="1" applyProtection="1">
      <alignment horizontal="center" vertical="center" wrapText="1"/>
      <protection locked="0"/>
    </xf>
    <xf numFmtId="3" fontId="105" fillId="0" borderId="205" xfId="5" applyNumberFormat="1" applyFont="1" applyBorder="1" applyAlignment="1" applyProtection="1">
      <alignment horizontal="center" vertical="center" wrapText="1"/>
      <protection locked="0"/>
    </xf>
    <xf numFmtId="3" fontId="105" fillId="0" borderId="224" xfId="5" applyNumberFormat="1" applyFont="1" applyBorder="1" applyAlignment="1" applyProtection="1">
      <alignment horizontal="center" vertical="center" wrapText="1"/>
      <protection locked="0"/>
    </xf>
    <xf numFmtId="3" fontId="105" fillId="0" borderId="206" xfId="5" applyNumberFormat="1" applyFont="1" applyBorder="1" applyAlignment="1" applyProtection="1">
      <alignment horizontal="center" vertical="center" wrapText="1"/>
      <protection locked="0"/>
    </xf>
    <xf numFmtId="0" fontId="43" fillId="7" borderId="267" xfId="76" applyFont="1" applyFill="1" applyBorder="1" applyAlignment="1">
      <alignment horizontal="center" vertical="center" wrapText="1"/>
    </xf>
    <xf numFmtId="0" fontId="43" fillId="7" borderId="268" xfId="76" applyFont="1" applyFill="1" applyBorder="1" applyAlignment="1">
      <alignment horizontal="center" vertical="center" wrapText="1"/>
    </xf>
    <xf numFmtId="0" fontId="43" fillId="7" borderId="271" xfId="76" applyFont="1" applyFill="1" applyBorder="1" applyAlignment="1">
      <alignment horizontal="center" vertical="center" wrapText="1"/>
    </xf>
    <xf numFmtId="1" fontId="22" fillId="0" borderId="274" xfId="76" applyNumberFormat="1" applyFont="1" applyBorder="1" applyAlignment="1" applyProtection="1">
      <alignment horizontal="center" vertical="center" wrapText="1"/>
      <protection locked="0"/>
    </xf>
    <xf numFmtId="1" fontId="22" fillId="0" borderId="276" xfId="76" applyNumberFormat="1" applyFont="1" applyBorder="1" applyAlignment="1" applyProtection="1">
      <alignment horizontal="center" vertical="center" wrapText="1"/>
      <protection locked="0"/>
    </xf>
    <xf numFmtId="1" fontId="22" fillId="0" borderId="180" xfId="76" applyNumberFormat="1" applyFont="1" applyBorder="1" applyAlignment="1" applyProtection="1">
      <alignment horizontal="center" vertical="center" wrapText="1"/>
      <protection locked="0"/>
    </xf>
    <xf numFmtId="1" fontId="22" fillId="0" borderId="277" xfId="76" applyNumberFormat="1" applyFont="1" applyBorder="1" applyAlignment="1" applyProtection="1">
      <alignment horizontal="center" vertical="center" wrapText="1"/>
      <protection locked="0"/>
    </xf>
    <xf numFmtId="1" fontId="22" fillId="0" borderId="112" xfId="76" applyNumberFormat="1" applyFont="1" applyBorder="1" applyAlignment="1" applyProtection="1">
      <alignment horizontal="center" vertical="center" wrapText="1"/>
      <protection locked="0"/>
    </xf>
    <xf numFmtId="1" fontId="22" fillId="0" borderId="113" xfId="76" applyNumberFormat="1" applyFont="1" applyBorder="1" applyAlignment="1" applyProtection="1">
      <alignment horizontal="center" vertical="center" wrapText="1"/>
      <protection locked="0"/>
    </xf>
    <xf numFmtId="1" fontId="22" fillId="0" borderId="21" xfId="76" applyNumberFormat="1" applyFont="1" applyBorder="1" applyAlignment="1" applyProtection="1">
      <alignment horizontal="center" vertical="center" wrapText="1"/>
      <protection locked="0"/>
    </xf>
    <xf numFmtId="1" fontId="22" fillId="0" borderId="286" xfId="76" applyNumberFormat="1" applyFont="1" applyBorder="1" applyAlignment="1" applyProtection="1">
      <alignment horizontal="center" vertical="center" wrapText="1"/>
      <protection locked="0"/>
    </xf>
    <xf numFmtId="1" fontId="22" fillId="0" borderId="348" xfId="76" applyNumberFormat="1" applyFont="1" applyBorder="1" applyAlignment="1" applyProtection="1">
      <alignment horizontal="center" vertical="center" wrapText="1"/>
      <protection locked="0"/>
    </xf>
    <xf numFmtId="1" fontId="22" fillId="0" borderId="350" xfId="76" applyNumberFormat="1" applyFont="1" applyBorder="1" applyAlignment="1" applyProtection="1">
      <alignment horizontal="center" vertical="center" wrapText="1"/>
      <protection locked="0"/>
    </xf>
    <xf numFmtId="1" fontId="22" fillId="0" borderId="226" xfId="76" applyNumberFormat="1" applyFont="1" applyBorder="1" applyAlignment="1" applyProtection="1">
      <alignment horizontal="center" vertical="center" wrapText="1"/>
      <protection locked="0"/>
    </xf>
    <xf numFmtId="1" fontId="22" fillId="0" borderId="339" xfId="76" applyNumberFormat="1" applyFont="1" applyBorder="1" applyAlignment="1" applyProtection="1">
      <alignment horizontal="center" vertical="center" wrapText="1"/>
      <protection locked="0"/>
    </xf>
    <xf numFmtId="0" fontId="43" fillId="7" borderId="289" xfId="13" applyFont="1" applyFill="1" applyBorder="1" applyAlignment="1">
      <alignment horizontal="center" vertical="center"/>
    </xf>
    <xf numFmtId="1" fontId="22" fillId="0" borderId="75" xfId="76" applyNumberFormat="1" applyFont="1" applyBorder="1" applyAlignment="1" applyProtection="1">
      <alignment horizontal="center" vertical="center" wrapText="1"/>
      <protection locked="0"/>
    </xf>
    <xf numFmtId="1" fontId="22" fillId="0" borderId="227" xfId="76" applyNumberFormat="1" applyFont="1" applyBorder="1" applyAlignment="1" applyProtection="1">
      <alignment horizontal="center" vertical="center" wrapText="1"/>
      <protection locked="0"/>
    </xf>
    <xf numFmtId="3" fontId="105" fillId="0" borderId="163" xfId="5" applyNumberFormat="1" applyFont="1" applyBorder="1" applyAlignment="1" applyProtection="1">
      <alignment horizontal="center" vertical="center" wrapText="1"/>
      <protection locked="0"/>
    </xf>
    <xf numFmtId="0" fontId="65" fillId="7" borderId="0" xfId="76" applyFont="1" applyFill="1" applyAlignment="1">
      <alignment horizontal="justify" vertical="top" wrapText="1"/>
    </xf>
    <xf numFmtId="1" fontId="22" fillId="0" borderId="178" xfId="76" applyNumberFormat="1" applyFont="1" applyBorder="1" applyAlignment="1" applyProtection="1">
      <alignment horizontal="center" vertical="center" wrapText="1"/>
      <protection locked="0"/>
    </xf>
    <xf numFmtId="0" fontId="65" fillId="7" borderId="158" xfId="76" applyFont="1" applyFill="1" applyBorder="1" applyAlignment="1">
      <alignment horizontal="left" vertical="center" indent="2"/>
    </xf>
    <xf numFmtId="0" fontId="65" fillId="7" borderId="6" xfId="76" applyFont="1" applyFill="1" applyBorder="1" applyAlignment="1">
      <alignment horizontal="left" vertical="center" indent="2"/>
    </xf>
    <xf numFmtId="0" fontId="65" fillId="7" borderId="153" xfId="76" applyFont="1" applyFill="1" applyBorder="1" applyAlignment="1">
      <alignment horizontal="left" vertical="center" indent="2"/>
    </xf>
    <xf numFmtId="0" fontId="65" fillId="7" borderId="162" xfId="76" applyFont="1" applyFill="1" applyBorder="1" applyAlignment="1">
      <alignment horizontal="left" vertical="center" indent="2"/>
    </xf>
    <xf numFmtId="0" fontId="65" fillId="7" borderId="16" xfId="76" applyFont="1" applyFill="1" applyBorder="1" applyAlignment="1">
      <alignment horizontal="left" vertical="center" indent="2"/>
    </xf>
    <xf numFmtId="0" fontId="65" fillId="7" borderId="163" xfId="76" applyFont="1" applyFill="1" applyBorder="1" applyAlignment="1">
      <alignment horizontal="left" vertical="center" indent="2"/>
    </xf>
    <xf numFmtId="3" fontId="105" fillId="0" borderId="182" xfId="5" applyNumberFormat="1" applyFont="1" applyBorder="1" applyAlignment="1" applyProtection="1">
      <alignment horizontal="center" vertical="center" wrapText="1"/>
      <protection locked="0"/>
    </xf>
    <xf numFmtId="3" fontId="105" fillId="0" borderId="176" xfId="5" applyNumberFormat="1" applyFont="1" applyBorder="1" applyAlignment="1" applyProtection="1">
      <alignment horizontal="center" vertical="center" wrapText="1"/>
      <protection locked="0"/>
    </xf>
    <xf numFmtId="3" fontId="105" fillId="0" borderId="208" xfId="5" applyNumberFormat="1" applyFont="1" applyBorder="1" applyAlignment="1" applyProtection="1">
      <alignment horizontal="center" vertical="center" wrapText="1"/>
      <protection locked="0"/>
    </xf>
    <xf numFmtId="3" fontId="105" fillId="0" borderId="209" xfId="5" applyNumberFormat="1" applyFont="1" applyBorder="1" applyAlignment="1" applyProtection="1">
      <alignment horizontal="center" vertical="center" wrapText="1"/>
      <protection locked="0"/>
    </xf>
    <xf numFmtId="1" fontId="22" fillId="0" borderId="296" xfId="76" applyNumberFormat="1" applyFont="1" applyBorder="1" applyAlignment="1" applyProtection="1">
      <alignment horizontal="center" vertical="center" wrapText="1"/>
      <protection locked="0"/>
    </xf>
    <xf numFmtId="3" fontId="105" fillId="0" borderId="247" xfId="5" applyNumberFormat="1" applyFont="1" applyBorder="1" applyAlignment="1" applyProtection="1">
      <alignment horizontal="center" vertical="center" wrapText="1"/>
      <protection locked="0"/>
    </xf>
    <xf numFmtId="3" fontId="105" fillId="0" borderId="223" xfId="5" applyNumberFormat="1" applyFont="1" applyBorder="1" applyAlignment="1" applyProtection="1">
      <alignment horizontal="center" vertical="center" wrapText="1"/>
      <protection locked="0"/>
    </xf>
    <xf numFmtId="0" fontId="32" fillId="7" borderId="0" xfId="15" applyFont="1" applyFill="1" applyAlignment="1">
      <alignment horizontal="center" wrapText="1"/>
    </xf>
    <xf numFmtId="0" fontId="32" fillId="7" borderId="6" xfId="15" applyFont="1" applyFill="1" applyBorder="1" applyAlignment="1">
      <alignment horizontal="center" wrapText="1"/>
    </xf>
    <xf numFmtId="1" fontId="22" fillId="0" borderId="297" xfId="76" applyNumberFormat="1" applyFont="1" applyBorder="1" applyAlignment="1" applyProtection="1">
      <alignment horizontal="center" vertical="center" wrapText="1"/>
      <protection locked="0"/>
    </xf>
    <xf numFmtId="0" fontId="65" fillId="7" borderId="247" xfId="76" applyFont="1" applyFill="1" applyBorder="1" applyAlignment="1">
      <alignment horizontal="left" vertical="center" indent="2"/>
    </xf>
    <xf numFmtId="0" fontId="65" fillId="7" borderId="208" xfId="76" applyFont="1" applyFill="1" applyBorder="1" applyAlignment="1">
      <alignment horizontal="left" vertical="center" indent="2"/>
    </xf>
    <xf numFmtId="0" fontId="65" fillId="7" borderId="209" xfId="76" applyFont="1" applyFill="1" applyBorder="1" applyAlignment="1">
      <alignment horizontal="left" vertical="center" indent="2"/>
    </xf>
    <xf numFmtId="1" fontId="22" fillId="0" borderId="349" xfId="76" applyNumberFormat="1" applyFont="1" applyBorder="1" applyAlignment="1" applyProtection="1">
      <alignment horizontal="center" vertical="center" wrapText="1"/>
      <protection locked="0"/>
    </xf>
    <xf numFmtId="0" fontId="105" fillId="7" borderId="163" xfId="5" applyFont="1" applyFill="1" applyBorder="1" applyAlignment="1">
      <alignment horizontal="left" vertical="center" wrapText="1" indent="1"/>
    </xf>
    <xf numFmtId="173" fontId="105" fillId="0" borderId="16" xfId="5" applyNumberFormat="1" applyFont="1" applyBorder="1" applyAlignment="1" applyProtection="1">
      <alignment horizontal="center" vertical="center" wrapText="1"/>
      <protection locked="0"/>
    </xf>
    <xf numFmtId="173" fontId="105" fillId="0" borderId="163" xfId="5" applyNumberFormat="1" applyFont="1" applyBorder="1" applyAlignment="1" applyProtection="1">
      <alignment horizontal="center" vertical="center" wrapText="1"/>
      <protection locked="0"/>
    </xf>
    <xf numFmtId="0" fontId="105" fillId="0" borderId="162" xfId="5" applyFont="1" applyBorder="1" applyAlignment="1" applyProtection="1">
      <alignment horizontal="center" vertical="center" wrapText="1"/>
      <protection locked="0"/>
    </xf>
    <xf numFmtId="0" fontId="105" fillId="0" borderId="16" xfId="5" applyFont="1" applyBorder="1" applyAlignment="1" applyProtection="1">
      <alignment horizontal="center" vertical="center" wrapText="1"/>
      <protection locked="0"/>
    </xf>
    <xf numFmtId="0" fontId="105" fillId="0" borderId="55" xfId="5" applyFont="1" applyBorder="1" applyAlignment="1" applyProtection="1">
      <alignment horizontal="center" vertical="center" wrapText="1"/>
      <protection locked="0"/>
    </xf>
    <xf numFmtId="0" fontId="105" fillId="0" borderId="175" xfId="5" applyFont="1" applyBorder="1" applyAlignment="1" applyProtection="1">
      <alignment horizontal="center" vertical="center" wrapText="1"/>
      <protection locked="0"/>
    </xf>
    <xf numFmtId="0" fontId="105" fillId="0" borderId="182" xfId="5" applyFont="1" applyBorder="1" applyAlignment="1" applyProtection="1">
      <alignment horizontal="center" vertical="center" wrapText="1"/>
      <protection locked="0"/>
    </xf>
    <xf numFmtId="0" fontId="105" fillId="0" borderId="163" xfId="5" applyFont="1" applyBorder="1" applyAlignment="1" applyProtection="1">
      <alignment horizontal="center" vertical="center" wrapText="1"/>
      <protection locked="0"/>
    </xf>
    <xf numFmtId="0" fontId="105" fillId="0" borderId="246" xfId="5" applyFont="1" applyBorder="1" applyAlignment="1" applyProtection="1">
      <alignment horizontal="center" vertical="center" wrapText="1"/>
      <protection locked="0"/>
    </xf>
    <xf numFmtId="0" fontId="105" fillId="0" borderId="205" xfId="5" applyFont="1" applyBorder="1" applyAlignment="1" applyProtection="1">
      <alignment horizontal="center" vertical="center" wrapText="1"/>
      <protection locked="0"/>
    </xf>
    <xf numFmtId="0" fontId="105" fillId="0" borderId="224" xfId="5" applyFont="1" applyBorder="1" applyAlignment="1" applyProtection="1">
      <alignment horizontal="center" vertical="center" wrapText="1"/>
      <protection locked="0"/>
    </xf>
    <xf numFmtId="173" fontId="105" fillId="0" borderId="205" xfId="5" applyNumberFormat="1" applyFont="1" applyBorder="1" applyAlignment="1" applyProtection="1">
      <alignment horizontal="center" vertical="center" wrapText="1"/>
      <protection locked="0"/>
    </xf>
    <xf numFmtId="173" fontId="105" fillId="0" borderId="206" xfId="5" applyNumberFormat="1" applyFont="1" applyBorder="1" applyAlignment="1" applyProtection="1">
      <alignment horizontal="center" vertical="center" wrapText="1"/>
      <protection locked="0"/>
    </xf>
    <xf numFmtId="0" fontId="105" fillId="0" borderId="206" xfId="5" applyFont="1" applyBorder="1" applyAlignment="1" applyProtection="1">
      <alignment horizontal="center" vertical="center" wrapText="1"/>
      <protection locked="0"/>
    </xf>
    <xf numFmtId="0" fontId="105" fillId="7" borderId="150" xfId="5" applyFont="1" applyFill="1" applyBorder="1" applyAlignment="1">
      <alignment horizontal="left" vertical="center" wrapText="1" indent="1"/>
    </xf>
    <xf numFmtId="0" fontId="105" fillId="7" borderId="0" xfId="5" applyFont="1" applyFill="1" applyAlignment="1">
      <alignment horizontal="left" vertical="center" wrapText="1" indent="1"/>
    </xf>
    <xf numFmtId="0" fontId="105" fillId="7" borderId="152" xfId="5" applyFont="1" applyFill="1" applyBorder="1" applyAlignment="1">
      <alignment horizontal="left" vertical="center" wrapText="1" indent="1"/>
    </xf>
    <xf numFmtId="0" fontId="105" fillId="0" borderId="150" xfId="5" applyFont="1" applyBorder="1" applyAlignment="1" applyProtection="1">
      <alignment horizontal="center" vertical="center" wrapText="1"/>
      <protection locked="0"/>
    </xf>
    <xf numFmtId="0" fontId="105" fillId="0" borderId="0" xfId="5" applyFont="1" applyAlignment="1" applyProtection="1">
      <alignment horizontal="center" vertical="center" wrapText="1"/>
      <protection locked="0"/>
    </xf>
    <xf numFmtId="0" fontId="105" fillId="0" borderId="61" xfId="5" applyFont="1" applyBorder="1" applyAlignment="1" applyProtection="1">
      <alignment horizontal="center" vertical="center" wrapText="1"/>
      <protection locked="0"/>
    </xf>
    <xf numFmtId="0" fontId="105" fillId="0" borderId="174" xfId="5" applyFont="1" applyBorder="1" applyAlignment="1" applyProtection="1">
      <alignment horizontal="center" vertical="center" wrapText="1"/>
      <protection locked="0"/>
    </xf>
    <xf numFmtId="0" fontId="105" fillId="0" borderId="176" xfId="5" applyFont="1" applyBorder="1" applyAlignment="1" applyProtection="1">
      <alignment horizontal="center" vertical="center" wrapText="1"/>
      <protection locked="0"/>
    </xf>
    <xf numFmtId="173" fontId="105" fillId="0" borderId="0" xfId="5" applyNumberFormat="1" applyFont="1" applyAlignment="1" applyProtection="1">
      <alignment horizontal="center" vertical="center" wrapText="1"/>
      <protection locked="0"/>
    </xf>
    <xf numFmtId="173" fontId="105" fillId="0" borderId="152" xfId="5" applyNumberFormat="1" applyFont="1" applyBorder="1" applyAlignment="1" applyProtection="1">
      <alignment horizontal="center" vertical="center" wrapText="1"/>
      <protection locked="0"/>
    </xf>
    <xf numFmtId="173" fontId="105" fillId="0" borderId="175" xfId="5" applyNumberFormat="1" applyFont="1" applyBorder="1" applyAlignment="1" applyProtection="1">
      <alignment horizontal="center" vertical="center" wrapText="1"/>
      <protection locked="0"/>
    </xf>
    <xf numFmtId="173" fontId="105" fillId="0" borderId="182" xfId="5" applyNumberFormat="1" applyFont="1" applyBorder="1" applyAlignment="1" applyProtection="1">
      <alignment horizontal="center" vertical="center" wrapText="1"/>
      <protection locked="0"/>
    </xf>
    <xf numFmtId="0" fontId="105" fillId="7" borderId="16" xfId="5" applyFont="1" applyFill="1" applyBorder="1" applyAlignment="1">
      <alignment vertical="center" wrapText="1"/>
    </xf>
    <xf numFmtId="0" fontId="105" fillId="7" borderId="0" xfId="5" applyFont="1" applyFill="1" applyAlignment="1">
      <alignment vertical="center" wrapText="1"/>
    </xf>
    <xf numFmtId="0" fontId="105" fillId="7" borderId="175" xfId="5" applyFont="1" applyFill="1" applyBorder="1" applyAlignment="1">
      <alignment vertical="center" wrapText="1"/>
    </xf>
    <xf numFmtId="0" fontId="105" fillId="0" borderId="152" xfId="5" applyFont="1" applyBorder="1" applyAlignment="1" applyProtection="1">
      <alignment horizontal="center" vertical="center" wrapText="1"/>
      <protection locked="0"/>
    </xf>
    <xf numFmtId="0" fontId="105" fillId="7" borderId="205" xfId="5" applyFont="1" applyFill="1" applyBorder="1" applyAlignment="1">
      <alignment vertical="center" wrapText="1"/>
    </xf>
    <xf numFmtId="0" fontId="0" fillId="7" borderId="0" xfId="75" applyFont="1" applyFill="1" applyAlignment="1">
      <alignment wrapText="1"/>
    </xf>
    <xf numFmtId="3" fontId="22" fillId="0" borderId="158" xfId="0" applyNumberFormat="1" applyFont="1" applyBorder="1" applyAlignment="1" applyProtection="1">
      <alignment horizontal="center" vertical="center"/>
      <protection locked="0"/>
    </xf>
    <xf numFmtId="3" fontId="22" fillId="0" borderId="6" xfId="0" applyNumberFormat="1" applyFont="1" applyBorder="1" applyAlignment="1" applyProtection="1">
      <alignment horizontal="center" vertical="center"/>
      <protection locked="0"/>
    </xf>
    <xf numFmtId="3" fontId="22" fillId="0" borderId="21" xfId="0" applyNumberFormat="1" applyFont="1" applyBorder="1" applyAlignment="1" applyProtection="1">
      <alignment horizontal="center" vertical="center"/>
      <protection locked="0"/>
    </xf>
    <xf numFmtId="3" fontId="22" fillId="0" borderId="75" xfId="0" applyNumberFormat="1" applyFont="1" applyBorder="1" applyAlignment="1" applyProtection="1">
      <alignment horizontal="center" vertical="center"/>
      <protection locked="0"/>
    </xf>
    <xf numFmtId="3" fontId="22" fillId="0" borderId="54" xfId="0" applyNumberFormat="1" applyFont="1" applyBorder="1" applyAlignment="1" applyProtection="1">
      <alignment horizontal="center" vertical="center"/>
      <protection locked="0"/>
    </xf>
    <xf numFmtId="3" fontId="22" fillId="0" borderId="20" xfId="0" applyNumberFormat="1" applyFont="1" applyBorder="1" applyAlignment="1" applyProtection="1">
      <alignment horizontal="center" vertical="center"/>
      <protection locked="0"/>
    </xf>
    <xf numFmtId="3" fontId="22" fillId="0" borderId="153" xfId="0" applyNumberFormat="1" applyFont="1" applyBorder="1" applyAlignment="1" applyProtection="1">
      <alignment horizontal="center" vertical="center"/>
      <protection locked="0"/>
    </xf>
    <xf numFmtId="0" fontId="0" fillId="7" borderId="205" xfId="0" quotePrefix="1" applyFill="1" applyBorder="1" applyAlignment="1">
      <alignment vertical="top" wrapText="1"/>
    </xf>
    <xf numFmtId="0" fontId="0" fillId="7" borderId="206" xfId="0" quotePrefix="1" applyFill="1" applyBorder="1" applyAlignment="1">
      <alignment vertical="top" wrapText="1"/>
    </xf>
    <xf numFmtId="3" fontId="22" fillId="0" borderId="162" xfId="0" applyNumberFormat="1" applyFont="1" applyBorder="1" applyAlignment="1" applyProtection="1">
      <alignment horizontal="center" vertical="center"/>
      <protection locked="0"/>
    </xf>
    <xf numFmtId="3" fontId="22" fillId="0" borderId="55" xfId="0" applyNumberFormat="1" applyFont="1" applyBorder="1" applyAlignment="1" applyProtection="1">
      <alignment horizontal="center" vertical="center"/>
      <protection locked="0"/>
    </xf>
    <xf numFmtId="3" fontId="22" fillId="0" borderId="163" xfId="0" applyNumberFormat="1" applyFont="1" applyBorder="1" applyAlignment="1" applyProtection="1">
      <alignment horizontal="center" vertical="center"/>
      <protection locked="0"/>
    </xf>
    <xf numFmtId="0" fontId="0" fillId="7" borderId="16" xfId="0" quotePrefix="1" applyFill="1" applyBorder="1" applyAlignment="1">
      <alignment vertical="top" wrapText="1"/>
    </xf>
    <xf numFmtId="0" fontId="0" fillId="7" borderId="163" xfId="0" quotePrefix="1" applyFill="1" applyBorder="1" applyAlignment="1">
      <alignment vertical="top" wrapText="1"/>
    </xf>
    <xf numFmtId="3" fontId="22" fillId="0" borderId="208" xfId="0" applyNumberFormat="1" applyFont="1" applyBorder="1" applyAlignment="1" applyProtection="1">
      <alignment horizontal="center" vertical="center"/>
      <protection locked="0"/>
    </xf>
    <xf numFmtId="3" fontId="22" fillId="0" borderId="211" xfId="0" applyNumberFormat="1" applyFont="1" applyBorder="1" applyAlignment="1" applyProtection="1">
      <alignment horizontal="center" vertical="center"/>
      <protection locked="0"/>
    </xf>
    <xf numFmtId="3" fontId="22" fillId="0" borderId="212" xfId="0" applyNumberFormat="1" applyFont="1" applyBorder="1" applyAlignment="1" applyProtection="1">
      <alignment horizontal="center" vertical="center"/>
      <protection locked="0"/>
    </xf>
    <xf numFmtId="3" fontId="22" fillId="0" borderId="209" xfId="0" applyNumberFormat="1" applyFont="1" applyBorder="1" applyAlignment="1" applyProtection="1">
      <alignment horizontal="center" vertical="center"/>
      <protection locked="0"/>
    </xf>
    <xf numFmtId="0" fontId="0" fillId="7" borderId="208" xfId="0" quotePrefix="1" applyFill="1" applyBorder="1" applyAlignment="1">
      <alignment vertical="top" wrapText="1"/>
    </xf>
    <xf numFmtId="0" fontId="0" fillId="7" borderId="209" xfId="0" quotePrefix="1" applyFill="1" applyBorder="1" applyAlignment="1">
      <alignment vertical="top" wrapText="1"/>
    </xf>
    <xf numFmtId="0" fontId="0" fillId="6" borderId="0" xfId="77" applyFont="1" applyFill="1" applyAlignment="1">
      <alignment horizontal="justify" vertical="center" wrapText="1"/>
    </xf>
    <xf numFmtId="0" fontId="22" fillId="0" borderId="162" xfId="0" applyFont="1" applyBorder="1" applyAlignment="1" applyProtection="1">
      <alignment horizontal="center" vertical="center"/>
      <protection locked="0"/>
    </xf>
    <xf numFmtId="0" fontId="22" fillId="0" borderId="16" xfId="0" applyFont="1" applyBorder="1" applyAlignment="1" applyProtection="1">
      <alignment horizontal="center" vertical="center"/>
      <protection locked="0"/>
    </xf>
    <xf numFmtId="0" fontId="22" fillId="0" borderId="66" xfId="0" applyFont="1" applyBorder="1" applyAlignment="1" applyProtection="1">
      <alignment horizontal="center" vertical="center"/>
      <protection locked="0"/>
    </xf>
    <xf numFmtId="0" fontId="22" fillId="0" borderId="63" xfId="0" applyFont="1" applyBorder="1" applyAlignment="1" applyProtection="1">
      <alignment horizontal="center" vertical="center"/>
      <protection locked="0"/>
    </xf>
    <xf numFmtId="0" fontId="22" fillId="0" borderId="163" xfId="0" applyFont="1" applyBorder="1" applyAlignment="1" applyProtection="1">
      <alignment horizontal="center" vertical="center"/>
      <protection locked="0"/>
    </xf>
    <xf numFmtId="0" fontId="22" fillId="0" borderId="247" xfId="0" applyFont="1" applyBorder="1" applyAlignment="1" applyProtection="1">
      <alignment horizontal="center" vertical="center"/>
      <protection locked="0"/>
    </xf>
    <xf numFmtId="0" fontId="22" fillId="0" borderId="208" xfId="0" applyFont="1" applyBorder="1" applyAlignment="1" applyProtection="1">
      <alignment horizontal="center" vertical="center"/>
      <protection locked="0"/>
    </xf>
    <xf numFmtId="0" fontId="22" fillId="0" borderId="211" xfId="0" applyFont="1" applyBorder="1" applyAlignment="1" applyProtection="1">
      <alignment horizontal="center" vertical="center"/>
      <protection locked="0"/>
    </xf>
    <xf numFmtId="0" fontId="22" fillId="0" borderId="212" xfId="0" applyFont="1" applyBorder="1" applyAlignment="1" applyProtection="1">
      <alignment horizontal="center" vertical="center"/>
      <protection locked="0"/>
    </xf>
    <xf numFmtId="0" fontId="22" fillId="0" borderId="209" xfId="0" applyFont="1" applyBorder="1" applyAlignment="1" applyProtection="1">
      <alignment horizontal="center" vertical="center"/>
      <protection locked="0"/>
    </xf>
    <xf numFmtId="3" fontId="22" fillId="0" borderId="247" xfId="0" applyNumberFormat="1" applyFont="1" applyBorder="1" applyAlignment="1" applyProtection="1">
      <alignment horizontal="center" vertical="center"/>
      <protection locked="0"/>
    </xf>
    <xf numFmtId="3" fontId="22" fillId="0" borderId="223" xfId="0" applyNumberFormat="1" applyFont="1" applyBorder="1" applyAlignment="1" applyProtection="1">
      <alignment horizontal="center" vertical="center"/>
      <protection locked="0"/>
    </xf>
    <xf numFmtId="3" fontId="22" fillId="0" borderId="210" xfId="0" applyNumberFormat="1" applyFont="1" applyBorder="1" applyAlignment="1" applyProtection="1">
      <alignment horizontal="center" vertical="center"/>
      <protection locked="0"/>
    </xf>
    <xf numFmtId="0" fontId="0" fillId="7" borderId="0" xfId="84" applyFont="1" applyFill="1" applyAlignment="1">
      <alignment vertical="center" wrapText="1"/>
    </xf>
    <xf numFmtId="0" fontId="0" fillId="7" borderId="0" xfId="83" applyFont="1" applyFill="1" applyAlignment="1">
      <alignment vertical="center" wrapText="1"/>
    </xf>
    <xf numFmtId="0" fontId="0" fillId="5" borderId="48" xfId="83" applyFont="1" applyFill="1" applyBorder="1" applyAlignment="1" applyProtection="1">
      <alignment horizontal="center" vertical="center" wrapText="1"/>
      <protection locked="0"/>
    </xf>
    <xf numFmtId="0" fontId="0" fillId="5" borderId="49" xfId="83" applyFont="1" applyFill="1" applyBorder="1" applyAlignment="1" applyProtection="1">
      <alignment horizontal="center" vertical="center" wrapText="1"/>
      <protection locked="0"/>
    </xf>
    <xf numFmtId="0" fontId="0" fillId="5" borderId="52" xfId="83" applyFont="1" applyFill="1" applyBorder="1" applyAlignment="1" applyProtection="1">
      <alignment horizontal="center" vertical="center" wrapText="1"/>
      <protection locked="0"/>
    </xf>
    <xf numFmtId="0" fontId="0" fillId="5" borderId="22" xfId="83" applyFont="1" applyFill="1" applyBorder="1" applyAlignment="1" applyProtection="1">
      <alignment horizontal="center" vertical="center" wrapText="1"/>
      <protection locked="0"/>
    </xf>
    <xf numFmtId="0" fontId="0" fillId="5" borderId="9" xfId="83" applyFont="1" applyFill="1" applyBorder="1" applyAlignment="1" applyProtection="1">
      <alignment horizontal="center" vertical="center" wrapText="1"/>
      <protection locked="0"/>
    </xf>
    <xf numFmtId="0" fontId="0" fillId="5" borderId="10" xfId="83" applyFont="1" applyFill="1" applyBorder="1" applyAlignment="1" applyProtection="1">
      <alignment horizontal="center" vertical="center" wrapText="1"/>
      <protection locked="0"/>
    </xf>
    <xf numFmtId="0" fontId="0" fillId="6" borderId="0" xfId="84" applyFont="1" applyFill="1" applyAlignment="1">
      <alignment vertical="center" wrapText="1"/>
    </xf>
    <xf numFmtId="0" fontId="26" fillId="7" borderId="0" xfId="85" applyFont="1" applyFill="1" applyAlignment="1">
      <alignment horizontal="justify" vertical="top" wrapText="1"/>
    </xf>
    <xf numFmtId="0" fontId="0" fillId="5" borderId="68" xfId="0" applyFill="1" applyBorder="1" applyAlignment="1" applyProtection="1">
      <alignment horizontal="center" vertical="center"/>
      <protection locked="0"/>
    </xf>
    <xf numFmtId="0" fontId="0" fillId="5" borderId="5" xfId="0" applyFill="1" applyBorder="1" applyAlignment="1" applyProtection="1">
      <alignment horizontal="center" vertical="center"/>
      <protection locked="0"/>
    </xf>
    <xf numFmtId="0" fontId="0" fillId="5" borderId="154" xfId="0" applyFill="1" applyBorder="1" applyAlignment="1" applyProtection="1">
      <alignment horizontal="center" vertical="center"/>
      <protection locked="0"/>
    </xf>
    <xf numFmtId="0" fontId="0" fillId="5" borderId="71"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0" fillId="5" borderId="152" xfId="0" applyFill="1" applyBorder="1" applyAlignment="1" applyProtection="1">
      <alignment horizontal="center" vertical="center"/>
      <protection locked="0"/>
    </xf>
    <xf numFmtId="0" fontId="0" fillId="5" borderId="75" xfId="0" applyFill="1" applyBorder="1" applyAlignment="1" applyProtection="1">
      <alignment horizontal="center" vertical="center"/>
      <protection locked="0"/>
    </xf>
    <xf numFmtId="0" fontId="0" fillId="5" borderId="6" xfId="0" applyFill="1" applyBorder="1" applyAlignment="1" applyProtection="1">
      <alignment horizontal="center" vertical="center"/>
      <protection locked="0"/>
    </xf>
    <xf numFmtId="0" fontId="0" fillId="5" borderId="153" xfId="0" applyFill="1" applyBorder="1" applyAlignment="1" applyProtection="1">
      <alignment horizontal="center" vertical="center"/>
      <protection locked="0"/>
    </xf>
    <xf numFmtId="0" fontId="0" fillId="5" borderId="18" xfId="0" applyFill="1" applyBorder="1" applyAlignment="1" applyProtection="1">
      <alignment horizontal="center" vertical="center"/>
      <protection locked="0"/>
    </xf>
    <xf numFmtId="0" fontId="0" fillId="5" borderId="69" xfId="0" applyFill="1" applyBorder="1" applyAlignment="1" applyProtection="1">
      <alignment horizontal="center" vertical="center"/>
      <protection locked="0"/>
    </xf>
    <xf numFmtId="0" fontId="0" fillId="5" borderId="32" xfId="0" applyFill="1" applyBorder="1" applyAlignment="1" applyProtection="1">
      <alignment horizontal="center" vertical="center"/>
      <protection locked="0"/>
    </xf>
    <xf numFmtId="0" fontId="0" fillId="5" borderId="72" xfId="0" applyFill="1" applyBorder="1" applyAlignment="1" applyProtection="1">
      <alignment horizontal="center" vertical="center"/>
      <protection locked="0"/>
    </xf>
    <xf numFmtId="0" fontId="0" fillId="5" borderId="20" xfId="0" applyFill="1" applyBorder="1" applyAlignment="1" applyProtection="1">
      <alignment horizontal="center" vertical="center"/>
      <protection locked="0"/>
    </xf>
    <xf numFmtId="0" fontId="0" fillId="5" borderId="21" xfId="0" applyFill="1" applyBorder="1" applyAlignment="1" applyProtection="1">
      <alignment horizontal="center" vertical="center"/>
      <protection locked="0"/>
    </xf>
    <xf numFmtId="0" fontId="0" fillId="5" borderId="65" xfId="0" applyFill="1" applyBorder="1" applyAlignment="1" applyProtection="1">
      <alignment horizontal="center" vertical="center"/>
      <protection locked="0"/>
    </xf>
    <xf numFmtId="0" fontId="0" fillId="5" borderId="61" xfId="0" applyFill="1" applyBorder="1" applyAlignment="1" applyProtection="1">
      <alignment horizontal="center" vertical="center"/>
      <protection locked="0"/>
    </xf>
    <xf numFmtId="0" fontId="0" fillId="5" borderId="54" xfId="0" applyFill="1" applyBorder="1" applyAlignment="1" applyProtection="1">
      <alignment horizontal="center" vertical="center"/>
      <protection locked="0"/>
    </xf>
    <xf numFmtId="0" fontId="0" fillId="5" borderId="157" xfId="0" applyFill="1" applyBorder="1" applyAlignment="1" applyProtection="1">
      <alignment horizontal="center" vertical="center"/>
      <protection locked="0"/>
    </xf>
    <xf numFmtId="0" fontId="0" fillId="5" borderId="150" xfId="0" applyFill="1" applyBorder="1" applyAlignment="1" applyProtection="1">
      <alignment horizontal="center" vertical="center"/>
      <protection locked="0"/>
    </xf>
    <xf numFmtId="0" fontId="0" fillId="5" borderId="158" xfId="0" applyFill="1" applyBorder="1" applyAlignment="1" applyProtection="1">
      <alignment horizontal="center" vertical="center"/>
      <protection locked="0"/>
    </xf>
    <xf numFmtId="0" fontId="0" fillId="7" borderId="5" xfId="0" quotePrefix="1" applyFill="1" applyBorder="1" applyAlignment="1">
      <alignment vertical="top" wrapText="1"/>
    </xf>
    <xf numFmtId="0" fontId="0" fillId="7" borderId="154" xfId="0" quotePrefix="1" applyFill="1" applyBorder="1" applyAlignment="1">
      <alignment vertical="top" wrapText="1"/>
    </xf>
    <xf numFmtId="0" fontId="0" fillId="7" borderId="0" xfId="0" quotePrefix="1" applyFill="1" applyAlignment="1">
      <alignment vertical="top" wrapText="1"/>
    </xf>
    <xf numFmtId="0" fontId="0" fillId="7" borderId="152" xfId="0" quotePrefix="1" applyFill="1" applyBorder="1" applyAlignment="1">
      <alignment vertical="top" wrapText="1"/>
    </xf>
    <xf numFmtId="0" fontId="0" fillId="7" borderId="6" xfId="0" quotePrefix="1" applyFill="1" applyBorder="1" applyAlignment="1">
      <alignment vertical="top" wrapText="1"/>
    </xf>
    <xf numFmtId="0" fontId="0" fillId="7" borderId="153" xfId="0" quotePrefix="1" applyFill="1" applyBorder="1" applyAlignment="1">
      <alignment vertical="top" wrapText="1"/>
    </xf>
    <xf numFmtId="0" fontId="26" fillId="7" borderId="145" xfId="11" applyFont="1" applyFill="1" applyBorder="1" applyAlignment="1">
      <alignment horizontal="center" vertical="top"/>
    </xf>
    <xf numFmtId="0" fontId="26" fillId="7" borderId="0" xfId="11" applyFont="1" applyFill="1" applyAlignment="1">
      <alignment horizontal="center" vertical="top"/>
    </xf>
    <xf numFmtId="0" fontId="26" fillId="7" borderId="145" xfId="0" quotePrefix="1" applyFont="1" applyFill="1" applyBorder="1" applyAlignment="1">
      <alignment horizontal="justify" vertical="top" wrapText="1"/>
    </xf>
    <xf numFmtId="0" fontId="26" fillId="7" borderId="0" xfId="0" quotePrefix="1" applyFont="1" applyFill="1" applyAlignment="1">
      <alignment horizontal="justify" vertical="top" wrapText="1"/>
    </xf>
    <xf numFmtId="0" fontId="0" fillId="5" borderId="174" xfId="0" applyFill="1" applyBorder="1" applyAlignment="1" applyProtection="1">
      <alignment horizontal="center" vertical="center"/>
      <protection locked="0"/>
    </xf>
    <xf numFmtId="0" fontId="0" fillId="5" borderId="175" xfId="0" applyFill="1" applyBorder="1" applyAlignment="1" applyProtection="1">
      <alignment horizontal="center" vertical="center"/>
      <protection locked="0"/>
    </xf>
    <xf numFmtId="0" fontId="0" fillId="5" borderId="180" xfId="0" applyFill="1" applyBorder="1" applyAlignment="1" applyProtection="1">
      <alignment horizontal="center" vertical="center"/>
      <protection locked="0"/>
    </xf>
    <xf numFmtId="0" fontId="0" fillId="5" borderId="178" xfId="0" applyFill="1" applyBorder="1" applyAlignment="1" applyProtection="1">
      <alignment horizontal="center" vertical="center"/>
      <protection locked="0"/>
    </xf>
    <xf numFmtId="0" fontId="0" fillId="5" borderId="177" xfId="0" applyFill="1" applyBorder="1" applyAlignment="1" applyProtection="1">
      <alignment horizontal="center" vertical="center"/>
      <protection locked="0"/>
    </xf>
    <xf numFmtId="0" fontId="0" fillId="5" borderId="182" xfId="0" applyFill="1" applyBorder="1" applyAlignment="1" applyProtection="1">
      <alignment horizontal="center" vertical="center"/>
      <protection locked="0"/>
    </xf>
    <xf numFmtId="0" fontId="0" fillId="7" borderId="175" xfId="0" quotePrefix="1" applyFill="1" applyBorder="1" applyAlignment="1">
      <alignment vertical="top" wrapText="1"/>
    </xf>
    <xf numFmtId="0" fontId="0" fillId="7" borderId="182" xfId="0" quotePrefix="1" applyFill="1" applyBorder="1" applyAlignment="1">
      <alignment vertical="top" wrapText="1"/>
    </xf>
    <xf numFmtId="0" fontId="0" fillId="7" borderId="0" xfId="75" applyFont="1" applyFill="1" applyAlignment="1">
      <alignment vertical="top"/>
    </xf>
    <xf numFmtId="0" fontId="0" fillId="5" borderId="144" xfId="0" applyFill="1" applyBorder="1" applyAlignment="1" applyProtection="1">
      <alignment horizontal="center" vertical="center" wrapText="1"/>
      <protection locked="0"/>
    </xf>
    <xf numFmtId="0" fontId="0" fillId="5" borderId="145" xfId="0" applyFill="1" applyBorder="1" applyAlignment="1" applyProtection="1">
      <alignment horizontal="center" vertical="center" wrapText="1"/>
      <protection locked="0"/>
    </xf>
    <xf numFmtId="0" fontId="0" fillId="5" borderId="264" xfId="0" applyFill="1" applyBorder="1" applyAlignment="1" applyProtection="1">
      <alignment horizontal="center" vertical="center" wrapText="1"/>
      <protection locked="0"/>
    </xf>
    <xf numFmtId="0" fontId="0" fillId="5" borderId="150" xfId="0" applyFill="1" applyBorder="1" applyAlignment="1" applyProtection="1">
      <alignment horizontal="center" vertical="center" wrapText="1"/>
      <protection locked="0"/>
    </xf>
    <xf numFmtId="0" fontId="0" fillId="5" borderId="0" xfId="0" applyFill="1" applyAlignment="1" applyProtection="1">
      <alignment horizontal="center" vertical="center" wrapText="1"/>
      <protection locked="0"/>
    </xf>
    <xf numFmtId="0" fontId="0" fillId="5" borderId="72" xfId="0" applyFill="1" applyBorder="1" applyAlignment="1" applyProtection="1">
      <alignment horizontal="center" vertical="center" wrapText="1"/>
      <protection locked="0"/>
    </xf>
    <xf numFmtId="0" fontId="0" fillId="5" borderId="158" xfId="0" applyFill="1" applyBorder="1" applyAlignment="1" applyProtection="1">
      <alignment horizontal="center" vertical="center" wrapText="1"/>
      <protection locked="0"/>
    </xf>
    <xf numFmtId="0" fontId="0" fillId="5" borderId="6" xfId="0" applyFill="1" applyBorder="1" applyAlignment="1" applyProtection="1">
      <alignment horizontal="center" vertical="center" wrapText="1"/>
      <protection locked="0"/>
    </xf>
    <xf numFmtId="0" fontId="0" fillId="5" borderId="21" xfId="0" applyFill="1" applyBorder="1" applyAlignment="1" applyProtection="1">
      <alignment horizontal="center" vertical="center" wrapText="1"/>
      <protection locked="0"/>
    </xf>
    <xf numFmtId="0" fontId="0" fillId="5" borderId="195" xfId="0" applyFill="1" applyBorder="1" applyAlignment="1" applyProtection="1">
      <alignment horizontal="center" vertical="center" wrapText="1"/>
      <protection locked="0"/>
    </xf>
    <xf numFmtId="0" fontId="0" fillId="5" borderId="146" xfId="0" applyFill="1" applyBorder="1" applyAlignment="1" applyProtection="1">
      <alignment horizontal="center" vertical="center" wrapText="1"/>
      <protection locked="0"/>
    </xf>
    <xf numFmtId="0" fontId="0" fillId="5" borderId="71" xfId="0" applyFill="1" applyBorder="1" applyAlignment="1" applyProtection="1">
      <alignment horizontal="center" vertical="center" wrapText="1"/>
      <protection locked="0"/>
    </xf>
    <xf numFmtId="0" fontId="0" fillId="5" borderId="61" xfId="0" applyFill="1" applyBorder="1" applyAlignment="1" applyProtection="1">
      <alignment horizontal="center" vertical="center" wrapText="1"/>
      <protection locked="0"/>
    </xf>
    <xf numFmtId="0" fontId="0" fillId="5" borderId="75" xfId="0" applyFill="1" applyBorder="1" applyAlignment="1" applyProtection="1">
      <alignment horizontal="center" vertical="center" wrapText="1"/>
      <protection locked="0"/>
    </xf>
    <xf numFmtId="0" fontId="0" fillId="5" borderId="54" xfId="0" applyFill="1" applyBorder="1" applyAlignment="1" applyProtection="1">
      <alignment horizontal="center" vertical="center" wrapText="1"/>
      <protection locked="0"/>
    </xf>
    <xf numFmtId="0" fontId="0" fillId="5" borderId="194" xfId="0" applyFill="1" applyBorder="1" applyAlignment="1" applyProtection="1">
      <alignment horizontal="center" vertical="center" wrapText="1"/>
      <protection locked="0"/>
    </xf>
    <xf numFmtId="0" fontId="0" fillId="5" borderId="32" xfId="0" applyFill="1" applyBorder="1" applyAlignment="1" applyProtection="1">
      <alignment horizontal="center" vertical="center" wrapText="1"/>
      <protection locked="0"/>
    </xf>
    <xf numFmtId="0" fontId="0" fillId="5" borderId="20" xfId="0" applyFill="1" applyBorder="1" applyAlignment="1" applyProtection="1">
      <alignment horizontal="center" vertical="center" wrapText="1"/>
      <protection locked="0"/>
    </xf>
    <xf numFmtId="0" fontId="0" fillId="5" borderId="198" xfId="0" applyFill="1" applyBorder="1" applyAlignment="1" applyProtection="1">
      <alignment horizontal="center" vertical="center" wrapText="1"/>
      <protection locked="0"/>
    </xf>
    <xf numFmtId="0" fontId="0" fillId="5" borderId="152" xfId="0" applyFill="1" applyBorder="1" applyAlignment="1" applyProtection="1">
      <alignment horizontal="center" vertical="center" wrapText="1"/>
      <protection locked="0"/>
    </xf>
    <xf numFmtId="0" fontId="0" fillId="5" borderId="153" xfId="0" applyFill="1" applyBorder="1" applyAlignment="1" applyProtection="1">
      <alignment horizontal="center" vertical="center" wrapText="1"/>
      <protection locked="0"/>
    </xf>
    <xf numFmtId="0" fontId="103" fillId="7" borderId="61" xfId="5" applyFont="1" applyFill="1" applyBorder="1" applyAlignment="1">
      <alignment horizontal="center" vertical="center" wrapText="1"/>
    </xf>
    <xf numFmtId="0" fontId="103" fillId="7" borderId="155" xfId="5" applyFont="1" applyFill="1" applyBorder="1" applyAlignment="1">
      <alignment horizontal="center" vertical="center" wrapText="1"/>
    </xf>
    <xf numFmtId="0" fontId="103" fillId="7" borderId="9" xfId="5" applyFont="1" applyFill="1" applyBorder="1" applyAlignment="1">
      <alignment horizontal="center" vertical="center" wrapText="1"/>
    </xf>
    <xf numFmtId="0" fontId="103" fillId="7" borderId="10" xfId="5" applyFont="1" applyFill="1" applyBorder="1" applyAlignment="1">
      <alignment horizontal="center" vertical="center" wrapText="1"/>
    </xf>
    <xf numFmtId="0" fontId="103" fillId="7" borderId="32" xfId="5" applyFont="1" applyFill="1" applyBorder="1" applyAlignment="1">
      <alignment horizontal="center" vertical="center" wrapText="1"/>
    </xf>
    <xf numFmtId="0" fontId="103" fillId="7" borderId="22" xfId="5" applyFont="1" applyFill="1" applyBorder="1" applyAlignment="1">
      <alignment horizontal="center" vertical="center" wrapText="1"/>
    </xf>
    <xf numFmtId="0" fontId="103" fillId="7" borderId="156" xfId="5" applyFont="1" applyFill="1" applyBorder="1" applyAlignment="1">
      <alignment horizontal="center" vertical="center" wrapText="1"/>
    </xf>
    <xf numFmtId="0" fontId="29" fillId="7" borderId="282" xfId="0" applyFont="1" applyFill="1" applyBorder="1" applyAlignment="1">
      <alignment horizontal="center" vertical="center" wrapText="1"/>
    </xf>
    <xf numFmtId="0" fontId="29" fillId="7" borderId="216" xfId="0" applyFont="1" applyFill="1" applyBorder="1" applyAlignment="1">
      <alignment horizontal="center" vertical="center" wrapText="1"/>
    </xf>
    <xf numFmtId="0" fontId="29" fillId="7" borderId="217" xfId="0" applyFont="1" applyFill="1" applyBorder="1" applyAlignment="1">
      <alignment horizontal="center" vertical="center" wrapText="1"/>
    </xf>
    <xf numFmtId="0" fontId="29" fillId="7" borderId="218" xfId="0" applyFont="1" applyFill="1" applyBorder="1" applyAlignment="1">
      <alignment horizontal="center" vertical="center" wrapText="1"/>
    </xf>
    <xf numFmtId="0" fontId="29" fillId="7" borderId="221" xfId="0" applyFont="1" applyFill="1" applyBorder="1" applyAlignment="1">
      <alignment horizontal="center" vertical="center" wrapText="1"/>
    </xf>
    <xf numFmtId="0" fontId="29" fillId="7" borderId="215" xfId="0" applyFont="1" applyFill="1" applyBorder="1" applyAlignment="1">
      <alignment horizontal="center" vertical="center" wrapText="1"/>
    </xf>
    <xf numFmtId="0" fontId="29" fillId="7" borderId="222" xfId="0" applyFont="1" applyFill="1" applyBorder="1" applyAlignment="1">
      <alignment horizontal="center" vertical="center" wrapText="1"/>
    </xf>
    <xf numFmtId="0" fontId="0" fillId="7" borderId="145" xfId="0" quotePrefix="1" applyFill="1" applyBorder="1" applyAlignment="1">
      <alignment vertical="top" wrapText="1"/>
    </xf>
    <xf numFmtId="0" fontId="0" fillId="7" borderId="198" xfId="0" quotePrefix="1" applyFill="1" applyBorder="1" applyAlignment="1">
      <alignment vertical="top" wrapText="1"/>
    </xf>
    <xf numFmtId="0" fontId="0" fillId="7" borderId="144" xfId="0" quotePrefix="1" applyFill="1" applyBorder="1" applyAlignment="1">
      <alignment horizontal="right" vertical="top" wrapText="1"/>
    </xf>
    <xf numFmtId="0" fontId="0" fillId="7" borderId="150" xfId="0" quotePrefix="1" applyFill="1" applyBorder="1" applyAlignment="1">
      <alignment horizontal="right" vertical="top" wrapText="1"/>
    </xf>
    <xf numFmtId="0" fontId="0" fillId="7" borderId="158" xfId="0" quotePrefix="1" applyFill="1" applyBorder="1" applyAlignment="1">
      <alignment horizontal="right" vertical="top" wrapText="1"/>
    </xf>
    <xf numFmtId="0" fontId="26" fillId="7" borderId="0" xfId="76" applyFont="1" applyFill="1" applyAlignment="1">
      <alignment horizontal="justify" vertical="top" wrapText="1"/>
    </xf>
    <xf numFmtId="0" fontId="29" fillId="7" borderId="190" xfId="0" applyFont="1" applyFill="1" applyBorder="1" applyAlignment="1">
      <alignment horizontal="center" vertical="center"/>
    </xf>
    <xf numFmtId="0" fontId="29" fillId="7" borderId="32" xfId="0" applyFont="1" applyFill="1" applyBorder="1" applyAlignment="1">
      <alignment horizontal="center" vertical="center"/>
    </xf>
    <xf numFmtId="0" fontId="29" fillId="7" borderId="194" xfId="0" applyFont="1" applyFill="1" applyBorder="1" applyAlignment="1">
      <alignment horizontal="center" vertical="center" wrapText="1"/>
    </xf>
    <xf numFmtId="0" fontId="29" fillId="7" borderId="32" xfId="0" applyFont="1" applyFill="1" applyBorder="1" applyAlignment="1">
      <alignment horizontal="center" vertical="center" wrapText="1"/>
    </xf>
    <xf numFmtId="0" fontId="22" fillId="5" borderId="212" xfId="0" applyFont="1" applyFill="1" applyBorder="1" applyAlignment="1" applyProtection="1">
      <alignment horizontal="center" vertical="center"/>
      <protection locked="0"/>
    </xf>
    <xf numFmtId="0" fontId="22" fillId="5" borderId="208" xfId="0" applyFont="1" applyFill="1" applyBorder="1" applyAlignment="1" applyProtection="1">
      <alignment horizontal="center" vertical="center"/>
      <protection locked="0"/>
    </xf>
    <xf numFmtId="0" fontId="22" fillId="5" borderId="223" xfId="0" applyFont="1" applyFill="1" applyBorder="1" applyAlignment="1" applyProtection="1">
      <alignment horizontal="center" vertical="center"/>
      <protection locked="0"/>
    </xf>
    <xf numFmtId="0" fontId="0" fillId="5" borderId="210" xfId="0" applyFill="1" applyBorder="1" applyAlignment="1" applyProtection="1">
      <alignment horizontal="center" vertical="center"/>
      <protection locked="0"/>
    </xf>
    <xf numFmtId="0" fontId="0" fillId="5" borderId="208" xfId="0" applyFill="1" applyBorder="1" applyAlignment="1" applyProtection="1">
      <alignment horizontal="center" vertical="center"/>
      <protection locked="0"/>
    </xf>
    <xf numFmtId="0" fontId="0" fillId="5" borderId="211" xfId="0" applyFill="1" applyBorder="1" applyAlignment="1" applyProtection="1">
      <alignment horizontal="center" vertical="center"/>
      <protection locked="0"/>
    </xf>
    <xf numFmtId="0" fontId="105" fillId="5" borderId="180" xfId="5" applyFont="1" applyFill="1" applyBorder="1" applyAlignment="1" applyProtection="1">
      <alignment horizontal="center" vertical="center" wrapText="1"/>
      <protection locked="0"/>
    </xf>
    <xf numFmtId="0" fontId="105" fillId="5" borderId="178" xfId="5" applyFont="1" applyFill="1" applyBorder="1" applyAlignment="1" applyProtection="1">
      <alignment horizontal="center" vertical="center"/>
      <protection locked="0"/>
    </xf>
    <xf numFmtId="0" fontId="105" fillId="5" borderId="175" xfId="5" applyFont="1" applyFill="1" applyBorder="1" applyAlignment="1" applyProtection="1">
      <alignment horizontal="center" vertical="center"/>
      <protection locked="0"/>
    </xf>
    <xf numFmtId="0" fontId="105" fillId="5" borderId="182" xfId="5" applyFont="1" applyFill="1" applyBorder="1" applyAlignment="1" applyProtection="1">
      <alignment horizontal="center" vertical="center"/>
      <protection locked="0"/>
    </xf>
    <xf numFmtId="0" fontId="0" fillId="5" borderId="209" xfId="0" applyFill="1" applyBorder="1" applyAlignment="1" applyProtection="1">
      <alignment horizontal="center" vertical="center"/>
      <protection locked="0"/>
    </xf>
    <xf numFmtId="0" fontId="0" fillId="7" borderId="0" xfId="0" applyFill="1" applyAlignment="1">
      <alignment vertical="top" wrapText="1"/>
    </xf>
    <xf numFmtId="0" fontId="0" fillId="5" borderId="205" xfId="0" applyFill="1" applyBorder="1" applyAlignment="1" applyProtection="1">
      <alignment horizontal="center" vertical="center"/>
      <protection locked="0"/>
    </xf>
    <xf numFmtId="0" fontId="0" fillId="5" borderId="224" xfId="0" applyFill="1" applyBorder="1" applyAlignment="1" applyProtection="1">
      <alignment horizontal="center" vertical="center"/>
      <protection locked="0"/>
    </xf>
    <xf numFmtId="0" fontId="0" fillId="5" borderId="204" xfId="0" applyFill="1" applyBorder="1" applyAlignment="1" applyProtection="1">
      <alignment horizontal="center" vertical="center"/>
      <protection locked="0"/>
    </xf>
    <xf numFmtId="0" fontId="0" fillId="5" borderId="206" xfId="0" applyFill="1" applyBorder="1" applyAlignment="1" applyProtection="1">
      <alignment horizontal="center" vertical="center"/>
      <protection locked="0"/>
    </xf>
    <xf numFmtId="0" fontId="0" fillId="5" borderId="17" xfId="0" applyFill="1" applyBorder="1" applyAlignment="1" applyProtection="1">
      <alignment horizontal="center" vertical="center"/>
      <protection locked="0"/>
    </xf>
    <xf numFmtId="0" fontId="0" fillId="5" borderId="16" xfId="0" applyFill="1" applyBorder="1" applyAlignment="1" applyProtection="1">
      <alignment horizontal="center" vertical="center"/>
      <protection locked="0"/>
    </xf>
    <xf numFmtId="0" fontId="0" fillId="5" borderId="163" xfId="0" applyFill="1" applyBorder="1" applyAlignment="1" applyProtection="1">
      <alignment horizontal="center" vertical="center"/>
      <protection locked="0"/>
    </xf>
    <xf numFmtId="0" fontId="29" fillId="7" borderId="214" xfId="0" applyFont="1" applyFill="1" applyBorder="1" applyAlignment="1">
      <alignment horizontal="center" vertical="center" wrapText="1"/>
    </xf>
    <xf numFmtId="0" fontId="0" fillId="5" borderId="55" xfId="0" applyFill="1" applyBorder="1" applyAlignment="1" applyProtection="1">
      <alignment horizontal="center" vertical="center"/>
      <protection locked="0"/>
    </xf>
    <xf numFmtId="0" fontId="0" fillId="5" borderId="66" xfId="0" applyFill="1" applyBorder="1" applyAlignment="1" applyProtection="1">
      <alignment horizontal="center" vertical="center"/>
      <protection locked="0"/>
    </xf>
    <xf numFmtId="0" fontId="22" fillId="5" borderId="63" xfId="0" applyFont="1" applyFill="1" applyBorder="1" applyAlignment="1" applyProtection="1">
      <alignment horizontal="center" vertical="center"/>
      <protection locked="0"/>
    </xf>
    <xf numFmtId="0" fontId="22" fillId="5" borderId="16" xfId="0" applyFont="1" applyFill="1" applyBorder="1" applyAlignment="1" applyProtection="1">
      <alignment horizontal="center" vertical="center"/>
      <protection locked="0"/>
    </xf>
    <xf numFmtId="0" fontId="22" fillId="5" borderId="55" xfId="0" applyFont="1" applyFill="1" applyBorder="1" applyAlignment="1" applyProtection="1">
      <alignment horizontal="center" vertical="center"/>
      <protection locked="0"/>
    </xf>
    <xf numFmtId="0" fontId="22" fillId="5" borderId="66" xfId="0" applyFont="1" applyFill="1" applyBorder="1" applyAlignment="1" applyProtection="1">
      <alignment horizontal="center" vertical="center"/>
      <protection locked="0"/>
    </xf>
    <xf numFmtId="0" fontId="22" fillId="5" borderId="17" xfId="0" applyFont="1" applyFill="1" applyBorder="1" applyAlignment="1" applyProtection="1">
      <alignment horizontal="center" vertical="center"/>
      <protection locked="0"/>
    </xf>
    <xf numFmtId="0" fontId="22" fillId="5" borderId="227" xfId="0" applyFont="1" applyFill="1" applyBorder="1" applyAlignment="1" applyProtection="1">
      <alignment horizontal="center" vertical="center"/>
      <protection locked="0"/>
    </xf>
    <xf numFmtId="0" fontId="22" fillId="5" borderId="205" xfId="0" applyFont="1" applyFill="1" applyBorder="1" applyAlignment="1" applyProtection="1">
      <alignment horizontal="center" vertical="center"/>
      <protection locked="0"/>
    </xf>
    <xf numFmtId="0" fontId="22" fillId="5" borderId="226" xfId="0" applyFont="1" applyFill="1" applyBorder="1" applyAlignment="1" applyProtection="1">
      <alignment horizontal="center" vertical="center"/>
      <protection locked="0"/>
    </xf>
    <xf numFmtId="0" fontId="22" fillId="5" borderId="224" xfId="0" applyFont="1" applyFill="1" applyBorder="1" applyAlignment="1" applyProtection="1">
      <alignment horizontal="center" vertical="center"/>
      <protection locked="0"/>
    </xf>
    <xf numFmtId="0" fontId="0" fillId="5" borderId="226" xfId="0" applyFill="1" applyBorder="1" applyAlignment="1" applyProtection="1">
      <alignment horizontal="center" vertical="center"/>
      <protection locked="0"/>
    </xf>
    <xf numFmtId="0" fontId="22" fillId="5" borderId="204" xfId="0" applyFont="1" applyFill="1" applyBorder="1" applyAlignment="1" applyProtection="1">
      <alignment horizontal="center" vertical="center"/>
      <protection locked="0"/>
    </xf>
    <xf numFmtId="0" fontId="22" fillId="5" borderId="211" xfId="0" applyFont="1" applyFill="1" applyBorder="1" applyAlignment="1" applyProtection="1">
      <alignment horizontal="center" vertical="center"/>
      <protection locked="0"/>
    </xf>
    <xf numFmtId="0" fontId="105" fillId="5" borderId="176" xfId="5" applyFont="1" applyFill="1" applyBorder="1" applyAlignment="1" applyProtection="1">
      <alignment horizontal="center" vertical="center"/>
      <protection locked="0"/>
    </xf>
    <xf numFmtId="0" fontId="22" fillId="5" borderId="210" xfId="0" applyFont="1" applyFill="1" applyBorder="1" applyAlignment="1" applyProtection="1">
      <alignment horizontal="center" vertical="center"/>
      <protection locked="0"/>
    </xf>
    <xf numFmtId="3" fontId="22" fillId="5" borderId="6" xfId="0" applyNumberFormat="1" applyFont="1" applyFill="1" applyBorder="1" applyAlignment="1" applyProtection="1">
      <alignment horizontal="center" vertical="center"/>
      <protection locked="0"/>
    </xf>
    <xf numFmtId="3" fontId="22" fillId="5" borderId="21" xfId="0" applyNumberFormat="1" applyFont="1" applyFill="1" applyBorder="1" applyAlignment="1" applyProtection="1">
      <alignment horizontal="center" vertical="center"/>
      <protection locked="0"/>
    </xf>
    <xf numFmtId="3" fontId="22" fillId="5" borderId="75" xfId="0" applyNumberFormat="1" applyFont="1" applyFill="1" applyBorder="1" applyAlignment="1" applyProtection="1">
      <alignment horizontal="center" vertical="center"/>
      <protection locked="0"/>
    </xf>
    <xf numFmtId="3" fontId="22" fillId="5" borderId="153" xfId="0" applyNumberFormat="1" applyFont="1" applyFill="1" applyBorder="1" applyAlignment="1" applyProtection="1">
      <alignment horizontal="center" vertical="center"/>
      <protection locked="0"/>
    </xf>
    <xf numFmtId="3" fontId="22" fillId="5" borderId="162" xfId="0" applyNumberFormat="1" applyFont="1" applyFill="1" applyBorder="1" applyAlignment="1" applyProtection="1">
      <alignment horizontal="center" vertical="center"/>
      <protection locked="0"/>
    </xf>
    <xf numFmtId="0" fontId="0" fillId="7" borderId="16" xfId="0" quotePrefix="1" applyFill="1" applyBorder="1" applyAlignment="1">
      <alignment vertical="center" wrapText="1"/>
    </xf>
    <xf numFmtId="0" fontId="0" fillId="7" borderId="163" xfId="0" quotePrefix="1" applyFill="1" applyBorder="1" applyAlignment="1">
      <alignment vertical="center" wrapText="1"/>
    </xf>
    <xf numFmtId="3" fontId="22" fillId="5" borderId="163" xfId="0" applyNumberFormat="1" applyFont="1" applyFill="1" applyBorder="1" applyAlignment="1" applyProtection="1">
      <alignment horizontal="center" vertical="center"/>
      <protection locked="0"/>
    </xf>
    <xf numFmtId="0" fontId="108" fillId="7" borderId="0" xfId="5" applyFont="1" applyFill="1" applyAlignment="1">
      <alignment vertical="top"/>
    </xf>
    <xf numFmtId="0" fontId="0" fillId="7" borderId="208" xfId="0" quotePrefix="1" applyFill="1" applyBorder="1" applyAlignment="1">
      <alignment vertical="center" wrapText="1"/>
    </xf>
    <xf numFmtId="0" fontId="0" fillId="7" borderId="209" xfId="0" quotePrefix="1" applyFill="1" applyBorder="1" applyAlignment="1">
      <alignment vertical="center" wrapText="1"/>
    </xf>
    <xf numFmtId="3" fontId="22" fillId="5" borderId="247" xfId="0" applyNumberFormat="1" applyFont="1" applyFill="1" applyBorder="1" applyAlignment="1" applyProtection="1">
      <alignment horizontal="center" vertical="center"/>
      <protection locked="0"/>
    </xf>
    <xf numFmtId="3" fontId="22" fillId="5" borderId="208" xfId="0" applyNumberFormat="1" applyFont="1" applyFill="1" applyBorder="1" applyAlignment="1" applyProtection="1">
      <alignment horizontal="center" vertical="center"/>
      <protection locked="0"/>
    </xf>
    <xf numFmtId="3" fontId="22" fillId="5" borderId="211" xfId="0" applyNumberFormat="1" applyFont="1" applyFill="1" applyBorder="1" applyAlignment="1" applyProtection="1">
      <alignment horizontal="center" vertical="center"/>
      <protection locked="0"/>
    </xf>
    <xf numFmtId="3" fontId="22" fillId="5" borderId="212" xfId="0" applyNumberFormat="1" applyFont="1" applyFill="1" applyBorder="1" applyAlignment="1" applyProtection="1">
      <alignment horizontal="center" vertical="center"/>
      <protection locked="0"/>
    </xf>
    <xf numFmtId="3" fontId="22" fillId="5" borderId="223" xfId="0" applyNumberFormat="1" applyFont="1" applyFill="1" applyBorder="1" applyAlignment="1" applyProtection="1">
      <alignment horizontal="center" vertical="center"/>
      <protection locked="0"/>
    </xf>
    <xf numFmtId="3" fontId="22" fillId="5" borderId="210" xfId="0" applyNumberFormat="1" applyFont="1" applyFill="1" applyBorder="1" applyAlignment="1" applyProtection="1">
      <alignment horizontal="center" vertical="center"/>
      <protection locked="0"/>
    </xf>
    <xf numFmtId="3" fontId="22" fillId="5" borderId="209" xfId="0" applyNumberFormat="1" applyFont="1" applyFill="1" applyBorder="1" applyAlignment="1" applyProtection="1">
      <alignment horizontal="center" vertical="center"/>
      <protection locked="0"/>
    </xf>
    <xf numFmtId="3" fontId="22" fillId="5" borderId="20" xfId="0" applyNumberFormat="1" applyFont="1" applyFill="1" applyBorder="1" applyAlignment="1" applyProtection="1">
      <alignment horizontal="center" vertical="center"/>
      <protection locked="0"/>
    </xf>
    <xf numFmtId="3" fontId="22" fillId="5" borderId="54" xfId="0" applyNumberFormat="1" applyFont="1" applyFill="1" applyBorder="1" applyAlignment="1" applyProtection="1">
      <alignment horizontal="center" vertical="center"/>
      <protection locked="0"/>
    </xf>
    <xf numFmtId="3" fontId="22" fillId="5" borderId="158" xfId="0" applyNumberFormat="1" applyFont="1" applyFill="1" applyBorder="1" applyAlignment="1" applyProtection="1">
      <alignment horizontal="center" vertical="center"/>
      <protection locked="0"/>
    </xf>
    <xf numFmtId="0" fontId="0" fillId="5" borderId="223" xfId="0" applyFill="1" applyBorder="1" applyAlignment="1" applyProtection="1">
      <alignment horizontal="center" vertical="center"/>
      <protection locked="0"/>
    </xf>
    <xf numFmtId="0" fontId="0" fillId="7" borderId="0" xfId="77" applyFont="1" applyFill="1" applyAlignment="1">
      <alignment vertical="center"/>
    </xf>
    <xf numFmtId="0" fontId="113" fillId="0" borderId="210" xfId="0" applyFont="1" applyBorder="1" applyAlignment="1" applyProtection="1">
      <alignment horizontal="center" vertical="center"/>
      <protection locked="0"/>
    </xf>
    <xf numFmtId="0" fontId="113" fillId="0" borderId="208" xfId="0" applyFont="1" applyBorder="1" applyAlignment="1" applyProtection="1">
      <alignment horizontal="center" vertical="center"/>
      <protection locked="0"/>
    </xf>
    <xf numFmtId="0" fontId="113" fillId="0" borderId="209" xfId="0" applyFont="1" applyBorder="1" applyAlignment="1" applyProtection="1">
      <alignment horizontal="center" vertical="center"/>
      <protection locked="0"/>
    </xf>
    <xf numFmtId="0" fontId="113" fillId="0" borderId="223" xfId="0" applyFont="1" applyBorder="1" applyAlignment="1" applyProtection="1">
      <alignment horizontal="center" vertical="center"/>
      <protection locked="0"/>
    </xf>
    <xf numFmtId="0" fontId="113" fillId="0" borderId="247" xfId="0" applyFont="1" applyBorder="1" applyAlignment="1" applyProtection="1">
      <alignment horizontal="center" vertical="center"/>
      <protection locked="0"/>
    </xf>
    <xf numFmtId="0" fontId="113" fillId="0" borderId="17" xfId="0" applyFont="1" applyBorder="1" applyAlignment="1" applyProtection="1">
      <alignment horizontal="center" vertical="center"/>
      <protection locked="0"/>
    </xf>
    <xf numFmtId="0" fontId="113" fillId="0" borderId="16" xfId="0" applyFont="1" applyBorder="1" applyAlignment="1" applyProtection="1">
      <alignment horizontal="center" vertical="center"/>
      <protection locked="0"/>
    </xf>
    <xf numFmtId="0" fontId="113" fillId="0" borderId="163" xfId="0" applyFont="1" applyBorder="1" applyAlignment="1" applyProtection="1">
      <alignment horizontal="center" vertical="center"/>
      <protection locked="0"/>
    </xf>
    <xf numFmtId="0" fontId="113" fillId="0" borderId="55" xfId="0" applyFont="1" applyBorder="1" applyAlignment="1" applyProtection="1">
      <alignment horizontal="center" vertical="center"/>
      <protection locked="0"/>
    </xf>
    <xf numFmtId="0" fontId="113" fillId="0" borderId="162" xfId="0" applyFont="1" applyBorder="1" applyAlignment="1" applyProtection="1">
      <alignment horizontal="center" vertical="center"/>
      <protection locked="0"/>
    </xf>
    <xf numFmtId="0" fontId="113" fillId="0" borderId="204" xfId="0" applyFont="1" applyBorder="1" applyAlignment="1" applyProtection="1">
      <alignment horizontal="center" vertical="center"/>
      <protection locked="0"/>
    </xf>
    <xf numFmtId="0" fontId="113" fillId="0" borderId="205" xfId="0" applyFont="1" applyBorder="1" applyAlignment="1" applyProtection="1">
      <alignment horizontal="center" vertical="center"/>
      <protection locked="0"/>
    </xf>
    <xf numFmtId="0" fontId="113" fillId="0" borderId="206" xfId="0" applyFont="1" applyBorder="1" applyAlignment="1" applyProtection="1">
      <alignment horizontal="center" vertical="center"/>
      <protection locked="0"/>
    </xf>
    <xf numFmtId="0" fontId="113" fillId="0" borderId="224" xfId="0" applyFont="1" applyBorder="1" applyAlignment="1" applyProtection="1">
      <alignment horizontal="center" vertical="center"/>
      <protection locked="0"/>
    </xf>
    <xf numFmtId="0" fontId="113" fillId="0" borderId="246" xfId="0" applyFont="1" applyBorder="1" applyAlignment="1" applyProtection="1">
      <alignment horizontal="center" vertical="center"/>
      <protection locked="0"/>
    </xf>
    <xf numFmtId="0" fontId="22" fillId="7" borderId="16" xfId="0" applyFont="1" applyFill="1" applyBorder="1" applyAlignment="1">
      <alignment vertical="center"/>
    </xf>
    <xf numFmtId="0" fontId="22" fillId="5" borderId="5" xfId="0" applyFont="1" applyFill="1" applyBorder="1" applyAlignment="1" applyProtection="1">
      <alignment horizontal="center" vertical="center"/>
      <protection locked="0"/>
    </xf>
    <xf numFmtId="0" fontId="22" fillId="5" borderId="69" xfId="0" applyFont="1" applyFill="1" applyBorder="1" applyAlignment="1" applyProtection="1">
      <alignment horizontal="center" vertical="center"/>
      <protection locked="0"/>
    </xf>
    <xf numFmtId="0" fontId="22" fillId="5" borderId="175" xfId="0" applyFont="1" applyFill="1" applyBorder="1" applyAlignment="1" applyProtection="1">
      <alignment horizontal="center" vertical="center"/>
      <protection locked="0"/>
    </xf>
    <xf numFmtId="0" fontId="22" fillId="5" borderId="180" xfId="0" applyFont="1" applyFill="1" applyBorder="1" applyAlignment="1" applyProtection="1">
      <alignment horizontal="center" vertical="center"/>
      <protection locked="0"/>
    </xf>
    <xf numFmtId="0" fontId="22" fillId="5" borderId="68" xfId="0" applyFont="1" applyFill="1" applyBorder="1" applyAlignment="1" applyProtection="1">
      <alignment horizontal="center" vertical="center"/>
      <protection locked="0"/>
    </xf>
    <xf numFmtId="0" fontId="22" fillId="5" borderId="65" xfId="0" applyFont="1" applyFill="1" applyBorder="1" applyAlignment="1" applyProtection="1">
      <alignment horizontal="center" vertical="center"/>
      <protection locked="0"/>
    </xf>
    <xf numFmtId="0" fontId="22" fillId="5" borderId="178" xfId="0" applyFont="1" applyFill="1" applyBorder="1" applyAlignment="1" applyProtection="1">
      <alignment horizontal="center" vertical="center"/>
      <protection locked="0"/>
    </xf>
    <xf numFmtId="0" fontId="22" fillId="5" borderId="176" xfId="0" applyFont="1" applyFill="1" applyBorder="1" applyAlignment="1" applyProtection="1">
      <alignment horizontal="center" vertical="center"/>
      <protection locked="0"/>
    </xf>
    <xf numFmtId="0" fontId="22" fillId="5" borderId="18" xfId="0" applyFont="1" applyFill="1" applyBorder="1" applyAlignment="1" applyProtection="1">
      <alignment horizontal="center" vertical="center"/>
      <protection locked="0"/>
    </xf>
    <xf numFmtId="0" fontId="22" fillId="5" borderId="177" xfId="0" applyFont="1" applyFill="1" applyBorder="1" applyAlignment="1" applyProtection="1">
      <alignment horizontal="center" vertical="center"/>
      <protection locked="0"/>
    </xf>
    <xf numFmtId="0" fontId="22" fillId="7" borderId="16" xfId="0" applyFont="1" applyFill="1" applyBorder="1" applyAlignment="1">
      <alignment vertical="center" wrapText="1"/>
    </xf>
    <xf numFmtId="0" fontId="22" fillId="5" borderId="163" xfId="0" applyFont="1" applyFill="1" applyBorder="1" applyAlignment="1" applyProtection="1">
      <alignment horizontal="center" vertical="center"/>
      <protection locked="0"/>
    </xf>
    <xf numFmtId="0" fontId="103" fillId="7" borderId="261" xfId="5" applyFont="1" applyFill="1" applyBorder="1" applyAlignment="1">
      <alignment horizontal="center" vertical="center" wrapText="1"/>
    </xf>
    <xf numFmtId="0" fontId="103" fillId="7" borderId="262" xfId="5" applyFont="1" applyFill="1" applyBorder="1" applyAlignment="1">
      <alignment horizontal="center" vertical="center" wrapText="1"/>
    </xf>
    <xf numFmtId="0" fontId="103" fillId="7" borderId="293" xfId="5" applyFont="1" applyFill="1" applyBorder="1" applyAlignment="1">
      <alignment horizontal="center" vertical="center" wrapText="1"/>
    </xf>
    <xf numFmtId="0" fontId="103" fillId="7" borderId="264" xfId="5" applyFont="1" applyFill="1" applyBorder="1" applyAlignment="1">
      <alignment horizontal="center" vertical="center" wrapText="1"/>
    </xf>
    <xf numFmtId="0" fontId="103" fillId="7" borderId="195" xfId="5" applyFont="1" applyFill="1" applyBorder="1" applyAlignment="1">
      <alignment horizontal="center" vertical="center" wrapText="1"/>
    </xf>
    <xf numFmtId="0" fontId="29" fillId="7" borderId="190" xfId="0" applyFont="1" applyFill="1" applyBorder="1" applyAlignment="1">
      <alignment horizontal="center" vertical="center" wrapText="1"/>
    </xf>
    <xf numFmtId="0" fontId="29" fillId="7" borderId="72" xfId="0" applyFont="1" applyFill="1" applyBorder="1" applyAlignment="1">
      <alignment horizontal="center" vertical="center" wrapText="1"/>
    </xf>
    <xf numFmtId="3" fontId="105" fillId="5" borderId="267" xfId="5" applyNumberFormat="1" applyFont="1" applyFill="1" applyBorder="1" applyAlignment="1" applyProtection="1">
      <alignment horizontal="center" vertical="center" wrapText="1"/>
      <protection locked="0"/>
    </xf>
    <xf numFmtId="3" fontId="105" fillId="5" borderId="268" xfId="5" applyNumberFormat="1" applyFont="1" applyFill="1" applyBorder="1" applyAlignment="1" applyProtection="1">
      <alignment horizontal="center" vertical="center" wrapText="1"/>
      <protection locked="0"/>
    </xf>
    <xf numFmtId="0" fontId="105" fillId="5" borderId="284" xfId="5" applyFont="1" applyFill="1" applyBorder="1" applyAlignment="1" applyProtection="1">
      <alignment horizontal="center" vertical="center" wrapText="1"/>
      <protection locked="0"/>
    </xf>
    <xf numFmtId="0" fontId="105" fillId="5" borderId="283" xfId="5" applyFont="1" applyFill="1" applyBorder="1" applyAlignment="1" applyProtection="1">
      <alignment horizontal="center" vertical="center" wrapText="1"/>
      <protection locked="0"/>
    </xf>
    <xf numFmtId="0" fontId="105" fillId="5" borderId="285" xfId="5" applyFont="1" applyFill="1" applyBorder="1" applyAlignment="1" applyProtection="1">
      <alignment horizontal="center" vertical="center" wrapText="1"/>
      <protection locked="0"/>
    </xf>
    <xf numFmtId="0" fontId="105" fillId="5" borderId="280" xfId="5" applyFont="1" applyFill="1" applyBorder="1" applyAlignment="1" applyProtection="1">
      <alignment horizontal="center" vertical="center" wrapText="1"/>
      <protection locked="0"/>
    </xf>
    <xf numFmtId="0" fontId="105" fillId="5" borderId="281" xfId="5" applyFont="1" applyFill="1" applyBorder="1" applyAlignment="1" applyProtection="1">
      <alignment horizontal="center" vertical="center" wrapText="1"/>
      <protection locked="0"/>
    </xf>
    <xf numFmtId="0" fontId="105" fillId="5" borderId="268" xfId="5" applyFont="1" applyFill="1" applyBorder="1" applyAlignment="1" applyProtection="1">
      <alignment horizontal="center" vertical="center" wrapText="1"/>
      <protection locked="0"/>
    </xf>
    <xf numFmtId="0" fontId="105" fillId="5" borderId="271" xfId="5" applyFont="1" applyFill="1" applyBorder="1" applyAlignment="1" applyProtection="1">
      <alignment horizontal="center" vertical="center" wrapText="1"/>
      <protection locked="0"/>
    </xf>
    <xf numFmtId="0" fontId="29" fillId="7" borderId="198" xfId="0" applyFont="1" applyFill="1" applyBorder="1" applyAlignment="1">
      <alignment horizontal="center" vertical="center"/>
    </xf>
    <xf numFmtId="0" fontId="22" fillId="7" borderId="6" xfId="0" applyFont="1" applyFill="1" applyBorder="1" applyAlignment="1">
      <alignment vertical="center" wrapText="1"/>
    </xf>
    <xf numFmtId="0" fontId="22" fillId="5" borderId="6" xfId="0" applyFont="1" applyFill="1" applyBorder="1" applyAlignment="1" applyProtection="1">
      <alignment horizontal="center" vertical="center"/>
      <protection locked="0"/>
    </xf>
    <xf numFmtId="0" fontId="22" fillId="5" borderId="21" xfId="0" applyFont="1" applyFill="1" applyBorder="1" applyAlignment="1" applyProtection="1">
      <alignment horizontal="center" vertical="center"/>
      <protection locked="0"/>
    </xf>
    <xf numFmtId="0" fontId="22" fillId="5" borderId="75" xfId="0" applyFont="1" applyFill="1" applyBorder="1" applyAlignment="1" applyProtection="1">
      <alignment horizontal="center" vertical="center"/>
      <protection locked="0"/>
    </xf>
    <xf numFmtId="0" fontId="22" fillId="5" borderId="54" xfId="0" applyFont="1" applyFill="1" applyBorder="1" applyAlignment="1" applyProtection="1">
      <alignment horizontal="center" vertical="center"/>
      <protection locked="0"/>
    </xf>
    <xf numFmtId="0" fontId="22" fillId="5" borderId="20" xfId="0" applyFont="1" applyFill="1" applyBorder="1" applyAlignment="1" applyProtection="1">
      <alignment horizontal="center" vertical="center"/>
      <protection locked="0"/>
    </xf>
    <xf numFmtId="0" fontId="22" fillId="5" borderId="153" xfId="0" applyFont="1" applyFill="1" applyBorder="1" applyAlignment="1" applyProtection="1">
      <alignment horizontal="center" vertical="center"/>
      <protection locked="0"/>
    </xf>
    <xf numFmtId="0" fontId="22" fillId="7" borderId="6" xfId="0" applyFont="1" applyFill="1" applyBorder="1" applyAlignment="1">
      <alignment vertical="center"/>
    </xf>
    <xf numFmtId="0" fontId="0" fillId="7" borderId="16" xfId="0" applyFill="1" applyBorder="1" applyAlignment="1">
      <alignment vertical="center"/>
    </xf>
    <xf numFmtId="0" fontId="22" fillId="5" borderId="9" xfId="0" applyFont="1" applyFill="1" applyBorder="1" applyAlignment="1" applyProtection="1">
      <alignment horizontal="center" vertical="center"/>
      <protection locked="0"/>
    </xf>
    <xf numFmtId="0" fontId="22" fillId="5" borderId="24" xfId="0" applyFont="1" applyFill="1" applyBorder="1" applyAlignment="1" applyProtection="1">
      <alignment horizontal="center" vertical="center"/>
      <protection locked="0"/>
    </xf>
    <xf numFmtId="0" fontId="22" fillId="5" borderId="26" xfId="0" applyFont="1" applyFill="1" applyBorder="1" applyAlignment="1" applyProtection="1">
      <alignment horizontal="center" vertical="center"/>
      <protection locked="0"/>
    </xf>
    <xf numFmtId="0" fontId="22" fillId="5" borderId="10" xfId="0" applyFont="1" applyFill="1" applyBorder="1" applyAlignment="1" applyProtection="1">
      <alignment horizontal="center" vertical="center"/>
      <protection locked="0"/>
    </xf>
    <xf numFmtId="0" fontId="22" fillId="5" borderId="22" xfId="0" applyFont="1" applyFill="1" applyBorder="1" applyAlignment="1" applyProtection="1">
      <alignment horizontal="center" vertical="center"/>
      <protection locked="0"/>
    </xf>
    <xf numFmtId="0" fontId="22" fillId="5" borderId="154" xfId="0" applyFont="1" applyFill="1" applyBorder="1" applyAlignment="1" applyProtection="1">
      <alignment horizontal="center" vertical="center"/>
      <protection locked="0"/>
    </xf>
    <xf numFmtId="0" fontId="22" fillId="5" borderId="156" xfId="0" applyFont="1" applyFill="1" applyBorder="1" applyAlignment="1" applyProtection="1">
      <alignment horizontal="center" vertical="center"/>
      <protection locked="0"/>
    </xf>
    <xf numFmtId="0" fontId="22" fillId="5" borderId="182" xfId="0" applyFont="1" applyFill="1" applyBorder="1" applyAlignment="1" applyProtection="1">
      <alignment horizontal="center" vertical="center"/>
      <protection locked="0"/>
    </xf>
    <xf numFmtId="0" fontId="0" fillId="7" borderId="16" xfId="0" applyFill="1" applyBorder="1" applyAlignment="1">
      <alignment vertical="center" wrapText="1"/>
    </xf>
    <xf numFmtId="0" fontId="22" fillId="5" borderId="162" xfId="0" applyFont="1" applyFill="1" applyBorder="1" applyAlignment="1" applyProtection="1">
      <alignment horizontal="center" vertical="center"/>
      <protection locked="0"/>
    </xf>
    <xf numFmtId="0" fontId="22" fillId="7" borderId="158" xfId="0" quotePrefix="1" applyFont="1" applyFill="1" applyBorder="1" applyAlignment="1">
      <alignment horizontal="left" vertical="center" wrapText="1" indent="1"/>
    </xf>
    <xf numFmtId="0" fontId="22" fillId="7" borderId="6" xfId="0" quotePrefix="1" applyFont="1" applyFill="1" applyBorder="1" applyAlignment="1">
      <alignment horizontal="left" vertical="center" wrapText="1" indent="1"/>
    </xf>
    <xf numFmtId="0" fontId="0" fillId="7" borderId="162" xfId="0" quotePrefix="1" applyFill="1" applyBorder="1" applyAlignment="1">
      <alignment horizontal="left" vertical="center" wrapText="1" indent="1"/>
    </xf>
    <xf numFmtId="0" fontId="0" fillId="7" borderId="16" xfId="0" quotePrefix="1" applyFill="1" applyBorder="1" applyAlignment="1">
      <alignment horizontal="left" vertical="center" wrapText="1" indent="1"/>
    </xf>
    <xf numFmtId="0" fontId="22" fillId="7" borderId="162" xfId="0" quotePrefix="1" applyFont="1" applyFill="1" applyBorder="1" applyAlignment="1">
      <alignment horizontal="left" vertical="center" wrapText="1" indent="1"/>
    </xf>
    <xf numFmtId="0" fontId="22" fillId="7" borderId="16" xfId="0" quotePrefix="1" applyFont="1" applyFill="1" applyBorder="1" applyAlignment="1">
      <alignment horizontal="left" vertical="center" wrapText="1" indent="1"/>
    </xf>
    <xf numFmtId="3" fontId="22" fillId="5" borderId="22" xfId="0" applyNumberFormat="1" applyFont="1" applyFill="1" applyBorder="1" applyAlignment="1" applyProtection="1">
      <alignment horizontal="center" vertical="center"/>
      <protection locked="0"/>
    </xf>
    <xf numFmtId="3" fontId="22" fillId="5" borderId="9" xfId="0" applyNumberFormat="1" applyFont="1" applyFill="1" applyBorder="1" applyAlignment="1" applyProtection="1">
      <alignment horizontal="center" vertical="center"/>
      <protection locked="0"/>
    </xf>
    <xf numFmtId="3" fontId="22" fillId="5" borderId="24" xfId="0" applyNumberFormat="1" applyFont="1" applyFill="1" applyBorder="1" applyAlignment="1" applyProtection="1">
      <alignment horizontal="center" vertical="center"/>
      <protection locked="0"/>
    </xf>
    <xf numFmtId="3" fontId="22" fillId="5" borderId="65" xfId="0" applyNumberFormat="1" applyFont="1" applyFill="1" applyBorder="1" applyAlignment="1" applyProtection="1">
      <alignment horizontal="center" vertical="center"/>
      <protection locked="0"/>
    </xf>
    <xf numFmtId="3" fontId="22" fillId="5" borderId="61" xfId="0" applyNumberFormat="1" applyFont="1" applyFill="1" applyBorder="1" applyAlignment="1" applyProtection="1">
      <alignment horizontal="center" vertical="center"/>
      <protection locked="0"/>
    </xf>
    <xf numFmtId="3" fontId="22" fillId="5" borderId="26" xfId="0" applyNumberFormat="1" applyFont="1" applyFill="1" applyBorder="1" applyAlignment="1" applyProtection="1">
      <alignment horizontal="center" vertical="center"/>
      <protection locked="0"/>
    </xf>
    <xf numFmtId="3" fontId="22" fillId="5" borderId="10" xfId="0" applyNumberFormat="1" applyFont="1" applyFill="1" applyBorder="1" applyAlignment="1" applyProtection="1">
      <alignment horizontal="center" vertical="center"/>
      <protection locked="0"/>
    </xf>
    <xf numFmtId="3" fontId="22" fillId="5" borderId="154" xfId="0" applyNumberFormat="1" applyFont="1" applyFill="1" applyBorder="1" applyAlignment="1" applyProtection="1">
      <alignment horizontal="center" vertical="center"/>
      <protection locked="0"/>
    </xf>
    <xf numFmtId="3" fontId="22" fillId="5" borderId="152" xfId="0" applyNumberFormat="1" applyFont="1" applyFill="1" applyBorder="1" applyAlignment="1" applyProtection="1">
      <alignment horizontal="center" vertical="center"/>
      <protection locked="0"/>
    </xf>
    <xf numFmtId="3" fontId="22" fillId="5" borderId="156" xfId="0" applyNumberFormat="1" applyFont="1" applyFill="1" applyBorder="1" applyAlignment="1" applyProtection="1">
      <alignment horizontal="center" vertical="center"/>
      <protection locked="0"/>
    </xf>
    <xf numFmtId="0" fontId="0" fillId="7" borderId="247" xfId="0" applyFill="1" applyBorder="1" applyAlignment="1">
      <alignment horizontal="left" vertical="center" indent="3"/>
    </xf>
    <xf numFmtId="0" fontId="22" fillId="7" borderId="208" xfId="0" applyFont="1" applyFill="1" applyBorder="1" applyAlignment="1">
      <alignment horizontal="left" vertical="center" indent="3"/>
    </xf>
    <xf numFmtId="0" fontId="22" fillId="7" borderId="209" xfId="0" applyFont="1" applyFill="1" applyBorder="1" applyAlignment="1">
      <alignment horizontal="left" vertical="center" indent="3"/>
    </xf>
    <xf numFmtId="3" fontId="0" fillId="5" borderId="205" xfId="0" applyNumberFormat="1" applyFill="1" applyBorder="1" applyAlignment="1" applyProtection="1">
      <alignment horizontal="center" vertical="center"/>
      <protection locked="0"/>
    </xf>
    <xf numFmtId="3" fontId="0" fillId="5" borderId="206" xfId="0" applyNumberFormat="1" applyFill="1" applyBorder="1" applyAlignment="1" applyProtection="1">
      <alignment horizontal="center" vertical="center"/>
      <protection locked="0"/>
    </xf>
    <xf numFmtId="3" fontId="0" fillId="5" borderId="163" xfId="0" applyNumberFormat="1" applyFill="1" applyBorder="1" applyAlignment="1" applyProtection="1">
      <alignment horizontal="center" vertical="center"/>
      <protection locked="0"/>
    </xf>
    <xf numFmtId="3" fontId="0" fillId="5" borderId="208" xfId="0" applyNumberFormat="1" applyFill="1" applyBorder="1" applyAlignment="1" applyProtection="1">
      <alignment horizontal="center" vertical="center"/>
      <protection locked="0"/>
    </xf>
    <xf numFmtId="3" fontId="0" fillId="5" borderId="209" xfId="0" applyNumberFormat="1" applyFill="1" applyBorder="1" applyAlignment="1" applyProtection="1">
      <alignment horizontal="center" vertical="center"/>
      <protection locked="0"/>
    </xf>
    <xf numFmtId="0" fontId="22" fillId="7" borderId="246" xfId="0" applyFont="1" applyFill="1" applyBorder="1" applyAlignment="1">
      <alignment horizontal="left" vertical="center" indent="3"/>
    </xf>
    <xf numFmtId="0" fontId="22" fillId="7" borderId="205" xfId="0" applyFont="1" applyFill="1" applyBorder="1" applyAlignment="1">
      <alignment horizontal="left" vertical="center" indent="3"/>
    </xf>
    <xf numFmtId="0" fontId="22" fillId="7" borderId="206" xfId="0" applyFont="1" applyFill="1" applyBorder="1" applyAlignment="1">
      <alignment horizontal="left" vertical="center" indent="3"/>
    </xf>
    <xf numFmtId="0" fontId="22" fillId="7" borderId="162" xfId="0" applyFont="1" applyFill="1" applyBorder="1" applyAlignment="1">
      <alignment horizontal="left" vertical="center" indent="3"/>
    </xf>
    <xf numFmtId="0" fontId="22" fillId="7" borderId="16" xfId="0" applyFont="1" applyFill="1" applyBorder="1" applyAlignment="1">
      <alignment horizontal="left" vertical="center" indent="3"/>
    </xf>
    <xf numFmtId="0" fontId="22" fillId="7" borderId="163" xfId="0" applyFont="1" applyFill="1" applyBorder="1" applyAlignment="1">
      <alignment horizontal="left" vertical="center" indent="3"/>
    </xf>
    <xf numFmtId="0" fontId="0" fillId="7" borderId="157" xfId="0" quotePrefix="1" applyFill="1" applyBorder="1" applyAlignment="1">
      <alignment horizontal="left" vertical="center" indent="1"/>
    </xf>
    <xf numFmtId="0" fontId="22" fillId="7" borderId="5" xfId="0" quotePrefix="1" applyFont="1" applyFill="1" applyBorder="1" applyAlignment="1">
      <alignment horizontal="left" vertical="center" indent="1"/>
    </xf>
    <xf numFmtId="3" fontId="22" fillId="5" borderId="157" xfId="0" applyNumberFormat="1" applyFont="1" applyFill="1" applyBorder="1" applyAlignment="1" applyProtection="1">
      <alignment horizontal="center" vertical="center"/>
      <protection locked="0"/>
    </xf>
    <xf numFmtId="3" fontId="22" fillId="5" borderId="150" xfId="0" applyNumberFormat="1" applyFont="1" applyFill="1" applyBorder="1" applyAlignment="1" applyProtection="1">
      <alignment horizontal="center" vertical="center"/>
      <protection locked="0"/>
    </xf>
    <xf numFmtId="3" fontId="22" fillId="5" borderId="155" xfId="0" applyNumberFormat="1" applyFont="1" applyFill="1" applyBorder="1" applyAlignment="1" applyProtection="1">
      <alignment horizontal="center" vertical="center"/>
      <protection locked="0"/>
    </xf>
    <xf numFmtId="3" fontId="22" fillId="5" borderId="187" xfId="0" applyNumberFormat="1" applyFont="1" applyFill="1" applyBorder="1" applyAlignment="1" applyProtection="1">
      <alignment horizontal="center" vertical="center"/>
      <protection locked="0"/>
    </xf>
    <xf numFmtId="3" fontId="22" fillId="0" borderId="18" xfId="0" applyNumberFormat="1" applyFont="1" applyBorder="1" applyAlignment="1" applyProtection="1">
      <alignment horizontal="center" vertical="center"/>
      <protection locked="0"/>
    </xf>
    <xf numFmtId="3" fontId="22" fillId="0" borderId="5" xfId="0" applyNumberFormat="1" applyFont="1" applyBorder="1" applyAlignment="1" applyProtection="1">
      <alignment horizontal="center" vertical="center"/>
      <protection locked="0"/>
    </xf>
    <xf numFmtId="3" fontId="22" fillId="0" borderId="69" xfId="0" applyNumberFormat="1" applyFont="1" applyBorder="1" applyAlignment="1" applyProtection="1">
      <alignment horizontal="center" vertical="center"/>
      <protection locked="0"/>
    </xf>
    <xf numFmtId="3" fontId="22" fillId="0" borderId="32" xfId="0" applyNumberFormat="1" applyFont="1" applyBorder="1" applyAlignment="1" applyProtection="1">
      <alignment horizontal="center" vertical="center"/>
      <protection locked="0"/>
    </xf>
    <xf numFmtId="3" fontId="22" fillId="0" borderId="0" xfId="0" applyNumberFormat="1" applyFont="1" applyAlignment="1" applyProtection="1">
      <alignment horizontal="center" vertical="center"/>
      <protection locked="0"/>
    </xf>
    <xf numFmtId="3" fontId="22" fillId="0" borderId="72" xfId="0" applyNumberFormat="1" applyFont="1" applyBorder="1" applyAlignment="1" applyProtection="1">
      <alignment horizontal="center" vertical="center"/>
      <protection locked="0"/>
    </xf>
    <xf numFmtId="3" fontId="22" fillId="0" borderId="22" xfId="0" applyNumberFormat="1" applyFont="1" applyBorder="1" applyAlignment="1" applyProtection="1">
      <alignment horizontal="center" vertical="center"/>
      <protection locked="0"/>
    </xf>
    <xf numFmtId="3" fontId="22" fillId="0" borderId="9" xfId="0" applyNumberFormat="1" applyFont="1" applyBorder="1" applyAlignment="1" applyProtection="1">
      <alignment horizontal="center" vertical="center"/>
      <protection locked="0"/>
    </xf>
    <xf numFmtId="3" fontId="22" fillId="0" borderId="24" xfId="0" applyNumberFormat="1" applyFont="1" applyBorder="1" applyAlignment="1" applyProtection="1">
      <alignment horizontal="center" vertical="center"/>
      <protection locked="0"/>
    </xf>
    <xf numFmtId="3" fontId="22" fillId="0" borderId="68" xfId="0" applyNumberFormat="1" applyFont="1" applyBorder="1" applyAlignment="1" applyProtection="1">
      <alignment horizontal="center" vertical="center"/>
      <protection locked="0"/>
    </xf>
    <xf numFmtId="3" fontId="22" fillId="0" borderId="65" xfId="0" applyNumberFormat="1" applyFont="1" applyBorder="1" applyAlignment="1" applyProtection="1">
      <alignment horizontal="center" vertical="center"/>
      <protection locked="0"/>
    </xf>
    <xf numFmtId="3" fontId="22" fillId="0" borderId="71" xfId="0" applyNumberFormat="1" applyFont="1" applyBorder="1" applyAlignment="1" applyProtection="1">
      <alignment horizontal="center" vertical="center"/>
      <protection locked="0"/>
    </xf>
    <xf numFmtId="3" fontId="22" fillId="0" borderId="61" xfId="0" applyNumberFormat="1" applyFont="1" applyBorder="1" applyAlignment="1" applyProtection="1">
      <alignment horizontal="center" vertical="center"/>
      <protection locked="0"/>
    </xf>
    <xf numFmtId="3" fontId="22" fillId="0" borderId="26" xfId="0" applyNumberFormat="1" applyFont="1" applyBorder="1" applyAlignment="1" applyProtection="1">
      <alignment horizontal="center" vertical="center"/>
      <protection locked="0"/>
    </xf>
    <xf numFmtId="3" fontId="22" fillId="0" borderId="10" xfId="0" applyNumberFormat="1" applyFont="1" applyBorder="1" applyAlignment="1" applyProtection="1">
      <alignment horizontal="center" vertical="center"/>
      <protection locked="0"/>
    </xf>
    <xf numFmtId="3" fontId="22" fillId="5" borderId="186" xfId="0" applyNumberFormat="1" applyFont="1" applyFill="1" applyBorder="1" applyAlignment="1" applyProtection="1">
      <alignment horizontal="center" vertical="center"/>
      <protection locked="0"/>
    </xf>
    <xf numFmtId="3" fontId="22" fillId="5" borderId="37" xfId="0" applyNumberFormat="1" applyFont="1" applyFill="1" applyBorder="1" applyAlignment="1" applyProtection="1">
      <alignment horizontal="center" vertical="center"/>
      <protection locked="0"/>
    </xf>
    <xf numFmtId="0" fontId="22" fillId="7" borderId="186" xfId="0" quotePrefix="1" applyFont="1" applyFill="1" applyBorder="1" applyAlignment="1">
      <alignment horizontal="left" vertical="center" wrapText="1" indent="1"/>
    </xf>
    <xf numFmtId="0" fontId="22" fillId="7" borderId="15" xfId="0" quotePrefix="1" applyFont="1" applyFill="1" applyBorder="1" applyAlignment="1">
      <alignment horizontal="left" vertical="center" wrapText="1" indent="1"/>
    </xf>
    <xf numFmtId="0" fontId="22" fillId="7" borderId="157" xfId="0" quotePrefix="1" applyFont="1" applyFill="1" applyBorder="1" applyAlignment="1">
      <alignment horizontal="left" vertical="center" indent="1"/>
    </xf>
    <xf numFmtId="0" fontId="0" fillId="7" borderId="158" xfId="0" quotePrefix="1" applyFill="1" applyBorder="1" applyAlignment="1">
      <alignment horizontal="left" vertical="center" wrapText="1" indent="1"/>
    </xf>
    <xf numFmtId="0" fontId="0" fillId="7" borderId="6" xfId="0" quotePrefix="1" applyFill="1" applyBorder="1" applyAlignment="1">
      <alignment horizontal="left" vertical="center" wrapText="1" indent="1"/>
    </xf>
    <xf numFmtId="3" fontId="22" fillId="0" borderId="154" xfId="0" applyNumberFormat="1" applyFont="1" applyBorder="1" applyAlignment="1" applyProtection="1">
      <alignment horizontal="center" vertical="center"/>
      <protection locked="0"/>
    </xf>
    <xf numFmtId="3" fontId="22" fillId="0" borderId="152" xfId="0" applyNumberFormat="1" applyFont="1" applyBorder="1" applyAlignment="1" applyProtection="1">
      <alignment horizontal="center" vertical="center"/>
      <protection locked="0"/>
    </xf>
    <xf numFmtId="3" fontId="22" fillId="0" borderId="156" xfId="0" applyNumberFormat="1" applyFont="1" applyBorder="1" applyAlignment="1" applyProtection="1">
      <alignment horizontal="center" vertical="center"/>
      <protection locked="0"/>
    </xf>
    <xf numFmtId="3" fontId="22" fillId="0" borderId="157" xfId="0" applyNumberFormat="1" applyFont="1" applyBorder="1" applyAlignment="1" applyProtection="1">
      <alignment horizontal="center" vertical="center"/>
      <protection locked="0"/>
    </xf>
    <xf numFmtId="3" fontId="22" fillId="0" borderId="150" xfId="0" applyNumberFormat="1" applyFont="1" applyBorder="1" applyAlignment="1" applyProtection="1">
      <alignment horizontal="center" vertical="center"/>
      <protection locked="0"/>
    </xf>
    <xf numFmtId="3" fontId="22" fillId="0" borderId="155" xfId="0" applyNumberFormat="1" applyFont="1" applyBorder="1" applyAlignment="1" applyProtection="1">
      <alignment horizontal="center" vertical="center"/>
      <protection locked="0"/>
    </xf>
    <xf numFmtId="0" fontId="22" fillId="7" borderId="16" xfId="0" applyFont="1" applyFill="1" applyBorder="1" applyAlignment="1">
      <alignment horizontal="justify" vertical="center" wrapText="1"/>
    </xf>
    <xf numFmtId="0" fontId="22" fillId="7" borderId="205" xfId="0" applyFont="1" applyFill="1" applyBorder="1" applyAlignment="1">
      <alignment horizontal="justify" vertical="center" wrapText="1"/>
    </xf>
    <xf numFmtId="0" fontId="22" fillId="5" borderId="246" xfId="0" applyFont="1" applyFill="1" applyBorder="1" applyAlignment="1" applyProtection="1">
      <alignment horizontal="center" vertical="center"/>
      <protection locked="0"/>
    </xf>
    <xf numFmtId="0" fontId="22" fillId="5" borderId="206" xfId="0" applyFont="1" applyFill="1" applyBorder="1" applyAlignment="1" applyProtection="1">
      <alignment horizontal="center" vertical="center"/>
      <protection locked="0"/>
    </xf>
    <xf numFmtId="0" fontId="29" fillId="7" borderId="22" xfId="0" applyFont="1" applyFill="1" applyBorder="1" applyAlignment="1">
      <alignment horizontal="center" vertical="center" wrapText="1"/>
    </xf>
    <xf numFmtId="0" fontId="29" fillId="7" borderId="9" xfId="0" applyFont="1" applyFill="1" applyBorder="1" applyAlignment="1">
      <alignment horizontal="center" vertical="center" wrapText="1"/>
    </xf>
    <xf numFmtId="0" fontId="29" fillId="7" borderId="156" xfId="0" applyFont="1" applyFill="1" applyBorder="1" applyAlignment="1">
      <alignment horizontal="center" vertical="center" wrapText="1"/>
    </xf>
    <xf numFmtId="0" fontId="22" fillId="7" borderId="16" xfId="0" applyFont="1" applyFill="1" applyBorder="1" applyAlignment="1">
      <alignment horizontal="justify" vertical="center"/>
    </xf>
    <xf numFmtId="0" fontId="0" fillId="7" borderId="16" xfId="0" applyFill="1" applyBorder="1" applyAlignment="1">
      <alignment horizontal="justify" vertical="center"/>
    </xf>
    <xf numFmtId="0" fontId="0" fillId="7" borderId="5" xfId="0" quotePrefix="1" applyFill="1" applyBorder="1" applyAlignment="1">
      <alignment vertical="center"/>
    </xf>
    <xf numFmtId="0" fontId="22" fillId="5" borderId="5" xfId="75" applyFont="1" applyFill="1" applyBorder="1" applyAlignment="1" applyProtection="1">
      <alignment horizontal="center" vertical="center" wrapText="1"/>
      <protection locked="0"/>
    </xf>
    <xf numFmtId="0" fontId="22" fillId="5" borderId="69" xfId="75" applyFont="1" applyFill="1" applyBorder="1" applyAlignment="1" applyProtection="1">
      <alignment horizontal="center" vertical="center" wrapText="1"/>
      <protection locked="0"/>
    </xf>
    <xf numFmtId="0" fontId="22" fillId="5" borderId="0" xfId="75" applyFont="1" applyFill="1" applyAlignment="1" applyProtection="1">
      <alignment horizontal="center" vertical="center" wrapText="1"/>
      <protection locked="0"/>
    </xf>
    <xf numFmtId="0" fontId="22" fillId="5" borderId="72" xfId="75" applyFont="1" applyFill="1" applyBorder="1" applyAlignment="1" applyProtection="1">
      <alignment horizontal="center" vertical="center" wrapText="1"/>
      <protection locked="0"/>
    </xf>
    <xf numFmtId="0" fontId="22" fillId="5" borderId="175" xfId="75" applyFont="1" applyFill="1" applyBorder="1" applyAlignment="1" applyProtection="1">
      <alignment horizontal="center" vertical="center" wrapText="1"/>
      <protection locked="0"/>
    </xf>
    <xf numFmtId="0" fontId="22" fillId="5" borderId="180" xfId="75" applyFont="1" applyFill="1" applyBorder="1" applyAlignment="1" applyProtection="1">
      <alignment horizontal="center" vertical="center" wrapText="1"/>
      <protection locked="0"/>
    </xf>
    <xf numFmtId="0" fontId="22" fillId="5" borderId="68" xfId="75" applyFont="1" applyFill="1" applyBorder="1" applyAlignment="1" applyProtection="1">
      <alignment horizontal="center" vertical="center" wrapText="1"/>
      <protection locked="0"/>
    </xf>
    <xf numFmtId="0" fontId="22" fillId="5" borderId="65" xfId="75" applyFont="1" applyFill="1" applyBorder="1" applyAlignment="1" applyProtection="1">
      <alignment horizontal="center" vertical="center" wrapText="1"/>
      <protection locked="0"/>
    </xf>
    <xf numFmtId="0" fontId="22" fillId="5" borderId="71" xfId="75" applyFont="1" applyFill="1" applyBorder="1" applyAlignment="1" applyProtection="1">
      <alignment horizontal="center" vertical="center" wrapText="1"/>
      <protection locked="0"/>
    </xf>
    <xf numFmtId="0" fontId="22" fillId="5" borderId="61" xfId="75" applyFont="1" applyFill="1" applyBorder="1" applyAlignment="1" applyProtection="1">
      <alignment horizontal="center" vertical="center" wrapText="1"/>
      <protection locked="0"/>
    </xf>
    <xf numFmtId="0" fontId="22" fillId="5" borderId="178" xfId="75" applyFont="1" applyFill="1" applyBorder="1" applyAlignment="1" applyProtection="1">
      <alignment horizontal="center" vertical="center" wrapText="1"/>
      <protection locked="0"/>
    </xf>
    <xf numFmtId="0" fontId="22" fillId="5" borderId="176" xfId="75" applyFont="1" applyFill="1" applyBorder="1" applyAlignment="1" applyProtection="1">
      <alignment horizontal="center" vertical="center" wrapText="1"/>
      <protection locked="0"/>
    </xf>
    <xf numFmtId="0" fontId="22" fillId="5" borderId="18" xfId="75" applyFont="1" applyFill="1" applyBorder="1" applyAlignment="1" applyProtection="1">
      <alignment horizontal="center" vertical="center" wrapText="1"/>
      <protection locked="0"/>
    </xf>
    <xf numFmtId="0" fontId="22" fillId="5" borderId="32" xfId="75" applyFont="1" applyFill="1" applyBorder="1" applyAlignment="1" applyProtection="1">
      <alignment horizontal="center" vertical="center" wrapText="1"/>
      <protection locked="0"/>
    </xf>
    <xf numFmtId="0" fontId="22" fillId="5" borderId="177" xfId="75" applyFont="1" applyFill="1" applyBorder="1" applyAlignment="1" applyProtection="1">
      <alignment horizontal="center" vertical="center" wrapText="1"/>
      <protection locked="0"/>
    </xf>
    <xf numFmtId="0" fontId="22" fillId="5" borderId="154" xfId="75" applyFont="1" applyFill="1" applyBorder="1" applyAlignment="1" applyProtection="1">
      <alignment horizontal="center" vertical="center" wrapText="1"/>
      <protection locked="0"/>
    </xf>
    <xf numFmtId="0" fontId="22" fillId="5" borderId="152" xfId="75" applyFont="1" applyFill="1" applyBorder="1" applyAlignment="1" applyProtection="1">
      <alignment horizontal="center" vertical="center" wrapText="1"/>
      <protection locked="0"/>
    </xf>
    <xf numFmtId="0" fontId="22" fillId="5" borderId="182" xfId="75" applyFont="1" applyFill="1" applyBorder="1" applyAlignment="1" applyProtection="1">
      <alignment horizontal="center" vertical="center" wrapText="1"/>
      <protection locked="0"/>
    </xf>
    <xf numFmtId="0" fontId="0" fillId="7" borderId="205" xfId="0" quotePrefix="1" applyFill="1" applyBorder="1" applyAlignment="1">
      <alignment vertical="center"/>
    </xf>
    <xf numFmtId="0" fontId="0" fillId="7" borderId="16" xfId="0" quotePrefix="1" applyFill="1" applyBorder="1" applyAlignment="1">
      <alignment vertical="center"/>
    </xf>
    <xf numFmtId="0" fontId="0" fillId="7" borderId="208" xfId="0" quotePrefix="1" applyFill="1" applyBorder="1" applyAlignment="1">
      <alignment vertical="center"/>
    </xf>
    <xf numFmtId="0" fontId="22" fillId="7" borderId="0" xfId="77" applyFont="1" applyFill="1" applyAlignment="1">
      <alignment vertical="center"/>
    </xf>
    <xf numFmtId="0" fontId="22" fillId="7" borderId="0" xfId="76" applyFont="1" applyFill="1" applyAlignment="1">
      <alignment vertical="center"/>
    </xf>
    <xf numFmtId="3" fontId="105" fillId="0" borderId="267" xfId="5" applyNumberFormat="1" applyFont="1" applyBorder="1" applyAlignment="1" applyProtection="1">
      <alignment horizontal="center" vertical="center" wrapText="1"/>
      <protection locked="0"/>
    </xf>
    <xf numFmtId="3" fontId="105" fillId="0" borderId="268" xfId="5" applyNumberFormat="1" applyFont="1" applyBorder="1" applyAlignment="1" applyProtection="1">
      <alignment horizontal="center" vertical="center" wrapText="1"/>
      <protection locked="0"/>
    </xf>
    <xf numFmtId="3" fontId="105" fillId="0" borderId="280" xfId="5" applyNumberFormat="1" applyFont="1" applyBorder="1" applyAlignment="1" applyProtection="1">
      <alignment horizontal="center" vertical="center" wrapText="1"/>
      <protection locked="0"/>
    </xf>
    <xf numFmtId="3" fontId="105" fillId="0" borderId="281" xfId="5" applyNumberFormat="1" applyFont="1" applyBorder="1" applyAlignment="1" applyProtection="1">
      <alignment horizontal="center" vertical="center"/>
      <protection locked="0"/>
    </xf>
    <xf numFmtId="3" fontId="105" fillId="0" borderId="268" xfId="5" applyNumberFormat="1" applyFont="1" applyBorder="1" applyAlignment="1" applyProtection="1">
      <alignment horizontal="center" vertical="center"/>
      <protection locked="0"/>
    </xf>
    <xf numFmtId="3" fontId="105" fillId="0" borderId="271" xfId="5" applyNumberFormat="1" applyFont="1" applyBorder="1" applyAlignment="1" applyProtection="1">
      <alignment horizontal="center" vertical="center"/>
      <protection locked="0"/>
    </xf>
    <xf numFmtId="3" fontId="105" fillId="0" borderId="269" xfId="5" applyNumberFormat="1" applyFont="1" applyBorder="1" applyAlignment="1" applyProtection="1">
      <alignment horizontal="center" vertical="center"/>
      <protection locked="0"/>
    </xf>
    <xf numFmtId="0" fontId="22" fillId="7" borderId="0" xfId="0" applyFont="1" applyFill="1"/>
    <xf numFmtId="0" fontId="29" fillId="7" borderId="0" xfId="0" applyFont="1" applyFill="1" applyAlignment="1">
      <alignment vertical="center"/>
    </xf>
    <xf numFmtId="0" fontId="22" fillId="7" borderId="0" xfId="0" applyFont="1" applyFill="1" applyAlignment="1">
      <alignment vertical="center"/>
    </xf>
    <xf numFmtId="0" fontId="0" fillId="7" borderId="0" xfId="75" quotePrefix="1" applyFont="1" applyFill="1" applyAlignment="1">
      <alignment horizontal="right" vertical="top"/>
    </xf>
    <xf numFmtId="0" fontId="29" fillId="7" borderId="357" xfId="0" applyFont="1" applyFill="1" applyBorder="1" applyAlignment="1">
      <alignment horizontal="center" vertical="center" wrapText="1"/>
    </xf>
    <xf numFmtId="0" fontId="29" fillId="7" borderId="358" xfId="0" applyFont="1" applyFill="1" applyBorder="1" applyAlignment="1">
      <alignment horizontal="center" vertical="center" wrapText="1"/>
    </xf>
    <xf numFmtId="0" fontId="29" fillId="7" borderId="360" xfId="0" applyFont="1" applyFill="1" applyBorder="1" applyAlignment="1">
      <alignment horizontal="center" vertical="center" wrapText="1"/>
    </xf>
    <xf numFmtId="0" fontId="29" fillId="7" borderId="362" xfId="0" applyFont="1" applyFill="1" applyBorder="1" applyAlignment="1">
      <alignment horizontal="center" vertical="center" wrapText="1"/>
    </xf>
    <xf numFmtId="0" fontId="29" fillId="7" borderId="361" xfId="0" applyFont="1" applyFill="1" applyBorder="1" applyAlignment="1">
      <alignment horizontal="center" vertical="center" wrapText="1"/>
    </xf>
    <xf numFmtId="0" fontId="29" fillId="7" borderId="356" xfId="0" applyFont="1" applyFill="1" applyBorder="1" applyAlignment="1">
      <alignment horizontal="center" vertical="center" wrapText="1"/>
    </xf>
    <xf numFmtId="0" fontId="29" fillId="7" borderId="357" xfId="0" applyFont="1" applyFill="1" applyBorder="1" applyAlignment="1">
      <alignment vertical="center"/>
    </xf>
    <xf numFmtId="0" fontId="29" fillId="7" borderId="359" xfId="0" applyFont="1" applyFill="1" applyBorder="1" applyAlignment="1">
      <alignment horizontal="center" vertical="center" wrapText="1"/>
    </xf>
    <xf numFmtId="0" fontId="29" fillId="7" borderId="360" xfId="0" applyFont="1" applyFill="1" applyBorder="1" applyAlignment="1">
      <alignment vertical="center"/>
    </xf>
    <xf numFmtId="3" fontId="0" fillId="0" borderId="365" xfId="0" applyNumberFormat="1" applyBorder="1" applyAlignment="1" applyProtection="1">
      <alignment horizontal="center" vertical="center"/>
      <protection locked="0"/>
    </xf>
    <xf numFmtId="3" fontId="0" fillId="0" borderId="366" xfId="0" applyNumberFormat="1" applyBorder="1" applyAlignment="1" applyProtection="1">
      <alignment horizontal="center" vertical="center"/>
      <protection locked="0"/>
    </xf>
    <xf numFmtId="3" fontId="0" fillId="0" borderId="300" xfId="0" applyNumberFormat="1" applyBorder="1" applyAlignment="1" applyProtection="1">
      <alignment horizontal="center" vertical="center"/>
      <protection locked="0"/>
    </xf>
    <xf numFmtId="3" fontId="0" fillId="0" borderId="290" xfId="0" applyNumberFormat="1" applyBorder="1" applyAlignment="1" applyProtection="1">
      <alignment horizontal="center" vertical="center"/>
      <protection locked="0"/>
    </xf>
    <xf numFmtId="3" fontId="0" fillId="0" borderId="301" xfId="0" applyNumberFormat="1" applyBorder="1" applyAlignment="1" applyProtection="1">
      <alignment horizontal="center" vertical="center"/>
      <protection locked="0"/>
    </xf>
    <xf numFmtId="3" fontId="0" fillId="0" borderId="363" xfId="0" applyNumberFormat="1" applyBorder="1" applyAlignment="1" applyProtection="1">
      <alignment horizontal="center" vertical="center"/>
      <protection locked="0"/>
    </xf>
    <xf numFmtId="3" fontId="0" fillId="0" borderId="316" xfId="0" applyNumberFormat="1" applyBorder="1" applyAlignment="1" applyProtection="1">
      <alignment horizontal="center" vertical="center"/>
      <protection locked="0"/>
    </xf>
    <xf numFmtId="3" fontId="0" fillId="0" borderId="37" xfId="0" applyNumberFormat="1" applyBorder="1" applyAlignment="1" applyProtection="1">
      <alignment horizontal="center" vertical="center"/>
      <protection locked="0"/>
    </xf>
    <xf numFmtId="3" fontId="0" fillId="0" borderId="364" xfId="0" applyNumberFormat="1" applyBorder="1" applyAlignment="1" applyProtection="1">
      <alignment horizontal="center" vertical="center"/>
      <protection locked="0"/>
    </xf>
    <xf numFmtId="3" fontId="0" fillId="0" borderId="291" xfId="0" applyNumberFormat="1" applyBorder="1" applyAlignment="1" applyProtection="1">
      <alignment horizontal="center" vertical="center"/>
      <protection locked="0"/>
    </xf>
    <xf numFmtId="3" fontId="105" fillId="0" borderId="270" xfId="5" applyNumberFormat="1" applyFont="1" applyBorder="1" applyAlignment="1" applyProtection="1">
      <alignment horizontal="center" vertical="center" wrapText="1"/>
      <protection locked="0"/>
    </xf>
    <xf numFmtId="0" fontId="29" fillId="7" borderId="268" xfId="23" applyFont="1" applyFill="1" applyBorder="1" applyAlignment="1">
      <alignment horizontal="center" vertical="center"/>
    </xf>
    <xf numFmtId="0" fontId="29" fillId="7" borderId="271" xfId="23" applyFont="1" applyFill="1" applyBorder="1" applyAlignment="1">
      <alignment horizontal="center" vertical="center"/>
    </xf>
    <xf numFmtId="3" fontId="22" fillId="5" borderId="246" xfId="25" applyNumberFormat="1" applyFill="1" applyBorder="1" applyAlignment="1" applyProtection="1">
      <alignment horizontal="center" vertical="center" wrapText="1"/>
      <protection locked="0"/>
    </xf>
    <xf numFmtId="3" fontId="22" fillId="5" borderId="227" xfId="25" applyNumberFormat="1" applyFill="1" applyBorder="1" applyAlignment="1" applyProtection="1">
      <alignment horizontal="center" vertical="center" wrapText="1"/>
      <protection locked="0"/>
    </xf>
    <xf numFmtId="0" fontId="29" fillId="7" borderId="49" xfId="25" applyFont="1" applyFill="1" applyBorder="1" applyAlignment="1">
      <alignment horizontal="center" vertical="center"/>
    </xf>
    <xf numFmtId="0" fontId="29" fillId="7" borderId="79" xfId="25" applyFont="1" applyFill="1" applyBorder="1" applyAlignment="1">
      <alignment horizontal="center" vertical="center"/>
    </xf>
    <xf numFmtId="0" fontId="29" fillId="7" borderId="52" xfId="25" applyFont="1" applyFill="1" applyBorder="1" applyAlignment="1">
      <alignment horizontal="center" vertical="center"/>
    </xf>
    <xf numFmtId="0" fontId="29" fillId="7" borderId="190" xfId="25" applyFont="1" applyFill="1" applyBorder="1" applyAlignment="1">
      <alignment horizontal="center" vertical="center"/>
    </xf>
    <xf numFmtId="0" fontId="29" fillId="7" borderId="80" xfId="25" applyFont="1" applyFill="1" applyBorder="1" applyAlignment="1">
      <alignment horizontal="center" vertical="center"/>
    </xf>
    <xf numFmtId="0" fontId="29" fillId="7" borderId="151" xfId="25" applyFont="1" applyFill="1" applyBorder="1" applyAlignment="1">
      <alignment horizontal="center" vertical="center"/>
    </xf>
    <xf numFmtId="0" fontId="29" fillId="7" borderId="182" xfId="13" applyFont="1" applyFill="1" applyBorder="1" applyAlignment="1">
      <alignment horizontal="center" vertical="center" wrapText="1"/>
    </xf>
    <xf numFmtId="0" fontId="22" fillId="7" borderId="296" xfId="13" applyFont="1" applyFill="1" applyBorder="1" applyAlignment="1">
      <alignment horizontal="left" vertical="center"/>
    </xf>
    <xf numFmtId="0" fontId="22" fillId="7" borderId="100" xfId="13" applyFont="1" applyFill="1" applyBorder="1" applyAlignment="1">
      <alignment horizontal="left" vertical="center"/>
    </xf>
    <xf numFmtId="0" fontId="22" fillId="7" borderId="286" xfId="13" applyFont="1" applyFill="1" applyBorder="1" applyAlignment="1">
      <alignment horizontal="left" vertical="center"/>
    </xf>
    <xf numFmtId="0" fontId="0" fillId="7" borderId="0" xfId="13" applyFont="1" applyFill="1" applyAlignment="1">
      <alignment vertical="center" wrapText="1"/>
    </xf>
    <xf numFmtId="0" fontId="22" fillId="5" borderId="174" xfId="25" applyFill="1" applyBorder="1" applyAlignment="1" applyProtection="1">
      <alignment horizontal="center" vertical="center" wrapText="1"/>
      <protection locked="0"/>
    </xf>
    <xf numFmtId="0" fontId="22" fillId="5" borderId="175" xfId="25" applyFill="1" applyBorder="1" applyAlignment="1" applyProtection="1">
      <alignment horizontal="center" vertical="center" wrapText="1"/>
      <protection locked="0"/>
    </xf>
    <xf numFmtId="0" fontId="22" fillId="5" borderId="178" xfId="25" applyFill="1" applyBorder="1" applyAlignment="1" applyProtection="1">
      <alignment horizontal="center" vertical="center" wrapText="1"/>
      <protection locked="0"/>
    </xf>
    <xf numFmtId="0" fontId="22" fillId="5" borderId="176" xfId="25" applyFill="1" applyBorder="1" applyAlignment="1" applyProtection="1">
      <alignment horizontal="center" vertical="center" wrapText="1"/>
      <protection locked="0"/>
    </xf>
    <xf numFmtId="0" fontId="22" fillId="5" borderId="177" xfId="25" applyFill="1" applyBorder="1" applyAlignment="1" applyProtection="1">
      <alignment horizontal="center" vertical="center" wrapText="1"/>
      <protection locked="0"/>
    </xf>
    <xf numFmtId="0" fontId="22" fillId="5" borderId="180" xfId="25" applyFill="1" applyBorder="1" applyAlignment="1" applyProtection="1">
      <alignment horizontal="center" vertical="center" wrapText="1"/>
      <protection locked="0"/>
    </xf>
    <xf numFmtId="0" fontId="29" fillId="7" borderId="267" xfId="23" applyFont="1" applyFill="1" applyBorder="1" applyAlignment="1">
      <alignment horizontal="center" vertical="center"/>
    </xf>
    <xf numFmtId="0" fontId="29" fillId="7" borderId="269" xfId="23" applyFont="1" applyFill="1" applyBorder="1" applyAlignment="1">
      <alignment horizontal="center" vertical="center"/>
    </xf>
    <xf numFmtId="0" fontId="29" fillId="7" borderId="270" xfId="23" applyFont="1" applyFill="1" applyBorder="1" applyAlignment="1">
      <alignment horizontal="center" vertical="center"/>
    </xf>
    <xf numFmtId="0" fontId="29" fillId="7" borderId="294" xfId="23" applyFont="1" applyFill="1" applyBorder="1" applyAlignment="1">
      <alignment horizontal="center" vertical="center"/>
    </xf>
    <xf numFmtId="0" fontId="29" fillId="7" borderId="295" xfId="23" applyFont="1" applyFill="1" applyBorder="1" applyAlignment="1">
      <alignment horizontal="center" vertical="center"/>
    </xf>
    <xf numFmtId="3" fontId="22" fillId="5" borderId="267" xfId="1" applyNumberFormat="1" applyFont="1" applyFill="1" applyBorder="1" applyAlignment="1" applyProtection="1">
      <alignment horizontal="center" vertical="center"/>
      <protection locked="0"/>
    </xf>
    <xf numFmtId="3" fontId="22" fillId="5" borderId="268" xfId="1" applyNumberFormat="1" applyFont="1" applyFill="1" applyBorder="1" applyAlignment="1" applyProtection="1">
      <alignment horizontal="center" vertical="center"/>
      <protection locked="0"/>
    </xf>
    <xf numFmtId="3" fontId="22" fillId="5" borderId="269" xfId="1" applyNumberFormat="1" applyFont="1" applyFill="1" applyBorder="1" applyAlignment="1" applyProtection="1">
      <alignment horizontal="center" vertical="center"/>
      <protection locked="0"/>
    </xf>
    <xf numFmtId="3" fontId="22" fillId="5" borderId="270" xfId="1" applyNumberFormat="1" applyFont="1" applyFill="1" applyBorder="1" applyAlignment="1" applyProtection="1">
      <alignment horizontal="center" vertical="center"/>
      <protection locked="0"/>
    </xf>
    <xf numFmtId="3" fontId="22" fillId="5" borderId="294" xfId="1" applyNumberFormat="1" applyFont="1" applyFill="1" applyBorder="1" applyAlignment="1" applyProtection="1">
      <alignment horizontal="center" vertical="center"/>
      <protection locked="0"/>
    </xf>
    <xf numFmtId="3" fontId="29" fillId="7" borderId="295" xfId="1" applyNumberFormat="1" applyFont="1" applyFill="1" applyBorder="1" applyAlignment="1">
      <alignment horizontal="center" vertical="center"/>
    </xf>
    <xf numFmtId="3" fontId="29" fillId="7" borderId="268" xfId="1" applyNumberFormat="1" applyFont="1" applyFill="1" applyBorder="1" applyAlignment="1">
      <alignment horizontal="center" vertical="center"/>
    </xf>
    <xf numFmtId="3" fontId="29" fillId="7" borderId="271" xfId="1" applyNumberFormat="1" applyFont="1" applyFill="1" applyBorder="1" applyAlignment="1">
      <alignment horizontal="center" vertical="center"/>
    </xf>
    <xf numFmtId="0" fontId="0" fillId="7" borderId="0" xfId="36" quotePrefix="1" applyFont="1" applyFill="1" applyAlignment="1">
      <alignment vertical="top" wrapText="1"/>
    </xf>
    <xf numFmtId="0" fontId="22" fillId="7" borderId="0" xfId="36" quotePrefix="1" applyFill="1" applyAlignment="1">
      <alignment vertical="top" wrapText="1"/>
    </xf>
    <xf numFmtId="0" fontId="88" fillId="0" borderId="0" xfId="13" applyFont="1" applyAlignment="1" applyProtection="1">
      <alignment horizontal="left" vertical="center"/>
      <protection locked="0"/>
    </xf>
    <xf numFmtId="0" fontId="22" fillId="7" borderId="0" xfId="13" applyFont="1" applyFill="1" applyAlignment="1">
      <alignment horizontal="left" vertical="center"/>
    </xf>
    <xf numFmtId="3" fontId="22" fillId="5" borderId="174" xfId="1" applyNumberFormat="1" applyFont="1" applyFill="1" applyBorder="1" applyAlignment="1" applyProtection="1">
      <alignment horizontal="center" vertical="center"/>
      <protection locked="0"/>
    </xf>
    <xf numFmtId="3" fontId="22" fillId="5" borderId="175" xfId="1" applyNumberFormat="1" applyFont="1" applyFill="1" applyBorder="1" applyAlignment="1" applyProtection="1">
      <alignment horizontal="center" vertical="center"/>
      <protection locked="0"/>
    </xf>
    <xf numFmtId="3" fontId="22" fillId="5" borderId="176" xfId="1" applyNumberFormat="1" applyFont="1" applyFill="1" applyBorder="1" applyAlignment="1" applyProtection="1">
      <alignment horizontal="center" vertical="center"/>
      <protection locked="0"/>
    </xf>
    <xf numFmtId="3" fontId="22" fillId="5" borderId="177" xfId="1" applyNumberFormat="1" applyFont="1" applyFill="1" applyBorder="1" applyAlignment="1" applyProtection="1">
      <alignment horizontal="center" vertical="center"/>
      <protection locked="0"/>
    </xf>
    <xf numFmtId="3" fontId="22" fillId="5" borderId="179" xfId="1" applyNumberFormat="1" applyFont="1" applyFill="1" applyBorder="1" applyAlignment="1" applyProtection="1">
      <alignment horizontal="center" vertical="center"/>
      <protection locked="0"/>
    </xf>
    <xf numFmtId="0" fontId="88" fillId="0" borderId="0" xfId="13" applyFont="1" applyAlignment="1" applyProtection="1">
      <alignment horizontal="left" vertical="top"/>
      <protection locked="0"/>
    </xf>
    <xf numFmtId="0" fontId="29" fillId="7" borderId="105" xfId="25" applyFont="1" applyFill="1" applyBorder="1" applyAlignment="1">
      <alignment horizontal="center" vertical="center"/>
    </xf>
    <xf numFmtId="0" fontId="29" fillId="7" borderId="51" xfId="25" applyFont="1" applyFill="1" applyBorder="1" applyAlignment="1">
      <alignment horizontal="center" vertical="center"/>
    </xf>
    <xf numFmtId="0" fontId="22" fillId="5" borderId="205" xfId="25" applyFill="1" applyBorder="1" applyAlignment="1" applyProtection="1">
      <alignment horizontal="center" vertical="center" wrapText="1"/>
      <protection locked="0"/>
    </xf>
    <xf numFmtId="0" fontId="22" fillId="5" borderId="224" xfId="25" applyFill="1" applyBorder="1" applyAlignment="1" applyProtection="1">
      <alignment horizontal="center" vertical="center" wrapText="1"/>
      <protection locked="0"/>
    </xf>
    <xf numFmtId="0" fontId="22" fillId="5" borderId="204" xfId="25" applyFill="1" applyBorder="1" applyAlignment="1" applyProtection="1">
      <alignment horizontal="center" vertical="center" wrapText="1"/>
      <protection locked="0"/>
    </xf>
    <xf numFmtId="0" fontId="22" fillId="5" borderId="226" xfId="25" applyFill="1" applyBorder="1" applyAlignment="1" applyProtection="1">
      <alignment horizontal="center" vertical="center" wrapText="1"/>
      <protection locked="0"/>
    </xf>
    <xf numFmtId="0" fontId="22" fillId="5" borderId="38" xfId="25" applyFill="1" applyBorder="1" applyAlignment="1" applyProtection="1">
      <alignment horizontal="center" vertical="center" wrapText="1"/>
      <protection locked="0"/>
    </xf>
    <xf numFmtId="0" fontId="22" fillId="5" borderId="39" xfId="25" applyFill="1" applyBorder="1" applyAlignment="1" applyProtection="1">
      <alignment horizontal="center" vertical="center" wrapText="1"/>
      <protection locked="0"/>
    </xf>
    <xf numFmtId="0" fontId="22" fillId="5" borderId="40" xfId="25" applyFill="1" applyBorder="1" applyAlignment="1" applyProtection="1">
      <alignment horizontal="center" vertical="center" wrapText="1"/>
      <protection locked="0"/>
    </xf>
    <xf numFmtId="0" fontId="22" fillId="5" borderId="43" xfId="25" applyFill="1" applyBorder="1" applyAlignment="1" applyProtection="1">
      <alignment horizontal="center" vertical="center" wrapText="1"/>
      <protection locked="0"/>
    </xf>
    <xf numFmtId="0" fontId="22" fillId="5" borderId="41" xfId="25" applyFill="1" applyBorder="1" applyAlignment="1" applyProtection="1">
      <alignment horizontal="center" vertical="center" wrapText="1"/>
      <protection locked="0"/>
    </xf>
    <xf numFmtId="0" fontId="22" fillId="5" borderId="42" xfId="25" applyFill="1" applyBorder="1" applyAlignment="1" applyProtection="1">
      <alignment horizontal="center" vertical="center" wrapText="1"/>
      <protection locked="0"/>
    </xf>
    <xf numFmtId="0" fontId="29" fillId="7" borderId="167" xfId="25" applyFont="1" applyFill="1" applyBorder="1" applyAlignment="1">
      <alignment horizontal="center" vertical="center" wrapText="1"/>
    </xf>
    <xf numFmtId="0" fontId="29" fillId="7" borderId="170" xfId="25" applyFont="1" applyFill="1" applyBorder="1" applyAlignment="1">
      <alignment horizontal="center" vertical="center" wrapText="1"/>
    </xf>
    <xf numFmtId="0" fontId="29" fillId="7" borderId="175" xfId="25" applyFont="1" applyFill="1" applyBorder="1" applyAlignment="1">
      <alignment horizontal="center" vertical="center" wrapText="1"/>
    </xf>
    <xf numFmtId="0" fontId="22" fillId="7" borderId="246" xfId="25" applyFill="1" applyBorder="1" applyAlignment="1">
      <alignment horizontal="center" vertical="center" wrapText="1"/>
    </xf>
    <xf numFmtId="0" fontId="22" fillId="7" borderId="205" xfId="25" applyFill="1" applyBorder="1" applyAlignment="1">
      <alignment horizontal="center" vertical="center" wrapText="1"/>
    </xf>
    <xf numFmtId="0" fontId="22" fillId="7" borderId="224" xfId="25" applyFill="1" applyBorder="1" applyAlignment="1">
      <alignment horizontal="center" vertical="center" wrapText="1"/>
    </xf>
    <xf numFmtId="0" fontId="22" fillId="7" borderId="266" xfId="25" applyFill="1" applyBorder="1" applyAlignment="1">
      <alignment horizontal="center" vertical="center" wrapText="1"/>
    </xf>
    <xf numFmtId="0" fontId="22" fillId="7" borderId="39" xfId="25" applyFill="1" applyBorder="1" applyAlignment="1">
      <alignment horizontal="center" vertical="center" wrapText="1"/>
    </xf>
    <xf numFmtId="0" fontId="22" fillId="7" borderId="43" xfId="25" applyFill="1" applyBorder="1" applyAlignment="1">
      <alignment horizontal="center" vertical="center" wrapText="1"/>
    </xf>
    <xf numFmtId="0" fontId="29" fillId="7" borderId="194" xfId="25" applyFont="1" applyFill="1" applyBorder="1" applyAlignment="1">
      <alignment horizontal="center" vertical="center"/>
    </xf>
    <xf numFmtId="0" fontId="29" fillId="7" borderId="198" xfId="25" applyFont="1" applyFill="1" applyBorder="1" applyAlignment="1">
      <alignment horizontal="center" vertical="center"/>
    </xf>
    <xf numFmtId="0" fontId="29" fillId="7" borderId="164" xfId="29" applyFont="1" applyFill="1" applyBorder="1" applyAlignment="1">
      <alignment horizontal="center" vertical="center"/>
    </xf>
    <xf numFmtId="0" fontId="29" fillId="7" borderId="165" xfId="29" applyFont="1" applyFill="1" applyBorder="1" applyAlignment="1">
      <alignment horizontal="center" vertical="center"/>
    </xf>
    <xf numFmtId="0" fontId="29" fillId="7" borderId="166" xfId="29" applyFont="1" applyFill="1" applyBorder="1" applyAlignment="1">
      <alignment horizontal="center" vertical="center"/>
    </xf>
    <xf numFmtId="0" fontId="29" fillId="7" borderId="171" xfId="25" applyFont="1" applyFill="1" applyBorder="1" applyAlignment="1">
      <alignment horizontal="center" vertical="center" wrapText="1"/>
    </xf>
    <xf numFmtId="0" fontId="29" fillId="7" borderId="168" xfId="25" applyFont="1" applyFill="1" applyBorder="1" applyAlignment="1">
      <alignment horizontal="center" vertical="center" wrapText="1"/>
    </xf>
    <xf numFmtId="0" fontId="29" fillId="7" borderId="172" xfId="25" applyFont="1" applyFill="1" applyBorder="1" applyAlignment="1">
      <alignment horizontal="center" vertical="center" wrapText="1"/>
    </xf>
    <xf numFmtId="0" fontId="29" fillId="7" borderId="39" xfId="25" applyFont="1" applyFill="1" applyBorder="1" applyAlignment="1">
      <alignment horizontal="center" vertical="center" wrapText="1"/>
    </xf>
    <xf numFmtId="0" fontId="29" fillId="7" borderId="189" xfId="25" applyFont="1" applyFill="1" applyBorder="1" applyAlignment="1">
      <alignment horizontal="center" vertical="center" wrapText="1"/>
    </xf>
    <xf numFmtId="0" fontId="29" fillId="7" borderId="103" xfId="25" applyFont="1" applyFill="1" applyBorder="1" applyAlignment="1">
      <alignment horizontal="center" vertical="center" wrapText="1"/>
    </xf>
    <xf numFmtId="0" fontId="29" fillId="7" borderId="41" xfId="25" applyFont="1" applyFill="1" applyBorder="1" applyAlignment="1">
      <alignment horizontal="center" vertical="center" wrapText="1"/>
    </xf>
    <xf numFmtId="0" fontId="22" fillId="5" borderId="225" xfId="25" applyFill="1" applyBorder="1" applyAlignment="1" applyProtection="1">
      <alignment horizontal="center" vertical="center" wrapText="1"/>
      <protection locked="0"/>
    </xf>
    <xf numFmtId="0" fontId="29" fillId="7" borderId="228" xfId="25" applyFont="1" applyFill="1" applyBorder="1" applyAlignment="1">
      <alignment horizontal="center" vertical="center" wrapText="1"/>
    </xf>
    <xf numFmtId="0" fontId="29" fillId="7" borderId="205" xfId="25" applyFont="1" applyFill="1" applyBorder="1" applyAlignment="1">
      <alignment horizontal="center" vertical="center" wrapText="1"/>
    </xf>
    <xf numFmtId="0" fontId="29" fillId="7" borderId="226" xfId="25" applyFont="1" applyFill="1" applyBorder="1" applyAlignment="1">
      <alignment horizontal="center" vertical="center" wrapText="1"/>
    </xf>
    <xf numFmtId="0" fontId="29" fillId="7" borderId="206" xfId="25" applyFont="1" applyFill="1" applyBorder="1" applyAlignment="1">
      <alignment horizontal="center" vertical="center" wrapText="1"/>
    </xf>
    <xf numFmtId="0" fontId="22" fillId="5" borderId="227" xfId="25" applyFill="1" applyBorder="1" applyAlignment="1" applyProtection="1">
      <alignment horizontal="center" vertical="center" wrapText="1"/>
      <protection locked="0"/>
    </xf>
    <xf numFmtId="0" fontId="29" fillId="7" borderId="0" xfId="36" applyFont="1" applyFill="1" applyAlignment="1">
      <alignment horizontal="left" vertical="top" wrapText="1"/>
    </xf>
    <xf numFmtId="0" fontId="29" fillId="7" borderId="0" xfId="23" applyFont="1" applyFill="1" applyAlignment="1">
      <alignment horizontal="justify" vertical="top" wrapText="1"/>
    </xf>
    <xf numFmtId="0" fontId="22" fillId="7" borderId="0" xfId="23" applyFill="1" applyAlignment="1">
      <alignment horizontal="justify" vertical="top" wrapText="1"/>
    </xf>
    <xf numFmtId="0" fontId="22" fillId="7" borderId="0" xfId="36" quotePrefix="1" applyFill="1" applyAlignment="1">
      <alignment vertical="center" wrapText="1"/>
    </xf>
    <xf numFmtId="0" fontId="22" fillId="7" borderId="0" xfId="25" applyFill="1" applyAlignment="1">
      <alignment horizontal="justify" vertical="top" wrapText="1"/>
    </xf>
    <xf numFmtId="0" fontId="29" fillId="7" borderId="196" xfId="25" applyFont="1" applyFill="1" applyBorder="1" applyAlignment="1">
      <alignment horizontal="center" vertical="center"/>
    </xf>
    <xf numFmtId="0" fontId="29" fillId="7" borderId="221" xfId="25" applyFont="1" applyFill="1" applyBorder="1" applyAlignment="1">
      <alignment horizontal="center" vertical="center"/>
    </xf>
    <xf numFmtId="0" fontId="0" fillId="5" borderId="6" xfId="13" applyFont="1" applyFill="1" applyBorder="1" applyAlignment="1" applyProtection="1">
      <alignment horizontal="center" vertical="center"/>
      <protection locked="0"/>
    </xf>
    <xf numFmtId="3" fontId="22" fillId="5" borderId="247" xfId="25" applyNumberFormat="1" applyFill="1" applyBorder="1" applyAlignment="1" applyProtection="1">
      <alignment horizontal="center" vertical="center" wrapText="1"/>
      <protection locked="0"/>
    </xf>
    <xf numFmtId="3" fontId="22" fillId="5" borderId="208" xfId="25" applyNumberFormat="1" applyFill="1" applyBorder="1" applyAlignment="1" applyProtection="1">
      <alignment horizontal="center" vertical="center" wrapText="1"/>
      <protection locked="0"/>
    </xf>
    <xf numFmtId="3" fontId="29" fillId="7" borderId="228" xfId="25" applyNumberFormat="1" applyFont="1" applyFill="1" applyBorder="1" applyAlignment="1">
      <alignment horizontal="center" vertical="center" wrapText="1"/>
    </xf>
    <xf numFmtId="3" fontId="29" fillId="7" borderId="205" xfId="25" applyNumberFormat="1" applyFont="1" applyFill="1" applyBorder="1" applyAlignment="1">
      <alignment horizontal="center" vertical="center" wrapText="1"/>
    </xf>
    <xf numFmtId="3" fontId="29" fillId="7" borderId="206" xfId="25" applyNumberFormat="1" applyFont="1" applyFill="1" applyBorder="1" applyAlignment="1">
      <alignment horizontal="center" vertical="center" wrapText="1"/>
    </xf>
    <xf numFmtId="3" fontId="29" fillId="7" borderId="207" xfId="25" applyNumberFormat="1" applyFont="1" applyFill="1" applyBorder="1" applyAlignment="1">
      <alignment horizontal="center" vertical="center" wrapText="1"/>
    </xf>
    <xf numFmtId="3" fontId="29" fillId="7" borderId="208" xfId="25" applyNumberFormat="1" applyFont="1" applyFill="1" applyBorder="1" applyAlignment="1">
      <alignment horizontal="center" vertical="center" wrapText="1"/>
    </xf>
    <xf numFmtId="3" fontId="29" fillId="7" borderId="209" xfId="25" applyNumberFormat="1" applyFont="1" applyFill="1" applyBorder="1" applyAlignment="1">
      <alignment horizontal="center" vertical="center" wrapText="1"/>
    </xf>
    <xf numFmtId="0" fontId="0" fillId="7" borderId="297" xfId="13" applyFont="1" applyFill="1" applyBorder="1" applyAlignment="1">
      <alignment horizontal="left" vertical="center"/>
    </xf>
    <xf numFmtId="0" fontId="22" fillId="7" borderId="275" xfId="13" applyFont="1" applyFill="1" applyBorder="1" applyAlignment="1">
      <alignment horizontal="left" vertical="center"/>
    </xf>
    <xf numFmtId="0" fontId="22" fillId="7" borderId="277" xfId="13" applyFont="1" applyFill="1" applyBorder="1" applyAlignment="1">
      <alignment horizontal="left" vertical="center"/>
    </xf>
    <xf numFmtId="3" fontId="22" fillId="5" borderId="212" xfId="25" applyNumberFormat="1" applyFill="1" applyBorder="1" applyAlignment="1" applyProtection="1">
      <alignment horizontal="center" vertical="center" wrapText="1"/>
      <protection locked="0"/>
    </xf>
    <xf numFmtId="3" fontId="22" fillId="5" borderId="223" xfId="25" applyNumberFormat="1" applyFill="1" applyBorder="1" applyAlignment="1" applyProtection="1">
      <alignment horizontal="center" vertical="center" wrapText="1"/>
      <protection locked="0"/>
    </xf>
    <xf numFmtId="0" fontId="32" fillId="7" borderId="0" xfId="36" applyFont="1" applyFill="1" applyAlignment="1">
      <alignment horizontal="justify" wrapText="1"/>
    </xf>
    <xf numFmtId="0" fontId="29" fillId="7" borderId="219" xfId="25" applyFont="1" applyFill="1" applyBorder="1" applyAlignment="1">
      <alignment horizontal="center" vertical="center"/>
    </xf>
    <xf numFmtId="0" fontId="29" fillId="7" borderId="220" xfId="25" applyFont="1" applyFill="1" applyBorder="1" applyAlignment="1">
      <alignment horizontal="center" vertical="center"/>
    </xf>
    <xf numFmtId="0" fontId="29" fillId="7" borderId="222" xfId="25" applyFont="1" applyFill="1" applyBorder="1" applyAlignment="1">
      <alignment horizontal="center" vertical="center"/>
    </xf>
    <xf numFmtId="0" fontId="29" fillId="7" borderId="282" xfId="25" applyFont="1" applyFill="1" applyBorder="1" applyAlignment="1">
      <alignment horizontal="center" vertical="center"/>
    </xf>
    <xf numFmtId="0" fontId="29" fillId="7" borderId="182" xfId="25" applyFont="1" applyFill="1" applyBorder="1" applyAlignment="1">
      <alignment horizontal="center" vertical="center" wrapText="1"/>
    </xf>
    <xf numFmtId="0" fontId="22" fillId="5" borderId="179" xfId="25" applyFill="1" applyBorder="1" applyAlignment="1" applyProtection="1">
      <alignment horizontal="center" vertical="center" wrapText="1"/>
      <protection locked="0"/>
    </xf>
    <xf numFmtId="0" fontId="29" fillId="7" borderId="181" xfId="25" applyFont="1" applyFill="1" applyBorder="1" applyAlignment="1">
      <alignment horizontal="center" vertical="center" wrapText="1"/>
    </xf>
    <xf numFmtId="0" fontId="29" fillId="7" borderId="180" xfId="25" applyFont="1" applyFill="1" applyBorder="1" applyAlignment="1">
      <alignment horizontal="center" vertical="center" wrapText="1"/>
    </xf>
  </cellXfs>
  <cellStyles count="87">
    <cellStyle name="Comma" xfId="1" builtinId="3"/>
    <cellStyle name="Currency 2" xfId="24" xr:uid="{00000000-0005-0000-0000-000001000000}"/>
    <cellStyle name="Currency 3" xfId="35" xr:uid="{00000000-0005-0000-0000-000002000000}"/>
    <cellStyle name="Grey" xfId="2" xr:uid="{00000000-0005-0000-0000-000003000000}"/>
    <cellStyle name="Input [yellow]" xfId="3" xr:uid="{00000000-0005-0000-0000-000004000000}"/>
    <cellStyle name="Normal" xfId="0" builtinId="0"/>
    <cellStyle name="Normal - Style1" xfId="4" xr:uid="{00000000-0005-0000-0000-000006000000}"/>
    <cellStyle name="Normal 10" xfId="31" xr:uid="{00000000-0005-0000-0000-000007000000}"/>
    <cellStyle name="Normal 10 2" xfId="34" xr:uid="{00000000-0005-0000-0000-000008000000}"/>
    <cellStyle name="Normal 10 2 2" xfId="39" xr:uid="{00000000-0005-0000-0000-000009000000}"/>
    <cellStyle name="Normal 10 2 2 2" xfId="53" xr:uid="{00000000-0005-0000-0000-00000A000000}"/>
    <cellStyle name="Normal 10 2 2 2 2" xfId="66" xr:uid="{00000000-0005-0000-0000-00000B000000}"/>
    <cellStyle name="Normal 10 2 3" xfId="46" xr:uid="{00000000-0005-0000-0000-00000C000000}"/>
    <cellStyle name="Normal 10 2 4" xfId="47" xr:uid="{00000000-0005-0000-0000-00000D000000}"/>
    <cellStyle name="Normal 10 2 5" xfId="48" xr:uid="{00000000-0005-0000-0000-00000E000000}"/>
    <cellStyle name="Normal 10 2 6" xfId="54" xr:uid="{00000000-0005-0000-0000-00000F000000}"/>
    <cellStyle name="Normal 10 2 7" xfId="55" xr:uid="{00000000-0005-0000-0000-000010000000}"/>
    <cellStyle name="Normal 10 2 7 2" xfId="67" xr:uid="{00000000-0005-0000-0000-000011000000}"/>
    <cellStyle name="Normal 10 3" xfId="82" xr:uid="{14D0C3EB-4F3E-48FE-B321-67872A37F800}"/>
    <cellStyle name="Normal 11" xfId="33" xr:uid="{00000000-0005-0000-0000-000012000000}"/>
    <cellStyle name="Normal 12" xfId="38" xr:uid="{00000000-0005-0000-0000-000013000000}"/>
    <cellStyle name="Normal 12 2" xfId="49" xr:uid="{00000000-0005-0000-0000-000014000000}"/>
    <cellStyle name="Normal 12 2 2" xfId="56" xr:uid="{00000000-0005-0000-0000-000015000000}"/>
    <cellStyle name="Normal 13" xfId="51" xr:uid="{00000000-0005-0000-0000-000016000000}"/>
    <cellStyle name="Normal 13 2" xfId="57" xr:uid="{00000000-0005-0000-0000-000017000000}"/>
    <cellStyle name="Normal 14" xfId="58" xr:uid="{00000000-0005-0000-0000-000018000000}"/>
    <cellStyle name="Normal 14 2" xfId="59" xr:uid="{00000000-0005-0000-0000-000019000000}"/>
    <cellStyle name="Normal 14 2 2" xfId="78" xr:uid="{791B6F41-C45C-405B-99AC-01C271A57065}"/>
    <cellStyle name="Normal 14 3" xfId="64" xr:uid="{00000000-0005-0000-0000-00001A000000}"/>
    <cellStyle name="Normal 15" xfId="68" xr:uid="{00000000-0005-0000-0000-00001B000000}"/>
    <cellStyle name="Normal 15 2" xfId="71" xr:uid="{00000000-0005-0000-0000-00001C000000}"/>
    <cellStyle name="Normal 16" xfId="69" xr:uid="{00000000-0005-0000-0000-00001D000000}"/>
    <cellStyle name="Normal 16 2" xfId="73" xr:uid="{00000000-0005-0000-0000-00001E000000}"/>
    <cellStyle name="Normal 16 2 2" xfId="79" xr:uid="{B4046F3D-43CC-4CF8-BC44-72DC7CFCF4A4}"/>
    <cellStyle name="Normal 17" xfId="72" xr:uid="{00000000-0005-0000-0000-00001F000000}"/>
    <cellStyle name="Normal 18" xfId="75" xr:uid="{00000000-0005-0000-0000-000020000000}"/>
    <cellStyle name="Normal 18 2" xfId="80" xr:uid="{74ABA6CC-7DC1-4CEE-A062-765DD26065E9}"/>
    <cellStyle name="Normal 18 3" xfId="83" xr:uid="{CDD21CDF-21BA-4488-91E1-6A535DCB64F5}"/>
    <cellStyle name="Normal 19" xfId="76" xr:uid="{00000000-0005-0000-0000-000021000000}"/>
    <cellStyle name="Normal 19 2" xfId="85" xr:uid="{0D9A75A4-4C94-4604-9CD9-F8C8AA317DE6}"/>
    <cellStyle name="Normal 2" xfId="5" xr:uid="{00000000-0005-0000-0000-000022000000}"/>
    <cellStyle name="Normal 2 2" xfId="23" xr:uid="{00000000-0005-0000-0000-000023000000}"/>
    <cellStyle name="Normal 2 3" xfId="32" xr:uid="{00000000-0005-0000-0000-000024000000}"/>
    <cellStyle name="Normal 2 3 2" xfId="40" xr:uid="{00000000-0005-0000-0000-000025000000}"/>
    <cellStyle name="Normal 2 4" xfId="44" xr:uid="{00000000-0005-0000-0000-000026000000}"/>
    <cellStyle name="Normal 2 4 2" xfId="60" xr:uid="{00000000-0005-0000-0000-000027000000}"/>
    <cellStyle name="Normal 2 4 3" xfId="61" xr:uid="{00000000-0005-0000-0000-000028000000}"/>
    <cellStyle name="Normal 2 4 3 2" xfId="70" xr:uid="{00000000-0005-0000-0000-000029000000}"/>
    <cellStyle name="Normal 2 4 4" xfId="65" xr:uid="{00000000-0005-0000-0000-00002A000000}"/>
    <cellStyle name="Normal 2 5" xfId="86" xr:uid="{5CA60C5D-31E3-4F1A-9055-79BB5EF5E037}"/>
    <cellStyle name="Normal 20" xfId="77" xr:uid="{00000000-0005-0000-0000-00002B000000}"/>
    <cellStyle name="Normal 20 2" xfId="84" xr:uid="{0003A6B0-F559-4D9E-A986-EF030A9328F2}"/>
    <cellStyle name="Normal 3" xfId="6" xr:uid="{00000000-0005-0000-0000-00002C000000}"/>
    <cellStyle name="Normal 4" xfId="7" xr:uid="{00000000-0005-0000-0000-00002D000000}"/>
    <cellStyle name="Normal 4 2" xfId="22" xr:uid="{00000000-0005-0000-0000-00002E000000}"/>
    <cellStyle name="Normal 5" xfId="8" xr:uid="{00000000-0005-0000-0000-00002F000000}"/>
    <cellStyle name="Normal 5 2" xfId="9" xr:uid="{00000000-0005-0000-0000-000030000000}"/>
    <cellStyle name="Normal 5 2 2" xfId="25" xr:uid="{00000000-0005-0000-0000-000031000000}"/>
    <cellStyle name="Normal 5 3" xfId="26" xr:uid="{00000000-0005-0000-0000-000032000000}"/>
    <cellStyle name="Normal 6" xfId="21" xr:uid="{00000000-0005-0000-0000-000033000000}"/>
    <cellStyle name="Normal 6 2" xfId="37" xr:uid="{00000000-0005-0000-0000-000034000000}"/>
    <cellStyle name="Normal 7" xfId="27" xr:uid="{00000000-0005-0000-0000-000035000000}"/>
    <cellStyle name="Normal 8" xfId="28" xr:uid="{00000000-0005-0000-0000-000036000000}"/>
    <cellStyle name="Normal 9" xfId="29" xr:uid="{00000000-0005-0000-0000-000037000000}"/>
    <cellStyle name="Normal 9 2" xfId="30" xr:uid="{00000000-0005-0000-0000-000038000000}"/>
    <cellStyle name="Normal 9 2 2" xfId="41" xr:uid="{00000000-0005-0000-0000-000039000000}"/>
    <cellStyle name="Normal 9 2 2 2" xfId="43" xr:uid="{00000000-0005-0000-0000-00003A000000}"/>
    <cellStyle name="Normal 9 2 2 2 2" xfId="45" xr:uid="{00000000-0005-0000-0000-00003B000000}"/>
    <cellStyle name="Normal 9 2 2 2 2 2" xfId="62" xr:uid="{00000000-0005-0000-0000-00003C000000}"/>
    <cellStyle name="Normal 9 2 2 2 3" xfId="63" xr:uid="{00000000-0005-0000-0000-00003D000000}"/>
    <cellStyle name="Normal 9 2 2 2 3 2" xfId="52" xr:uid="{00000000-0005-0000-0000-00003E000000}"/>
    <cellStyle name="Normal 9 2 2 2 3 2 2" xfId="74" xr:uid="{00000000-0005-0000-0000-00003F000000}"/>
    <cellStyle name="Normal 9 2 2 2 4" xfId="81" xr:uid="{99DF1111-D36A-458A-BD8B-3B446B6F3FD1}"/>
    <cellStyle name="Normal 9 2 3" xfId="50" xr:uid="{00000000-0005-0000-0000-000040000000}"/>
    <cellStyle name="Normal 9 3" xfId="36" xr:uid="{00000000-0005-0000-0000-000041000000}"/>
    <cellStyle name="Normal_GESP" xfId="10" xr:uid="{00000000-0005-0000-0000-000042000000}"/>
    <cellStyle name="Normal_GESP-revised" xfId="11" xr:uid="{00000000-0005-0000-0000-000043000000}"/>
    <cellStyle name="Normal_GESP-revised 2" xfId="12" xr:uid="{00000000-0005-0000-0000-000044000000}"/>
    <cellStyle name="Normal_ICTSurvey 2010" xfId="13" xr:uid="{00000000-0005-0000-0000-000045000000}"/>
    <cellStyle name="Normal_ICTSurvey 2010 2" xfId="14" xr:uid="{00000000-0005-0000-0000-000046000000}"/>
    <cellStyle name="Normal_UNIFIED PROFILES" xfId="15" xr:uid="{00000000-0005-0000-0000-000047000000}"/>
    <cellStyle name="Percent [2]" xfId="16" xr:uid="{00000000-0005-0000-0000-000048000000}"/>
    <cellStyle name="Percent 2" xfId="42" xr:uid="{00000000-0005-0000-0000-000049000000}"/>
    <cellStyle name="Tusental (0)_pldt" xfId="17" xr:uid="{00000000-0005-0000-0000-00004A000000}"/>
    <cellStyle name="Tusental_pldt" xfId="18" xr:uid="{00000000-0005-0000-0000-00004B000000}"/>
    <cellStyle name="Valuta (0)_pldt" xfId="19" xr:uid="{00000000-0005-0000-0000-00004C000000}"/>
    <cellStyle name="Valuta_pldt" xfId="20" xr:uid="{00000000-0005-0000-0000-00004D000000}"/>
  </cellStyles>
  <dxfs count="92">
    <dxf>
      <font>
        <color rgb="FFFF0000"/>
      </font>
    </dxf>
    <dxf>
      <font>
        <color auto="1"/>
      </font>
    </dxf>
    <dxf>
      <font>
        <color rgb="FFFF0000"/>
      </font>
    </dxf>
    <dxf>
      <font>
        <color auto="1"/>
      </font>
    </dxf>
    <dxf>
      <font>
        <color rgb="FFFF0000"/>
      </font>
    </dxf>
    <dxf>
      <font>
        <color auto="1"/>
      </font>
    </dxf>
    <dxf>
      <font>
        <color rgb="FFFF0000"/>
      </font>
    </dxf>
    <dxf>
      <font>
        <color auto="1"/>
      </font>
    </dxf>
    <dxf>
      <font>
        <b val="0"/>
        <i val="0"/>
        <color rgb="FFFF0000"/>
      </font>
    </dxf>
    <dxf>
      <font>
        <color auto="1"/>
      </font>
    </dxf>
    <dxf>
      <font>
        <color theme="1"/>
      </font>
    </dxf>
    <dxf>
      <font>
        <color theme="1"/>
      </font>
    </dxf>
    <dxf>
      <font>
        <color theme="1"/>
      </font>
    </dxf>
    <dxf>
      <font>
        <color theme="1"/>
      </font>
    </dxf>
    <dxf>
      <font>
        <color rgb="FFFF0000"/>
      </font>
    </dxf>
    <dxf>
      <font>
        <color rgb="FFFF0000"/>
      </font>
    </dxf>
    <dxf>
      <font>
        <color rgb="FFFF0000"/>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rgb="FFFF0000"/>
      </font>
    </dxf>
    <dxf>
      <font>
        <color theme="1"/>
      </font>
    </dxf>
    <dxf>
      <font>
        <color theme="1"/>
      </font>
    </dxf>
    <dxf>
      <font>
        <color theme="1"/>
      </font>
    </dxf>
    <dxf>
      <font>
        <color theme="1"/>
      </font>
    </dxf>
    <dxf>
      <font>
        <color rgb="FFFF0000"/>
      </font>
    </dxf>
    <dxf>
      <font>
        <color theme="1"/>
      </font>
    </dxf>
    <dxf>
      <font>
        <color theme="1"/>
      </font>
    </dxf>
    <dxf>
      <font>
        <color theme="1"/>
      </font>
    </dxf>
    <dxf>
      <font>
        <color theme="1"/>
      </font>
    </dxf>
    <dxf>
      <font>
        <color rgb="FFFF0000"/>
      </font>
    </dxf>
    <dxf>
      <font>
        <color theme="1"/>
      </font>
    </dxf>
    <dxf>
      <font>
        <color theme="1"/>
      </font>
    </dxf>
    <dxf>
      <font>
        <color theme="1"/>
      </font>
    </dxf>
    <dxf>
      <font>
        <color theme="1"/>
      </font>
    </dxf>
    <dxf>
      <font>
        <color rgb="FFFF0000"/>
      </font>
    </dxf>
    <dxf>
      <font>
        <color rgb="FFFF0000"/>
      </font>
    </dxf>
    <dxf>
      <font>
        <color rgb="FFFF0000"/>
      </font>
    </dxf>
    <dxf>
      <font>
        <color theme="1"/>
      </font>
    </dxf>
    <dxf>
      <font>
        <color theme="1"/>
      </font>
    </dxf>
    <dxf>
      <font>
        <color theme="1"/>
      </font>
    </dxf>
    <dxf>
      <font>
        <color rgb="FFFF0000"/>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3" tint="0.79998168889431442"/>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0000"/>
      </font>
    </dxf>
    <dxf>
      <font>
        <color theme="1"/>
      </font>
    </dxf>
    <dxf>
      <font>
        <color theme="1"/>
      </font>
    </dxf>
    <dxf>
      <font>
        <color theme="1"/>
      </font>
    </dxf>
    <dxf>
      <font>
        <color theme="1"/>
      </font>
    </dxf>
    <dxf>
      <font>
        <color rgb="FFFF0000"/>
      </font>
    </dxf>
    <dxf>
      <font>
        <color rgb="FFFF0000"/>
      </font>
    </dxf>
    <dxf>
      <font>
        <color rgb="FFFF0000"/>
      </font>
    </dxf>
    <dxf>
      <font>
        <color theme="1"/>
      </font>
    </dxf>
    <dxf>
      <font>
        <color rgb="FFFF0000"/>
      </font>
    </dxf>
    <dxf>
      <font>
        <color theme="1"/>
      </font>
    </dxf>
    <dxf>
      <font>
        <color theme="1"/>
      </font>
    </dxf>
    <dxf>
      <font>
        <color theme="1"/>
      </font>
    </dxf>
    <dxf>
      <font>
        <color theme="1"/>
      </font>
    </dxf>
    <dxf>
      <font>
        <color theme="1"/>
      </font>
    </dxf>
    <dxf>
      <font>
        <color theme="1"/>
      </font>
    </dxf>
    <dxf>
      <font>
        <color theme="1"/>
      </font>
    </dxf>
    <dxf>
      <font>
        <b/>
        <i val="0"/>
        <color rgb="FFFF0000"/>
      </font>
    </dxf>
  </dxfs>
  <tableStyles count="0" defaultTableStyle="TableStyleMedium9" defaultPivotStyle="PivotStyleLight16"/>
  <colors>
    <mruColors>
      <color rgb="FF009900"/>
      <color rgb="FF33CC33"/>
      <color rgb="FFFF00FF"/>
      <color rgb="FF00FFCC"/>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ctrlProps/ctrlProp1.xml><?xml version="1.0" encoding="utf-8"?>
<formControlPr xmlns="http://schemas.microsoft.com/office/spreadsheetml/2009/9/main" objectType="CheckBox" fmlaLink="sch_sci_hs" lockText="1" noThreeD="1"/>
</file>

<file path=xl/ctrlProps/ctrlProp2.xml><?xml version="1.0" encoding="utf-8"?>
<formControlPr xmlns="http://schemas.microsoft.com/office/spreadsheetml/2009/9/main" objectType="CheckBox" fmlaLink="sch_farm_sch" lockText="1" noThreeD="1"/>
</file>

<file path=xl/ctrlProps/ctrlProp3.xml><?xml version="1.0" encoding="utf-8"?>
<formControlPr xmlns="http://schemas.microsoft.com/office/spreadsheetml/2009/9/main" objectType="CheckBox" fmlaLink="sch_night_cl" lockText="1" noThreeD="1"/>
</file>

<file path=xl/ctrlProps/ctrlProp4.xml><?xml version="1.0" encoding="utf-8"?>
<formControlPr xmlns="http://schemas.microsoft.com/office/spreadsheetml/2009/9/main" objectType="CheckBox" checked="Checked" fmlaLink="sch_standalone_tecvoc" lockText="1" noThreeD="1"/>
</file>

<file path=xl/ctrlProps/ctrlProp5.xml><?xml version="1.0" encoding="utf-8"?>
<formControlPr xmlns="http://schemas.microsoft.com/office/spreadsheetml/2009/9/main" objectType="CheckBox" fmlaLink="sch_annex_ext_sch" lockText="1" noThreeD="1"/>
</file>

<file path=xl/ctrlProps/ctrlProp6.xml><?xml version="1.0" encoding="utf-8"?>
<formControlPr xmlns="http://schemas.microsoft.com/office/spreadsheetml/2009/9/main" objectType="CheckBox" checked="Checked" fmlaLink="sch_iu" lockText="1" noThreeD="1"/>
</file>

<file path=xl/ctrlProps/ctrlProp7.xml><?xml version="1.0" encoding="utf-8"?>
<formControlPr xmlns="http://schemas.microsoft.com/office/spreadsheetml/2009/9/main" objectType="CheckBox" checked="Checked" fmlaLink="lac_session_yes"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checked="Checked" fmlaLink="action_research_yes"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fmlaLink="depedtv_method_tv" lockText="1" noThreeD="1"/>
</file>

<file path=xl/ctrlProps/ctrlProp12.xml><?xml version="1.0" encoding="utf-8"?>
<formControlPr xmlns="http://schemas.microsoft.com/office/spreadsheetml/2009/9/main" objectType="CheckBox" fmlaLink="depedtv_method_facebook" lockText="1" noThreeD="1"/>
</file>

<file path=xl/ctrlProps/ctrlProp13.xml><?xml version="1.0" encoding="utf-8"?>
<formControlPr xmlns="http://schemas.microsoft.com/office/spreadsheetml/2009/9/main" objectType="CheckBox" fmlaLink="depedtv_method_youtube" lockText="1" noThreeD="1"/>
</file>

<file path=xl/ctrlProps/ctrlProp14.xml><?xml version="1.0" encoding="utf-8"?>
<formControlPr xmlns="http://schemas.microsoft.com/office/spreadsheetml/2009/9/main" objectType="CheckBox" fmlaLink="depedtv_method_download" lockText="1" noThreeD="1"/>
</file>

<file path=xl/ctrlProps/ctrlProp15.xml><?xml version="1.0" encoding="utf-8"?>
<formControlPr xmlns="http://schemas.microsoft.com/office/spreadsheetml/2009/9/main" objectType="CheckBox" checked="Checked" fmlaLink="depedtv_supplemental_eng" lockText="1" noThreeD="1"/>
</file>

<file path=xl/ctrlProps/ctrlProp16.xml><?xml version="1.0" encoding="utf-8"?>
<formControlPr xmlns="http://schemas.microsoft.com/office/spreadsheetml/2009/9/main" objectType="CheckBox" checked="Checked" fmlaLink="depedtv_supplemental_math" lockText="1" noThreeD="1"/>
</file>

<file path=xl/ctrlProps/ctrlProp17.xml><?xml version="1.0" encoding="utf-8"?>
<formControlPr xmlns="http://schemas.microsoft.com/office/spreadsheetml/2009/9/main" objectType="CheckBox" checked="Checked" fmlaLink="depedtv_supplemental_fil" lockText="1" noThreeD="1"/>
</file>

<file path=xl/ctrlProps/ctrlProp18.xml><?xml version="1.0" encoding="utf-8"?>
<formControlPr xmlns="http://schemas.microsoft.com/office/spreadsheetml/2009/9/main" objectType="CheckBox" checked="Checked" fmlaLink="depedtv_supplemental_sci" lockText="1" noThreeD="1"/>
</file>

<file path=xl/ctrlProps/ctrlProp19.xml><?xml version="1.0" encoding="utf-8"?>
<formControlPr xmlns="http://schemas.microsoft.com/office/spreadsheetml/2009/9/main" objectType="CheckBox" checked="Checked" fmlaLink="depedtv_supplemental_ap" lockText="1" noThreeD="1"/>
</file>

<file path=xl/ctrlProps/ctrlProp20.xml><?xml version="1.0" encoding="utf-8"?>
<formControlPr xmlns="http://schemas.microsoft.com/office/spreadsheetml/2009/9/main" objectType="CheckBox" fmlaLink="depedtv_supplemental_others" lockText="1" noThreeD="1"/>
</file>

<file path=xl/ctrlProps/ctrlProp21.xml><?xml version="1.0" encoding="utf-8"?>
<formControlPr xmlns="http://schemas.microsoft.com/office/spreadsheetml/2009/9/main" objectType="CheckBox" checked="Checked" fmlaLink="depedtv_supplemental_mapeh" lockText="1" noThreeD="1"/>
</file>

<file path=xl/ctrlProps/ctrlProp22.xml><?xml version="1.0" encoding="utf-8"?>
<formControlPr xmlns="http://schemas.microsoft.com/office/spreadsheetml/2009/9/main" objectType="CheckBox" checked="Checked" fmlaLink="depedtv_supplemental_tle" lockText="1" noThreeD="1"/>
</file>

<file path=xl/ctrlProps/ctrlProp23.xml><?xml version="1.0" encoding="utf-8"?>
<formControlPr xmlns="http://schemas.microsoft.com/office/spreadsheetml/2009/9/main" objectType="CheckBox" checked="Checked" fmlaLink="depedtv_supplemental_esp" lockText="1" noThreeD="1"/>
</file>

<file path=xl/ctrlProps/ctrlProp24.xml><?xml version="1.0" encoding="utf-8"?>
<formControlPr xmlns="http://schemas.microsoft.com/office/spreadsheetml/2009/9/main" objectType="CheckBox" checked="Checked" fmlaLink="cgp_sch_gc_yes"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checked="Checked" fmlaLink="cgp_guid_adv_yes"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checked="Checked" fmlaLink="cgp_conducted_career_guid_actvty_yes"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checked="Checked" fmlaLink="cgp_schfunded_career_guid_actvty_yes"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checked="Checked" fmlaLink="cgp_guid_ofc_yes"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checked="Checked" fmlaLink="sgp_ssgcouncil_yes"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checked="Checked" fmlaLink="sgp_ssgadviser_yes"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fmlaLink="ssgadviser_subjhandle_sci" lockText="1" noThreeD="1"/>
</file>

<file path=xl/ctrlProps/ctrlProp39.xml><?xml version="1.0" encoding="utf-8"?>
<formControlPr xmlns="http://schemas.microsoft.com/office/spreadsheetml/2009/9/main" objectType="CheckBox" fmlaLink="ssgadviser_subjhandle_fil" lockText="1" noThreeD="1"/>
</file>

<file path=xl/ctrlProps/ctrlProp40.xml><?xml version="1.0" encoding="utf-8"?>
<formControlPr xmlns="http://schemas.microsoft.com/office/spreadsheetml/2009/9/main" objectType="CheckBox" fmlaLink="ssgadviser_subjhandle_math" lockText="1" noThreeD="1"/>
</file>

<file path=xl/ctrlProps/ctrlProp41.xml><?xml version="1.0" encoding="utf-8"?>
<formControlPr xmlns="http://schemas.microsoft.com/office/spreadsheetml/2009/9/main" objectType="CheckBox" fmlaLink="ssgadviser_subjhandle_ap" lockText="1" noThreeD="1"/>
</file>

<file path=xl/ctrlProps/ctrlProp42.xml><?xml version="1.0" encoding="utf-8"?>
<formControlPr xmlns="http://schemas.microsoft.com/office/spreadsheetml/2009/9/main" objectType="CheckBox" fmlaLink="ssgadviser_hiacaddegree_bachelor_degree" lockText="1" noThreeD="1"/>
</file>

<file path=xl/ctrlProps/ctrlProp43.xml><?xml version="1.0" encoding="utf-8"?>
<formControlPr xmlns="http://schemas.microsoft.com/office/spreadsheetml/2009/9/main" objectType="CheckBox" fmlaLink="ssgadviser_hiacaddegree_wmaster_degree_units" lockText="1" noThreeD="1"/>
</file>

<file path=xl/ctrlProps/ctrlProp44.xml><?xml version="1.0" encoding="utf-8"?>
<formControlPr xmlns="http://schemas.microsoft.com/office/spreadsheetml/2009/9/main" objectType="CheckBox" fmlaLink="ssgadviser_hiacaddegree_master_degree" lockText="1" noThreeD="1"/>
</file>

<file path=xl/ctrlProps/ctrlProp45.xml><?xml version="1.0" encoding="utf-8"?>
<formControlPr xmlns="http://schemas.microsoft.com/office/spreadsheetml/2009/9/main" objectType="CheckBox" checked="Checked" fmlaLink="ssgadviser_hiacaddegree_wdoctorate_degree_units" lockText="1" noThreeD="1"/>
</file>

<file path=xl/ctrlProps/ctrlProp46.xml><?xml version="1.0" encoding="utf-8"?>
<formControlPr xmlns="http://schemas.microsoft.com/office/spreadsheetml/2009/9/main" objectType="CheckBox" fmlaLink="ssgadviser_hiacaddegree_doctorate_degree" lockText="1" noThreeD="1"/>
</file>

<file path=xl/ctrlProps/ctrlProp47.xml><?xml version="1.0" encoding="utf-8"?>
<formControlPr xmlns="http://schemas.microsoft.com/office/spreadsheetml/2009/9/main" objectType="CheckBox" fmlaLink="ssgadviser_deload_yes" lockText="1" noThreeD="1"/>
</file>

<file path=xl/ctrlProps/ctrlProp48.xml><?xml version="1.0" encoding="utf-8"?>
<formControlPr xmlns="http://schemas.microsoft.com/office/spreadsheetml/2009/9/main" objectType="CheckBox" checked="Checked" lockText="1" noThreeD="1"/>
</file>

<file path=xl/ctrlProps/ctrlProp49.xml><?xml version="1.0" encoding="utf-8"?>
<formControlPr xmlns="http://schemas.microsoft.com/office/spreadsheetml/2009/9/main" objectType="CheckBox" fmlaLink="ssg_sch_collect_fees_yes" lockText="1" noThreeD="1"/>
</file>

<file path=xl/ctrlProps/ctrlProp50.xml><?xml version="1.0" encoding="utf-8"?>
<formControlPr xmlns="http://schemas.microsoft.com/office/spreadsheetml/2009/9/main" objectType="CheckBox" checked="Checked" lockText="1" noThreeD="1"/>
</file>

<file path=xl/ctrlProps/ctrlProp51.xml><?xml version="1.0" encoding="utf-8"?>
<formControlPr xmlns="http://schemas.microsoft.com/office/spreadsheetml/2009/9/main" objectType="CheckBox" fmlaLink="ssg_budget_sipapp_inc_yes" lockText="1" noThreeD="1"/>
</file>

<file path=xl/ctrlProps/ctrlProp52.xml><?xml version="1.0" encoding="utf-8"?>
<formControlPr xmlns="http://schemas.microsoft.com/office/spreadsheetml/2009/9/main" objectType="CheckBox" checked="Checked" lockText="1" noThreeD="1"/>
</file>

<file path=xl/ctrlProps/ctrlProp53.xml><?xml version="1.0" encoding="utf-8"?>
<formControlPr xmlns="http://schemas.microsoft.com/office/spreadsheetml/2009/9/main" objectType="CheckBox" fmlaLink="ssg_dedicated_rm_yes" lockText="1" noThreeD="1"/>
</file>

<file path=xl/ctrlProps/ctrlProp54.xml><?xml version="1.0" encoding="utf-8"?>
<formControlPr xmlns="http://schemas.microsoft.com/office/spreadsheetml/2009/9/main" objectType="CheckBox" checked="Checked" lockText="1" noThreeD="1"/>
</file>

<file path=xl/ctrlProps/ctrlProp55.xml><?xml version="1.0" encoding="utf-8"?>
<formControlPr xmlns="http://schemas.microsoft.com/office/spreadsheetml/2009/9/main" objectType="CheckBox" fmlaLink="ssg_joinsearch_best_ssgcoun_yes" lockText="1" noThreeD="1"/>
</file>

<file path=xl/ctrlProps/ctrlProp56.xml><?xml version="1.0" encoding="utf-8"?>
<formControlPr xmlns="http://schemas.microsoft.com/office/spreadsheetml/2009/9/main" objectType="CheckBox" checked="Checked" lockText="1" noThreeD="1"/>
</file>

<file path=xl/ctrlProps/ctrlProp57.xml><?xml version="1.0" encoding="utf-8"?>
<formControlPr xmlns="http://schemas.microsoft.com/office/spreadsheetml/2009/9/main" objectType="CheckBox" fmlaLink="ssg_won_natlaward_yes" lockText="1" noThreeD="1"/>
</file>

<file path=xl/ctrlProps/ctrlProp58.xml><?xml version="1.0" encoding="utf-8"?>
<formControlPr xmlns="http://schemas.microsoft.com/office/spreadsheetml/2009/9/main" objectType="CheckBox" checked="Checked" lockText="1" noThreeD="1"/>
</file>

<file path=xl/ctrlProps/ctrlProp59.xml><?xml version="1.0" encoding="utf-8"?>
<formControlPr xmlns="http://schemas.microsoft.com/office/spreadsheetml/2009/9/main" objectType="CheckBox" checked="Checked" fmlaLink="ssg_ssgadviser_cto_sat_yes" lockText="1" noThreeD="1"/>
</file>

<file path=xl/ctrlProps/ctrlProp60.xml><?xml version="1.0" encoding="utf-8"?>
<formControlPr xmlns="http://schemas.microsoft.com/office/spreadsheetml/2009/9/main" objectType="CheckBox" lockText="1" noThreeD="1"/>
</file>

<file path=xl/ctrlProps/ctrlProp61.xml><?xml version="1.0" encoding="utf-8"?>
<formControlPr xmlns="http://schemas.microsoft.com/office/spreadsheetml/2009/9/main" objectType="CheckBox" checked="Checked" fmlaLink="ssg_part_learner_brigada_eskwela_yes" lockText="1" noThreeD="1"/>
</file>

<file path=xl/ctrlProps/ctrlProp62.xml><?xml version="1.0" encoding="utf-8"?>
<formControlPr xmlns="http://schemas.microsoft.com/office/spreadsheetml/2009/9/main" objectType="CheckBox" lockText="1" noThreeD="1"/>
</file>

<file path=xl/ctrlProps/ctrlProp63.xml><?xml version="1.0" encoding="utf-8"?>
<formControlPr xmlns="http://schemas.microsoft.com/office/spreadsheetml/2009/9/main" objectType="CheckBox" fmlaLink="ssg_schlead_natl_green_prog_yes" lockText="1" noThreeD="1"/>
</file>

<file path=xl/ctrlProps/ctrlProp64.xml><?xml version="1.0" encoding="utf-8"?>
<formControlPr xmlns="http://schemas.microsoft.com/office/spreadsheetml/2009/9/main" objectType="CheckBox" checked="Checked" lockText="1" noThreeD="1"/>
</file>

<file path=xl/ctrlProps/ctrlProp65.xml><?xml version="1.0" encoding="utf-8"?>
<formControlPr xmlns="http://schemas.microsoft.com/office/spreadsheetml/2009/9/main" objectType="CheckBox" checked="Checked" fmlaLink="ssg_prevent_learners_dropout_yes" lockText="1" noThreeD="1"/>
</file>

<file path=xl/ctrlProps/ctrlProp66.xml><?xml version="1.0" encoding="utf-8"?>
<formControlPr xmlns="http://schemas.microsoft.com/office/spreadsheetml/2009/9/main" objectType="CheckBox" lockText="1" noThreeD="1"/>
</file>

<file path=xl/ctrlProps/ctrlProp67.xml><?xml version="1.0" encoding="utf-8"?>
<formControlPr xmlns="http://schemas.microsoft.com/office/spreadsheetml/2009/9/main" objectType="CheckBox" checked="Checked" fmlaLink="ssg_engspeakcamp_readtutorsrvc_yes" lockText="1" noThreeD="1"/>
</file>

<file path=xl/ctrlProps/ctrlProp68.xml><?xml version="1.0" encoding="utf-8"?>
<formControlPr xmlns="http://schemas.microsoft.com/office/spreadsheetml/2009/9/main" objectType="CheckBox" lockText="1" noThreeD="1"/>
</file>

<file path=xl/ctrlProps/ctrlProp69.xml><?xml version="1.0" encoding="utf-8"?>
<formControlPr xmlns="http://schemas.microsoft.com/office/spreadsheetml/2009/9/main" objectType="CheckBox" checked="Checked" fmlaLink="ssg_support_antidrug_abuse_educ_camp_yes" lockText="1" noThreeD="1"/>
</file>

<file path=xl/ctrlProps/ctrlProp70.xml><?xml version="1.0" encoding="utf-8"?>
<formControlPr xmlns="http://schemas.microsoft.com/office/spreadsheetml/2009/9/main" objectType="CheckBox" lockText="1" noThreeD="1"/>
</file>

<file path=xl/ctrlProps/ctrlProp71.xml><?xml version="1.0" encoding="utf-8"?>
<formControlPr xmlns="http://schemas.microsoft.com/office/spreadsheetml/2009/9/main" objectType="CheckBox" checked="Checked" fmlaLink="ssg_sch_smoke_tobacoo_free_yes" lockText="1" noThreeD="1"/>
</file>

<file path=xl/ctrlProps/ctrlProp72.xml><?xml version="1.0" encoding="utf-8"?>
<formControlPr xmlns="http://schemas.microsoft.com/office/spreadsheetml/2009/9/main" objectType="CheckBox" lockText="1" noThreeD="1"/>
</file>

<file path=xl/ctrlProps/ctrlProp73.xml><?xml version="1.0" encoding="utf-8"?>
<formControlPr xmlns="http://schemas.microsoft.com/office/spreadsheetml/2009/9/main" objectType="CheckBox" checked="Checked" fmlaLink="ssg_lead_learners_tchrmon_worldtchrday_yes" lockText="1" noThreeD="1"/>
</file>

<file path=xl/ctrlProps/ctrlProp74.xml><?xml version="1.0" encoding="utf-8"?>
<formControlPr xmlns="http://schemas.microsoft.com/office/spreadsheetml/2009/9/main" objectType="CheckBox" lockText="1" noThreeD="1"/>
</file>

<file path=xl/ctrlProps/ctrlProp75.xml><?xml version="1.0" encoding="utf-8"?>
<formControlPr xmlns="http://schemas.microsoft.com/office/spreadsheetml/2009/9/main" objectType="CheckBox" fmlaLink="ssg_part_learners_cocurr_actvty_yes" lockText="1" noThreeD="1"/>
</file>

<file path=xl/ctrlProps/ctrlProp76.xml><?xml version="1.0" encoding="utf-8"?>
<formControlPr xmlns="http://schemas.microsoft.com/office/spreadsheetml/2009/9/main" objectType="CheckBox" checked="Checked" lockText="1" noThreeD="1"/>
</file>

<file path=xl/ctrlProps/ctrlProp77.xml><?xml version="1.0" encoding="utf-8"?>
<formControlPr xmlns="http://schemas.microsoft.com/office/spreadsheetml/2009/9/main" objectType="CheckBox" checked="Checked" fmlaLink="ssgadviser_subjhandle_others" lockText="1" noThreeD="1"/>
</file>

<file path=xl/ctrlProps/ctrlProp78.xml><?xml version="1.0" encoding="utf-8"?>
<formControlPr xmlns="http://schemas.microsoft.com/office/spreadsheetml/2009/9/main" objectType="CheckBox" fmlaLink="sch_intercon_isp_yes_bayantel" lockText="1" noThreeD="1"/>
</file>

<file path=xl/ctrlProps/ctrlProp79.xml><?xml version="1.0" encoding="utf-8"?>
<formControlPr xmlns="http://schemas.microsoft.com/office/spreadsheetml/2009/9/main" objectType="CheckBox" checked="Checked" fmlaLink="$U$5" lockText="1" noThreeD="1"/>
</file>

<file path=xl/ctrlProps/ctrlProp80.xml><?xml version="1.0" encoding="utf-8"?>
<formControlPr xmlns="http://schemas.microsoft.com/office/spreadsheetml/2009/9/main" objectType="CheckBox" lockText="1" noThreeD="1"/>
</file>

<file path=xl/ctrlProps/ctrlProp81.xml><?xml version="1.0" encoding="utf-8"?>
<formControlPr xmlns="http://schemas.microsoft.com/office/spreadsheetml/2009/9/main" objectType="CheckBox" fmlaLink="sch_intercon_isp_yes_digitel" lockText="1" noThreeD="1"/>
</file>

<file path=xl/ctrlProps/ctrlProp82.xml><?xml version="1.0" encoding="utf-8"?>
<formControlPr xmlns="http://schemas.microsoft.com/office/spreadsheetml/2009/9/main" objectType="CheckBox" checked="Checked" fmlaLink="sch_intercon_isp_yes_globe" lockText="1" noThreeD="1"/>
</file>

<file path=xl/ctrlProps/ctrlProp83.xml><?xml version="1.0" encoding="utf-8"?>
<formControlPr xmlns="http://schemas.microsoft.com/office/spreadsheetml/2009/9/main" objectType="CheckBox" checked="Checked" fmlaLink="sch_intercon_isp_yes_pldt" lockText="1" noThreeD="1"/>
</file>

<file path=xl/ctrlProps/ctrlProp84.xml><?xml version="1.0" encoding="utf-8"?>
<formControlPr xmlns="http://schemas.microsoft.com/office/spreadsheetml/2009/9/main" objectType="CheckBox" fmlaLink="sch_intercon_isp_yes_smart" lockText="1" noThreeD="1"/>
</file>

<file path=xl/ctrlProps/ctrlProp85.xml><?xml version="1.0" encoding="utf-8"?>
<formControlPr xmlns="http://schemas.microsoft.com/office/spreadsheetml/2009/9/main" objectType="CheckBox" fmlaLink="sch_intercon_isp_yes_sun" lockText="1" noThreeD="1"/>
</file>

<file path=xl/ctrlProps/ctrlProp86.xml><?xml version="1.0" encoding="utf-8"?>
<formControlPr xmlns="http://schemas.microsoft.com/office/spreadsheetml/2009/9/main" objectType="CheckBox" fmlaLink="sch_intercon_isp_yes_witg" lockText="1" noThreeD="1"/>
</file>

<file path=xl/ctrlProps/ctrlProp87.xml><?xml version="1.0" encoding="utf-8"?>
<formControlPr xmlns="http://schemas.microsoft.com/office/spreadsheetml/2009/9/main" objectType="CheckBox" fmlaLink="sch_intercon_isp_yes_otherspec" lockText="1" noThreeD="1"/>
</file>

<file path=xl/ctrlProps/ctrlProp88.xml><?xml version="1.0" encoding="utf-8"?>
<formControlPr xmlns="http://schemas.microsoft.com/office/spreadsheetml/2009/9/main" objectType="CheckBox" checked="Checked" fmlaLink="$AA$10" lockText="1" noThreeD="1"/>
</file>

<file path=xl/ctrlProps/ctrlProp89.xml><?xml version="1.0" encoding="utf-8"?>
<formControlPr xmlns="http://schemas.microsoft.com/office/spreadsheetml/2009/9/main" objectType="CheckBox" lockText="1" noThreeD="1"/>
</file>

<file path=xl/ctrlProps/ctrlProp90.xml><?xml version="1.0" encoding="utf-8"?>
<formControlPr xmlns="http://schemas.microsoft.com/office/spreadsheetml/2009/9/main" objectType="CheckBox" checked="Checked" fmlaLink="sch_intercon_isp_subscribe_adminuse_yes" lockText="1" noThreeD="1"/>
</file>

<file path=xl/ctrlProps/ctrlProp91.xml><?xml version="1.0" encoding="utf-8"?>
<formControlPr xmlns="http://schemas.microsoft.com/office/spreadsheetml/2009/9/main" objectType="CheckBox" checked="Checked" fmlaLink="sch_intercon_isp_subscribe_clinstructionuse_yes" lockText="1" noThreeD="1"/>
</file>

<file path=xl/ctrlProps/ctrlProp92.xml><?xml version="1.0" encoding="utf-8"?>
<formControlPr xmlns="http://schemas.microsoft.com/office/spreadsheetml/2009/9/main" objectType="CheckBox" fmlaLink="jhs_cellcapacity_text1" lockText="1" noThreeD="1"/>
</file>

<file path=xl/ctrlProps/ctrlProp93.xml><?xml version="1.0" encoding="utf-8"?>
<formControlPr xmlns="http://schemas.microsoft.com/office/spreadsheetml/2009/9/main" objectType="CheckBox" fmlaLink="jhs_cellcapacity_call1" lockText="1" noThreeD="1"/>
</file>

<file path=xl/ctrlProps/ctrlProp94.xml><?xml version="1.0" encoding="utf-8"?>
<formControlPr xmlns="http://schemas.microsoft.com/office/spreadsheetml/2009/9/main" objectType="CheckBox" fmlaLink="jhs_cellcapacity_images1" lockText="1" noThreeD="1"/>
</file>

<file path=xl/ctrlProps/ctrlProp95.xml><?xml version="1.0" encoding="utf-8"?>
<formControlPr xmlns="http://schemas.microsoft.com/office/spreadsheetml/2009/9/main" objectType="CheckBox" fmlaLink="jhs_cellcapacity_videocall1" lockText="1" noThreeD="1"/>
</file>

<file path=xl/ctrlProps/ctrlProp96.xml><?xml version="1.0" encoding="utf-8"?>
<formControlPr xmlns="http://schemas.microsoft.com/office/spreadsheetml/2009/9/main" objectType="CheckBox" fmlaLink="jhs_cellcapacity_nosignal1" lockText="1" noThreeD="1"/>
</file>

<file path=xl/ctrlProps/ctrlProp97.xml><?xml version="1.0" encoding="utf-8"?>
<formControlPr xmlns="http://schemas.microsoft.com/office/spreadsheetml/2009/9/main" objectType="CheckBox" fmlaLink="jhs_cellcapacity_text2" lockText="1" noThreeD="1"/>
</file>

<file path=xl/ctrlProps/ctrlProp98.xml><?xml version="1.0" encoding="utf-8"?>
<formControlPr xmlns="http://schemas.microsoft.com/office/spreadsheetml/2009/9/main" objectType="CheckBox" fmlaLink="jhs_cellcapacity_call2" lockText="1" noThreeD="1"/>
</file>

<file path=xl/ctrlProps/ctrlProp99.xml><?xml version="1.0" encoding="utf-8"?>
<formControlPr xmlns="http://schemas.microsoft.com/office/spreadsheetml/2009/9/main" objectType="CheckBox" fmlaLink="jhs_cellcapacity_images2" lockText="1" noThreeD="1"/>
</file>

<file path=xl/ctrlProps/ctrlProp100.xml><?xml version="1.0" encoding="utf-8"?>
<formControlPr xmlns="http://schemas.microsoft.com/office/spreadsheetml/2009/9/main" objectType="CheckBox" fmlaLink="jhs_cellcapacity_videocall2" lockText="1" noThreeD="1"/>
</file>

<file path=xl/ctrlProps/ctrlProp101.xml><?xml version="1.0" encoding="utf-8"?>
<formControlPr xmlns="http://schemas.microsoft.com/office/spreadsheetml/2009/9/main" objectType="CheckBox" fmlaLink="jhs_cellcapacity_nosignal2" lockText="1" noThreeD="1"/>
</file>

<file path=xl/ctrlProps/ctrlProp102.xml><?xml version="1.0" encoding="utf-8"?>
<formControlPr xmlns="http://schemas.microsoft.com/office/spreadsheetml/2009/9/main" objectType="CheckBox" fmlaLink="jhs_cellcapacity_text3" lockText="1" noThreeD="1"/>
</file>

<file path=xl/ctrlProps/ctrlProp103.xml><?xml version="1.0" encoding="utf-8"?>
<formControlPr xmlns="http://schemas.microsoft.com/office/spreadsheetml/2009/9/main" objectType="CheckBox" fmlaLink="jhs_cellcapacity_call3" lockText="1" noThreeD="1"/>
</file>

<file path=xl/ctrlProps/ctrlProp104.xml><?xml version="1.0" encoding="utf-8"?>
<formControlPr xmlns="http://schemas.microsoft.com/office/spreadsheetml/2009/9/main" objectType="CheckBox" fmlaLink="jhs_cellcapacity_images3" lockText="1" noThreeD="1"/>
</file>

<file path=xl/ctrlProps/ctrlProp105.xml><?xml version="1.0" encoding="utf-8"?>
<formControlPr xmlns="http://schemas.microsoft.com/office/spreadsheetml/2009/9/main" objectType="CheckBox" fmlaLink="jhs_cellcapacity_videocall3" lockText="1" noThreeD="1"/>
</file>

<file path=xl/ctrlProps/ctrlProp106.xml><?xml version="1.0" encoding="utf-8"?>
<formControlPr xmlns="http://schemas.microsoft.com/office/spreadsheetml/2009/9/main" objectType="CheckBox" fmlaLink="jhs_cellcapacity_nosignal3" lockText="1" noThreeD="1"/>
</file>

<file path=xl/ctrlProps/ctrlProp107.xml><?xml version="1.0" encoding="utf-8"?>
<formControlPr xmlns="http://schemas.microsoft.com/office/spreadsheetml/2009/9/main" objectType="CheckBox" fmlaLink="jhs_cellcapacity_text4" lockText="1" noThreeD="1"/>
</file>

<file path=xl/ctrlProps/ctrlProp108.xml><?xml version="1.0" encoding="utf-8"?>
<formControlPr xmlns="http://schemas.microsoft.com/office/spreadsheetml/2009/9/main" objectType="CheckBox" fmlaLink="jhs_cellcapacity_call4" lockText="1" noThreeD="1"/>
</file>

<file path=xl/ctrlProps/ctrlProp109.xml><?xml version="1.0" encoding="utf-8"?>
<formControlPr xmlns="http://schemas.microsoft.com/office/spreadsheetml/2009/9/main" objectType="CheckBox" fmlaLink="jhs_cellcapacity_images4" lockText="1" noThreeD="1"/>
</file>

<file path=xl/ctrlProps/ctrlProp110.xml><?xml version="1.0" encoding="utf-8"?>
<formControlPr xmlns="http://schemas.microsoft.com/office/spreadsheetml/2009/9/main" objectType="CheckBox" fmlaLink="jhs_cellcapacity_videocall4" lockText="1" noThreeD="1"/>
</file>

<file path=xl/ctrlProps/ctrlProp111.xml><?xml version="1.0" encoding="utf-8"?>
<formControlPr xmlns="http://schemas.microsoft.com/office/spreadsheetml/2009/9/main" objectType="CheckBox" fmlaLink="jhs_cellcapacity_nosignal4" lockText="1" noThreeD="1"/>
</file>

<file path=xl/ctrlProps/ctrlProp112.xml><?xml version="1.0" encoding="utf-8"?>
<formControlPr xmlns="http://schemas.microsoft.com/office/spreadsheetml/2009/9/main" objectType="CheckBox" fmlaLink="jhs_cellcapacity_text5" lockText="1" noThreeD="1"/>
</file>

<file path=xl/ctrlProps/ctrlProp113.xml><?xml version="1.0" encoding="utf-8"?>
<formControlPr xmlns="http://schemas.microsoft.com/office/spreadsheetml/2009/9/main" objectType="CheckBox" fmlaLink="jhs_cellcapacity_call5" lockText="1" noThreeD="1"/>
</file>

<file path=xl/ctrlProps/ctrlProp114.xml><?xml version="1.0" encoding="utf-8"?>
<formControlPr xmlns="http://schemas.microsoft.com/office/spreadsheetml/2009/9/main" objectType="CheckBox" fmlaLink="jhs_cellcapacity_images5" lockText="1" noThreeD="1"/>
</file>

<file path=xl/ctrlProps/ctrlProp115.xml><?xml version="1.0" encoding="utf-8"?>
<formControlPr xmlns="http://schemas.microsoft.com/office/spreadsheetml/2009/9/main" objectType="CheckBox" fmlaLink="jhs_cellcapacity_videocall5" lockText="1" noThreeD="1"/>
</file>

<file path=xl/ctrlProps/ctrlProp116.xml><?xml version="1.0" encoding="utf-8"?>
<formControlPr xmlns="http://schemas.microsoft.com/office/spreadsheetml/2009/9/main" objectType="CheckBox" fmlaLink="jhs_cellcapacity_nosignal5" lockText="1" noThreeD="1"/>
</file>

<file path=xl/ctrlProps/ctrlProp117.xml><?xml version="1.0" encoding="utf-8"?>
<formControlPr xmlns="http://schemas.microsoft.com/office/spreadsheetml/2009/9/main" objectType="CheckBox" checked="Checked" fmlaLink="electrical_supply_sources_grid" lockText="1" noThreeD="1"/>
</file>

<file path=xl/ctrlProps/ctrlProp118.xml><?xml version="1.0" encoding="utf-8"?>
<formControlPr xmlns="http://schemas.microsoft.com/office/spreadsheetml/2009/9/main" objectType="CheckBox" fmlaLink="electrical_supply_sources_offgrid" lockText="1" noThreeD="1"/>
</file>

<file path=xl/ctrlProps/ctrlProp119.xml><?xml version="1.0" encoding="utf-8"?>
<formControlPr xmlns="http://schemas.microsoft.com/office/spreadsheetml/2009/9/main" objectType="CheckBox" fmlaLink="electrical_offgrid_solar_power" lockText="1" noThreeD="1"/>
</file>

<file path=xl/ctrlProps/ctrlProp120.xml><?xml version="1.0" encoding="utf-8"?>
<formControlPr xmlns="http://schemas.microsoft.com/office/spreadsheetml/2009/9/main" objectType="CheckBox" fmlaLink="electrical_offgrid_generator" lockText="1" noThreeD="1"/>
</file>

<file path=xl/ctrlProps/ctrlProp121.xml><?xml version="1.0" encoding="utf-8"?>
<formControlPr xmlns="http://schemas.microsoft.com/office/spreadsheetml/2009/9/main" objectType="CheckBox" fmlaLink="electrical_offgrid_others" lockText="1" noThreeD="1"/>
</file>

<file path=xl/ctrlProps/ctrlProp122.xml><?xml version="1.0" encoding="utf-8"?>
<formControlPr xmlns="http://schemas.microsoft.com/office/spreadsheetml/2009/9/main" objectType="CheckBox" fmlaLink="electrical_nosource" lockText="1" noThreeD="1"/>
</file>

<file path=xl/ctrlProps/ctrlProp123.xml><?xml version="1.0" encoding="utf-8"?>
<formControlPr xmlns="http://schemas.microsoft.com/office/spreadsheetml/2009/9/main" objectType="CheckBox" checked="Checked" fmlaLink="electrical_funding_sources_mooe" lockText="1" noThreeD="1"/>
</file>

<file path=xl/ctrlProps/ctrlProp124.xml><?xml version="1.0" encoding="utf-8"?>
<formControlPr xmlns="http://schemas.microsoft.com/office/spreadsheetml/2009/9/main" objectType="CheckBox" fmlaLink="electrical_funding_sources_lgu" lockText="1" noThreeD="1"/>
</file>

<file path=xl/ctrlProps/ctrlProp125.xml><?xml version="1.0" encoding="utf-8"?>
<formControlPr xmlns="http://schemas.microsoft.com/office/spreadsheetml/2009/9/main" objectType="CheckBox" fmlaLink="electrical_funding_sources_pta" lockText="1" noThreeD="1"/>
</file>

<file path=xl/ctrlProps/ctrlProp126.xml><?xml version="1.0" encoding="utf-8"?>
<formControlPr xmlns="http://schemas.microsoft.com/office/spreadsheetml/2009/9/main" objectType="CheckBox" fmlaLink="electrical_funding_sources_canteen" lockText="1" noThreeD="1"/>
</file>

<file path=xl/ctrlProps/ctrlProp127.xml><?xml version="1.0" encoding="utf-8"?>
<formControlPr xmlns="http://schemas.microsoft.com/office/spreadsheetml/2009/9/main" objectType="CheckBox" fmlaLink="electrical_funding_sources_private" lockText="1" noThreeD="1"/>
</file>

<file path=xl/ctrlProps/ctrlProp128.xml><?xml version="1.0" encoding="utf-8"?>
<formControlPr xmlns="http://schemas.microsoft.com/office/spreadsheetml/2009/9/main" objectType="CheckBox" fmlaLink="electrical_funding_sources_others" lockText="1" noThreeD="1"/>
</file>

<file path=xl/ctrlProps/ctrlProp129.xml><?xml version="1.0" encoding="utf-8"?>
<formControlPr xmlns="http://schemas.microsoft.com/office/spreadsheetml/2009/9/main" objectType="CheckBox" checked="Checked" fmlaLink="schsite_ownership_deped" lockText="1" noThreeD="1"/>
</file>

<file path=xl/ctrlProps/ctrlProp130.xml><?xml version="1.0" encoding="utf-8"?>
<formControlPr xmlns="http://schemas.microsoft.com/office/spreadsheetml/2009/9/main" objectType="CheckBox" fmlaLink="schsite_ownership_othergov" lockText="1" noThreeD="1"/>
</file>

<file path=xl/ctrlProps/ctrlProp131.xml><?xml version="1.0" encoding="utf-8"?>
<formControlPr xmlns="http://schemas.microsoft.com/office/spreadsheetml/2009/9/main" objectType="CheckBox" fmlaLink="schsite_ownership_lgu" lockText="1" noThreeD="1"/>
</file>

<file path=xl/ctrlProps/ctrlProp132.xml><?xml version="1.0" encoding="utf-8"?>
<formControlPr xmlns="http://schemas.microsoft.com/office/spreadsheetml/2009/9/main" objectType="CheckBox" fmlaLink="schsite_ownership_prvt_ind" lockText="1" noThreeD="1"/>
</file>

<file path=xl/ctrlProps/ctrlProp133.xml><?xml version="1.0" encoding="utf-8"?>
<formControlPr xmlns="http://schemas.microsoft.com/office/spreadsheetml/2009/9/main" objectType="CheckBox" checked="Checked" fmlaLink="schsite_ownership_wdocu_yes" lockText="1" noThreeD="1"/>
</file>

<file path=xl/ctrlProps/ctrlProp134.xml><?xml version="1.0" encoding="utf-8"?>
<formControlPr xmlns="http://schemas.microsoft.com/office/spreadsheetml/2009/9/main" objectType="CheckBox" lockText="1" noThreeD="1"/>
</file>

<file path=xl/ctrlProps/ctrlProp135.xml><?xml version="1.0" encoding="utf-8"?>
<formControlPr xmlns="http://schemas.microsoft.com/office/spreadsheetml/2009/9/main" objectType="CheckBox" fmlaLink="$T$10" lockText="1" noThreeD="1"/>
</file>

<file path=xl/ctrlProps/ctrlProp136.xml><?xml version="1.0" encoding="utf-8"?>
<formControlPr xmlns="http://schemas.microsoft.com/office/spreadsheetml/2009/9/main" objectType="CheckBox" checked="Checked" fmlaLink="$T$11" lockText="1" noThreeD="1"/>
</file>

<file path=xl/ctrlProps/ctrlProp137.xml><?xml version="1.0" encoding="utf-8"?>
<formControlPr xmlns="http://schemas.microsoft.com/office/spreadsheetml/2009/9/main" objectType="CheckBox" fmlaLink="$T$12" lockText="1" noThreeD="1"/>
</file>

<file path=xl/ctrlProps/ctrlProp138.xml><?xml version="1.0" encoding="utf-8"?>
<formControlPr xmlns="http://schemas.microsoft.com/office/spreadsheetml/2009/9/main" objectType="CheckBox" fmlaLink="$T$13" lockText="1" noThreeD="1"/>
</file>

<file path=xl/ctrlProps/ctrlProp139.xml><?xml version="1.0" encoding="utf-8"?>
<formControlPr xmlns="http://schemas.microsoft.com/office/spreadsheetml/2009/9/main" objectType="CheckBox" checked="Checked" fmlaLink="$T$14" lockText="1" noThreeD="1"/>
</file>

<file path=xl/ctrlProps/ctrlProp140.xml><?xml version="1.0" encoding="utf-8"?>
<formControlPr xmlns="http://schemas.microsoft.com/office/spreadsheetml/2009/9/main" objectType="CheckBox" fmlaLink="$T$15" lockText="1" noThreeD="1"/>
</file>

<file path=xl/ctrlProps/ctrlProp141.xml><?xml version="1.0" encoding="utf-8"?>
<formControlPr xmlns="http://schemas.microsoft.com/office/spreadsheetml/2009/9/main" objectType="CheckBox" fmlaLink="$T$16" lockText="1" noThreeD="1"/>
</file>

<file path=xl/ctrlProps/ctrlProp142.xml><?xml version="1.0" encoding="utf-8"?>
<formControlPr xmlns="http://schemas.microsoft.com/office/spreadsheetml/2009/9/main" objectType="CheckBox" fmlaLink="$T$17" lockText="1" noThreeD="1"/>
</file>

<file path=xl/ctrlProps/ctrlProp143.xml><?xml version="1.0" encoding="utf-8"?>
<formControlPr xmlns="http://schemas.microsoft.com/office/spreadsheetml/2009/9/main" objectType="CheckBox" fmlaLink="$T$19" lockText="1" noThreeD="1"/>
</file>

<file path=xl/ctrlProps/ctrlProp144.xml><?xml version="1.0" encoding="utf-8"?>
<formControlPr xmlns="http://schemas.microsoft.com/office/spreadsheetml/2009/9/main" objectType="CheckBox" fmlaLink="$T$20" lockText="1" noThreeD="1"/>
</file>

<file path=xl/ctrlProps/ctrlProp145.xml><?xml version="1.0" encoding="utf-8"?>
<formControlPr xmlns="http://schemas.microsoft.com/office/spreadsheetml/2009/9/main" objectType="CheckBox" checked="Checked" fmlaLink="schsite_ownership_wdocu_yes_oct" lockText="1" noThreeD="1"/>
</file>

<file path=xl/ctrlProps/ctrlProp146.xml><?xml version="1.0" encoding="utf-8"?>
<formControlPr xmlns="http://schemas.microsoft.com/office/spreadsheetml/2009/9/main" objectType="CheckBox" fmlaLink="schsite_ownership_wdocu_yes_tct" lockText="1" noThreeD="1"/>
</file>

<file path=xl/ctrlProps/ctrlProp147.xml><?xml version="1.0" encoding="utf-8"?>
<formControlPr xmlns="http://schemas.microsoft.com/office/spreadsheetml/2009/9/main" objectType="CheckBox" fmlaLink="schsite_ownership_wdocu_yes_cloa" lockText="1" noThreeD="1"/>
</file>

<file path=xl/ctrlProps/ctrlProp148.xml><?xml version="1.0" encoding="utf-8"?>
<formControlPr xmlns="http://schemas.microsoft.com/office/spreadsheetml/2009/9/main" objectType="CheckBox" fmlaLink="schsite_ownership_wdocu_yes_spl_patent" lockText="1" noThreeD="1"/>
</file>

<file path=xl/ctrlProps/ctrlProp149.xml><?xml version="1.0" encoding="utf-8"?>
<formControlPr xmlns="http://schemas.microsoft.com/office/spreadsheetml/2009/9/main" objectType="CheckBox" fmlaLink="schsite_ownership_wdocu_yes_pres_proc" lockText="1" noThreeD="1"/>
</file>

<file path=xl/ctrlProps/ctrlProp150.xml><?xml version="1.0" encoding="utf-8"?>
<formControlPr xmlns="http://schemas.microsoft.com/office/spreadsheetml/2009/9/main" objectType="CheckBox" checked="Checked" fmlaLink="schsite_ownership_wdocu_yes_tax_dec" lockText="1" noThreeD="1"/>
</file>

<file path=xl/ctrlProps/ctrlProp151.xml><?xml version="1.0" encoding="utf-8"?>
<formControlPr xmlns="http://schemas.microsoft.com/office/spreadsheetml/2009/9/main" objectType="CheckBox" checked="Checked" fmlaLink="schsite_ownership_wdocu_yes_deed_abso" lockText="1" noThreeD="1"/>
</file>

<file path=xl/ctrlProps/ctrlProp152.xml><?xml version="1.0" encoding="utf-8"?>
<formControlPr xmlns="http://schemas.microsoft.com/office/spreadsheetml/2009/9/main" objectType="CheckBox" fmlaLink="schsite_ownership_wdocu_yes_deed_donation" lockText="1" noThreeD="1"/>
</file>

<file path=xl/ctrlProps/ctrlProp153.xml><?xml version="1.0" encoding="utf-8"?>
<formControlPr xmlns="http://schemas.microsoft.com/office/spreadsheetml/2009/9/main" objectType="CheckBox" fmlaLink="schsite_ownership_wdocu_yes_cert_stew" lockText="1" noThreeD="1"/>
</file>

<file path=xl/ctrlProps/ctrlProp154.xml><?xml version="1.0" encoding="utf-8"?>
<formControlPr xmlns="http://schemas.microsoft.com/office/spreadsheetml/2009/9/main" objectType="CheckBox" fmlaLink="schsite_ownership_wdocu_yes_slup" lockText="1" noThreeD="1"/>
</file>

<file path=xl/ctrlProps/ctrlProp155.xml><?xml version="1.0" encoding="utf-8"?>
<formControlPr xmlns="http://schemas.microsoft.com/office/spreadsheetml/2009/9/main" objectType="CheckBox" fmlaLink="schsite_ownership_wdocu_yes_usufruct" lockText="1" noThreeD="1"/>
</file>

<file path=xl/ctrlProps/ctrlProp156.xml><?xml version="1.0" encoding="utf-8"?>
<formControlPr xmlns="http://schemas.microsoft.com/office/spreadsheetml/2009/9/main" objectType="CheckBox" fmlaLink="schsite_ownership_wdocu_yes_moa" lockText="1" noThreeD="1"/>
</file>

<file path=xl/ctrlProps/ctrlProp157.xml><?xml version="1.0" encoding="utf-8"?>
<formControlPr xmlns="http://schemas.microsoft.com/office/spreadsheetml/2009/9/main" objectType="CheckBox" fmlaLink="schsite_ownership_wdocu_yes_lease" lockText="1" noThreeD="1"/>
</file>

<file path=xl/ctrlProps/ctrlProp158.xml><?xml version="1.0" encoding="utf-8"?>
<formControlPr xmlns="http://schemas.microsoft.com/office/spreadsheetml/2009/9/main" objectType="CheckBox" fmlaLink="schsite_ownership_wdocu_yes_FLAg" lockText="1" noThreeD="1"/>
</file>

<file path=xl/ctrlProps/ctrlProp159.xml><?xml version="1.0" encoding="utf-8"?>
<formControlPr xmlns="http://schemas.microsoft.com/office/spreadsheetml/2009/9/main" objectType="CheckBox" fmlaLink="schsite_ownership_wdocu_yes_others" lockText="1" noThreeD="1"/>
</file>

<file path=xl/ctrlProps/ctrlProp160.xml><?xml version="1.0" encoding="utf-8"?>
<formControlPr xmlns="http://schemas.microsoft.com/office/spreadsheetml/2009/9/main" objectType="CheckBox" fmlaLink="schsite_ancesdom_usu_yes" lockText="1" noThreeD="1"/>
</file>

<file path=xl/ctrlProps/ctrlProp161.xml><?xml version="1.0" encoding="utf-8"?>
<formControlPr xmlns="http://schemas.microsoft.com/office/spreadsheetml/2009/9/main" objectType="CheckBox" lockText="1" noThreeD="1"/>
</file>

<file path=xl/ctrlProps/ctrlProp162.xml><?xml version="1.0" encoding="utf-8"?>
<formControlPr xmlns="http://schemas.microsoft.com/office/spreadsheetml/2009/9/main" objectType="CheckBox" fmlaLink="schsite_ancesdom_cadt_yes" lockText="1" noThreeD="1"/>
</file>

<file path=xl/ctrlProps/ctrlProp163.xml><?xml version="1.0" encoding="utf-8"?>
<formControlPr xmlns="http://schemas.microsoft.com/office/spreadsheetml/2009/9/main" objectType="CheckBox" lockText="1" noThreeD="1"/>
</file>

<file path=xl/ctrlProps/ctrlProp164.xml><?xml version="1.0" encoding="utf-8"?>
<formControlPr xmlns="http://schemas.microsoft.com/office/spreadsheetml/2009/9/main" objectType="CheckBox" fmlaLink="schsite_ancesland_usu_yes" lockText="1" noThreeD="1"/>
</file>

<file path=xl/ctrlProps/ctrlProp165.xml><?xml version="1.0" encoding="utf-8"?>
<formControlPr xmlns="http://schemas.microsoft.com/office/spreadsheetml/2009/9/main" objectType="CheckBox" lockText="1" noThreeD="1"/>
</file>

<file path=xl/ctrlProps/ctrlProp166.xml><?xml version="1.0" encoding="utf-8"?>
<formControlPr xmlns="http://schemas.microsoft.com/office/spreadsheetml/2009/9/main" objectType="CheckBox" fmlaLink="schsite_ancesland_calt_yes" lockText="1" noThreeD="1"/>
</file>

<file path=xl/ctrlProps/ctrlProp167.xml><?xml version="1.0" encoding="utf-8"?>
<formControlPr xmlns="http://schemas.microsoft.com/office/spreadsheetml/2009/9/main" objectType="CheckBox" lockText="1" noThreeD="1"/>
</file>

<file path=xl/ctrlProps/ctrlProp168.xml><?xml version="1.0" encoding="utf-8"?>
<formControlPr xmlns="http://schemas.microsoft.com/office/spreadsheetml/2009/9/main" objectType="CheckBox" checked="Checked" fmlaLink="schsite_leg_own_adverseclaim" lockText="1" noThreeD="1"/>
</file>

<file path=xl/ctrlProps/ctrlProp169.xml><?xml version="1.0" encoding="utf-8"?>
<formControlPr xmlns="http://schemas.microsoft.com/office/spreadsheetml/2009/9/main" objectType="CheckBox" fmlaLink="schsite_leg_own_encroach" lockText="1" noThreeD="1"/>
</file>

<file path=xl/ctrlProps/ctrlProp170.xml><?xml version="1.0" encoding="utf-8"?>
<formControlPr xmlns="http://schemas.microsoft.com/office/spreadsheetml/2009/9/main" objectType="CheckBox" fmlaLink="schsite_leg_own_willegalsetler" lockText="1" noThreeD="1"/>
</file>

<file path=xl/ctrlProps/ctrlProp171.xml><?xml version="1.0" encoding="utf-8"?>
<formControlPr xmlns="http://schemas.microsoft.com/office/spreadsheetml/2009/9/main" objectType="CheckBox" fmlaLink="schsite_leg_own_others" lockText="1" noThreeD="1"/>
</file>

<file path=xl/ctrlProps/ctrlProp172.xml><?xml version="1.0" encoding="utf-8"?>
<formControlPr xmlns="http://schemas.microsoft.com/office/spreadsheetml/2009/9/main" objectType="CheckBox" fmlaLink="schsite_protect_area" lockText="1" noThreeD="1"/>
</file>

<file path=xl/ctrlProps/ctrlProp173.xml><?xml version="1.0" encoding="utf-8"?>
<formControlPr xmlns="http://schemas.microsoft.com/office/spreadsheetml/2009/9/main" objectType="CheckBox" fmlaLink="schsite_timber_forest" lockText="1" noThreeD="1"/>
</file>

<file path=xl/ctrlProps/ctrlProp174.xml><?xml version="1.0" encoding="utf-8"?>
<formControlPr xmlns="http://schemas.microsoft.com/office/spreadsheetml/2009/9/main" objectType="CheckBox" checked="Checked" fmlaLink="sch_loc_alongdhway" lockText="1" noThreeD="1"/>
</file>

<file path=xl/ctrlProps/ctrlProp175.xml><?xml version="1.0" encoding="utf-8"?>
<formControlPr xmlns="http://schemas.microsoft.com/office/spreadsheetml/2009/9/main" objectType="CheckBox" fmlaLink="sch_loc_bydhillside" lockText="1" noThreeD="1"/>
</file>

<file path=xl/ctrlProps/ctrlProp176.xml><?xml version="1.0" encoding="utf-8"?>
<formControlPr xmlns="http://schemas.microsoft.com/office/spreadsheetml/2009/9/main" objectType="CheckBox" fmlaLink="sch_loc_ontopmountain" lockText="1" noThreeD="1"/>
</file>

<file path=xl/ctrlProps/ctrlProp177.xml><?xml version="1.0" encoding="utf-8"?>
<formControlPr xmlns="http://schemas.microsoft.com/office/spreadsheetml/2009/9/main" objectType="CheckBox" fmlaLink="sch_loc_onsmallisland" lockText="1" noThreeD="1"/>
</file>

<file path=xl/ctrlProps/ctrlProp178.xml><?xml version="1.0" encoding="utf-8"?>
<formControlPr xmlns="http://schemas.microsoft.com/office/spreadsheetml/2009/9/main" objectType="CheckBox" fmlaLink="sch_loc_nearcoastline" lockText="1" noThreeD="1"/>
</file>

<file path=xl/ctrlProps/ctrlProp179.xml><?xml version="1.0" encoding="utf-8"?>
<formControlPr xmlns="http://schemas.microsoft.com/office/spreadsheetml/2009/9/main" objectType="CheckBox" checked="Checked" fmlaLink="sch_loc_nearriverwaterway" lockText="1" noThreeD="1"/>
</file>

<file path=xl/ctrlProps/ctrlProp180.xml><?xml version="1.0" encoding="utf-8"?>
<formControlPr xmlns="http://schemas.microsoft.com/office/spreadsheetml/2009/9/main" objectType="CheckBox" fmlaLink="sch_loc_nearfaultline" lockText="1" noThreeD="1"/>
</file>

<file path=xl/ctrlProps/ctrlProp181.xml><?xml version="1.0" encoding="utf-8"?>
<formControlPr xmlns="http://schemas.microsoft.com/office/spreadsheetml/2009/9/main" objectType="CheckBox" fmlaLink="sch_loc_others" lockText="1" noThreeD="1"/>
</file>

<file path=xl/ctrlProps/ctrlProp182.xml><?xml version="1.0" encoding="utf-8"?>
<formControlPr xmlns="http://schemas.microsoft.com/office/spreadsheetml/2009/9/main" objectType="CheckBox" checked="Checked" fmlaLink="clinic_designated_yes" lockText="1" noThreeD="1"/>
</file>

<file path=xl/ctrlProps/ctrlProp183.xml><?xml version="1.0" encoding="utf-8"?>
<formControlPr xmlns="http://schemas.microsoft.com/office/spreadsheetml/2009/9/main" objectType="CheckBox" checked="Checked" fmlaLink="sch_clinic_teacher" lockText="1" noThreeD="1"/>
</file>

<file path=xl/ctrlProps/ctrlProp184.xml><?xml version="1.0" encoding="utf-8"?>
<formControlPr xmlns="http://schemas.microsoft.com/office/spreadsheetml/2009/9/main" objectType="CheckBox" lockText="1" noThreeD="1"/>
</file>

<file path=xl/ctrlProps/ctrlProp185.xml><?xml version="1.0" encoding="utf-8"?>
<formControlPr xmlns="http://schemas.microsoft.com/office/spreadsheetml/2009/9/main" objectType="CheckBox" lockText="1" noThreeD="1"/>
</file>

<file path=xl/ctrlProps/ctrlProp186.xml><?xml version="1.0" encoding="utf-8"?>
<formControlPr xmlns="http://schemas.microsoft.com/office/spreadsheetml/2009/9/main" objectType="CheckBox" fmlaLink="clinic_tools_height_tapemeasure" lockText="1" noThreeD="1"/>
</file>

<file path=xl/ctrlProps/ctrlProp187.xml><?xml version="1.0" encoding="utf-8"?>
<formControlPr xmlns="http://schemas.microsoft.com/office/spreadsheetml/2009/9/main" objectType="CheckBox" fmlaLink="clinic_tools_height_steeltape" lockText="1" noThreeD="1"/>
</file>

<file path=xl/ctrlProps/ctrlProp188.xml><?xml version="1.0" encoding="utf-8"?>
<formControlPr xmlns="http://schemas.microsoft.com/office/spreadsheetml/2009/9/main" objectType="CheckBox" checked="Checked" fmlaLink="clinic_tools_height_microtoise" lockText="1" noThreeD="1"/>
</file>

<file path=xl/ctrlProps/ctrlProp189.xml><?xml version="1.0" encoding="utf-8"?>
<formControlPr xmlns="http://schemas.microsoft.com/office/spreadsheetml/2009/9/main" objectType="CheckBox" fmlaLink="clinic_tools_height_stadiometer" lockText="1" noThreeD="1"/>
</file>

<file path=xl/ctrlProps/ctrlProp190.xml><?xml version="1.0" encoding="utf-8"?>
<formControlPr xmlns="http://schemas.microsoft.com/office/spreadsheetml/2009/9/main" objectType="CheckBox" fmlaLink="clinic_tools_height_others" lockText="1" noThreeD="1"/>
</file>

<file path=xl/ctrlProps/ctrlProp191.xml><?xml version="1.0" encoding="utf-8"?>
<formControlPr xmlns="http://schemas.microsoft.com/office/spreadsheetml/2009/9/main" objectType="CheckBox" fmlaLink="ws_wsource_yes" lockText="1" noThreeD="1"/>
</file>

<file path=xl/ctrlProps/ctrlProp192.xml><?xml version="1.0" encoding="utf-8"?>
<formControlPr xmlns="http://schemas.microsoft.com/office/spreadsheetml/2009/9/main" objectType="CheckBox" lockText="1" noThreeD="1"/>
</file>

<file path=xl/ctrlProps/ctrlProp193.xml><?xml version="1.0" encoding="utf-8"?>
<formControlPr xmlns="http://schemas.microsoft.com/office/spreadsheetml/2009/9/main" objectType="CheckBox" checked="Checked" fmlaLink="ws_ifyes_pipe" lockText="1" noThreeD="1"/>
</file>

<file path=xl/ctrlProps/ctrlProp194.xml><?xml version="1.0" encoding="utf-8"?>
<formControlPr xmlns="http://schemas.microsoft.com/office/spreadsheetml/2009/9/main" objectType="CheckBox" checked="Checked" fmlaLink="ws_ifyes_well" lockText="1" noThreeD="1"/>
</file>

<file path=xl/ctrlProps/ctrlProp195.xml><?xml version="1.0" encoding="utf-8"?>
<formControlPr xmlns="http://schemas.microsoft.com/office/spreadsheetml/2009/9/main" objectType="CheckBox" checked="Checked" fmlaLink="ws_ifyes_natural" lockText="1" noThreeD="1"/>
</file>

<file path=xl/ctrlProps/ctrlProp196.xml><?xml version="1.0" encoding="utf-8"?>
<formControlPr xmlns="http://schemas.microsoft.com/office/spreadsheetml/2009/9/main" objectType="CheckBox" fmlaLink="ws_ifyes_rainwater" lockText="1" noThreeD="1"/>
</file>

<file path=xl/ctrlProps/ctrlProp197.xml><?xml version="1.0" encoding="utf-8"?>
<formControlPr xmlns="http://schemas.microsoft.com/office/spreadsheetml/2009/9/main" objectType="CheckBox" fmlaLink="ws_ifyes_others" lockText="1" noThreeD="1"/>
</file>

<file path=xl/ctrlProps/ctrlProp198.xml><?xml version="1.0" encoding="utf-8"?>
<formControlPr xmlns="http://schemas.microsoft.com/office/spreadsheetml/2009/9/main" objectType="CheckBox" checked="Checked" fmlaLink="ws_ifyes_fundsource_schmooe" lockText="1" noThreeD="1"/>
</file>

<file path=xl/ctrlProps/ctrlProp199.xml><?xml version="1.0" encoding="utf-8"?>
<formControlPr xmlns="http://schemas.microsoft.com/office/spreadsheetml/2009/9/main" objectType="CheckBox" fmlaLink="ws_ifyes_fundsource_lgu" lockText="1" noThreeD="1"/>
</file>

<file path=xl/ctrlProps/ctrlProp200.xml><?xml version="1.0" encoding="utf-8"?>
<formControlPr xmlns="http://schemas.microsoft.com/office/spreadsheetml/2009/9/main" objectType="CheckBox" fmlaLink="ws_ifyes_fundsource_pta" lockText="1" noThreeD="1"/>
</file>

<file path=xl/ctrlProps/ctrlProp201.xml><?xml version="1.0" encoding="utf-8"?>
<formControlPr xmlns="http://schemas.microsoft.com/office/spreadsheetml/2009/9/main" objectType="CheckBox" fmlaLink="ws_ifyes_fundsource_schcanteen" lockText="1" noThreeD="1"/>
</file>

<file path=xl/ctrlProps/ctrlProp202.xml><?xml version="1.0" encoding="utf-8"?>
<formControlPr xmlns="http://schemas.microsoft.com/office/spreadsheetml/2009/9/main" objectType="CheckBox" fmlaLink="ws_ifyes_fundsource_private" lockText="1" noThreeD="1"/>
</file>

<file path=xl/ctrlProps/ctrlProp203.xml><?xml version="1.0" encoding="utf-8"?>
<formControlPr xmlns="http://schemas.microsoft.com/office/spreadsheetml/2009/9/main" objectType="CheckBox" fmlaLink="ws_ifyes_fundsource_others" lockText="1" noThreeD="1"/>
</file>

<file path=xl/ctrlProps/ctrlProp204.xml><?xml version="1.0" encoding="utf-8"?>
<formControlPr xmlns="http://schemas.microsoft.com/office/spreadsheetml/2009/9/main" objectType="CheckBox" fmlaLink="ws_drinking_yes" lockText="1" noThreeD="1"/>
</file>

<file path=xl/ctrlProps/ctrlProp205.xml><?xml version="1.0" encoding="utf-8"?>
<formControlPr xmlns="http://schemas.microsoft.com/office/spreadsheetml/2009/9/main" objectType="CheckBox" checked="Checked" fmlaLink="ws_water_tested_yes" lockText="1" noThreeD="1"/>
</file>

<file path=xl/ctrlProps/ctrlProp206.xml><?xml version="1.0" encoding="utf-8"?>
<formControlPr xmlns="http://schemas.microsoft.com/office/spreadsheetml/2009/9/main" objectType="CheckBox" checked="Checked" lockText="1" noThreeD="1"/>
</file>

<file path=xl/ctrlProps/ctrlProp207.xml><?xml version="1.0" encoding="utf-8"?>
<formControlPr xmlns="http://schemas.microsoft.com/office/spreadsheetml/2009/9/main" objectType="CheckBox" lockText="1" noThreeD="1"/>
</file>

<file path=xl/ctrlProps/ctrlProp208.xml><?xml version="1.0" encoding="utf-8"?>
<formControlPr xmlns="http://schemas.microsoft.com/office/spreadsheetml/2009/9/main" objectType="CheckBox" checked="Checked" lockText="1" noThreeD="1"/>
</file>

<file path=xl/ctrlProps/ctrlProp209.xml><?xml version="1.0" encoding="utf-8"?>
<formControlPr xmlns="http://schemas.microsoft.com/office/spreadsheetml/2009/9/main" objectType="CheckBox" fmlaLink="ws_water_iftested_safetodrink_yes" lockText="1" noThreeD="1"/>
</file>

<file path=xl/ctrlProps/ctrlProp210.xml><?xml version="1.0" encoding="utf-8"?>
<formControlPr xmlns="http://schemas.microsoft.com/office/spreadsheetml/2009/9/main" objectType="CheckBox" checked="Checked" fmlaLink="ws_water_test_frequency_annually" lockText="1" noThreeD="1"/>
</file>

<file path=xl/ctrlProps/ctrlProp211.xml><?xml version="1.0" encoding="utf-8"?>
<formControlPr xmlns="http://schemas.microsoft.com/office/spreadsheetml/2009/9/main" objectType="CheckBox" fmlaLink="ws_water_test_frequency_others" lockText="1" noThreeD="1"/>
</file>

<file path=xl/ctrlProps/ctrlProp212.xml><?xml version="1.0" encoding="utf-8"?>
<formControlPr xmlns="http://schemas.microsoft.com/office/spreadsheetml/2009/9/main" objectType="CheckBox" fmlaLink="ws_water_test_frequency_monthly" lockText="1" noThreeD="1"/>
</file>

<file path=xl/ctrlProps/ctrlProp213.xml><?xml version="1.0" encoding="utf-8"?>
<formControlPr xmlns="http://schemas.microsoft.com/office/spreadsheetml/2009/9/main" objectType="CheckBox" fmlaLink="ws_water_test_frequency_quarterly" lockText="1" noThreeD="1"/>
</file>

<file path=xl/ctrlProps/ctrlProp214.xml><?xml version="1.0" encoding="utf-8"?>
<formControlPr xmlns="http://schemas.microsoft.com/office/spreadsheetml/2009/9/main" objectType="CheckBox" fmlaLink="ws_water_unavailable_yes" lockText="1" noThreeD="1"/>
</file>

<file path=xl/ctrlProps/ctrlProp215.xml><?xml version="1.0" encoding="utf-8"?>
<formControlPr xmlns="http://schemas.microsoft.com/office/spreadsheetml/2009/9/main" objectType="CheckBox" checked="Checked" lockText="1" noThreeD="1"/>
</file>

<file path=xl/ctrlProps/ctrlProp216.xml><?xml version="1.0" encoding="utf-8"?>
<formControlPr xmlns="http://schemas.microsoft.com/office/spreadsheetml/2009/9/main" objectType="CheckBox" checked="Checked" fmlaLink="ws_mechanism_safetodrink_yes" lockText="1" noThreeD="1"/>
</file>

<file path=xl/ctrlProps/ctrlProp217.xml><?xml version="1.0" encoding="utf-8"?>
<formControlPr xmlns="http://schemas.microsoft.com/office/spreadsheetml/2009/9/main" objectType="CheckBox" lockText="1" noThreeD="1"/>
</file>

<file path=xl/ctrlProps/ctrlProp218.xml><?xml version="1.0" encoding="utf-8"?>
<formControlPr xmlns="http://schemas.microsoft.com/office/spreadsheetml/2009/9/main" objectType="CheckBox" checked="Checked" fmlaLink="ws_mechanism_safetodrink_yes_bring_water" lockText="1" noThreeD="1"/>
</file>

<file path=xl/ctrlProps/ctrlProp219.xml><?xml version="1.0" encoding="utf-8"?>
<formControlPr xmlns="http://schemas.microsoft.com/office/spreadsheetml/2009/9/main" objectType="CheckBox" checked="Checked" fmlaLink="ws_mechanism_safetodrink_yes_refillable_containers" lockText="1" noThreeD="1"/>
</file>

<file path=xl/ctrlProps/ctrlProp220.xml><?xml version="1.0" encoding="utf-8"?>
<formControlPr xmlns="http://schemas.microsoft.com/office/spreadsheetml/2009/9/main" objectType="CheckBox" fmlaLink="ws_mechanism_safetodrink_yes_accessible_water" lockText="1" noThreeD="1"/>
</file>

<file path=xl/ctrlProps/ctrlProp221.xml><?xml version="1.0" encoding="utf-8"?>
<formControlPr xmlns="http://schemas.microsoft.com/office/spreadsheetml/2009/9/main" objectType="CheckBox" fmlaLink="ws_mechanism_safetodrink_yes_others" lockText="1" noThreeD="1"/>
</file>

<file path=xl/ctrlProps/ctrlProp222.xml><?xml version="1.0" encoding="utf-8"?>
<formControlPr xmlns="http://schemas.microsoft.com/office/spreadsheetml/2009/9/main" objectType="CheckBox" checked="Checked" fmlaLink="sch_mh_haveguidance_office" lockText="1" noThreeD="1"/>
</file>

<file path=xl/ctrlProps/ctrlProp223.xml><?xml version="1.0" encoding="utf-8"?>
<formControlPr xmlns="http://schemas.microsoft.com/office/spreadsheetml/2009/9/main" objectType="CheckBox" lockText="1" noThreeD="1"/>
</file>

<file path=xl/ctrlProps/ctrlProp224.xml><?xml version="1.0" encoding="utf-8"?>
<formControlPr xmlns="http://schemas.microsoft.com/office/spreadsheetml/2009/9/main" objectType="CheckBox" fmlaLink="sch_mh_regguidancecouncilor_incharge" lockText="1" noThreeD="1"/>
</file>

<file path=xl/ctrlProps/ctrlProp225.xml><?xml version="1.0" encoding="utf-8"?>
<formControlPr xmlns="http://schemas.microsoft.com/office/spreadsheetml/2009/9/main" objectType="CheckBox" checked="Checked" lockText="1" noThreeD="1"/>
</file>

<file path=xl/ctrlProps/ctrlProp226.xml><?xml version="1.0" encoding="utf-8"?>
<formControlPr xmlns="http://schemas.microsoft.com/office/spreadsheetml/2009/9/main" objectType="CheckBox" checked="Checked" fmlaLink="sch_mh_screeningtool_counseling" lockText="1" noThreeD="1"/>
</file>

<file path=xl/ctrlProps/ctrlProp227.xml><?xml version="1.0" encoding="utf-8"?>
<formControlPr xmlns="http://schemas.microsoft.com/office/spreadsheetml/2009/9/main" objectType="CheckBox" fmlaLink="sch_mh_celebrated_nmhw" lockText="1" noThreeD="1"/>
</file>

<file path=xl/ctrlProps/ctrlProp228.xml><?xml version="1.0" encoding="utf-8"?>
<formControlPr xmlns="http://schemas.microsoft.com/office/spreadsheetml/2009/9/main" objectType="CheckBox" lockText="1" noThreeD="1"/>
</file>

<file path=xl/ctrlProps/ctrlProp229.xml><?xml version="1.0" encoding="utf-8"?>
<formControlPr xmlns="http://schemas.microsoft.com/office/spreadsheetml/2009/9/main" objectType="CheckBox" checked="Checked" lockText="1" noThreeD="1"/>
</file>

<file path=xl/ctrlProps/ctrlProp230.xml><?xml version="1.0" encoding="utf-8"?>
<formControlPr xmlns="http://schemas.microsoft.com/office/spreadsheetml/2009/9/main" objectType="CheckBox" checked="Checked" fmlaLink="sch_conduct_menttraining_learners_ifyes" lockText="1" noThreeD="1"/>
</file>

<file path=xl/ctrlProps/ctrlProp231.xml><?xml version="1.0" encoding="utf-8"?>
<formControlPr xmlns="http://schemas.microsoft.com/office/spreadsheetml/2009/9/main" objectType="CheckBox" lockText="1" noThreeD="1"/>
</file>

<file path=xl/ctrlProps/ctrlProp232.xml><?xml version="1.0" encoding="utf-8"?>
<formControlPr xmlns="http://schemas.microsoft.com/office/spreadsheetml/2009/9/main" objectType="CheckBox" checked="Checked" fmlaLink="sch_conduct_menttraining_teachers_ifyes" lockText="1" noThreeD="1"/>
</file>

<file path=xl/ctrlProps/ctrlProp233.xml><?xml version="1.0" encoding="utf-8"?>
<formControlPr xmlns="http://schemas.microsoft.com/office/spreadsheetml/2009/9/main" objectType="CheckBox" lockText="1" noThreeD="1"/>
</file>

<file path=xl/ctrlProps/ctrlProp234.xml><?xml version="1.0" encoding="utf-8"?>
<formControlPr xmlns="http://schemas.microsoft.com/office/spreadsheetml/2009/9/main" objectType="CheckBox" checked="Checked" fmlaLink="sch_teencenter_operational" lockText="1" noThreeD="1"/>
</file>

<file path=xl/ctrlProps/ctrlProp235.xml><?xml version="1.0" encoding="utf-8"?>
<formControlPr xmlns="http://schemas.microsoft.com/office/spreadsheetml/2009/9/main" objectType="CheckBox" lockText="1" noThreeD="1"/>
</file>

<file path=xl/ctrlProps/ctrlProp236.xml><?xml version="1.0" encoding="utf-8"?>
<formControlPr xmlns="http://schemas.microsoft.com/office/spreadsheetml/2009/9/main" objectType="CheckBox" checked="Checked" fmlaLink="tobaccoctrl_signages" lockText="1" noThreeD="1"/>
</file>

<file path=xl/ctrlProps/ctrlProp237.xml><?xml version="1.0" encoding="utf-8"?>
<formControlPr xmlns="http://schemas.microsoft.com/office/spreadsheetml/2009/9/main" objectType="CheckBox" lockText="1" noThreeD="1"/>
</file>

<file path=xl/ctrlProps/ctrlProp238.xml><?xml version="1.0" encoding="utf-8"?>
<formControlPr xmlns="http://schemas.microsoft.com/office/spreadsheetml/2009/9/main" objectType="CheckBox" checked="Checked" fmlaLink="tobaccoctrl_posters" lockText="1" noThreeD="1"/>
</file>

<file path=xl/ctrlProps/ctrlProp239.xml><?xml version="1.0" encoding="utf-8"?>
<formControlPr xmlns="http://schemas.microsoft.com/office/spreadsheetml/2009/9/main" objectType="CheckBox" lockText="1" noThreeD="1"/>
</file>

<file path=xl/ctrlProps/ctrlProp240.xml><?xml version="1.0" encoding="utf-8"?>
<formControlPr xmlns="http://schemas.microsoft.com/office/spreadsheetml/2009/9/main" objectType="CheckBox" fmlaLink="tobaccoctrl_sellcigshop" lockText="1" noThreeD="1"/>
</file>

<file path=xl/ctrlProps/ctrlProp241.xml><?xml version="1.0" encoding="utf-8"?>
<formControlPr xmlns="http://schemas.microsoft.com/office/spreadsheetml/2009/9/main" objectType="CheckBox" checked="Checked" lockText="1" noThreeD="1"/>
</file>

<file path=xl/ctrlProps/ctrlProp242.xml><?xml version="1.0" encoding="utf-8"?>
<formControlPr xmlns="http://schemas.microsoft.com/office/spreadsheetml/2009/9/main" objectType="CheckBox" fmlaLink="tobaccoctrl_sellvapeshop" lockText="1" noThreeD="1"/>
</file>

<file path=xl/ctrlProps/ctrlProp243.xml><?xml version="1.0" encoding="utf-8"?>
<formControlPr xmlns="http://schemas.microsoft.com/office/spreadsheetml/2009/9/main" objectType="CheckBox" checked="Checked" lockText="1" noThreeD="1"/>
</file>

<file path=xl/ctrlProps/ctrlProp244.xml><?xml version="1.0" encoding="utf-8"?>
<formControlPr xmlns="http://schemas.microsoft.com/office/spreadsheetml/2009/9/main" objectType="CheckBox" fmlaLink="tobaccoctrl_sh_tobacco_noends" lockText="1" noThreeD="1"/>
</file>

<file path=xl/ctrlProps/ctrlProp245.xml><?xml version="1.0" encoding="utf-8"?>
<formControlPr xmlns="http://schemas.microsoft.com/office/spreadsheetml/2009/9/main" objectType="CheckBox" fmlaLink="tobaccoctrl_sh_notobacco_ends" lockText="1" noThreeD="1"/>
</file>

<file path=xl/ctrlProps/ctrlProp246.xml><?xml version="1.0" encoding="utf-8"?>
<formControlPr xmlns="http://schemas.microsoft.com/office/spreadsheetml/2009/9/main" objectType="CheckBox" fmlaLink="tobaccoctrl_sh_tobacco_ends" lockText="1" noThreeD="1"/>
</file>

<file path=xl/ctrlProps/ctrlProp247.xml><?xml version="1.0" encoding="utf-8"?>
<formControlPr xmlns="http://schemas.microsoft.com/office/spreadsheetml/2009/9/main" objectType="CheckBox" fmlaLink="tobaccoctrl_sh_notobacco_noends" lockText="1" noThreeD="1"/>
</file>

<file path=xl/ctrlProps/ctrlProp248.xml><?xml version="1.0" encoding="utf-8"?>
<formControlPr xmlns="http://schemas.microsoft.com/office/spreadsheetml/2009/9/main" objectType="CheckBox" checked="Checked" fmlaLink="sch_drugprevention_implementation" lockText="1" noThreeD="1"/>
</file>

<file path=xl/ctrlProps/ctrlProp249.xml><?xml version="1.0" encoding="utf-8"?>
<formControlPr xmlns="http://schemas.microsoft.com/office/spreadsheetml/2009/9/main" objectType="CheckBox" lockText="1" noThreeD="1"/>
</file>

<file path=xl/ctrlProps/ctrlProp250.xml><?xml version="1.0" encoding="utf-8"?>
<formControlPr xmlns="http://schemas.microsoft.com/office/spreadsheetml/2009/9/main" objectType="CheckBox" checked="Checked" fmlaLink="sch_drugprevention_educprog_currintegration" lockText="1" noThreeD="1"/>
</file>

<file path=xl/ctrlProps/ctrlProp251.xml><?xml version="1.0" encoding="utf-8"?>
<formControlPr xmlns="http://schemas.microsoft.com/office/spreadsheetml/2009/9/main" objectType="CheckBox" checked="Checked" fmlaLink="sch_drugprevention_educprog_extracurri" lockText="1" noThreeD="1"/>
</file>

<file path=xl/ctrlProps/ctrlProp252.xml><?xml version="1.0" encoding="utf-8"?>
<formControlPr xmlns="http://schemas.microsoft.com/office/spreadsheetml/2009/9/main" objectType="CheckBox" checked="Checked" fmlaLink="sch_drugprevention_educprog_partnerbrgy" lockText="1" noThreeD="1"/>
</file>

<file path=xl/ctrlProps/ctrlProp253.xml><?xml version="1.0" encoding="utf-8"?>
<formControlPr xmlns="http://schemas.microsoft.com/office/spreadsheetml/2009/9/main" objectType="CheckBox" fmlaLink="sch_drugprevention_educprog_other" lockText="1" noThreeD="1"/>
</file>

<file path=xl/ctrlProps/ctrlProp254.xml><?xml version="1.0" encoding="utf-8"?>
<formControlPr xmlns="http://schemas.microsoft.com/office/spreadsheetml/2009/9/main" objectType="CheckBox" checked="Checked" fmlaLink="sch_drugprevention_ndep" lockText="1" noThreeD="1"/>
</file>

<file path=xl/ctrlProps/ctrlProp255.xml><?xml version="1.0" encoding="utf-8"?>
<formControlPr xmlns="http://schemas.microsoft.com/office/spreadsheetml/2009/9/main" objectType="CheckBox" lockText="1" noThreeD="1"/>
</file>

<file path=xl/ctrlProps/ctrlProp256.xml><?xml version="1.0" encoding="utf-8"?>
<formControlPr xmlns="http://schemas.microsoft.com/office/spreadsheetml/2009/9/main" objectType="CheckBox" checked="Checked" fmlaLink="sch_drugprevention_bkd" lockText="1" noThreeD="1"/>
</file>

<file path=xl/ctrlProps/ctrlProp257.xml><?xml version="1.0" encoding="utf-8"?>
<formControlPr xmlns="http://schemas.microsoft.com/office/spreadsheetml/2009/9/main" objectType="CheckBox" lockText="1" noThreeD="1"/>
</file>

<file path=xl/ctrlProps/ctrlProp258.xml><?xml version="1.0" encoding="utf-8"?>
<formControlPr xmlns="http://schemas.microsoft.com/office/spreadsheetml/2009/9/main" objectType="CheckBox" fmlaLink="sch_oksadeped_yes" lockText="1" noThreeD="1"/>
</file>

<file path=xl/ctrlProps/ctrlProp259.xml><?xml version="1.0" encoding="utf-8"?>
<formControlPr xmlns="http://schemas.microsoft.com/office/spreadsheetml/2009/9/main" objectType="CheckBox" fmlaLink="sch_oksadeped_prevsy" lockText="1" noThreeD="1"/>
</file>

<file path=xl/ctrlProps/ctrlProp260.xml><?xml version="1.0" encoding="utf-8"?>
<formControlPr xmlns="http://schemas.microsoft.com/office/spreadsheetml/2009/9/main" objectType="CheckBox" fmlaLink="sch_oksadeped_fbpage_yes" lockText="1" noThreeD="1"/>
</file>

<file path=xl/ctrlProps/ctrlProp261.xml><?xml version="1.0" encoding="utf-8"?>
<formControlPr xmlns="http://schemas.microsoft.com/office/spreadsheetml/2009/9/main" objectType="CheckBox" checked="Checked" lockText="1" noThreeD="1"/>
</file>

<file path=xl/ctrlProps/ctrlProp262.xml><?xml version="1.0" encoding="utf-8"?>
<formControlPr xmlns="http://schemas.microsoft.com/office/spreadsheetml/2009/9/main" objectType="CheckBox" checked="Checked" lockText="1" noThreeD="1"/>
</file>

<file path=xl/ctrlProps/ctrlProp263.xml><?xml version="1.0" encoding="utf-8"?>
<formControlPr xmlns="http://schemas.microsoft.com/office/spreadsheetml/2009/9/main" objectType="CheckBox" checked="Checked" lockText="1" noThreeD="1"/>
</file>

<file path=xl/ctrlProps/ctrlProp264.xml><?xml version="1.0" encoding="utf-8"?>
<formControlPr xmlns="http://schemas.microsoft.com/office/spreadsheetml/2009/9/main" objectType="CheckBox" fmlaLink="feed_prog_yes" lockText="1" noThreeD="1"/>
</file>

<file path=xl/ctrlProps/ctrlProp265.xml><?xml version="1.0" encoding="utf-8"?>
<formControlPr xmlns="http://schemas.microsoft.com/office/spreadsheetml/2009/9/main" objectType="CheckBox" checked="Checked" lockText="1" noThreeD="1"/>
</file>

<file path=xl/ctrlProps/ctrlProp266.xml><?xml version="1.0" encoding="utf-8"?>
<formControlPr xmlns="http://schemas.microsoft.com/office/spreadsheetml/2009/9/main" objectType="CheckBox" fmlaLink="feed_prog_yes_fundsource_schmooe" lockText="1" noThreeD="1"/>
</file>

<file path=xl/ctrlProps/ctrlProp267.xml><?xml version="1.0" encoding="utf-8"?>
<formControlPr xmlns="http://schemas.microsoft.com/office/spreadsheetml/2009/9/main" objectType="CheckBox" fmlaLink="feed_prog_yes_fundsource_canteen" lockText="1" noThreeD="1"/>
</file>

<file path=xl/ctrlProps/ctrlProp268.xml><?xml version="1.0" encoding="utf-8"?>
<formControlPr xmlns="http://schemas.microsoft.com/office/spreadsheetml/2009/9/main" objectType="CheckBox" fmlaLink="feed_prog_yes_fundsource_lgu" lockText="1" noThreeD="1"/>
</file>

<file path=xl/ctrlProps/ctrlProp269.xml><?xml version="1.0" encoding="utf-8"?>
<formControlPr xmlns="http://schemas.microsoft.com/office/spreadsheetml/2009/9/main" objectType="CheckBox" fmlaLink="feed_prog_yes_fundsource_pta" lockText="1" noThreeD="1"/>
</file>

<file path=xl/ctrlProps/ctrlProp270.xml><?xml version="1.0" encoding="utf-8"?>
<formControlPr xmlns="http://schemas.microsoft.com/office/spreadsheetml/2009/9/main" objectType="CheckBox" fmlaLink="feed_prog_yes_fundsource_brgy" lockText="1" noThreeD="1"/>
</file>

<file path=xl/ctrlProps/ctrlProp271.xml><?xml version="1.0" encoding="utf-8"?>
<formControlPr xmlns="http://schemas.microsoft.com/office/spreadsheetml/2009/9/main" objectType="CheckBox" fmlaLink="feed_prog_yes_fundsource_private" lockText="1" noThreeD="1"/>
</file>

<file path=xl/ctrlProps/ctrlProp272.xml><?xml version="1.0" encoding="utf-8"?>
<formControlPr xmlns="http://schemas.microsoft.com/office/spreadsheetml/2009/9/main" objectType="CheckBox" fmlaLink="feed_prog_yes_fundsource_sbfp" lockText="1" noThreeD="1"/>
</file>

<file path=xl/ctrlProps/ctrlProp273.xml><?xml version="1.0" encoding="utf-8"?>
<formControlPr xmlns="http://schemas.microsoft.com/office/spreadsheetml/2009/9/main" objectType="CheckBox" fmlaLink="feed_prog_yes_fundsource_others" lockText="1" noThreeD="1"/>
</file>

<file path=xl/ctrlProps/ctrlProp274.xml><?xml version="1.0" encoding="utf-8"?>
<formControlPr xmlns="http://schemas.microsoft.com/office/spreadsheetml/2009/9/main" objectType="CheckBox" checked="Checked" fmlaLink="feed_prog_agri_fishery_gulayan" lockText="1" noThreeD="1"/>
</file>

<file path=xl/ctrlProps/ctrlProp275.xml><?xml version="1.0" encoding="utf-8"?>
<formControlPr xmlns="http://schemas.microsoft.com/office/spreadsheetml/2009/9/main" objectType="CheckBox" fmlaLink="feed_prog_agri_fishery_gulayan_legumes" lockText="1" noThreeD="1"/>
</file>

<file path=xl/ctrlProps/ctrlProp276.xml><?xml version="1.0" encoding="utf-8"?>
<formControlPr xmlns="http://schemas.microsoft.com/office/spreadsheetml/2009/9/main" objectType="CheckBox" checked="Checked" fmlaLink="feed_prog_agri_fishery_gulayan_leafy" lockText="1" noThreeD="1"/>
</file>

<file path=xl/ctrlProps/ctrlProp277.xml><?xml version="1.0" encoding="utf-8"?>
<formControlPr xmlns="http://schemas.microsoft.com/office/spreadsheetml/2009/9/main" objectType="CheckBox" fmlaLink="feed_prog_agri_fishery_gulayan_fruit" lockText="1" noThreeD="1"/>
</file>

<file path=xl/ctrlProps/ctrlProp278.xml><?xml version="1.0" encoding="utf-8"?>
<formControlPr xmlns="http://schemas.microsoft.com/office/spreadsheetml/2009/9/main" objectType="CheckBox" fmlaLink="feed_prog_agri_fishery_gulayan_rootcrops" lockText="1" noThreeD="1"/>
</file>

<file path=xl/ctrlProps/ctrlProp279.xml><?xml version="1.0" encoding="utf-8"?>
<formControlPr xmlns="http://schemas.microsoft.com/office/spreadsheetml/2009/9/main" objectType="CheckBox" checked="Checked" fmlaLink="feed_prog_agri_fishery_fishpond" lockText="1" noThreeD="1"/>
</file>

<file path=xl/ctrlProps/ctrlProp280.xml><?xml version="1.0" encoding="utf-8"?>
<formControlPr xmlns="http://schemas.microsoft.com/office/spreadsheetml/2009/9/main" objectType="CheckBox" checked="Checked" fmlaLink="feed_prog_agri_fishery_crops" lockText="1" noThreeD="1"/>
</file>

<file path=xl/ctrlProps/ctrlProp281.xml><?xml version="1.0" encoding="utf-8"?>
<formControlPr xmlns="http://schemas.microsoft.com/office/spreadsheetml/2009/9/main" objectType="CheckBox" checked="Checked" fmlaLink="feed_prog_agri_fishery_livestock" lockText="1" noThreeD="1"/>
</file>

<file path=xl/ctrlProps/ctrlProp282.xml><?xml version="1.0" encoding="utf-8"?>
<formControlPr xmlns="http://schemas.microsoft.com/office/spreadsheetml/2009/9/main" objectType="CheckBox" fmlaLink="feed_prog_agri_fishery_others" lockText="1" noThreeD="1"/>
</file>

<file path=xl/ctrlProps/ctrlProp283.xml><?xml version="1.0" encoding="utf-8"?>
<formControlPr xmlns="http://schemas.microsoft.com/office/spreadsheetml/2009/9/main" objectType="CheckBox" fmlaLink="feed_prog_agri_fishery_none" lockText="1" noThreeD="1"/>
</file>

<file path=xl/ctrlProps/ctrlProp284.xml><?xml version="1.0" encoding="utf-8"?>
<formControlPr xmlns="http://schemas.microsoft.com/office/spreadsheetml/2009/9/main" objectType="CheckBox" fmlaLink="feed_prog_agri_fishery_usedfp_yes" lockText="1" noThreeD="1"/>
</file>

<file path=xl/ctrlProps/ctrlProp285.xml><?xml version="1.0" encoding="utf-8"?>
<formControlPr xmlns="http://schemas.microsoft.com/office/spreadsheetml/2009/9/main" objectType="CheckBox" checked="Checked" lockText="1" noThreeD="1"/>
</file>

<file path=xl/ctrlProps/ctrlProp286.xml><?xml version="1.0" encoding="utf-8"?>
<formControlPr xmlns="http://schemas.microsoft.com/office/spreadsheetml/2009/9/main" objectType="CheckBox" fmlaLink="feed_prog_agri_fishery_usedfp_yes_fundsource_schmooe" lockText="1" noThreeD="1"/>
</file>

<file path=xl/ctrlProps/ctrlProp287.xml><?xml version="1.0" encoding="utf-8"?>
<formControlPr xmlns="http://schemas.microsoft.com/office/spreadsheetml/2009/9/main" objectType="CheckBox" fmlaLink="feed_prog_agri_fishery_usedfp_yes_fundsource_canteen" lockText="1" noThreeD="1"/>
</file>

<file path=xl/ctrlProps/ctrlProp288.xml><?xml version="1.0" encoding="utf-8"?>
<formControlPr xmlns="http://schemas.microsoft.com/office/spreadsheetml/2009/9/main" objectType="CheckBox" fmlaLink="feed_prog_agri_fishery_usedfp_yes_fundsource_lgu" lockText="1" noThreeD="1"/>
</file>

<file path=xl/ctrlProps/ctrlProp289.xml><?xml version="1.0" encoding="utf-8"?>
<formControlPr xmlns="http://schemas.microsoft.com/office/spreadsheetml/2009/9/main" objectType="CheckBox" fmlaLink="feed_prog_agri_fishery_usedfp_yes_fundsource_pta" lockText="1" noThreeD="1"/>
</file>

<file path=xl/ctrlProps/ctrlProp290.xml><?xml version="1.0" encoding="utf-8"?>
<formControlPr xmlns="http://schemas.microsoft.com/office/spreadsheetml/2009/9/main" objectType="CheckBox" fmlaLink="feed_prog_agri_fishery_usedfp_yes_fundsource_brgy" lockText="1" noThreeD="1"/>
</file>

<file path=xl/ctrlProps/ctrlProp291.xml><?xml version="1.0" encoding="utf-8"?>
<formControlPr xmlns="http://schemas.microsoft.com/office/spreadsheetml/2009/9/main" objectType="CheckBox" fmlaLink="feed_prog_agri_fishery_usedfp_yes_fundsource_private" lockText="1" noThreeD="1"/>
</file>

<file path=xl/ctrlProps/ctrlProp292.xml><?xml version="1.0" encoding="utf-8"?>
<formControlPr xmlns="http://schemas.microsoft.com/office/spreadsheetml/2009/9/main" objectType="CheckBox" fmlaLink="feed_prog_agri_fishery_usedfp_yes_fundsource_others" lockText="1" noThreeD="1"/>
</file>

<file path=xl/ctrlProps/ctrlProp293.xml><?xml version="1.0" encoding="utf-8"?>
<formControlPr xmlns="http://schemas.microsoft.com/office/spreadsheetml/2009/9/main" objectType="CheckBox" fmlaLink="food_hndlg_canteen_mngd_sch_personnel_health_cert_yes" lockText="1" noThreeD="1"/>
</file>

<file path=xl/ctrlProps/ctrlProp294.xml><?xml version="1.0" encoding="utf-8"?>
<formControlPr xmlns="http://schemas.microsoft.com/office/spreadsheetml/2009/9/main" objectType="CheckBox" lockText="1" noThreeD="1"/>
</file>

<file path=xl/ctrlProps/ctrlProp295.xml><?xml version="1.0" encoding="utf-8"?>
<formControlPr xmlns="http://schemas.microsoft.com/office/spreadsheetml/2009/9/main" objectType="CheckBox" checked="Checked" fmlaLink="food_hndlg_canteen_mngd_tchcoop_personnel_health_cert_yes" lockText="1" noThreeD="1"/>
</file>

<file path=xl/ctrlProps/ctrlProp296.xml><?xml version="1.0" encoding="utf-8"?>
<formControlPr xmlns="http://schemas.microsoft.com/office/spreadsheetml/2009/9/main" objectType="CheckBox" lockText="1" noThreeD="1"/>
</file>

<file path=xl/ctrlProps/ctrlProp297.xml><?xml version="1.0" encoding="utf-8"?>
<formControlPr xmlns="http://schemas.microsoft.com/office/spreadsheetml/2009/9/main" objectType="CheckBox" fmlaLink="food_hndlg_canteen_mngd_others_personnel_health_cert_yes" lockText="1" noThreeD="1"/>
</file>

<file path=xl/ctrlProps/ctrlProp298.xml><?xml version="1.0" encoding="utf-8"?>
<formControlPr xmlns="http://schemas.microsoft.com/office/spreadsheetml/2009/9/main" objectType="CheckBox" lockText="1" noThreeD="1"/>
</file>

<file path=xl/ctrlProps/ctrlProp299.xml><?xml version="1.0" encoding="utf-8"?>
<formControlPr xmlns="http://schemas.microsoft.com/office/spreadsheetml/2009/9/main" objectType="CheckBox" fmlaLink="food_hndlg_canteen_mngd_sch" lockText="1" noThreeD="1"/>
</file>

<file path=xl/ctrlProps/ctrlProp300.xml><?xml version="1.0" encoding="utf-8"?>
<formControlPr xmlns="http://schemas.microsoft.com/office/spreadsheetml/2009/9/main" objectType="CheckBox" checked="Checked" fmlaLink="food_hndlg_canteen_mngd_tchcoop" lockText="1" noThreeD="1"/>
</file>

<file path=xl/ctrlProps/ctrlProp301.xml><?xml version="1.0" encoding="utf-8"?>
<formControlPr xmlns="http://schemas.microsoft.com/office/spreadsheetml/2009/9/main" objectType="CheckBox" fmlaLink="food_hndlg_canteen_mngd_others" lockText="1" noThreeD="1"/>
</file>

<file path=xl/ctrlProps/ctrlProp302.xml><?xml version="1.0" encoding="utf-8"?>
<formControlPr xmlns="http://schemas.microsoft.com/office/spreadsheetml/2009/9/main" objectType="CheckBox" checked="Checked" fmlaLink="food_hndlg_canteen_yes" lockText="1" noThreeD="1"/>
</file>

<file path=xl/ctrlProps/ctrlProp303.xml><?xml version="1.0" encoding="utf-8"?>
<formControlPr xmlns="http://schemas.microsoft.com/office/spreadsheetml/2009/9/main" objectType="CheckBox" lockText="1" noThreeD="1"/>
</file>

<file path=xl/ctrlProps/ctrlProp304.xml><?xml version="1.0" encoding="utf-8"?>
<formControlPr xmlns="http://schemas.microsoft.com/office/spreadsheetml/2009/9/main" objectType="CheckBox" checked="Checked" fmlaLink="solidwm_compliant_eswma_yes" lockText="1" noThreeD="1"/>
</file>

<file path=xl/ctrlProps/ctrlProp305.xml><?xml version="1.0" encoding="utf-8"?>
<formControlPr xmlns="http://schemas.microsoft.com/office/spreadsheetml/2009/9/main" objectType="CheckBox" lockText="1" noThreeD="1"/>
</file>

<file path=xl/ctrlProps/ctrlProp306.xml><?xml version="1.0" encoding="utf-8"?>
<formControlPr xmlns="http://schemas.microsoft.com/office/spreadsheetml/2009/9/main" objectType="CheckBox" fmlaLink="solidwm_impl_swm_composting" lockText="1" noThreeD="1"/>
</file>

<file path=xl/ctrlProps/ctrlProp307.xml><?xml version="1.0" encoding="utf-8"?>
<formControlPr xmlns="http://schemas.microsoft.com/office/spreadsheetml/2009/9/main" objectType="CheckBox" fmlaLink="solidwm_impl_swm_des_trash_collect_pt" lockText="1" noThreeD="1"/>
</file>

<file path=xl/ctrlProps/ctrlProp308.xml><?xml version="1.0" encoding="utf-8"?>
<formControlPr xmlns="http://schemas.microsoft.com/office/spreadsheetml/2009/9/main" objectType="CheckBox" fmlaLink="solidwm_impl_swm_poster_slogan_contest" lockText="1" noThreeD="1"/>
</file>

<file path=xl/ctrlProps/ctrlProp309.xml><?xml version="1.0" encoding="utf-8"?>
<formControlPr xmlns="http://schemas.microsoft.com/office/spreadsheetml/2009/9/main" objectType="CheckBox" fmlaLink="solidwm_impl_swm_postsign" lockText="1" noThreeD="1"/>
</file>

<file path=xl/ctrlProps/ctrlProp310.xml><?xml version="1.0" encoding="utf-8"?>
<formControlPr xmlns="http://schemas.microsoft.com/office/spreadsheetml/2009/9/main" objectType="CheckBox" fmlaLink="solidwm_impl_swm_recycling_proj" lockText="1" noThreeD="1"/>
</file>

<file path=xl/ctrlProps/ctrlProp311.xml><?xml version="1.0" encoding="utf-8"?>
<formControlPr xmlns="http://schemas.microsoft.com/office/spreadsheetml/2009/9/main" objectType="CheckBox" fmlaLink="solidwm_impl_swm_schrep_brgy_swmc" lockText="1" noThreeD="1"/>
</file>

<file path=xl/ctrlProps/ctrlProp312.xml><?xml version="1.0" encoding="utf-8"?>
<formControlPr xmlns="http://schemas.microsoft.com/office/spreadsheetml/2009/9/main" objectType="CheckBox" checked="Checked" fmlaLink="solidwm_impl_swm_waste_seg" lockText="1" noThreeD="1"/>
</file>

<file path=xl/ctrlProps/ctrlProp313.xml><?xml version="1.0" encoding="utf-8"?>
<formControlPr xmlns="http://schemas.microsoft.com/office/spreadsheetml/2009/9/main" objectType="CheckBox" fmlaLink="solidwm_impl_swm_use_reusable_food_container" lockText="1" noThreeD="1"/>
</file>

<file path=xl/ctrlProps/ctrlProp314.xml><?xml version="1.0" encoding="utf-8"?>
<formControlPr xmlns="http://schemas.microsoft.com/office/spreadsheetml/2009/9/main" objectType="CheckBox" fmlaLink="solidwm_impl_swm_use_recycled_mtrl" lockText="1" noThreeD="1"/>
</file>

<file path=xl/ctrlProps/ctrlProp315.xml><?xml version="1.0" encoding="utf-8"?>
<formControlPr xmlns="http://schemas.microsoft.com/office/spreadsheetml/2009/9/main" objectType="CheckBox" fmlaLink="solidwm_impl_swm_use_paper_platesncups" lockText="1" noThreeD="1"/>
</file>

<file path=xl/ctrlProps/ctrlProp316.xml><?xml version="1.0" encoding="utf-8"?>
<formControlPr xmlns="http://schemas.microsoft.com/office/spreadsheetml/2009/9/main" objectType="CheckBox" checked="Checked" fmlaLink="stakeholder_impl_swm_brgy" lockText="1" noThreeD="1"/>
</file>

<file path=xl/ctrlProps/ctrlProp317.xml><?xml version="1.0" encoding="utf-8"?>
<formControlPr xmlns="http://schemas.microsoft.com/office/spreadsheetml/2009/9/main" objectType="CheckBox" fmlaLink="stakeholder_impl_swm_comm_lead" lockText="1" noThreeD="1"/>
</file>

<file path=xl/ctrlProps/ctrlProp318.xml><?xml version="1.0" encoding="utf-8"?>
<formControlPr xmlns="http://schemas.microsoft.com/office/spreadsheetml/2009/9/main" objectType="CheckBox" fmlaLink="stakeholder_impl_swm_loc_business_partners" lockText="1" noThreeD="1"/>
</file>

<file path=xl/ctrlProps/ctrlProp319.xml><?xml version="1.0" encoding="utf-8"?>
<formControlPr xmlns="http://schemas.microsoft.com/office/spreadsheetml/2009/9/main" objectType="CheckBox" checked="Checked" fmlaLink="stakeholder_impl_swm_mun_city" lockText="1" noThreeD="1"/>
</file>

<file path=xl/ctrlProps/ctrlProp320.xml><?xml version="1.0" encoding="utf-8"?>
<formControlPr xmlns="http://schemas.microsoft.com/office/spreadsheetml/2009/9/main" objectType="CheckBox" fmlaLink="stakeholder_impl_swm_parents" lockText="1" noThreeD="1"/>
</file>

<file path=xl/ctrlProps/ctrlProp321.xml><?xml version="1.0" encoding="utf-8"?>
<formControlPr xmlns="http://schemas.microsoft.com/office/spreadsheetml/2009/9/main" objectType="CheckBox" fmlaLink="opmaintsanitfac_sanitfacclean_once_wk" lockText="1" noThreeD="1"/>
</file>

<file path=xl/ctrlProps/ctrlProp322.xml><?xml version="1.0" encoding="utf-8"?>
<formControlPr xmlns="http://schemas.microsoft.com/office/spreadsheetml/2009/9/main" objectType="CheckBox" fmlaLink="opmaintsanitfac_sanitfacclean_less_once_wk" lockText="1" noThreeD="1"/>
</file>

<file path=xl/ctrlProps/ctrlProp323.xml><?xml version="1.0" encoding="utf-8"?>
<formControlPr xmlns="http://schemas.microsoft.com/office/spreadsheetml/2009/9/main" objectType="CheckBox" checked="Checked" fmlaLink="opmaintsanitfac_sanitfacclean_daily" lockText="1" noThreeD="1"/>
</file>

<file path=xl/ctrlProps/ctrlProp324.xml><?xml version="1.0" encoding="utf-8"?>
<formControlPr xmlns="http://schemas.microsoft.com/office/spreadsheetml/2009/9/main" objectType="CheckBox" fmlaLink="opmaintsanitfac_sanitfacclean_atleast_twice_wk" lockText="1" noThreeD="1"/>
</file>

<file path=xl/ctrlProps/ctrlProp325.xml><?xml version="1.0" encoding="utf-8"?>
<formControlPr xmlns="http://schemas.microsoft.com/office/spreadsheetml/2009/9/main" objectType="CheckBox" checked="Checked" fmlaLink="opmaintsanitfac_sanitfacclean_pay_mthly_bills_schmooe" lockText="1" noThreeD="1"/>
</file>

<file path=xl/ctrlProps/ctrlProp326.xml><?xml version="1.0" encoding="utf-8"?>
<formControlPr xmlns="http://schemas.microsoft.com/office/spreadsheetml/2009/9/main" objectType="CheckBox" fmlaLink="opmaintsanitfac_sanitfacclean_pay_mthly_bills_lgu" lockText="1" noThreeD="1"/>
</file>

<file path=xl/ctrlProps/ctrlProp327.xml><?xml version="1.0" encoding="utf-8"?>
<formControlPr xmlns="http://schemas.microsoft.com/office/spreadsheetml/2009/9/main" objectType="CheckBox" fmlaLink="opmaintsanitfac_sanitfacclean_pay_mthly_bills_pta" lockText="1" noThreeD="1"/>
</file>

<file path=xl/ctrlProps/ctrlProp328.xml><?xml version="1.0" encoding="utf-8"?>
<formControlPr xmlns="http://schemas.microsoft.com/office/spreadsheetml/2009/9/main" objectType="CheckBox" fmlaLink="opmaintsanitfac_sanitfacclean_pay_mthly_bills_canteen" lockText="1" noThreeD="1"/>
</file>

<file path=xl/ctrlProps/ctrlProp329.xml><?xml version="1.0" encoding="utf-8"?>
<formControlPr xmlns="http://schemas.microsoft.com/office/spreadsheetml/2009/9/main" objectType="CheckBox" fmlaLink="opmaintsanitfac_sanitfacclean_pay_mthly_bills_private" lockText="1" noThreeD="1"/>
</file>

<file path=xl/ctrlProps/ctrlProp330.xml><?xml version="1.0" encoding="utf-8"?>
<formControlPr xmlns="http://schemas.microsoft.com/office/spreadsheetml/2009/9/main" objectType="CheckBox" fmlaLink="opmaintsanitfac_sanitfacclean_pay_mthly_bills_others" lockText="1" noThreeD="1"/>
</file>

<file path=xl/ctrlProps/ctrlProp331.xml><?xml version="1.0" encoding="utf-8"?>
<formControlPr xmlns="http://schemas.microsoft.com/office/spreadsheetml/2009/9/main" objectType="CheckBox" checked="Checked" fmlaLink="menshygiene_avail_sanpads_yes" lockText="1" noThreeD="1"/>
</file>

<file path=xl/ctrlProps/ctrlProp332.xml><?xml version="1.0" encoding="utf-8"?>
<formControlPr xmlns="http://schemas.microsoft.com/office/spreadsheetml/2009/9/main" objectType="CheckBox" lockText="1" noThreeD="1"/>
</file>

<file path=xl/ctrlProps/ctrlProp333.xml><?xml version="1.0" encoding="utf-8"?>
<formControlPr xmlns="http://schemas.microsoft.com/office/spreadsheetml/2009/9/main" objectType="CheckBox" checked="Checked" fmlaLink="menshygiene_avail_sanpads_yes_canteen" lockText="1" noThreeD="1"/>
</file>

<file path=xl/ctrlProps/ctrlProp334.xml><?xml version="1.0" encoding="utf-8"?>
<formControlPr xmlns="http://schemas.microsoft.com/office/spreadsheetml/2009/9/main" objectType="CheckBox" checked="Checked" fmlaLink="menshygiene_avail_sanpads_yes_clinic" lockText="1" noThreeD="1"/>
</file>

<file path=xl/ctrlProps/ctrlProp335.xml><?xml version="1.0" encoding="utf-8"?>
<formControlPr xmlns="http://schemas.microsoft.com/office/spreadsheetml/2009/9/main" objectType="CheckBox" fmlaLink="menshygiene_avail_sanpads_yes_guidance_ofc" lockText="1" noThreeD="1"/>
</file>

<file path=xl/ctrlProps/ctrlProp336.xml><?xml version="1.0" encoding="utf-8"?>
<formControlPr xmlns="http://schemas.microsoft.com/office/spreadsheetml/2009/9/main" objectType="CheckBox" fmlaLink="menshygiene_avail_sanpads_yes_others" lockText="1" noThreeD="1"/>
</file>

<file path=xl/ctrlProps/ctrlProp337.xml><?xml version="1.0" encoding="utf-8"?>
<formControlPr xmlns="http://schemas.microsoft.com/office/spreadsheetml/2009/9/main" objectType="CheckBox" checked="Checked" fmlaLink="sch_childprotect_yes" lockText="1" noThreeD="1"/>
</file>

<file path=xl/ctrlProps/ctrlProp338.xml><?xml version="1.0" encoding="utf-8"?>
<formControlPr xmlns="http://schemas.microsoft.com/office/spreadsheetml/2009/9/main" objectType="CheckBox" fmlaLink="sch_childprotect_monthly" lockText="1" noThreeD="1"/>
</file>

<file path=xl/ctrlProps/ctrlProp339.xml><?xml version="1.0" encoding="utf-8"?>
<formControlPr xmlns="http://schemas.microsoft.com/office/spreadsheetml/2009/9/main" objectType="CheckBox" lockText="1" noThreeD="1"/>
</file>

<file path=xl/ctrlProps/ctrlProp340.xml><?xml version="1.0" encoding="utf-8"?>
<formControlPr xmlns="http://schemas.microsoft.com/office/spreadsheetml/2009/9/main" objectType="CheckBox" fmlaLink="sch_childprotect_quarterly" lockText="1" noThreeD="1"/>
</file>

<file path=xl/ctrlProps/ctrlProp341.xml><?xml version="1.0" encoding="utf-8"?>
<formControlPr xmlns="http://schemas.microsoft.com/office/spreadsheetml/2009/9/main" objectType="CheckBox" checked="Checked" fmlaLink="sch_childprotect_annually" lockText="1" noThreeD="1"/>
</file>

<file path=xl/ctrlProps/ctrlProp342.xml><?xml version="1.0" encoding="utf-8"?>
<formControlPr xmlns="http://schemas.microsoft.com/office/spreadsheetml/2009/9/main" objectType="CheckBox" checked="Checked" fmlaLink="sch_childprotect_others" lockText="1" noThreeD="1"/>
</file>

<file path=xl/ctrlProps/ctrlProp343.xml><?xml version="1.0" encoding="utf-8"?>
<formControlPr xmlns="http://schemas.microsoft.com/office/spreadsheetml/2009/9/main" objectType="CheckBox" checked="Checked" fmlaLink="sch_childprotect_scc" lockText="1" noThreeD="1"/>
</file>

<file path=xl/ctrlProps/ctrlProp344.xml><?xml version="1.0" encoding="utf-8"?>
<formControlPr xmlns="http://schemas.microsoft.com/office/spreadsheetml/2009/9/main" objectType="CheckBox" lockText="1" noThreeD="1"/>
</file>

<file path=xl/ctrlProps/ctrlProp345.xml><?xml version="1.0" encoding="utf-8"?>
<formControlPr xmlns="http://schemas.microsoft.com/office/spreadsheetml/2009/9/main" objectType="CheckBox" fmlaLink="avail_sp_sportsevent_archery" lockText="1" noThreeD="1"/>
</file>

<file path=xl/ctrlProps/ctrlProp346.xml><?xml version="1.0" encoding="utf-8"?>
<formControlPr xmlns="http://schemas.microsoft.com/office/spreadsheetml/2009/9/main" objectType="CheckBox" fmlaLink="avail_sp_sportsclub_archery" lockText="1" noThreeD="1"/>
</file>

<file path=xl/ctrlProps/ctrlProp347.xml><?xml version="1.0" encoding="utf-8"?>
<formControlPr xmlns="http://schemas.microsoft.com/office/spreadsheetml/2009/9/main" objectType="CheckBox" checked="Checked" fmlaLink="avail_sp_sportsevent_arnis" lockText="1" noThreeD="1"/>
</file>

<file path=xl/ctrlProps/ctrlProp348.xml><?xml version="1.0" encoding="utf-8"?>
<formControlPr xmlns="http://schemas.microsoft.com/office/spreadsheetml/2009/9/main" objectType="CheckBox" fmlaLink="avail_sp_sportsevent_athlthrow" lockText="1" noThreeD="1"/>
</file>

<file path=xl/ctrlProps/ctrlProp349.xml><?xml version="1.0" encoding="utf-8"?>
<formControlPr xmlns="http://schemas.microsoft.com/office/spreadsheetml/2009/9/main" objectType="CheckBox" fmlaLink="avail_sp_sportsevent_athlrun" lockText="1" noThreeD="1"/>
</file>

<file path=xl/ctrlProps/ctrlProp350.xml><?xml version="1.0" encoding="utf-8"?>
<formControlPr xmlns="http://schemas.microsoft.com/office/spreadsheetml/2009/9/main" objectType="CheckBox" fmlaLink="avail_sp_sportsevent_badminton" lockText="1" noThreeD="1"/>
</file>

<file path=xl/ctrlProps/ctrlProp351.xml><?xml version="1.0" encoding="utf-8"?>
<formControlPr xmlns="http://schemas.microsoft.com/office/spreadsheetml/2009/9/main" objectType="CheckBox" fmlaLink="avail_sp_sportsevent_basketball" lockText="1" noThreeD="1"/>
</file>

<file path=xl/ctrlProps/ctrlProp352.xml><?xml version="1.0" encoding="utf-8"?>
<formControlPr xmlns="http://schemas.microsoft.com/office/spreadsheetml/2009/9/main" objectType="CheckBox" fmlaLink="avail_sp_sportsevent_baseball" lockText="1" noThreeD="1"/>
</file>

<file path=xl/ctrlProps/ctrlProp353.xml><?xml version="1.0" encoding="utf-8"?>
<formControlPr xmlns="http://schemas.microsoft.com/office/spreadsheetml/2009/9/main" objectType="CheckBox" fmlaLink="avail_sp_sportsevent_billard" lockText="1" noThreeD="1"/>
</file>

<file path=xl/ctrlProps/ctrlProp354.xml><?xml version="1.0" encoding="utf-8"?>
<formControlPr xmlns="http://schemas.microsoft.com/office/spreadsheetml/2009/9/main" objectType="CheckBox" fmlaLink="avail_sp_sportsevent_boxing" lockText="1" noThreeD="1"/>
</file>

<file path=xl/ctrlProps/ctrlProp355.xml><?xml version="1.0" encoding="utf-8"?>
<formControlPr xmlns="http://schemas.microsoft.com/office/spreadsheetml/2009/9/main" objectType="CheckBox" fmlaLink="avail_sp_sportsevent_chess" lockText="1" noThreeD="1"/>
</file>

<file path=xl/ctrlProps/ctrlProp356.xml><?xml version="1.0" encoding="utf-8"?>
<formControlPr xmlns="http://schemas.microsoft.com/office/spreadsheetml/2009/9/main" objectType="CheckBox" checked="Checked" fmlaLink="avail_sp_sportsevent_dancesports" lockText="1" noThreeD="1"/>
</file>

<file path=xl/ctrlProps/ctrlProp357.xml><?xml version="1.0" encoding="utf-8"?>
<formControlPr xmlns="http://schemas.microsoft.com/office/spreadsheetml/2009/9/main" objectType="CheckBox" fmlaLink="avail_sp_sportsevent_football" lockText="1" noThreeD="1"/>
</file>

<file path=xl/ctrlProps/ctrlProp358.xml><?xml version="1.0" encoding="utf-8"?>
<formControlPr xmlns="http://schemas.microsoft.com/office/spreadsheetml/2009/9/main" objectType="CheckBox" fmlaLink="avail_sp_sportsevent_futsal" lockText="1" noThreeD="1"/>
</file>

<file path=xl/ctrlProps/ctrlProp359.xml><?xml version="1.0" encoding="utf-8"?>
<formControlPr xmlns="http://schemas.microsoft.com/office/spreadsheetml/2009/9/main" objectType="CheckBox" fmlaLink="avail_sp_sportsevent_aerogymn" lockText="1" noThreeD="1"/>
</file>

<file path=xl/ctrlProps/ctrlProp360.xml><?xml version="1.0" encoding="utf-8"?>
<formControlPr xmlns="http://schemas.microsoft.com/office/spreadsheetml/2009/9/main" objectType="CheckBox" fmlaLink="avail_sp_sportsevent_mag" lockText="1" noThreeD="1"/>
</file>

<file path=xl/ctrlProps/ctrlProp361.xml><?xml version="1.0" encoding="utf-8"?>
<formControlPr xmlns="http://schemas.microsoft.com/office/spreadsheetml/2009/9/main" objectType="CheckBox" fmlaLink="avail_sp_sportsevent_goalball" lockText="1" noThreeD="1"/>
</file>

<file path=xl/ctrlProps/ctrlProp362.xml><?xml version="1.0" encoding="utf-8"?>
<formControlPr xmlns="http://schemas.microsoft.com/office/spreadsheetml/2009/9/main" objectType="CheckBox" fmlaLink="avail_sp_sportsclub_goalball" lockText="1" noThreeD="1"/>
</file>

<file path=xl/ctrlProps/ctrlProp363.xml><?xml version="1.0" encoding="utf-8"?>
<formControlPr xmlns="http://schemas.microsoft.com/office/spreadsheetml/2009/9/main" objectType="CheckBox" fmlaLink="avail_sp_sportsfac_goalball" lockText="1" noThreeD="1"/>
</file>

<file path=xl/ctrlProps/ctrlProp364.xml><?xml version="1.0" encoding="utf-8"?>
<formControlPr xmlns="http://schemas.microsoft.com/office/spreadsheetml/2009/9/main" objectType="CheckBox" fmlaLink="avail_sp_sportsevent_bocce" lockText="1" noThreeD="1"/>
</file>

<file path=xl/ctrlProps/ctrlProp365.xml><?xml version="1.0" encoding="utf-8"?>
<formControlPr xmlns="http://schemas.microsoft.com/office/spreadsheetml/2009/9/main" objectType="CheckBox" fmlaLink="avail_sp_sportsclub_bocce" lockText="1" noThreeD="1"/>
</file>

<file path=xl/ctrlProps/ctrlProp366.xml><?xml version="1.0" encoding="utf-8"?>
<formControlPr xmlns="http://schemas.microsoft.com/office/spreadsheetml/2009/9/main" objectType="CheckBox" fmlaLink="avail_sp_sportsfac_bocce" lockText="1" noThreeD="1"/>
</file>

<file path=xl/ctrlProps/ctrlProp367.xml><?xml version="1.0" encoding="utf-8"?>
<formControlPr xmlns="http://schemas.microsoft.com/office/spreadsheetml/2009/9/main" objectType="CheckBox" fmlaLink="avail_sp_sportsevent_wushu" lockText="1" noThreeD="1"/>
</file>

<file path=xl/ctrlProps/ctrlProp368.xml><?xml version="1.0" encoding="utf-8"?>
<formControlPr xmlns="http://schemas.microsoft.com/office/spreadsheetml/2009/9/main" objectType="CheckBox" fmlaLink="avail_sp_sportsclub_wushu" lockText="1" noThreeD="1"/>
</file>

<file path=xl/ctrlProps/ctrlProp369.xml><?xml version="1.0" encoding="utf-8"?>
<formControlPr xmlns="http://schemas.microsoft.com/office/spreadsheetml/2009/9/main" objectType="CheckBox" fmlaLink="avail_sp_sportsfac_wushu" lockText="1" noThreeD="1"/>
</file>

<file path=xl/ctrlProps/ctrlProp370.xml><?xml version="1.0" encoding="utf-8"?>
<formControlPr xmlns="http://schemas.microsoft.com/office/spreadsheetml/2009/9/main" objectType="CheckBox" fmlaLink="avail_sp_sportsevent_wrestling" lockText="1" noThreeD="1"/>
</file>

<file path=xl/ctrlProps/ctrlProp371.xml><?xml version="1.0" encoding="utf-8"?>
<formControlPr xmlns="http://schemas.microsoft.com/office/spreadsheetml/2009/9/main" objectType="CheckBox" fmlaLink="avail_sp_sportsclub_wrestling" lockText="1" noThreeD="1"/>
</file>

<file path=xl/ctrlProps/ctrlProp372.xml><?xml version="1.0" encoding="utf-8"?>
<formControlPr xmlns="http://schemas.microsoft.com/office/spreadsheetml/2009/9/main" objectType="CheckBox" fmlaLink="avail_sp_sportsfac_wrestling" lockText="1" noThreeD="1"/>
</file>

<file path=xl/ctrlProps/ctrlProp373.xml><?xml version="1.0" encoding="utf-8"?>
<formControlPr xmlns="http://schemas.microsoft.com/office/spreadsheetml/2009/9/main" objectType="CheckBox" fmlaLink="avail_sp_sportsevent_volleyball" lockText="1" noThreeD="1"/>
</file>

<file path=xl/ctrlProps/ctrlProp374.xml><?xml version="1.0" encoding="utf-8"?>
<formControlPr xmlns="http://schemas.microsoft.com/office/spreadsheetml/2009/9/main" objectType="CheckBox" fmlaLink="avail_sp_sportsclub_volleyball" lockText="1" noThreeD="1"/>
</file>

<file path=xl/ctrlProps/ctrlProp375.xml><?xml version="1.0" encoding="utf-8"?>
<formControlPr xmlns="http://schemas.microsoft.com/office/spreadsheetml/2009/9/main" objectType="CheckBox" fmlaLink="avail_sp_sportsfac_volleyball" lockText="1" noThreeD="1"/>
</file>

<file path=xl/ctrlProps/ctrlProp376.xml><?xml version="1.0" encoding="utf-8"?>
<formControlPr xmlns="http://schemas.microsoft.com/office/spreadsheetml/2009/9/main" objectType="CheckBox" fmlaLink="avail_sp_sportsevent_tennis" lockText="1" noThreeD="1"/>
</file>

<file path=xl/ctrlProps/ctrlProp377.xml><?xml version="1.0" encoding="utf-8"?>
<formControlPr xmlns="http://schemas.microsoft.com/office/spreadsheetml/2009/9/main" objectType="CheckBox" fmlaLink="avail_sp_sportsclub_tennis" lockText="1" noThreeD="1"/>
</file>

<file path=xl/ctrlProps/ctrlProp378.xml><?xml version="1.0" encoding="utf-8"?>
<formControlPr xmlns="http://schemas.microsoft.com/office/spreadsheetml/2009/9/main" objectType="CheckBox" fmlaLink="avail_sp_sportsfac_tennis" lockText="1" noThreeD="1"/>
</file>

<file path=xl/ctrlProps/ctrlProp379.xml><?xml version="1.0" encoding="utf-8"?>
<formControlPr xmlns="http://schemas.microsoft.com/office/spreadsheetml/2009/9/main" objectType="CheckBox" fmlaLink="avail_sp_sportsevent_taekwondo" lockText="1" noThreeD="1"/>
</file>

<file path=xl/ctrlProps/ctrlProp380.xml><?xml version="1.0" encoding="utf-8"?>
<formControlPr xmlns="http://schemas.microsoft.com/office/spreadsheetml/2009/9/main" objectType="CheckBox" fmlaLink="avail_sp_sportsclub_taekwondo" lockText="1" noThreeD="1"/>
</file>

<file path=xl/ctrlProps/ctrlProp381.xml><?xml version="1.0" encoding="utf-8"?>
<formControlPr xmlns="http://schemas.microsoft.com/office/spreadsheetml/2009/9/main" objectType="CheckBox" fmlaLink="avail_sp_sportsfac_taekwondo" lockText="1" noThreeD="1"/>
</file>

<file path=xl/ctrlProps/ctrlProp382.xml><?xml version="1.0" encoding="utf-8"?>
<formControlPr xmlns="http://schemas.microsoft.com/office/spreadsheetml/2009/9/main" objectType="CheckBox" fmlaLink="avail_sp_sportsevent_tabletennis" lockText="1" noThreeD="1"/>
</file>

<file path=xl/ctrlProps/ctrlProp383.xml><?xml version="1.0" encoding="utf-8"?>
<formControlPr xmlns="http://schemas.microsoft.com/office/spreadsheetml/2009/9/main" objectType="CheckBox" fmlaLink="avail_sp_sportsclub_tabletennis" lockText="1" noThreeD="1"/>
</file>

<file path=xl/ctrlProps/ctrlProp384.xml><?xml version="1.0" encoding="utf-8"?>
<formControlPr xmlns="http://schemas.microsoft.com/office/spreadsheetml/2009/9/main" objectType="CheckBox" fmlaLink="avail_sp_sportsfac_tabletennis" lockText="1" noThreeD="1"/>
</file>

<file path=xl/ctrlProps/ctrlProp385.xml><?xml version="1.0" encoding="utf-8"?>
<formControlPr xmlns="http://schemas.microsoft.com/office/spreadsheetml/2009/9/main" objectType="CheckBox" fmlaLink="avail_sp_sportsevent_swimming" lockText="1" noThreeD="1"/>
</file>

<file path=xl/ctrlProps/ctrlProp386.xml><?xml version="1.0" encoding="utf-8"?>
<formControlPr xmlns="http://schemas.microsoft.com/office/spreadsheetml/2009/9/main" objectType="CheckBox" fmlaLink="avail_sp_sportsclub_swimming" lockText="1" noThreeD="1"/>
</file>

<file path=xl/ctrlProps/ctrlProp387.xml><?xml version="1.0" encoding="utf-8"?>
<formControlPr xmlns="http://schemas.microsoft.com/office/spreadsheetml/2009/9/main" objectType="CheckBox" fmlaLink="avail_sp_sportsfac_swimming" lockText="1" noThreeD="1"/>
</file>

<file path=xl/ctrlProps/ctrlProp388.xml><?xml version="1.0" encoding="utf-8"?>
<formControlPr xmlns="http://schemas.microsoft.com/office/spreadsheetml/2009/9/main" objectType="CheckBox" fmlaLink="avail_sp_sportsevent_softball" lockText="1" noThreeD="1"/>
</file>

<file path=xl/ctrlProps/ctrlProp389.xml><?xml version="1.0" encoding="utf-8"?>
<formControlPr xmlns="http://schemas.microsoft.com/office/spreadsheetml/2009/9/main" objectType="CheckBox" fmlaLink="avail_sp_sportsclub_softball" lockText="1" noThreeD="1"/>
</file>

<file path=xl/ctrlProps/ctrlProp390.xml><?xml version="1.0" encoding="utf-8"?>
<formControlPr xmlns="http://schemas.microsoft.com/office/spreadsheetml/2009/9/main" objectType="CheckBox" fmlaLink="avail_sp_sportsfac_softball" lockText="1" noThreeD="1"/>
</file>

<file path=xl/ctrlProps/ctrlProp391.xml><?xml version="1.0" encoding="utf-8"?>
<formControlPr xmlns="http://schemas.microsoft.com/office/spreadsheetml/2009/9/main" objectType="CheckBox" checked="Checked" fmlaLink="avail_sp_sportsevent_sepaktakraw" lockText="1" noThreeD="1"/>
</file>

<file path=xl/ctrlProps/ctrlProp392.xml><?xml version="1.0" encoding="utf-8"?>
<formControlPr xmlns="http://schemas.microsoft.com/office/spreadsheetml/2009/9/main" objectType="CheckBox" checked="Checked" fmlaLink="avail_sp_sportsclub_sepaktakraw" lockText="1" noThreeD="1"/>
</file>

<file path=xl/ctrlProps/ctrlProp393.xml><?xml version="1.0" encoding="utf-8"?>
<formControlPr xmlns="http://schemas.microsoft.com/office/spreadsheetml/2009/9/main" objectType="CheckBox" checked="Checked" fmlaLink="avail_sp_sportsfac_sepaktakraw" lockText="1" noThreeD="1"/>
</file>

<file path=xl/ctrlProps/ctrlProp394.xml><?xml version="1.0" encoding="utf-8"?>
<formControlPr xmlns="http://schemas.microsoft.com/office/spreadsheetml/2009/9/main" objectType="CheckBox" fmlaLink="avail_sp_sportsevent_pencaksilat" lockText="1" noThreeD="1"/>
</file>

<file path=xl/ctrlProps/ctrlProp395.xml><?xml version="1.0" encoding="utf-8"?>
<formControlPr xmlns="http://schemas.microsoft.com/office/spreadsheetml/2009/9/main" objectType="CheckBox" fmlaLink="avail_sp_sportsclub_pencaksilat" lockText="1" noThreeD="1"/>
</file>

<file path=xl/ctrlProps/ctrlProp396.xml><?xml version="1.0" encoding="utf-8"?>
<formControlPr xmlns="http://schemas.microsoft.com/office/spreadsheetml/2009/9/main" objectType="CheckBox" fmlaLink="avail_sp_sportsfac_pencaksilat" lockText="1" noThreeD="1"/>
</file>

<file path=xl/ctrlProps/ctrlProp397.xml><?xml version="1.0" encoding="utf-8"?>
<formControlPr xmlns="http://schemas.microsoft.com/office/spreadsheetml/2009/9/main" objectType="CheckBox" fmlaLink="avail_sp_sportsevent_rg" lockText="1" noThreeD="1"/>
</file>

<file path=xl/ctrlProps/ctrlProp398.xml><?xml version="1.0" encoding="utf-8"?>
<formControlPr xmlns="http://schemas.microsoft.com/office/spreadsheetml/2009/9/main" objectType="CheckBox" fmlaLink="avail_sp_sportsclub_rg" lockText="1" noThreeD="1"/>
</file>

<file path=xl/ctrlProps/ctrlProp399.xml><?xml version="1.0" encoding="utf-8"?>
<formControlPr xmlns="http://schemas.microsoft.com/office/spreadsheetml/2009/9/main" objectType="CheckBox" fmlaLink="avail_sp_sportsfac_rg" lockText="1" noThreeD="1"/>
</file>

<file path=xl/ctrlProps/ctrlProp400.xml><?xml version="1.0" encoding="utf-8"?>
<formControlPr xmlns="http://schemas.microsoft.com/office/spreadsheetml/2009/9/main" objectType="CheckBox" fmlaLink="avail_sp_sportsevent_wag" lockText="1" noThreeD="1"/>
</file>

<file path=xl/ctrlProps/ctrlProp401.xml><?xml version="1.0" encoding="utf-8"?>
<formControlPr xmlns="http://schemas.microsoft.com/office/spreadsheetml/2009/9/main" objectType="CheckBox" fmlaLink="avail_sp_sportsclub_wag" lockText="1" noThreeD="1"/>
</file>

<file path=xl/ctrlProps/ctrlProp402.xml><?xml version="1.0" encoding="utf-8"?>
<formControlPr xmlns="http://schemas.microsoft.com/office/spreadsheetml/2009/9/main" objectType="CheckBox" fmlaLink="avail_sp_sportsfac_wag" lockText="1" noThreeD="1"/>
</file>

<file path=xl/ctrlProps/ctrlProp403.xml><?xml version="1.0" encoding="utf-8"?>
<formControlPr xmlns="http://schemas.microsoft.com/office/spreadsheetml/2009/9/main" objectType="CheckBox" fmlaLink="avail_sp_sportsfac_archery" lockText="1" noThreeD="1"/>
</file>

<file path=xl/ctrlProps/ctrlProp404.xml><?xml version="1.0" encoding="utf-8"?>
<formControlPr xmlns="http://schemas.microsoft.com/office/spreadsheetml/2009/9/main" objectType="CheckBox" checked="Checked" fmlaLink="avail_sp_sportsfac_arnis" lockText="1" noThreeD="1"/>
</file>

<file path=xl/ctrlProps/ctrlProp405.xml><?xml version="1.0" encoding="utf-8"?>
<formControlPr xmlns="http://schemas.microsoft.com/office/spreadsheetml/2009/9/main" objectType="CheckBox" fmlaLink="avail_sp_sportsfac_athlthrow" lockText="1" noThreeD="1"/>
</file>

<file path=xl/ctrlProps/ctrlProp406.xml><?xml version="1.0" encoding="utf-8"?>
<formControlPr xmlns="http://schemas.microsoft.com/office/spreadsheetml/2009/9/main" objectType="CheckBox" fmlaLink="avail_sp_sportsfac_athlrun" lockText="1" noThreeD="1"/>
</file>

<file path=xl/ctrlProps/ctrlProp407.xml><?xml version="1.0" encoding="utf-8"?>
<formControlPr xmlns="http://schemas.microsoft.com/office/spreadsheetml/2009/9/main" objectType="CheckBox" fmlaLink="avail_sp_sportsfac_badminton" lockText="1" noThreeD="1"/>
</file>

<file path=xl/ctrlProps/ctrlProp408.xml><?xml version="1.0" encoding="utf-8"?>
<formControlPr xmlns="http://schemas.microsoft.com/office/spreadsheetml/2009/9/main" objectType="CheckBox" fmlaLink="avail_sp_sportsfac_basketball" lockText="1" noThreeD="1"/>
</file>

<file path=xl/ctrlProps/ctrlProp409.xml><?xml version="1.0" encoding="utf-8"?>
<formControlPr xmlns="http://schemas.microsoft.com/office/spreadsheetml/2009/9/main" objectType="CheckBox" fmlaLink="avail_sp_sportsfac_baseball" lockText="1" noThreeD="1"/>
</file>

<file path=xl/ctrlProps/ctrlProp410.xml><?xml version="1.0" encoding="utf-8"?>
<formControlPr xmlns="http://schemas.microsoft.com/office/spreadsheetml/2009/9/main" objectType="CheckBox" fmlaLink="avail_sp_sportsfac_billard" lockText="1" noThreeD="1"/>
</file>

<file path=xl/ctrlProps/ctrlProp411.xml><?xml version="1.0" encoding="utf-8"?>
<formControlPr xmlns="http://schemas.microsoft.com/office/spreadsheetml/2009/9/main" objectType="CheckBox" fmlaLink="avail_sp_sportsfac_boxing" lockText="1" noThreeD="1"/>
</file>

<file path=xl/ctrlProps/ctrlProp412.xml><?xml version="1.0" encoding="utf-8"?>
<formControlPr xmlns="http://schemas.microsoft.com/office/spreadsheetml/2009/9/main" objectType="CheckBox" fmlaLink="avail_sp_sportsfac_chess" lockText="1" noThreeD="1"/>
</file>

<file path=xl/ctrlProps/ctrlProp413.xml><?xml version="1.0" encoding="utf-8"?>
<formControlPr xmlns="http://schemas.microsoft.com/office/spreadsheetml/2009/9/main" objectType="CheckBox" fmlaLink="avail_sp_sportsfac_dancesports" lockText="1" noThreeD="1"/>
</file>

<file path=xl/ctrlProps/ctrlProp414.xml><?xml version="1.0" encoding="utf-8"?>
<formControlPr xmlns="http://schemas.microsoft.com/office/spreadsheetml/2009/9/main" objectType="CheckBox" fmlaLink="avail_sp_sportsfac_football" lockText="1" noThreeD="1"/>
</file>

<file path=xl/ctrlProps/ctrlProp415.xml><?xml version="1.0" encoding="utf-8"?>
<formControlPr xmlns="http://schemas.microsoft.com/office/spreadsheetml/2009/9/main" objectType="CheckBox" fmlaLink="avail_sp_sportsfac_futsal" lockText="1" noThreeD="1"/>
</file>

<file path=xl/ctrlProps/ctrlProp416.xml><?xml version="1.0" encoding="utf-8"?>
<formControlPr xmlns="http://schemas.microsoft.com/office/spreadsheetml/2009/9/main" objectType="CheckBox" fmlaLink="avail_sp_sportsfac_aerogymn" lockText="1" noThreeD="1"/>
</file>

<file path=xl/ctrlProps/ctrlProp417.xml><?xml version="1.0" encoding="utf-8"?>
<formControlPr xmlns="http://schemas.microsoft.com/office/spreadsheetml/2009/9/main" objectType="CheckBox" fmlaLink="avail_sp_sportsfac_mag" lockText="1" noThreeD="1"/>
</file>

<file path=xl/ctrlProps/ctrlProp418.xml><?xml version="1.0" encoding="utf-8"?>
<formControlPr xmlns="http://schemas.microsoft.com/office/spreadsheetml/2009/9/main" objectType="CheckBox" checked="Checked" fmlaLink="avail_sp_sportsclub_arnis" lockText="1" noThreeD="1"/>
</file>

<file path=xl/ctrlProps/ctrlProp419.xml><?xml version="1.0" encoding="utf-8"?>
<formControlPr xmlns="http://schemas.microsoft.com/office/spreadsheetml/2009/9/main" objectType="CheckBox" fmlaLink="avail_sp_sportsclub_athlthrow" lockText="1" noThreeD="1"/>
</file>

<file path=xl/ctrlProps/ctrlProp420.xml><?xml version="1.0" encoding="utf-8"?>
<formControlPr xmlns="http://schemas.microsoft.com/office/spreadsheetml/2009/9/main" objectType="CheckBox" fmlaLink="avail_sp_sportsclub_athlrun" lockText="1" noThreeD="1"/>
</file>

<file path=xl/ctrlProps/ctrlProp421.xml><?xml version="1.0" encoding="utf-8"?>
<formControlPr xmlns="http://schemas.microsoft.com/office/spreadsheetml/2009/9/main" objectType="CheckBox" fmlaLink="avail_sp_sportsclub_badminton" lockText="1" noThreeD="1"/>
</file>

<file path=xl/ctrlProps/ctrlProp422.xml><?xml version="1.0" encoding="utf-8"?>
<formControlPr xmlns="http://schemas.microsoft.com/office/spreadsheetml/2009/9/main" objectType="CheckBox" fmlaLink="avail_sp_sportsclub_basketball" lockText="1" noThreeD="1"/>
</file>

<file path=xl/ctrlProps/ctrlProp423.xml><?xml version="1.0" encoding="utf-8"?>
<formControlPr xmlns="http://schemas.microsoft.com/office/spreadsheetml/2009/9/main" objectType="CheckBox" fmlaLink="avail_sp_sportsclub_baseball" lockText="1" noThreeD="1"/>
</file>

<file path=xl/ctrlProps/ctrlProp424.xml><?xml version="1.0" encoding="utf-8"?>
<formControlPr xmlns="http://schemas.microsoft.com/office/spreadsheetml/2009/9/main" objectType="CheckBox" fmlaLink="avail_sp_sportsclub_billard" lockText="1" noThreeD="1"/>
</file>

<file path=xl/ctrlProps/ctrlProp425.xml><?xml version="1.0" encoding="utf-8"?>
<formControlPr xmlns="http://schemas.microsoft.com/office/spreadsheetml/2009/9/main" objectType="CheckBox" fmlaLink="avail_sp_sportsclub_boxing" lockText="1" noThreeD="1"/>
</file>

<file path=xl/ctrlProps/ctrlProp426.xml><?xml version="1.0" encoding="utf-8"?>
<formControlPr xmlns="http://schemas.microsoft.com/office/spreadsheetml/2009/9/main" objectType="CheckBox" fmlaLink="avail_sp_sportsclub_chess" lockText="1" noThreeD="1"/>
</file>

<file path=xl/ctrlProps/ctrlProp427.xml><?xml version="1.0" encoding="utf-8"?>
<formControlPr xmlns="http://schemas.microsoft.com/office/spreadsheetml/2009/9/main" objectType="CheckBox" checked="Checked" fmlaLink="avail_sp_sportsclub_dancesports" lockText="1" noThreeD="1"/>
</file>

<file path=xl/ctrlProps/ctrlProp428.xml><?xml version="1.0" encoding="utf-8"?>
<formControlPr xmlns="http://schemas.microsoft.com/office/spreadsheetml/2009/9/main" objectType="CheckBox" fmlaLink="avail_sp_sportsclub_football" lockText="1" noThreeD="1"/>
</file>

<file path=xl/ctrlProps/ctrlProp429.xml><?xml version="1.0" encoding="utf-8"?>
<formControlPr xmlns="http://schemas.microsoft.com/office/spreadsheetml/2009/9/main" objectType="CheckBox" fmlaLink="avail_sp_sportsclub_futsal" lockText="1" noThreeD="1"/>
</file>

<file path=xl/ctrlProps/ctrlProp430.xml><?xml version="1.0" encoding="utf-8"?>
<formControlPr xmlns="http://schemas.microsoft.com/office/spreadsheetml/2009/9/main" objectType="CheckBox" fmlaLink="avail_sp_sportsclub_aerogymn" lockText="1" noThreeD="1"/>
</file>

<file path=xl/ctrlProps/ctrlProp431.xml><?xml version="1.0" encoding="utf-8"?>
<formControlPr xmlns="http://schemas.microsoft.com/office/spreadsheetml/2009/9/main" objectType="CheckBox" fmlaLink="avail_sp_sportsclub_mag" lockText="1" noThreeD="1"/>
</file>

<file path=xl/ctrlProps/ctrlProp432.xml><?xml version="1.0" encoding="utf-8"?>
<formControlPr xmlns="http://schemas.microsoft.com/office/spreadsheetml/2009/9/main" objectType="CheckBox" fmlaLink="jhs_enabling_DO82" lockText="1" noThreeD="1"/>
</file>

<file path=xl/ctrlProps/ctrlProp433.xml><?xml version="1.0" encoding="utf-8"?>
<formControlPr xmlns="http://schemas.microsoft.com/office/spreadsheetml/2009/9/main" objectType="CheckBox" checked="Checked" fmlaLink="jhs_enabling_DO83" lockText="1" noThreeD="1"/>
</file>

<file path=xl/ctrlProps/ctrlProp434.xml><?xml version="1.0" encoding="utf-8"?>
<formControlPr xmlns="http://schemas.microsoft.com/office/spreadsheetml/2009/9/main" objectType="CheckBox" checked="Checked" fmlaLink="jhs_enabling_DO43" lockText="1" noThreeD="1"/>
</file>

<file path=xl/ctrlProps/ctrlProp435.xml><?xml version="1.0" encoding="utf-8"?>
<formControlPr xmlns="http://schemas.microsoft.com/office/spreadsheetml/2009/9/main" objectType="CheckBox" fmlaLink="jhs_enabling_DO21" lockText="1" noThreeD="1"/>
</file>

<file path=xl/ctrlProps/ctrlProp436.xml><?xml version="1.0" encoding="utf-8"?>
<formControlPr xmlns="http://schemas.microsoft.com/office/spreadsheetml/2009/9/main" objectType="CheckBox" fmlaLink="jhs_enabling_DO23" lockText="1" noThreeD="1"/>
</file>

<file path=xl/ctrlProps/ctrlProp437.xml><?xml version="1.0" encoding="utf-8"?>
<formControlPr xmlns="http://schemas.microsoft.com/office/spreadsheetml/2009/9/main" objectType="CheckBox" fmlaLink="jhs_enabling_DO27" lockText="1" noThreeD="1"/>
</file>

<file path=xl/ctrlProps/ctrlProp438.xml><?xml version="1.0" encoding="utf-8"?>
<formControlPr xmlns="http://schemas.microsoft.com/office/spreadsheetml/2009/9/main" objectType="CheckBox" fmlaLink="jhs_enabling_DO37" lockText="1" noThreeD="1"/>
</file>

<file path=xl/ctrlProps/ctrlProp439.xml><?xml version="1.0" encoding="utf-8"?>
<formControlPr xmlns="http://schemas.microsoft.com/office/spreadsheetml/2009/9/main" objectType="CheckBox" fmlaLink="jhs_enabling_DO28" lockText="1" noThreeD="1"/>
</file>

<file path=xl/ctrlProps/ctrlProp440.xml><?xml version="1.0" encoding="utf-8"?>
<formControlPr xmlns="http://schemas.microsoft.com/office/spreadsheetml/2009/9/main" objectType="CheckBox" fmlaLink="jhs_enabling_DO24" lockText="1" noThreeD="1"/>
</file>

<file path=xl/ctrlProps/ctrlProp441.xml><?xml version="1.0" encoding="utf-8"?>
<formControlPr xmlns="http://schemas.microsoft.com/office/spreadsheetml/2009/9/main" objectType="CheckBox" fmlaLink="jhs_enabling_DO33" lockText="1" noThreeD="1"/>
</file>

<file path=xl/ctrlProps/ctrlProp442.xml><?xml version="1.0" encoding="utf-8"?>
<formControlPr xmlns="http://schemas.microsoft.com/office/spreadsheetml/2009/9/main" objectType="CheckBox" checked="Checked" fmlaLink="jhs_enabling_DO84" lockText="1" noThreeD="1"/>
</file>

<file path=xl/ctrlProps/ctrlProp443.xml><?xml version="1.0" encoding="utf-8"?>
<formControlPr xmlns="http://schemas.microsoft.com/office/spreadsheetml/2009/9/main" objectType="CheckBox" checked="Checked" fmlaLink="jhs_enabling_DO44" lockText="1" noThreeD="1"/>
</file>

<file path=xl/ctrlProps/ctrlProp444.xml><?xml version="1.0" encoding="utf-8"?>
<formControlPr xmlns="http://schemas.microsoft.com/office/spreadsheetml/2009/9/main" objectType="CheckBox" checked="Checked" fmlaLink="jhs_enabling_DO40" lockText="1" noThreeD="1"/>
</file>

<file path=xl/ctrlProps/ctrlProp445.xml><?xml version="1.0" encoding="utf-8"?>
<formControlPr xmlns="http://schemas.microsoft.com/office/spreadsheetml/2009/9/main" objectType="CheckBox" fmlaLink="jhs_enabling_DO57" lockText="1" noThreeD="1"/>
</file>

<file path=xl/ctrlProps/ctrlProp446.xml><?xml version="1.0" encoding="utf-8"?>
<formControlPr xmlns="http://schemas.microsoft.com/office/spreadsheetml/2009/9/main" objectType="CheckBox" fmlaLink="jhs_enabling_do32" lockText="1" noThreeD="1"/>
</file>

<file path=xl/ctrlProps/ctrlProp447.xml><?xml version="1.0" encoding="utf-8"?>
<formControlPr xmlns="http://schemas.microsoft.com/office/spreadsheetml/2009/9/main" objectType="CheckBox" fmlaLink="jhs_enabling_DM221" lockText="1" noThreeD="1"/>
</file>

<file path=xl/ctrlProps/ctrlProp448.xml><?xml version="1.0" encoding="utf-8"?>
<formControlPr xmlns="http://schemas.microsoft.com/office/spreadsheetml/2009/9/main" objectType="CheckBox" fmlaLink="jhs_enabling_comprehensiveDRRMplan" lockText="1" noThreeD="1"/>
</file>

<file path=xl/ctrlProps/ctrlProp449.xml><?xml version="1.0" encoding="utf-8"?>
<formControlPr xmlns="http://schemas.microsoft.com/office/spreadsheetml/2009/9/main" objectType="CheckBox" checked="Checked" fmlaLink="jhs_developed_drrm_wpersonnel" lockText="1" noThreeD="1"/>
</file>

<file path=xl/ctrlProps/ctrlProp450.xml><?xml version="1.0" encoding="utf-8"?>
<formControlPr xmlns="http://schemas.microsoft.com/office/spreadsheetml/2009/9/main" objectType="CheckBox" checked="Checked" fmlaLink="jhs_developed_drrm_wparents" lockText="1" noThreeD="1"/>
</file>

<file path=xl/ctrlProps/ctrlProp451.xml><?xml version="1.0" encoding="utf-8"?>
<formControlPr xmlns="http://schemas.microsoft.com/office/spreadsheetml/2009/9/main" objectType="CheckBox" checked="Checked" fmlaLink="jhs_developed_drrm_wlgu" lockText="1" noThreeD="1"/>
</file>

<file path=xl/ctrlProps/ctrlProp452.xml><?xml version="1.0" encoding="utf-8"?>
<formControlPr xmlns="http://schemas.microsoft.com/office/spreadsheetml/2009/9/main" objectType="CheckBox" checked="Checked" fmlaLink="jhs_developed_drrm_wpartners" lockText="1" noThreeD="1"/>
</file>

<file path=xl/ctrlProps/ctrlProp453.xml><?xml version="1.0" encoding="utf-8"?>
<formControlPr xmlns="http://schemas.microsoft.com/office/spreadsheetml/2009/9/main" objectType="CheckBox" fmlaLink="jhs_considers_LWD" lockText="1" noThreeD="1"/>
</file>

<file path=xl/ctrlProps/ctrlProp454.xml><?xml version="1.0" encoding="utf-8"?>
<formControlPr xmlns="http://schemas.microsoft.com/office/spreadsheetml/2009/9/main" objectType="CheckBox" fmlaLink="jhs_considers_IKSP" lockText="1" noThreeD="1"/>
</file>

<file path=xl/ctrlProps/ctrlProp455.xml><?xml version="1.0" encoding="utf-8"?>
<formControlPr xmlns="http://schemas.microsoft.com/office/spreadsheetml/2009/9/main" objectType="CheckBox" checked="Checked" fmlaLink="jhs_gendersensitive" lockText="1" noThreeD="1"/>
</file>

<file path=xl/ctrlProps/ctrlProp456.xml><?xml version="1.0" encoding="utf-8"?>
<formControlPr xmlns="http://schemas.microsoft.com/office/spreadsheetml/2009/9/main" objectType="CheckBox" checked="Checked" fmlaLink="$D$10" lockText="1" noThreeD="1"/>
</file>

<file path=xl/ctrlProps/ctrlProp457.xml><?xml version="1.0" encoding="utf-8"?>
<formControlPr xmlns="http://schemas.microsoft.com/office/spreadsheetml/2009/9/main" objectType="CheckBox" checked="Checked" fmlaLink="jhs_enabling_schDRRMteam_roles" lockText="1" noThreeD="1"/>
</file>

<file path=xl/ctrlProps/ctrlProp458.xml><?xml version="1.0" encoding="utf-8"?>
<formControlPr xmlns="http://schemas.microsoft.com/office/spreadsheetml/2009/9/main" objectType="CheckBox" checked="Checked" fmlaLink="jhs_enabling_schDRRM_coor" lockText="1" noThreeD="1"/>
</file>

<file path=xl/ctrlProps/ctrlProp459.xml><?xml version="1.0" encoding="utf-8"?>
<formControlPr xmlns="http://schemas.microsoft.com/office/spreadsheetml/2009/9/main" objectType="CheckBox" fmlaLink="jhs_data_collectionconsollidation" lockText="1" noThreeD="1"/>
</file>

<file path=xl/ctrlProps/ctrlProp460.xml><?xml version="1.0" encoding="utf-8"?>
<formControlPr xmlns="http://schemas.microsoft.com/office/spreadsheetml/2009/9/main" objectType="CheckBox" fmlaLink="jhs_monitoring_evaluation" lockText="1" noThreeD="1"/>
</file>

<file path=xl/ctrlProps/ctrlProp461.xml><?xml version="1.0" encoding="utf-8"?>
<formControlPr xmlns="http://schemas.microsoft.com/office/spreadsheetml/2009/9/main" objectType="CheckBox" fmlaLink="jhs_css_monitor" lockText="1" noThreeD="1"/>
</file>

<file path=xl/ctrlProps/ctrlProp462.xml><?xml version="1.0" encoding="utf-8"?>
<formControlPr xmlns="http://schemas.microsoft.com/office/spreadsheetml/2009/9/main" objectType="CheckBox" fmlaLink="safelearn_floodwall" lockText="1" noThreeD="1"/>
</file>

<file path=xl/ctrlProps/ctrlProp463.xml><?xml version="1.0" encoding="utf-8"?>
<formControlPr xmlns="http://schemas.microsoft.com/office/spreadsheetml/2009/9/main" objectType="CheckBox" fmlaLink="safelearn_firewall" lockText="1" noThreeD="1"/>
</file>

<file path=xl/ctrlProps/ctrlProp464.xml><?xml version="1.0" encoding="utf-8"?>
<formControlPr xmlns="http://schemas.microsoft.com/office/spreadsheetml/2009/9/main" objectType="CheckBox" fmlaLink="safelearn_seawall" lockText="1" noThreeD="1"/>
</file>

<file path=xl/ctrlProps/ctrlProp465.xml><?xml version="1.0" encoding="utf-8"?>
<formControlPr xmlns="http://schemas.microsoft.com/office/spreadsheetml/2009/9/main" objectType="CheckBox" fmlaLink="safelearn_slopeprotection" lockText="1" noThreeD="1"/>
</file>

<file path=xl/ctrlProps/ctrlProp466.xml><?xml version="1.0" encoding="utf-8"?>
<formControlPr xmlns="http://schemas.microsoft.com/office/spreadsheetml/2009/9/main" objectType="CheckBox" fmlaLink="safelearn_others" lockText="1" noThreeD="1"/>
</file>

<file path=xl/ctrlProps/ctrlProp467.xml><?xml version="1.0" encoding="utf-8"?>
<formControlPr xmlns="http://schemas.microsoft.com/office/spreadsheetml/2009/9/main" objectType="CheckBox" fmlaLink="safelearn_nonstructural" lockText="1" noThreeD="1"/>
</file>

<file path=xl/ctrlProps/ctrlProp468.xml><?xml version="1.0" encoding="utf-8"?>
<formControlPr xmlns="http://schemas.microsoft.com/office/spreadsheetml/2009/9/main" objectType="CheckBox" fmlaLink="safelearn_vegetation" lockText="1" noThreeD="1"/>
</file>

<file path=xl/ctrlProps/ctrlProp469.xml><?xml version="1.0" encoding="utf-8"?>
<formControlPr xmlns="http://schemas.microsoft.com/office/spreadsheetml/2009/9/main" objectType="CheckBox" fmlaLink="safelearn_porouslandscape" lockText="1" noThreeD="1"/>
</file>

<file path=xl/ctrlProps/ctrlProp470.xml><?xml version="1.0" encoding="utf-8"?>
<formControlPr xmlns="http://schemas.microsoft.com/office/spreadsheetml/2009/9/main" objectType="CheckBox" checked="Checked" fmlaLink="safelearn_pruning" lockText="1" noThreeD="1"/>
</file>

<file path=xl/ctrlProps/ctrlProp471.xml><?xml version="1.0" encoding="utf-8"?>
<formControlPr xmlns="http://schemas.microsoft.com/office/spreadsheetml/2009/9/main" objectType="CheckBox" fmlaLink="safelearn_others_nonstructural" lockText="1" noThreeD="1"/>
</file>

<file path=xl/ctrlProps/ctrlProp472.xml><?xml version="1.0" encoding="utf-8"?>
<formControlPr xmlns="http://schemas.microsoft.com/office/spreadsheetml/2009/9/main" objectType="CheckBox" checked="Checked" fmlaLink="safelearn_regular_facilities_inspection" lockText="1" noThreeD="1"/>
</file>

<file path=xl/ctrlProps/ctrlProp473.xml><?xml version="1.0" encoding="utf-8"?>
<formControlPr xmlns="http://schemas.microsoft.com/office/spreadsheetml/2009/9/main" objectType="CheckBox" checked="Checked" fmlaLink="safelearn_alloted_maintenancebudget" lockText="1" noThreeD="1"/>
</file>

<file path=xl/ctrlProps/ctrlProp474.xml><?xml version="1.0" encoding="utf-8"?>
<formControlPr xmlns="http://schemas.microsoft.com/office/spreadsheetml/2009/9/main" objectType="CheckBox" checked="Checked" fmlaLink="safelearn_undertaken_regular_repair" lockText="1" noThreeD="1"/>
</file>

<file path=xl/ctrlProps/ctrlProp475.xml><?xml version="1.0" encoding="utf-8"?>
<formControlPr xmlns="http://schemas.microsoft.com/office/spreadsheetml/2009/9/main" objectType="CheckBox" fmlaLink="safelearn_inspection_jan" lockText="1" noThreeD="1"/>
</file>

<file path=xl/ctrlProps/ctrlProp476.xml><?xml version="1.0" encoding="utf-8"?>
<formControlPr xmlns="http://schemas.microsoft.com/office/spreadsheetml/2009/9/main" objectType="CheckBox" fmlaLink="safelearn_inspection_july" lockText="1" noThreeD="1"/>
</file>

<file path=xl/ctrlProps/ctrlProp477.xml><?xml version="1.0" encoding="utf-8"?>
<formControlPr xmlns="http://schemas.microsoft.com/office/spreadsheetml/2009/9/main" objectType="CheckBox" fmlaLink="safelearn_inspection_feb" lockText="1" noThreeD="1"/>
</file>

<file path=xl/ctrlProps/ctrlProp478.xml><?xml version="1.0" encoding="utf-8"?>
<formControlPr xmlns="http://schemas.microsoft.com/office/spreadsheetml/2009/9/main" objectType="CheckBox" checked="Checked" fmlaLink="safelearn_inspection_march" lockText="1" noThreeD="1"/>
</file>

<file path=xl/ctrlProps/ctrlProp479.xml><?xml version="1.0" encoding="utf-8"?>
<formControlPr xmlns="http://schemas.microsoft.com/office/spreadsheetml/2009/9/main" objectType="CheckBox" checked="Checked" fmlaLink="safelearn_inspection_sep" lockText="1" noThreeD="1"/>
</file>

<file path=xl/ctrlProps/ctrlProp480.xml><?xml version="1.0" encoding="utf-8"?>
<formControlPr xmlns="http://schemas.microsoft.com/office/spreadsheetml/2009/9/main" objectType="CheckBox" fmlaLink="safelearn_inspection_aug" lockText="1" noThreeD="1"/>
</file>

<file path=xl/ctrlProps/ctrlProp481.xml><?xml version="1.0" encoding="utf-8"?>
<formControlPr xmlns="http://schemas.microsoft.com/office/spreadsheetml/2009/9/main" objectType="CheckBox" fmlaLink="safelearn_inspection_apr" lockText="1" noThreeD="1"/>
</file>

<file path=xl/ctrlProps/ctrlProp482.xml><?xml version="1.0" encoding="utf-8"?>
<formControlPr xmlns="http://schemas.microsoft.com/office/spreadsheetml/2009/9/main" objectType="CheckBox" fmlaLink="safelearn_inspection_oct" lockText="1" noThreeD="1"/>
</file>

<file path=xl/ctrlProps/ctrlProp483.xml><?xml version="1.0" encoding="utf-8"?>
<formControlPr xmlns="http://schemas.microsoft.com/office/spreadsheetml/2009/9/main" objectType="CheckBox" fmlaLink="safelearn_inspection_may" lockText="1" noThreeD="1"/>
</file>

<file path=xl/ctrlProps/ctrlProp484.xml><?xml version="1.0" encoding="utf-8"?>
<formControlPr xmlns="http://schemas.microsoft.com/office/spreadsheetml/2009/9/main" objectType="CheckBox" fmlaLink="safelearn_inspection_nov" lockText="1" noThreeD="1"/>
</file>

<file path=xl/ctrlProps/ctrlProp485.xml><?xml version="1.0" encoding="utf-8"?>
<formControlPr xmlns="http://schemas.microsoft.com/office/spreadsheetml/2009/9/main" objectType="CheckBox" checked="Checked" fmlaLink="safelearn_inspection_jun" lockText="1" noThreeD="1"/>
</file>

<file path=xl/ctrlProps/ctrlProp486.xml><?xml version="1.0" encoding="utf-8"?>
<formControlPr xmlns="http://schemas.microsoft.com/office/spreadsheetml/2009/9/main" objectType="CheckBox" checked="Checked" fmlaLink="safelearn_inspection_dec" lockText="1" noThreeD="1"/>
</file>

<file path=xl/ctrlProps/ctrlProp487.xml><?xml version="1.0" encoding="utf-8"?>
<formControlPr xmlns="http://schemas.microsoft.com/office/spreadsheetml/2009/9/main" objectType="CheckBox" fmlaLink="safelearn_safety_precautions" lockText="1" noThreeD="1"/>
</file>

<file path=xl/ctrlProps/ctrlProp488.xml><?xml version="1.0" encoding="utf-8"?>
<formControlPr xmlns="http://schemas.microsoft.com/office/spreadsheetml/2009/9/main" objectType="CheckBox" checked="Checked" fmlaLink="jhs_studentled_mapping" lockText="1" noThreeD="1"/>
</file>

<file path=xl/ctrlProps/ctrlProp489.xml><?xml version="1.0" encoding="utf-8"?>
<formControlPr xmlns="http://schemas.microsoft.com/office/spreadsheetml/2009/9/main" objectType="CheckBox" checked="Checked" fmlaLink="jhs_implement_studentledmapping" lockText="1" noThreeD="1"/>
</file>

<file path=xl/ctrlProps/ctrlProp490.xml><?xml version="1.0" encoding="utf-8"?>
<formControlPr xmlns="http://schemas.microsoft.com/office/spreadsheetml/2009/9/main" objectType="CheckBox" fmlaLink="jhs_avail_hazardmaps" lockText="1" noThreeD="1"/>
</file>

<file path=xl/ctrlProps/ctrlProp491.xml><?xml version="1.0" encoding="utf-8"?>
<formControlPr xmlns="http://schemas.microsoft.com/office/spreadsheetml/2009/9/main" objectType="CheckBox" checked="Checked" fmlaLink="jhs_submit_mapping" lockText="1" noThreeD="1"/>
</file>

<file path=xl/ctrlProps/ctrlProp492.xml><?xml version="1.0" encoding="utf-8"?>
<formControlPr xmlns="http://schemas.microsoft.com/office/spreadsheetml/2009/9/main" objectType="CheckBox" fmlaLink="jhs_linked_resultsmapping" lockText="1" noThreeD="1"/>
</file>

<file path=xl/ctrlProps/ctrlProp493.xml><?xml version="1.0" encoding="utf-8"?>
<formControlPr xmlns="http://schemas.microsoft.com/office/spreadsheetml/2009/9/main" objectType="CheckBox" fmlaLink="drm_nathazards_tropicalcyclone" lockText="1" noThreeD="1"/>
</file>

<file path=xl/ctrlProps/ctrlProp494.xml><?xml version="1.0" encoding="utf-8"?>
<formControlPr xmlns="http://schemas.microsoft.com/office/spreadsheetml/2009/9/main" objectType="CheckBox" fmlaLink="drm_nathazards_stormsurge" lockText="1" noThreeD="1"/>
</file>

<file path=xl/ctrlProps/ctrlProp495.xml><?xml version="1.0" encoding="utf-8"?>
<formControlPr xmlns="http://schemas.microsoft.com/office/spreadsheetml/2009/9/main" objectType="CheckBox" checked="Checked" fmlaLink="drm_nathazards_flood" lockText="1" noThreeD="1"/>
</file>

<file path=xl/ctrlProps/ctrlProp496.xml><?xml version="1.0" encoding="utf-8"?>
<formControlPr xmlns="http://schemas.microsoft.com/office/spreadsheetml/2009/9/main" objectType="CheckBox" fmlaLink="drm_nathazards_drought" lockText="1" noThreeD="1"/>
</file>

<file path=xl/ctrlProps/ctrlProp497.xml><?xml version="1.0" encoding="utf-8"?>
<formControlPr xmlns="http://schemas.microsoft.com/office/spreadsheetml/2009/9/main" objectType="CheckBox" fmlaLink="drm_nathazards_landslide" lockText="1" noThreeD="1"/>
</file>

<file path=xl/ctrlProps/ctrlProp498.xml><?xml version="1.0" encoding="utf-8"?>
<formControlPr xmlns="http://schemas.microsoft.com/office/spreadsheetml/2009/9/main" objectType="CheckBox" checked="Checked" fmlaLink="drm_nathazards_earthquake" lockText="1" noThreeD="1"/>
</file>

<file path=xl/ctrlProps/ctrlProp499.xml><?xml version="1.0" encoding="utf-8"?>
<formControlPr xmlns="http://schemas.microsoft.com/office/spreadsheetml/2009/9/main" objectType="CheckBox" fmlaLink="drm_nathazards_volcaniceruption" lockText="1" noThreeD="1"/>
</file>

<file path=xl/ctrlProps/ctrlProp500.xml><?xml version="1.0" encoding="utf-8"?>
<formControlPr xmlns="http://schemas.microsoft.com/office/spreadsheetml/2009/9/main" objectType="CheckBox" fmlaLink="drm_nathazards_tsunami" lockText="1" noThreeD="1"/>
</file>

<file path=xl/ctrlProps/ctrlProp501.xml><?xml version="1.0" encoding="utf-8"?>
<formControlPr xmlns="http://schemas.microsoft.com/office/spreadsheetml/2009/9/main" objectType="CheckBox" checked="Checked" fmlaLink="drm_nathazards_fire" lockText="1" noThreeD="1"/>
</file>

<file path=xl/ctrlProps/ctrlProp502.xml><?xml version="1.0" encoding="utf-8"?>
<formControlPr xmlns="http://schemas.microsoft.com/office/spreadsheetml/2009/9/main" objectType="CheckBox" fmlaLink="sch_implemented_others" lockText="1" noThreeD="1"/>
</file>

<file path=xl/ctrlProps/ctrlProp503.xml><?xml version="1.0" encoding="utf-8"?>
<formControlPr xmlns="http://schemas.microsoft.com/office/spreadsheetml/2009/9/main" objectType="CheckBox" fmlaLink="drm_humhazards_armedconflict" lockText="1" noThreeD="1"/>
</file>

<file path=xl/ctrlProps/ctrlProp504.xml><?xml version="1.0" encoding="utf-8"?>
<formControlPr xmlns="http://schemas.microsoft.com/office/spreadsheetml/2009/9/main" objectType="CheckBox" fmlaLink="drm_humhazards_bomb" lockText="1" noThreeD="1"/>
</file>

<file path=xl/ctrlProps/ctrlProp505.xml><?xml version="1.0" encoding="utf-8"?>
<formControlPr xmlns="http://schemas.microsoft.com/office/spreadsheetml/2009/9/main" objectType="CheckBox" fmlaLink="drm_humhazards_civviolence" lockText="1" noThreeD="1"/>
</file>

<file path=xl/ctrlProps/ctrlProp506.xml><?xml version="1.0" encoding="utf-8"?>
<formControlPr xmlns="http://schemas.microsoft.com/office/spreadsheetml/2009/9/main" objectType="CheckBox" fmlaLink="drm_humhazards_fire" lockText="1" noThreeD="1"/>
</file>

<file path=xl/ctrlProps/ctrlProp507.xml><?xml version="1.0" encoding="utf-8"?>
<formControlPr xmlns="http://schemas.microsoft.com/office/spreadsheetml/2009/9/main" objectType="CheckBox" fmlaLink="drm_humhazards_others" lockText="1" noThreeD="1"/>
</file>

<file path=xl/ctrlProps/ctrlProp508.xml><?xml version="1.0" encoding="utf-8"?>
<formControlPr xmlns="http://schemas.microsoft.com/office/spreadsheetml/2009/9/main" objectType="CheckBox" fmlaLink="sch_contingency_assesment_wbaseline" lockText="1" noThreeD="1"/>
</file>

<file path=xl/ctrlProps/ctrlProp509.xml><?xml version="1.0" encoding="utf-8"?>
<formControlPr xmlns="http://schemas.microsoft.com/office/spreadsheetml/2009/9/main" objectType="CheckBox" checked="Checked" fmlaLink="drm_evacuationplan" lockText="1" noThreeD="1"/>
</file>

<file path=xl/ctrlProps/ctrlProp510.xml><?xml version="1.0" encoding="utf-8"?>
<formControlPr xmlns="http://schemas.microsoft.com/office/spreadsheetml/2009/9/main" objectType="CheckBox" checked="Checked" fmlaLink="drm_reunificationplan" lockText="1" noThreeD="1"/>
</file>

<file path=xl/ctrlProps/ctrlProp511.xml><?xml version="1.0" encoding="utf-8"?>
<formControlPr xmlns="http://schemas.microsoft.com/office/spreadsheetml/2009/9/main" objectType="CheckBox" fmlaLink="sch_established_systemtracking" lockText="1" noThreeD="1"/>
</file>

<file path=xl/ctrlProps/ctrlProp512.xml><?xml version="1.0" encoding="utf-8"?>
<formControlPr xmlns="http://schemas.microsoft.com/office/spreadsheetml/2009/9/main" objectType="CheckBox" fmlaLink="sch_recovery_measures" lockText="1" noThreeD="1"/>
</file>

<file path=xl/ctrlProps/ctrlProp513.xml><?xml version="1.0" encoding="utf-8"?>
<formControlPr xmlns="http://schemas.microsoft.com/office/spreadsheetml/2009/9/main" objectType="CheckBox" checked="Checked" fmlaLink="sch_washfacilities" lockText="1" noThreeD="1"/>
</file>

<file path=xl/ctrlProps/ctrlProp514.xml><?xml version="1.0" encoding="utf-8"?>
<formControlPr xmlns="http://schemas.microsoft.com/office/spreadsheetml/2009/9/main" objectType="CheckBox" checked="Checked" fmlaLink="schhead_identified_sch_evacctr" lockText="1" noThreeD="1"/>
</file>

<file path=xl/ctrlProps/ctrlProp515.xml><?xml version="1.0" encoding="utf-8"?>
<formControlPr xmlns="http://schemas.microsoft.com/office/spreadsheetml/2009/9/main" objectType="CheckBox" fmlaLink="sch_resumption_strats" lockText="1" noThreeD="1"/>
</file>

<file path=xl/ctrlProps/ctrlProp516.xml><?xml version="1.0" encoding="utf-8"?>
<formControlPr xmlns="http://schemas.microsoft.com/office/spreadsheetml/2009/9/main" objectType="CheckBox" fmlaLink="sch_list_safetynemrgncy_supp" lockText="1" noThreeD="1"/>
</file>

<file path=xl/ctrlProps/ctrlProp517.xml><?xml version="1.0" encoding="utf-8"?>
<formControlPr xmlns="http://schemas.microsoft.com/office/spreadsheetml/2009/9/main" objectType="CheckBox" fmlaLink="sch_listofprtnrs_mobilized" lockText="1" noThreeD="1"/>
</file>

<file path=xl/ctrlProps/ctrlProp518.xml><?xml version="1.0" encoding="utf-8"?>
<formControlPr xmlns="http://schemas.microsoft.com/office/spreadsheetml/2009/9/main" objectType="CheckBox" fmlaLink="sch_drrmteam_wroles" lockText="1" noThreeD="1"/>
</file>

<file path=xl/ctrlProps/ctrlProp519.xml><?xml version="1.0" encoding="utf-8"?>
<formControlPr xmlns="http://schemas.microsoft.com/office/spreadsheetml/2009/9/main" objectType="CheckBox" fmlaLink="sch_lockdown_protocol" lockText="1" noThreeD="1"/>
</file>

<file path=xl/ctrlProps/ctrlProp520.xml><?xml version="1.0" encoding="utf-8"?>
<formControlPr xmlns="http://schemas.microsoft.com/office/spreadsheetml/2009/9/main" objectType="CheckBox" checked="Checked" fmlaLink="sch_identified_evacctr" lockText="1" noThreeD="1"/>
</file>

<file path=xl/ctrlProps/ctrlProp521.xml><?xml version="1.0" encoding="utf-8"?>
<formControlPr xmlns="http://schemas.microsoft.com/office/spreadsheetml/2009/9/main" objectType="CheckBox" checked="Checked" fmlaLink="sch_identified_quarantinefacility" lockText="1" noThreeD="1"/>
</file>

<file path=xl/ctrlProps/ctrlProp522.xml><?xml version="1.0" encoding="utf-8"?>
<formControlPr xmlns="http://schemas.microsoft.com/office/spreadsheetml/2009/9/main" objectType="CheckBox" fmlaLink="sch_listofPPE" lockText="1" noThreeD="1"/>
</file>

<file path=xl/ctrlProps/ctrlProp523.xml><?xml version="1.0" encoding="utf-8"?>
<formControlPr xmlns="http://schemas.microsoft.com/office/spreadsheetml/2009/9/main" objectType="CheckBox" fmlaLink="sch_covid_management" lockText="1" noThreeD="1"/>
</file>

<file path=xl/ctrlProps/ctrlProp524.xml><?xml version="1.0" encoding="utf-8"?>
<formControlPr xmlns="http://schemas.microsoft.com/office/spreadsheetml/2009/9/main" objectType="CheckBox" checked="Checked" fmlaLink="sch_healthsafety_protocol" lockText="1" noThreeD="1"/>
</file>

<file path=xl/ctrlProps/ctrlProp525.xml><?xml version="1.0" encoding="utf-8"?>
<formControlPr xmlns="http://schemas.microsoft.com/office/spreadsheetml/2009/9/main" objectType="CheckBox" checked="Checked" fmlaLink="drrm_wlearners" lockText="1" noThreeD="1"/>
</file>

<file path=xl/ctrlProps/ctrlProp526.xml><?xml version="1.0" encoding="utf-8"?>
<formControlPr xmlns="http://schemas.microsoft.com/office/spreadsheetml/2009/9/main" objectType="CheckBox" checked="Checked" fmlaLink="drrm_personnel" lockText="1" noThreeD="1"/>
</file>

<file path=xl/ctrlProps/ctrlProp527.xml><?xml version="1.0" encoding="utf-8"?>
<formControlPr xmlns="http://schemas.microsoft.com/office/spreadsheetml/2009/9/main" objectType="CheckBox" checked="Checked" fmlaLink="drrm_parents" lockText="1" noThreeD="1"/>
</file>

<file path=xl/ctrlProps/ctrlProp528.xml><?xml version="1.0" encoding="utf-8"?>
<formControlPr xmlns="http://schemas.microsoft.com/office/spreadsheetml/2009/9/main" objectType="CheckBox" checked="Checked" fmlaLink="drrm_wlgu" lockText="1" noThreeD="1"/>
</file>

<file path=xl/ctrlProps/ctrlProp529.xml><?xml version="1.0" encoding="utf-8"?>
<formControlPr xmlns="http://schemas.microsoft.com/office/spreadsheetml/2009/9/main" objectType="CheckBox" checked="Checked" fmlaLink="drrm_partners" lockText="1" noThreeD="1"/>
</file>

<file path=xl/ctrlProps/ctrlProp530.xml><?xml version="1.0" encoding="utf-8"?>
<formControlPr xmlns="http://schemas.microsoft.com/office/spreadsheetml/2009/9/main" objectType="CheckBox" fmlaLink="sch_moumoa_wlgudswd" lockText="1" noThreeD="1"/>
</file>

<file path=xl/ctrlProps/ctrlProp531.xml><?xml version="1.0" encoding="utf-8"?>
<formControlPr xmlns="http://schemas.microsoft.com/office/spreadsheetml/2009/9/main" objectType="CheckBox" checked="Checked" fmlaLink="sch_termsandconditions_covid" lockText="1" noThreeD="1"/>
</file>

<file path=xl/ctrlProps/ctrlProp532.xml><?xml version="1.0" encoding="utf-8"?>
<formControlPr xmlns="http://schemas.microsoft.com/office/spreadsheetml/2009/9/main" objectType="CheckBox" checked="Checked" fmlaLink="sch_presented_FEPPtoLGUPTA" lockText="1" noThreeD="1"/>
</file>

<file path=xl/ctrlProps/ctrlProp533.xml><?xml version="1.0" encoding="utf-8"?>
<formControlPr xmlns="http://schemas.microsoft.com/office/spreadsheetml/2009/9/main" objectType="CheckBox" checked="Checked" fmlaLink="sch_takenapproppriateactions_basedFEPP" lockText="1" noThreeD="1"/>
</file>

<file path=xl/ctrlProps/ctrlProp534.xml><?xml version="1.0" encoding="utf-8"?>
<formControlPr xmlns="http://schemas.microsoft.com/office/spreadsheetml/2009/9/main" objectType="CheckBox" fmlaLink="sch_developed_DRRM_comm" lockText="1" noThreeD="1"/>
</file>

<file path=xl/ctrlProps/ctrlProp535.xml><?xml version="1.0" encoding="utf-8"?>
<formControlPr xmlns="http://schemas.microsoft.com/office/spreadsheetml/2009/9/main" objectType="CheckBox" fmlaLink="sch_implemented_PPA_wprtnr" lockText="1" noThreeD="1"/>
</file>

<file path=xl/ctrlProps/ctrlProp536.xml><?xml version="1.0" encoding="utf-8"?>
<formControlPr xmlns="http://schemas.microsoft.com/office/spreadsheetml/2009/9/main" objectType="CheckBox" fmlaLink="sch_participated_diffdrrm" lockText="1" noThreeD="1"/>
</file>

<file path=xl/ctrlProps/ctrlProp537.xml><?xml version="1.0" encoding="utf-8"?>
<formControlPr xmlns="http://schemas.microsoft.com/office/spreadsheetml/2009/9/main" objectType="CheckBox" checked="Checked" fmlaLink="sch_conducted_brigadaeskuwela" lockText="1" noThreeD="1"/>
</file>

<file path=xl/ctrlProps/ctrlProp538.xml><?xml version="1.0" encoding="utf-8"?>
<formControlPr xmlns="http://schemas.microsoft.com/office/spreadsheetml/2009/9/main" objectType="CheckBox" checked="Checked" fmlaLink="sch_functional_earlywarningsystem" lockText="1" noThreeD="1"/>
</file>

<file path=xl/ctrlProps/ctrlProp539.xml><?xml version="1.0" encoding="utf-8"?>
<formControlPr xmlns="http://schemas.microsoft.com/office/spreadsheetml/2009/9/main" objectType="CheckBox" fmlaLink="sch_provided_safetysupp" lockText="1" noThreeD="1"/>
</file>

<file path=xl/ctrlProps/ctrlProp540.xml><?xml version="1.0" encoding="utf-8"?>
<formControlPr xmlns="http://schemas.microsoft.com/office/spreadsheetml/2009/9/main" objectType="CheckBox" fmlaLink="sch_resumption_strat_nathazard" lockText="1" noThreeD="1"/>
</file>

<file path=xl/ctrlProps/ctrlProp541.xml><?xml version="1.0" encoding="utf-8"?>
<formControlPr xmlns="http://schemas.microsoft.com/office/spreadsheetml/2009/9/main" objectType="CheckBox" fmlaLink="sch_resumption_strat_armedconflict" lockText="1" noThreeD="1"/>
</file>

<file path=xl/ctrlProps/ctrlProp542.xml><?xml version="1.0" encoding="utf-8"?>
<formControlPr xmlns="http://schemas.microsoft.com/office/spreadsheetml/2009/9/main" objectType="CheckBox" fmlaLink="sch_implemented_classshifting" lockText="1" noThreeD="1"/>
</file>

<file path=xl/ctrlProps/ctrlProp543.xml><?xml version="1.0" encoding="utf-8"?>
<formControlPr xmlns="http://schemas.microsoft.com/office/spreadsheetml/2009/9/main" objectType="CheckBox" fmlaLink="sch_implemented_makeupclass" lockText="1" noThreeD="1"/>
</file>

<file path=xl/ctrlProps/ctrlProp544.xml><?xml version="1.0" encoding="utf-8"?>
<formControlPr xmlns="http://schemas.microsoft.com/office/spreadsheetml/2009/9/main" objectType="CheckBox" checked="Checked" fmlaLink="sch_implemented_modular" lockText="1" noThreeD="1"/>
</file>

<file path=xl/ctrlProps/ctrlProp545.xml><?xml version="1.0" encoding="utf-8"?>
<formControlPr xmlns="http://schemas.microsoft.com/office/spreadsheetml/2009/9/main" objectType="CheckBox" fmlaLink="sch_implemented_online" lockText="1" noThreeD="1"/>
</file>

<file path=xl/ctrlProps/ctrlProp546.xml><?xml version="1.0" encoding="utf-8"?>
<formControlPr xmlns="http://schemas.microsoft.com/office/spreadsheetml/2009/9/main" objectType="CheckBox" fmlaLink="sch_implemented_peergroup" lockText="1" noThreeD="1"/>
</file>

<file path=xl/ctrlProps/ctrlProp547.xml><?xml version="1.0" encoding="utf-8"?>
<formControlPr xmlns="http://schemas.microsoft.com/office/spreadsheetml/2009/9/main" objectType="CheckBox" fmlaLink="sch_implemented_programmed" lockText="1" noThreeD="1"/>
</file>

<file path=xl/ctrlProps/ctrlProp548.xml><?xml version="1.0" encoding="utf-8"?>
<formControlPr xmlns="http://schemas.microsoft.com/office/spreadsheetml/2009/9/main" objectType="CheckBox" fmlaLink="sch_implemented_eimpact" lockText="1" noThreeD="1"/>
</file>

<file path=xl/ctrlProps/ctrlProp549.xml><?xml version="1.0" encoding="utf-8"?>
<formControlPr xmlns="http://schemas.microsoft.com/office/spreadsheetml/2009/9/main" objectType="CheckBox" fmlaLink="sch_implemented_homeschool" lockText="1" noThreeD="1"/>
</file>

<file path=xl/ctrlProps/ctrlProp550.xml><?xml version="1.0" encoding="utf-8"?>
<formControlPr xmlns="http://schemas.microsoft.com/office/spreadsheetml/2009/9/main" objectType="CheckBox" fmlaLink="sch_implemented_misosa" lockText="1" noThreeD="1"/>
</file>

<file path=xl/ctrlProps/ctrlProp551.xml><?xml version="1.0" encoding="utf-8"?>
<formControlPr xmlns="http://schemas.microsoft.com/office/spreadsheetml/2009/9/main" objectType="CheckBox" fmlaLink="sch_implemented_nightschool" lockText="1" noThreeD="1"/>
</file>

<file path=xl/ctrlProps/ctrlProp552.xml><?xml version="1.0" encoding="utf-8"?>
<formControlPr xmlns="http://schemas.microsoft.com/office/spreadsheetml/2009/9/main" objectType="CheckBox" fmlaLink="sch_implemented_openhighschool" lockText="1" noThreeD="1"/>
</file>

<file path=xl/ctrlProps/ctrlProp553.xml><?xml version="1.0" encoding="utf-8"?>
<formControlPr xmlns="http://schemas.microsoft.com/office/spreadsheetml/2009/9/main" objectType="CheckBox" checked="Checked" fmlaLink="sch_conducted_brigadaeskuwela_aftermath" lockText="1" noThreeD="1"/>
</file>

<file path=xl/ctrlProps/ctrlProp554.xml><?xml version="1.0" encoding="utf-8"?>
<formControlPr xmlns="http://schemas.microsoft.com/office/spreadsheetml/2009/9/main" objectType="CheckBox" fmlaLink="sch_RADAR_DRRMS" lockText="1" noThreeD="1"/>
</file>

<file path=xl/ctrlProps/ctrlProp555.xml><?xml version="1.0" encoding="utf-8"?>
<formControlPr xmlns="http://schemas.microsoft.com/office/spreadsheetml/2009/9/main" objectType="CheckBox" fmlaLink="sch_rcvd_replacement_furniture" lockText="1" noThreeD="1"/>
</file>

<file path=xl/ctrlProps/ctrlProp556.xml><?xml version="1.0" encoding="utf-8"?>
<formControlPr xmlns="http://schemas.microsoft.com/office/spreadsheetml/2009/9/main" objectType="CheckBox" fmlaLink="sch_rcvd_replacement_dcp" lockText="1" noThreeD="1"/>
</file>

<file path=xl/ctrlProps/ctrlProp557.xml><?xml version="1.0" encoding="utf-8"?>
<formControlPr xmlns="http://schemas.microsoft.com/office/spreadsheetml/2009/9/main" objectType="CheckBox" fmlaLink="sch_rcvd_replacement_learnresources" lockText="1" noThreeD="1"/>
</file>

<file path=xl/ctrlProps/ctrlProp558.xml><?xml version="1.0" encoding="utf-8"?>
<formControlPr xmlns="http://schemas.microsoft.com/office/spreadsheetml/2009/9/main" objectType="CheckBox" fmlaLink="sch_rcvd_feedback_mechanism" lockText="1" noThreeD="1"/>
</file>

<file path=xl/ctrlProps/ctrlProp559.xml><?xml version="1.0" encoding="utf-8"?>
<formControlPr xmlns="http://schemas.microsoft.com/office/spreadsheetml/2009/9/main" objectType="CheckBox" fmlaLink="sch_science_drrm_g7" lockText="1" noThreeD="1"/>
</file>

<file path=xl/ctrlProps/ctrlProp560.xml><?xml version="1.0" encoding="utf-8"?>
<formControlPr xmlns="http://schemas.microsoft.com/office/spreadsheetml/2009/9/main" objectType="CheckBox" checked="Checked" fmlaLink="sch_science_drrm_g8" lockText="1" noThreeD="1"/>
</file>

<file path=xl/ctrlProps/ctrlProp561.xml><?xml version="1.0" encoding="utf-8"?>
<formControlPr xmlns="http://schemas.microsoft.com/office/spreadsheetml/2009/9/main" objectType="CheckBox" fmlaLink="sch_science_drrm_g9" lockText="1" noThreeD="1"/>
</file>

<file path=xl/ctrlProps/ctrlProp562.xml><?xml version="1.0" encoding="utf-8"?>
<formControlPr xmlns="http://schemas.microsoft.com/office/spreadsheetml/2009/9/main" objectType="CheckBox" fmlaLink="sch_science_drrm_g10" lockText="1" noThreeD="1"/>
</file>

<file path=xl/ctrlProps/ctrlProp563.xml><?xml version="1.0" encoding="utf-8"?>
<formControlPr xmlns="http://schemas.microsoft.com/office/spreadsheetml/2009/9/main" objectType="CheckBox" fmlaLink="sch_science_ccam_g7" lockText="1" noThreeD="1"/>
</file>

<file path=xl/ctrlProps/ctrlProp564.xml><?xml version="1.0" encoding="utf-8"?>
<formControlPr xmlns="http://schemas.microsoft.com/office/spreadsheetml/2009/9/main" objectType="CheckBox" fmlaLink="sch_science_ccam_g8" lockText="1" noThreeD="1"/>
</file>

<file path=xl/ctrlProps/ctrlProp565.xml><?xml version="1.0" encoding="utf-8"?>
<formControlPr xmlns="http://schemas.microsoft.com/office/spreadsheetml/2009/9/main" objectType="CheckBox" fmlaLink="sch_science_ccam_g9" lockText="1" noThreeD="1"/>
</file>

<file path=xl/ctrlProps/ctrlProp566.xml><?xml version="1.0" encoding="utf-8"?>
<formControlPr xmlns="http://schemas.microsoft.com/office/spreadsheetml/2009/9/main" objectType="CheckBox" fmlaLink="sch_science_ccam_g10" lockText="1" noThreeD="1"/>
</file>

<file path=xl/ctrlProps/ctrlProp567.xml><?xml version="1.0" encoding="utf-8"?>
<formControlPr xmlns="http://schemas.microsoft.com/office/spreadsheetml/2009/9/main" objectType="CheckBox" fmlaLink="sch_science_peacebuilding_g7" lockText="1" noThreeD="1"/>
</file>

<file path=xl/ctrlProps/ctrlProp568.xml><?xml version="1.0" encoding="utf-8"?>
<formControlPr xmlns="http://schemas.microsoft.com/office/spreadsheetml/2009/9/main" objectType="CheckBox" fmlaLink="sch_science_peacebuilding_g8" lockText="1" noThreeD="1"/>
</file>

<file path=xl/ctrlProps/ctrlProp569.xml><?xml version="1.0" encoding="utf-8"?>
<formControlPr xmlns="http://schemas.microsoft.com/office/spreadsheetml/2009/9/main" objectType="CheckBox" fmlaLink="sch_science_peacebuilding_g9" lockText="1" noThreeD="1"/>
</file>

<file path=xl/ctrlProps/ctrlProp570.xml><?xml version="1.0" encoding="utf-8"?>
<formControlPr xmlns="http://schemas.microsoft.com/office/spreadsheetml/2009/9/main" objectType="CheckBox" fmlaLink="sch_science_peacebuilding_g10" lockText="1" noThreeD="1"/>
</file>

<file path=xl/ctrlProps/ctrlProp571.xml><?xml version="1.0" encoding="utf-8"?>
<formControlPr xmlns="http://schemas.microsoft.com/office/spreadsheetml/2009/9/main" objectType="CheckBox" fmlaLink="sch_ap_drrm_g7" lockText="1" noThreeD="1"/>
</file>

<file path=xl/ctrlProps/ctrlProp572.xml><?xml version="1.0" encoding="utf-8"?>
<formControlPr xmlns="http://schemas.microsoft.com/office/spreadsheetml/2009/9/main" objectType="CheckBox" fmlaLink="sch_ap_drrm_g8" lockText="1" noThreeD="1"/>
</file>

<file path=xl/ctrlProps/ctrlProp573.xml><?xml version="1.0" encoding="utf-8"?>
<formControlPr xmlns="http://schemas.microsoft.com/office/spreadsheetml/2009/9/main" objectType="CheckBox" fmlaLink="sch_ap_drrm_g9" lockText="1" noThreeD="1"/>
</file>

<file path=xl/ctrlProps/ctrlProp574.xml><?xml version="1.0" encoding="utf-8"?>
<formControlPr xmlns="http://schemas.microsoft.com/office/spreadsheetml/2009/9/main" objectType="CheckBox" fmlaLink="sch_ap_drrm_g10" lockText="1" noThreeD="1"/>
</file>

<file path=xl/ctrlProps/ctrlProp575.xml><?xml version="1.0" encoding="utf-8"?>
<formControlPr xmlns="http://schemas.microsoft.com/office/spreadsheetml/2009/9/main" objectType="CheckBox" fmlaLink="sch_ap_ccam_g7" lockText="1" noThreeD="1"/>
</file>

<file path=xl/ctrlProps/ctrlProp576.xml><?xml version="1.0" encoding="utf-8"?>
<formControlPr xmlns="http://schemas.microsoft.com/office/spreadsheetml/2009/9/main" objectType="CheckBox" fmlaLink="sch_ap_ccam_g8" lockText="1" noThreeD="1"/>
</file>

<file path=xl/ctrlProps/ctrlProp577.xml><?xml version="1.0" encoding="utf-8"?>
<formControlPr xmlns="http://schemas.microsoft.com/office/spreadsheetml/2009/9/main" objectType="CheckBox" fmlaLink="sch_ap_ccam_g9" lockText="1" noThreeD="1"/>
</file>

<file path=xl/ctrlProps/ctrlProp578.xml><?xml version="1.0" encoding="utf-8"?>
<formControlPr xmlns="http://schemas.microsoft.com/office/spreadsheetml/2009/9/main" objectType="CheckBox" fmlaLink="sch_ap_ccam_g10" lockText="1" noThreeD="1"/>
</file>

<file path=xl/ctrlProps/ctrlProp579.xml><?xml version="1.0" encoding="utf-8"?>
<formControlPr xmlns="http://schemas.microsoft.com/office/spreadsheetml/2009/9/main" objectType="CheckBox" fmlaLink="sch_ap_peacebuilding_g7" lockText="1" noThreeD="1"/>
</file>

<file path=xl/ctrlProps/ctrlProp580.xml><?xml version="1.0" encoding="utf-8"?>
<formControlPr xmlns="http://schemas.microsoft.com/office/spreadsheetml/2009/9/main" objectType="CheckBox" fmlaLink="sch_ap_peacebuilding_g8" lockText="1" noThreeD="1"/>
</file>

<file path=xl/ctrlProps/ctrlProp581.xml><?xml version="1.0" encoding="utf-8"?>
<formControlPr xmlns="http://schemas.microsoft.com/office/spreadsheetml/2009/9/main" objectType="CheckBox" fmlaLink="sch_ap_peacebuilding_g9" lockText="1" noThreeD="1"/>
</file>

<file path=xl/ctrlProps/ctrlProp582.xml><?xml version="1.0" encoding="utf-8"?>
<formControlPr xmlns="http://schemas.microsoft.com/office/spreadsheetml/2009/9/main" objectType="CheckBox" fmlaLink="sch_ap_peacebuilding_g10" lockText="1" noThreeD="1"/>
</file>

<file path=xl/ctrlProps/ctrlProp583.xml><?xml version="1.0" encoding="utf-8"?>
<formControlPr xmlns="http://schemas.microsoft.com/office/spreadsheetml/2009/9/main" objectType="CheckBox" fmlaLink="sch_esp_drrm_g7" lockText="1" noThreeD="1"/>
</file>

<file path=xl/ctrlProps/ctrlProp584.xml><?xml version="1.0" encoding="utf-8"?>
<formControlPr xmlns="http://schemas.microsoft.com/office/spreadsheetml/2009/9/main" objectType="CheckBox" fmlaLink="sch_esp_drrm_g8" lockText="1" noThreeD="1"/>
</file>

<file path=xl/ctrlProps/ctrlProp585.xml><?xml version="1.0" encoding="utf-8"?>
<formControlPr xmlns="http://schemas.microsoft.com/office/spreadsheetml/2009/9/main" objectType="CheckBox" fmlaLink="sch_esp_drrm_g9" lockText="1" noThreeD="1"/>
</file>

<file path=xl/ctrlProps/ctrlProp586.xml><?xml version="1.0" encoding="utf-8"?>
<formControlPr xmlns="http://schemas.microsoft.com/office/spreadsheetml/2009/9/main" objectType="CheckBox" fmlaLink="sch_esp_drrm_g10" lockText="1" noThreeD="1"/>
</file>

<file path=xl/ctrlProps/ctrlProp587.xml><?xml version="1.0" encoding="utf-8"?>
<formControlPr xmlns="http://schemas.microsoft.com/office/spreadsheetml/2009/9/main" objectType="CheckBox" fmlaLink="sch_esp_ccam_g7" lockText="1" noThreeD="1"/>
</file>

<file path=xl/ctrlProps/ctrlProp588.xml><?xml version="1.0" encoding="utf-8"?>
<formControlPr xmlns="http://schemas.microsoft.com/office/spreadsheetml/2009/9/main" objectType="CheckBox" fmlaLink="sch_esp_ccam_g8" lockText="1" noThreeD="1"/>
</file>

<file path=xl/ctrlProps/ctrlProp589.xml><?xml version="1.0" encoding="utf-8"?>
<formControlPr xmlns="http://schemas.microsoft.com/office/spreadsheetml/2009/9/main" objectType="CheckBox" fmlaLink="sch_esp_ccam_g9" lockText="1" noThreeD="1"/>
</file>

<file path=xl/ctrlProps/ctrlProp590.xml><?xml version="1.0" encoding="utf-8"?>
<formControlPr xmlns="http://schemas.microsoft.com/office/spreadsheetml/2009/9/main" objectType="CheckBox" fmlaLink="sch_esp_ccam_g10" lockText="1" noThreeD="1"/>
</file>

<file path=xl/ctrlProps/ctrlProp591.xml><?xml version="1.0" encoding="utf-8"?>
<formControlPr xmlns="http://schemas.microsoft.com/office/spreadsheetml/2009/9/main" objectType="CheckBox" fmlaLink="sch_esp_peacebuilding_g7" lockText="1" noThreeD="1"/>
</file>

<file path=xl/ctrlProps/ctrlProp592.xml><?xml version="1.0" encoding="utf-8"?>
<formControlPr xmlns="http://schemas.microsoft.com/office/spreadsheetml/2009/9/main" objectType="CheckBox" fmlaLink="sch_esp_peacebuilding_g8" lockText="1" noThreeD="1"/>
</file>

<file path=xl/ctrlProps/ctrlProp593.xml><?xml version="1.0" encoding="utf-8"?>
<formControlPr xmlns="http://schemas.microsoft.com/office/spreadsheetml/2009/9/main" objectType="CheckBox" fmlaLink="sch_esp_peacebuilding_g9" lockText="1" noThreeD="1"/>
</file>

<file path=xl/ctrlProps/ctrlProp594.xml><?xml version="1.0" encoding="utf-8"?>
<formControlPr xmlns="http://schemas.microsoft.com/office/spreadsheetml/2009/9/main" objectType="CheckBox" fmlaLink="sch_esp_peacebuilding_g10" lockText="1" noThreeD="1"/>
</file>

<file path=xl/ctrlProps/ctrlProp595.xml><?xml version="1.0" encoding="utf-8"?>
<formControlPr xmlns="http://schemas.microsoft.com/office/spreadsheetml/2009/9/main" objectType="CheckBox" fmlaLink="sch_pe_drrm_g7" lockText="1" noThreeD="1"/>
</file>

<file path=xl/ctrlProps/ctrlProp596.xml><?xml version="1.0" encoding="utf-8"?>
<formControlPr xmlns="http://schemas.microsoft.com/office/spreadsheetml/2009/9/main" objectType="CheckBox" fmlaLink="sch_pe_drrm_g8" lockText="1" noThreeD="1"/>
</file>

<file path=xl/ctrlProps/ctrlProp597.xml><?xml version="1.0" encoding="utf-8"?>
<formControlPr xmlns="http://schemas.microsoft.com/office/spreadsheetml/2009/9/main" objectType="CheckBox" fmlaLink="sch_pe_drrm_g9" lockText="1" noThreeD="1"/>
</file>

<file path=xl/ctrlProps/ctrlProp598.xml><?xml version="1.0" encoding="utf-8"?>
<formControlPr xmlns="http://schemas.microsoft.com/office/spreadsheetml/2009/9/main" objectType="CheckBox" fmlaLink="sch_pe_drrm_g10" lockText="1" noThreeD="1"/>
</file>

<file path=xl/ctrlProps/ctrlProp599.xml><?xml version="1.0" encoding="utf-8"?>
<formControlPr xmlns="http://schemas.microsoft.com/office/spreadsheetml/2009/9/main" objectType="CheckBox" fmlaLink="sch_pe_ccam_g7" lockText="1" noThreeD="1"/>
</file>

<file path=xl/ctrlProps/ctrlProp600.xml><?xml version="1.0" encoding="utf-8"?>
<formControlPr xmlns="http://schemas.microsoft.com/office/spreadsheetml/2009/9/main" objectType="CheckBox" fmlaLink="sch_pe_ccam_g8" lockText="1" noThreeD="1"/>
</file>

<file path=xl/ctrlProps/ctrlProp601.xml><?xml version="1.0" encoding="utf-8"?>
<formControlPr xmlns="http://schemas.microsoft.com/office/spreadsheetml/2009/9/main" objectType="CheckBox" fmlaLink="sch_pe_ccam_g9" lockText="1" noThreeD="1"/>
</file>

<file path=xl/ctrlProps/ctrlProp602.xml><?xml version="1.0" encoding="utf-8"?>
<formControlPr xmlns="http://schemas.microsoft.com/office/spreadsheetml/2009/9/main" objectType="CheckBox" fmlaLink="sch_pe_ccam_g10" lockText="1" noThreeD="1"/>
</file>

<file path=xl/ctrlProps/ctrlProp603.xml><?xml version="1.0" encoding="utf-8"?>
<formControlPr xmlns="http://schemas.microsoft.com/office/spreadsheetml/2009/9/main" objectType="CheckBox" fmlaLink="sch_pe_peacebuilding_g7" lockText="1" noThreeD="1"/>
</file>

<file path=xl/ctrlProps/ctrlProp604.xml><?xml version="1.0" encoding="utf-8"?>
<formControlPr xmlns="http://schemas.microsoft.com/office/spreadsheetml/2009/9/main" objectType="CheckBox" fmlaLink="sch_pe_peacebuilding_g8" lockText="1" noThreeD="1"/>
</file>

<file path=xl/ctrlProps/ctrlProp605.xml><?xml version="1.0" encoding="utf-8"?>
<formControlPr xmlns="http://schemas.microsoft.com/office/spreadsheetml/2009/9/main" objectType="CheckBox" fmlaLink="sch_pe_peacebuilding_g9" lockText="1" noThreeD="1"/>
</file>

<file path=xl/ctrlProps/ctrlProp606.xml><?xml version="1.0" encoding="utf-8"?>
<formControlPr xmlns="http://schemas.microsoft.com/office/spreadsheetml/2009/9/main" objectType="CheckBox" fmlaLink="sch_pe_peacebuilding_g10" lockText="1" noThreeD="1"/>
</file>

<file path=xl/ctrlProps/ctrlProp607.xml><?xml version="1.0" encoding="utf-8"?>
<formControlPr xmlns="http://schemas.microsoft.com/office/spreadsheetml/2009/9/main" objectType="CheckBox" fmlaLink="sch_health_drrm_g7" lockText="1" noThreeD="1"/>
</file>

<file path=xl/ctrlProps/ctrlProp608.xml><?xml version="1.0" encoding="utf-8"?>
<formControlPr xmlns="http://schemas.microsoft.com/office/spreadsheetml/2009/9/main" objectType="CheckBox" fmlaLink="sch_epp_drrm_g7" lockText="1" noThreeD="1"/>
</file>

<file path=xl/ctrlProps/ctrlProp609.xml><?xml version="1.0" encoding="utf-8"?>
<formControlPr xmlns="http://schemas.microsoft.com/office/spreadsheetml/2009/9/main" objectType="CheckBox" fmlaLink="sch_others_drrm_g7" lockText="1" noThreeD="1"/>
</file>

<file path=xl/ctrlProps/ctrlProp610.xml><?xml version="1.0" encoding="utf-8"?>
<formControlPr xmlns="http://schemas.microsoft.com/office/spreadsheetml/2009/9/main" objectType="CheckBox" fmlaLink="sch_health_drrm_g8" lockText="1" noThreeD="1"/>
</file>

<file path=xl/ctrlProps/ctrlProp611.xml><?xml version="1.0" encoding="utf-8"?>
<formControlPr xmlns="http://schemas.microsoft.com/office/spreadsheetml/2009/9/main" objectType="CheckBox" fmlaLink="sch_epp_drrm_g8" lockText="1" noThreeD="1"/>
</file>

<file path=xl/ctrlProps/ctrlProp612.xml><?xml version="1.0" encoding="utf-8"?>
<formControlPr xmlns="http://schemas.microsoft.com/office/spreadsheetml/2009/9/main" objectType="CheckBox" fmlaLink="sch_others_drrm_g8" lockText="1" noThreeD="1"/>
</file>

<file path=xl/ctrlProps/ctrlProp613.xml><?xml version="1.0" encoding="utf-8"?>
<formControlPr xmlns="http://schemas.microsoft.com/office/spreadsheetml/2009/9/main" objectType="CheckBox" fmlaLink="sch_health_drrm_g9" lockText="1" noThreeD="1"/>
</file>

<file path=xl/ctrlProps/ctrlProp614.xml><?xml version="1.0" encoding="utf-8"?>
<formControlPr xmlns="http://schemas.microsoft.com/office/spreadsheetml/2009/9/main" objectType="CheckBox" fmlaLink="sch_epp_drrm_g9" lockText="1" noThreeD="1"/>
</file>

<file path=xl/ctrlProps/ctrlProp615.xml><?xml version="1.0" encoding="utf-8"?>
<formControlPr xmlns="http://schemas.microsoft.com/office/spreadsheetml/2009/9/main" objectType="CheckBox" fmlaLink="sch_others_drrm_g9" lockText="1" noThreeD="1"/>
</file>

<file path=xl/ctrlProps/ctrlProp616.xml><?xml version="1.0" encoding="utf-8"?>
<formControlPr xmlns="http://schemas.microsoft.com/office/spreadsheetml/2009/9/main" objectType="CheckBox" fmlaLink="sch_health_drrm_g10" lockText="1" noThreeD="1"/>
</file>

<file path=xl/ctrlProps/ctrlProp617.xml><?xml version="1.0" encoding="utf-8"?>
<formControlPr xmlns="http://schemas.microsoft.com/office/spreadsheetml/2009/9/main" objectType="CheckBox" fmlaLink="sch_epp_drrm_g10" lockText="1" noThreeD="1"/>
</file>

<file path=xl/ctrlProps/ctrlProp618.xml><?xml version="1.0" encoding="utf-8"?>
<formControlPr xmlns="http://schemas.microsoft.com/office/spreadsheetml/2009/9/main" objectType="CheckBox" fmlaLink="sch_others_drrm_g10" lockText="1" noThreeD="1"/>
</file>

<file path=xl/ctrlProps/ctrlProp619.xml><?xml version="1.0" encoding="utf-8"?>
<formControlPr xmlns="http://schemas.microsoft.com/office/spreadsheetml/2009/9/main" objectType="CheckBox" fmlaLink="sch_health_ccam_g7" lockText="1" noThreeD="1"/>
</file>

<file path=xl/ctrlProps/ctrlProp620.xml><?xml version="1.0" encoding="utf-8"?>
<formControlPr xmlns="http://schemas.microsoft.com/office/spreadsheetml/2009/9/main" objectType="CheckBox" fmlaLink="sch_epp_ccam_g7" lockText="1" noThreeD="1"/>
</file>

<file path=xl/ctrlProps/ctrlProp621.xml><?xml version="1.0" encoding="utf-8"?>
<formControlPr xmlns="http://schemas.microsoft.com/office/spreadsheetml/2009/9/main" objectType="CheckBox" fmlaLink="sch_others_ccam_g7" lockText="1" noThreeD="1"/>
</file>

<file path=xl/ctrlProps/ctrlProp622.xml><?xml version="1.0" encoding="utf-8"?>
<formControlPr xmlns="http://schemas.microsoft.com/office/spreadsheetml/2009/9/main" objectType="CheckBox" fmlaLink="sch_health_ccam_g8" lockText="1" noThreeD="1"/>
</file>

<file path=xl/ctrlProps/ctrlProp623.xml><?xml version="1.0" encoding="utf-8"?>
<formControlPr xmlns="http://schemas.microsoft.com/office/spreadsheetml/2009/9/main" objectType="CheckBox" fmlaLink="sch_epp_ccam_g8" lockText="1" noThreeD="1"/>
</file>

<file path=xl/ctrlProps/ctrlProp624.xml><?xml version="1.0" encoding="utf-8"?>
<formControlPr xmlns="http://schemas.microsoft.com/office/spreadsheetml/2009/9/main" objectType="CheckBox" fmlaLink="sch_others_ccam_g8" lockText="1" noThreeD="1"/>
</file>

<file path=xl/ctrlProps/ctrlProp625.xml><?xml version="1.0" encoding="utf-8"?>
<formControlPr xmlns="http://schemas.microsoft.com/office/spreadsheetml/2009/9/main" objectType="CheckBox" fmlaLink="sch_health_ccam_g9" lockText="1" noThreeD="1"/>
</file>

<file path=xl/ctrlProps/ctrlProp626.xml><?xml version="1.0" encoding="utf-8"?>
<formControlPr xmlns="http://schemas.microsoft.com/office/spreadsheetml/2009/9/main" objectType="CheckBox" fmlaLink="sch_epp_ccam_g9" lockText="1" noThreeD="1"/>
</file>

<file path=xl/ctrlProps/ctrlProp627.xml><?xml version="1.0" encoding="utf-8"?>
<formControlPr xmlns="http://schemas.microsoft.com/office/spreadsheetml/2009/9/main" objectType="CheckBox" fmlaLink="sch_others_ccam_g9" lockText="1" noThreeD="1"/>
</file>

<file path=xl/ctrlProps/ctrlProp628.xml><?xml version="1.0" encoding="utf-8"?>
<formControlPr xmlns="http://schemas.microsoft.com/office/spreadsheetml/2009/9/main" objectType="CheckBox" fmlaLink="sch_health_ccam_g10" lockText="1" noThreeD="1"/>
</file>

<file path=xl/ctrlProps/ctrlProp629.xml><?xml version="1.0" encoding="utf-8"?>
<formControlPr xmlns="http://schemas.microsoft.com/office/spreadsheetml/2009/9/main" objectType="CheckBox" fmlaLink="sch_epp_ccam_g10" lockText="1" noThreeD="1"/>
</file>

<file path=xl/ctrlProps/ctrlProp630.xml><?xml version="1.0" encoding="utf-8"?>
<formControlPr xmlns="http://schemas.microsoft.com/office/spreadsheetml/2009/9/main" objectType="CheckBox" fmlaLink="sch_others_ccam_g10" lockText="1" noThreeD="1"/>
</file>

<file path=xl/ctrlProps/ctrlProp631.xml><?xml version="1.0" encoding="utf-8"?>
<formControlPr xmlns="http://schemas.microsoft.com/office/spreadsheetml/2009/9/main" objectType="CheckBox" fmlaLink="sch_health_peacebuilding_g7" lockText="1" noThreeD="1"/>
</file>

<file path=xl/ctrlProps/ctrlProp632.xml><?xml version="1.0" encoding="utf-8"?>
<formControlPr xmlns="http://schemas.microsoft.com/office/spreadsheetml/2009/9/main" objectType="CheckBox" fmlaLink="sch_epp_peacebuilding_g7" lockText="1" noThreeD="1"/>
</file>

<file path=xl/ctrlProps/ctrlProp633.xml><?xml version="1.0" encoding="utf-8"?>
<formControlPr xmlns="http://schemas.microsoft.com/office/spreadsheetml/2009/9/main" objectType="CheckBox" fmlaLink="sch_others_peacebuilding_g7" lockText="1" noThreeD="1"/>
</file>

<file path=xl/ctrlProps/ctrlProp634.xml><?xml version="1.0" encoding="utf-8"?>
<formControlPr xmlns="http://schemas.microsoft.com/office/spreadsheetml/2009/9/main" objectType="CheckBox" fmlaLink="sch_health_peacebuilding_g8" lockText="1" noThreeD="1"/>
</file>

<file path=xl/ctrlProps/ctrlProp635.xml><?xml version="1.0" encoding="utf-8"?>
<formControlPr xmlns="http://schemas.microsoft.com/office/spreadsheetml/2009/9/main" objectType="CheckBox" fmlaLink="sch_epp_peacebuilding_g8" lockText="1" noThreeD="1"/>
</file>

<file path=xl/ctrlProps/ctrlProp636.xml><?xml version="1.0" encoding="utf-8"?>
<formControlPr xmlns="http://schemas.microsoft.com/office/spreadsheetml/2009/9/main" objectType="CheckBox" fmlaLink="sch_others_peacebuilding_g8" lockText="1" noThreeD="1"/>
</file>

<file path=xl/ctrlProps/ctrlProp637.xml><?xml version="1.0" encoding="utf-8"?>
<formControlPr xmlns="http://schemas.microsoft.com/office/spreadsheetml/2009/9/main" objectType="CheckBox" fmlaLink="sch_health_peacebuilding_g9" lockText="1" noThreeD="1"/>
</file>

<file path=xl/ctrlProps/ctrlProp638.xml><?xml version="1.0" encoding="utf-8"?>
<formControlPr xmlns="http://schemas.microsoft.com/office/spreadsheetml/2009/9/main" objectType="CheckBox" fmlaLink="sch_epp_peacebuilding_g9" lockText="1" noThreeD="1"/>
</file>

<file path=xl/ctrlProps/ctrlProp639.xml><?xml version="1.0" encoding="utf-8"?>
<formControlPr xmlns="http://schemas.microsoft.com/office/spreadsheetml/2009/9/main" objectType="CheckBox" fmlaLink="sch_others_peacebuilding_g9" lockText="1" noThreeD="1"/>
</file>

<file path=xl/ctrlProps/ctrlProp640.xml><?xml version="1.0" encoding="utf-8"?>
<formControlPr xmlns="http://schemas.microsoft.com/office/spreadsheetml/2009/9/main" objectType="CheckBox" fmlaLink="sch_health_peacebuilding_g10" lockText="1" noThreeD="1"/>
</file>

<file path=xl/ctrlProps/ctrlProp641.xml><?xml version="1.0" encoding="utf-8"?>
<formControlPr xmlns="http://schemas.microsoft.com/office/spreadsheetml/2009/9/main" objectType="CheckBox" fmlaLink="sch_epp_peacebuilding_g10" lockText="1" noThreeD="1"/>
</file>

<file path=xl/ctrlProps/ctrlProp642.xml><?xml version="1.0" encoding="utf-8"?>
<formControlPr xmlns="http://schemas.microsoft.com/office/spreadsheetml/2009/9/main" objectType="CheckBox" fmlaLink="sch_others_peacebuilding_g10" lockText="1" noThreeD="1"/>
</file>

<file path=xl/ctrlProps/ctrlProp643.xml><?xml version="1.0" encoding="utf-8"?>
<formControlPr xmlns="http://schemas.microsoft.com/office/spreadsheetml/2009/9/main" objectType="CheckBox" fmlaLink="sch_assessed_competencies" lockText="1" noThreeD="1"/>
</file>

<file path=xl/ctrlProps/ctrlProp644.xml><?xml version="1.0" encoding="utf-8"?>
<formControlPr xmlns="http://schemas.microsoft.com/office/spreadsheetml/2009/9/main" objectType="CheckBox" fmlaLink="sch_drrm_developed_iec" lockText="1" noThreeD="1"/>
</file>

<file path=xl/ctrlProps/ctrlProp645.xml><?xml version="1.0" encoding="utf-8"?>
<formControlPr xmlns="http://schemas.microsoft.com/office/spreadsheetml/2009/9/main" objectType="CheckBox" fmlaLink="sch_drrm_updated_iec" lockText="1" noThreeD="1"/>
</file>

<file path=xl/ctrlProps/ctrlProp646.xml><?xml version="1.0" encoding="utf-8"?>
<formControlPr xmlns="http://schemas.microsoft.com/office/spreadsheetml/2009/9/main" objectType="CheckBox" fmlaLink="sch_depeddeveloped_drrm_ccam_peacebuilding" lockText="1" noThreeD="1"/>
</file>

<file path=xl/ctrlProps/ctrlProp647.xml><?xml version="1.0" encoding="utf-8"?>
<formControlPr xmlns="http://schemas.microsoft.com/office/spreadsheetml/2009/9/main" objectType="CheckBox" fmlaLink="sch_depeddeveloped_trainingmanual" lockText="1" noThreeD="1"/>
</file>

<file path=xl/ctrlProps/ctrlProp648.xml><?xml version="1.0" encoding="utf-8"?>
<formControlPr xmlns="http://schemas.microsoft.com/office/spreadsheetml/2009/9/main" objectType="CheckBox" fmlaLink="sch_depeddeveloped_mhpssmanual" lockText="1" noThreeD="1"/>
</file>

<file path=xl/ctrlProps/ctrlProp649.xml><?xml version="1.0" encoding="utf-8"?>
<formControlPr xmlns="http://schemas.microsoft.com/office/spreadsheetml/2009/9/main" objectType="CheckBox" fmlaLink="iped_peace_educ" lockText="1" noThreeD="1"/>
</file>

<file path=xl/ctrlProps/ctrlProp650.xml><?xml version="1.0" encoding="utf-8"?>
<formControlPr xmlns="http://schemas.microsoft.com/office/spreadsheetml/2009/9/main" objectType="CheckBox" fmlaLink="iped_cannotbereach_loc" lockText="1" noThreeD="1"/>
</file>

<file path=xl/ctrlProps/ctrlProp651.xml><?xml version="1.0" encoding="utf-8"?>
<formControlPr xmlns="http://schemas.microsoft.com/office/spreadsheetml/2009/9/main" objectType="CheckBox" fmlaLink="iped_occationaldangerous" lockText="1" noThreeD="1"/>
</file>

<file path=xl/ctrlProps/ctrlProp652.xml><?xml version="1.0" encoding="utf-8"?>
<formControlPr xmlns="http://schemas.microsoft.com/office/spreadsheetml/2009/9/main" objectType="CheckBox" fmlaLink="iped_celebrate_ipday" lockText="1" noThreeD="1"/>
</file>

<file path=xl/ctrlProps/ctrlProp653.xml><?xml version="1.0" encoding="utf-8"?>
<formControlPr xmlns="http://schemas.microsoft.com/office/spreadsheetml/2009/9/main" objectType="CheckBox" fmlaLink="iped_schhead_ip" lockText="1" noThreeD="1"/>
</file>

<file path=xl/ctrlProps/ctrlProp654.xml><?xml version="1.0" encoding="utf-8"?>
<formControlPr xmlns="http://schemas.microsoft.com/office/spreadsheetml/2009/9/main" objectType="CheckBox" checked="Checked" lockText="1" noThreeD="1"/>
</file>

<file path=xl/ctrlProps/ctrlProp655.xml><?xml version="1.0" encoding="utf-8"?>
<formControlPr xmlns="http://schemas.microsoft.com/office/spreadsheetml/2009/9/main" objectType="CheckBox" checked="Checked" lockText="1" noThreeD="1"/>
</file>

<file path=xl/ctrlProps/ctrlProp656.xml><?xml version="1.0" encoding="utf-8"?>
<formControlPr xmlns="http://schemas.microsoft.com/office/spreadsheetml/2009/9/main" objectType="CheckBox" fmlaLink="iped_schexp_teaching" lockText="1" noThreeD="1"/>
</file>

<file path=xl/ctrlProps/ctrlProp657.xml><?xml version="1.0" encoding="utf-8"?>
<formControlPr xmlns="http://schemas.microsoft.com/office/spreadsheetml/2009/9/main" objectType="CheckBox" fmlaLink="iped_celebrate_ipmonth" lockText="1" noThreeD="1"/>
</file>

<file path=xl/ctrlProps/ctrlProp658.xml><?xml version="1.0" encoding="utf-8"?>
<formControlPr xmlns="http://schemas.microsoft.com/office/spreadsheetml/2009/9/main" objectType="CheckBox" fmlaLink="iped_orientation_deped" lockText="1" noThreeD="1"/>
</file>

<file path=xl/ctrlProps/ctrlProp659.xml><?xml version="1.0" encoding="utf-8"?>
<formControlPr xmlns="http://schemas.microsoft.com/office/spreadsheetml/2009/9/main" objectType="CheckBox" checked="Checked" lockText="1" noThreeD="1"/>
</file>

<file path=xl/ctrlProps/ctrlProp660.xml><?xml version="1.0" encoding="utf-8"?>
<formControlPr xmlns="http://schemas.microsoft.com/office/spreadsheetml/2009/9/main" objectType="CheckBox" checked="Checked" lockText="1" noThreeD="1"/>
</file>

<file path=xl/ctrlProps/ctrlProp661.xml><?xml version="1.0" encoding="utf-8"?>
<formControlPr xmlns="http://schemas.microsoft.com/office/spreadsheetml/2009/9/main" objectType="CheckBox" checked="Checked" lockText="1" noThreeD="1"/>
</file>

<file path=xl/ctrlProps/ctrlProp662.xml><?xml version="1.0" encoding="utf-8"?>
<formControlPr xmlns="http://schemas.microsoft.com/office/spreadsheetml/2009/9/main" objectType="CheckBox" fmlaLink="iped_sch_anscdom_armedconflict" lockText="1" noThreeD="1"/>
</file>

<file path=xl/ctrlProps/ctrlProp663.xml><?xml version="1.0" encoding="utf-8"?>
<formControlPr xmlns="http://schemas.microsoft.com/office/spreadsheetml/2009/9/main" objectType="CheckBox" checked="Checked"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15</xdr:col>
      <xdr:colOff>0</xdr:colOff>
      <xdr:row>2</xdr:row>
      <xdr:rowOff>76200</xdr:rowOff>
    </xdr:from>
    <xdr:to>
      <xdr:col>17</xdr:col>
      <xdr:colOff>222250</xdr:colOff>
      <xdr:row>7</xdr:row>
      <xdr:rowOff>70908</xdr:rowOff>
    </xdr:to>
    <xdr:pic>
      <xdr:nvPicPr>
        <xdr:cNvPr id="13" name="Picture 1">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29075" y="485775"/>
          <a:ext cx="774700" cy="813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88900</xdr:colOff>
      <xdr:row>2</xdr:row>
      <xdr:rowOff>161925</xdr:rowOff>
    </xdr:from>
    <xdr:to>
      <xdr:col>34</xdr:col>
      <xdr:colOff>73025</xdr:colOff>
      <xdr:row>7</xdr:row>
      <xdr:rowOff>48683</xdr:rowOff>
    </xdr:to>
    <xdr:pic>
      <xdr:nvPicPr>
        <xdr:cNvPr id="14" name="Picture 22" descr="BEIS Logo">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2" cstate="print"/>
        <a:srcRect r="28366" b="28244"/>
        <a:stretch>
          <a:fillRect/>
        </a:stretch>
      </xdr:blipFill>
      <xdr:spPr bwMode="auto">
        <a:xfrm>
          <a:off x="8439150" y="631825"/>
          <a:ext cx="803275" cy="724958"/>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2</xdr:col>
          <xdr:colOff>31750</xdr:colOff>
          <xdr:row>29</xdr:row>
          <xdr:rowOff>50800</xdr:rowOff>
        </xdr:from>
        <xdr:to>
          <xdr:col>3</xdr:col>
          <xdr:colOff>25400</xdr:colOff>
          <xdr:row>29</xdr:row>
          <xdr:rowOff>298450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4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30</xdr:row>
          <xdr:rowOff>31750</xdr:rowOff>
        </xdr:from>
        <xdr:to>
          <xdr:col>4</xdr:col>
          <xdr:colOff>158750</xdr:colOff>
          <xdr:row>30</xdr:row>
          <xdr:rowOff>273050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4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31</xdr:row>
          <xdr:rowOff>44450</xdr:rowOff>
        </xdr:from>
        <xdr:to>
          <xdr:col>4</xdr:col>
          <xdr:colOff>31750</xdr:colOff>
          <xdr:row>31</xdr:row>
          <xdr:rowOff>266700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4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32</xdr:row>
          <xdr:rowOff>44450</xdr:rowOff>
        </xdr:from>
        <xdr:to>
          <xdr:col>4</xdr:col>
          <xdr:colOff>38100</xdr:colOff>
          <xdr:row>32</xdr:row>
          <xdr:rowOff>266700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4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33</xdr:row>
          <xdr:rowOff>63500</xdr:rowOff>
        </xdr:from>
        <xdr:to>
          <xdr:col>4</xdr:col>
          <xdr:colOff>38100</xdr:colOff>
          <xdr:row>33</xdr:row>
          <xdr:rowOff>279400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4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34</xdr:row>
          <xdr:rowOff>63500</xdr:rowOff>
        </xdr:from>
        <xdr:to>
          <xdr:col>4</xdr:col>
          <xdr:colOff>31750</xdr:colOff>
          <xdr:row>34</xdr:row>
          <xdr:rowOff>279400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4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63500</xdr:colOff>
      <xdr:row>26</xdr:row>
      <xdr:rowOff>117475</xdr:rowOff>
    </xdr:from>
    <xdr:to>
      <xdr:col>1</xdr:col>
      <xdr:colOff>6350</xdr:colOff>
      <xdr:row>27</xdr:row>
      <xdr:rowOff>174624</xdr:rowOff>
    </xdr:to>
    <xdr:grpSp>
      <xdr:nvGrpSpPr>
        <xdr:cNvPr id="2" name="Group 1577">
          <a:extLst>
            <a:ext uri="{FF2B5EF4-FFF2-40B4-BE49-F238E27FC236}">
              <a16:creationId xmlns:a16="http://schemas.microsoft.com/office/drawing/2014/main" id="{00000000-0008-0000-0D00-000002000000}"/>
            </a:ext>
          </a:extLst>
        </xdr:cNvPr>
        <xdr:cNvGrpSpPr>
          <a:grpSpLocks/>
        </xdr:cNvGrpSpPr>
      </xdr:nvGrpSpPr>
      <xdr:grpSpPr bwMode="auto">
        <a:xfrm>
          <a:off x="63500" y="7858125"/>
          <a:ext cx="101600" cy="400049"/>
          <a:chOff x="9" y="596"/>
          <a:chExt cx="20" cy="100"/>
        </a:xfrm>
      </xdr:grpSpPr>
      <xdr:sp macro="" textlink="">
        <xdr:nvSpPr>
          <xdr:cNvPr id="3" name="Line 1570">
            <a:extLst>
              <a:ext uri="{FF2B5EF4-FFF2-40B4-BE49-F238E27FC236}">
                <a16:creationId xmlns:a16="http://schemas.microsoft.com/office/drawing/2014/main" id="{00000000-0008-0000-0D00-000003000000}"/>
              </a:ext>
            </a:extLst>
          </xdr:cNvPr>
          <xdr:cNvSpPr>
            <a:spLocks noChangeShapeType="1"/>
          </xdr:cNvSpPr>
        </xdr:nvSpPr>
        <xdr:spPr bwMode="auto">
          <a:xfrm>
            <a:off x="11" y="599"/>
            <a:ext cx="0" cy="0"/>
          </a:xfrm>
          <a:prstGeom prst="line">
            <a:avLst/>
          </a:prstGeom>
          <a:noFill/>
          <a:ln w="19050">
            <a:solidFill>
              <a:sysClr val="windowText" lastClr="000000"/>
            </a:solidFill>
            <a:round/>
            <a:headEnd/>
            <a:tailEnd/>
          </a:ln>
        </xdr:spPr>
      </xdr:sp>
      <xdr:sp macro="" textlink="">
        <xdr:nvSpPr>
          <xdr:cNvPr id="4" name="Line 1571">
            <a:extLst>
              <a:ext uri="{FF2B5EF4-FFF2-40B4-BE49-F238E27FC236}">
                <a16:creationId xmlns:a16="http://schemas.microsoft.com/office/drawing/2014/main" id="{00000000-0008-0000-0D00-000004000000}"/>
              </a:ext>
            </a:extLst>
          </xdr:cNvPr>
          <xdr:cNvSpPr>
            <a:spLocks noChangeShapeType="1"/>
          </xdr:cNvSpPr>
        </xdr:nvSpPr>
        <xdr:spPr bwMode="auto">
          <a:xfrm flipV="1">
            <a:off x="9" y="695"/>
            <a:ext cx="15" cy="1"/>
          </a:xfrm>
          <a:prstGeom prst="line">
            <a:avLst/>
          </a:prstGeom>
          <a:noFill/>
          <a:ln w="19050">
            <a:solidFill>
              <a:sysClr val="windowText" lastClr="000000"/>
            </a:solidFill>
            <a:round/>
            <a:headEnd/>
            <a:tailEnd type="triangle" w="med" len="med"/>
          </a:ln>
        </xdr:spPr>
      </xdr:sp>
      <xdr:sp macro="" textlink="">
        <xdr:nvSpPr>
          <xdr:cNvPr id="5" name="Line 1573">
            <a:extLst>
              <a:ext uri="{FF2B5EF4-FFF2-40B4-BE49-F238E27FC236}">
                <a16:creationId xmlns:a16="http://schemas.microsoft.com/office/drawing/2014/main" id="{00000000-0008-0000-0D00-000005000000}"/>
              </a:ext>
            </a:extLst>
          </xdr:cNvPr>
          <xdr:cNvSpPr>
            <a:spLocks noChangeShapeType="1"/>
          </xdr:cNvSpPr>
        </xdr:nvSpPr>
        <xdr:spPr bwMode="auto">
          <a:xfrm flipV="1">
            <a:off x="9" y="596"/>
            <a:ext cx="0" cy="100"/>
          </a:xfrm>
          <a:prstGeom prst="line">
            <a:avLst/>
          </a:prstGeom>
          <a:noFill/>
          <a:ln w="19050">
            <a:solidFill>
              <a:sysClr val="windowText" lastClr="000000"/>
            </a:solidFill>
            <a:round/>
            <a:headEnd/>
            <a:tailEnd/>
          </a:ln>
        </xdr:spPr>
      </xdr:sp>
      <xdr:sp macro="" textlink="">
        <xdr:nvSpPr>
          <xdr:cNvPr id="6" name="Line 1576">
            <a:extLst>
              <a:ext uri="{FF2B5EF4-FFF2-40B4-BE49-F238E27FC236}">
                <a16:creationId xmlns:a16="http://schemas.microsoft.com/office/drawing/2014/main" id="{00000000-0008-0000-0D00-000006000000}"/>
              </a:ext>
            </a:extLst>
          </xdr:cNvPr>
          <xdr:cNvSpPr>
            <a:spLocks noChangeShapeType="1"/>
          </xdr:cNvSpPr>
        </xdr:nvSpPr>
        <xdr:spPr bwMode="auto">
          <a:xfrm>
            <a:off x="9" y="596"/>
            <a:ext cx="20" cy="0"/>
          </a:xfrm>
          <a:prstGeom prst="line">
            <a:avLst/>
          </a:prstGeom>
          <a:noFill/>
          <a:ln w="19050">
            <a:solidFill>
              <a:sysClr val="windowText" lastClr="000000"/>
            </a:solidFill>
            <a:round/>
            <a:headEnd/>
            <a:tailEnd/>
          </a:ln>
        </xdr:spPr>
      </xdr: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15</xdr:col>
          <xdr:colOff>38100</xdr:colOff>
          <xdr:row>16</xdr:row>
          <xdr:rowOff>38100</xdr:rowOff>
        </xdr:from>
        <xdr:to>
          <xdr:col>16</xdr:col>
          <xdr:colOff>69850</xdr:colOff>
          <xdr:row>16</xdr:row>
          <xdr:rowOff>260350</xdr:rowOff>
        </xdr:to>
        <xdr:sp macro="" textlink="">
          <xdr:nvSpPr>
            <xdr:cNvPr id="26625" name="Check Box 1" hidden="1">
              <a:extLst>
                <a:ext uri="{63B3BB69-23CF-44E3-9099-C40C66FF867C}">
                  <a14:compatExt spid="_x0000_s26625"/>
                </a:ext>
                <a:ext uri="{FF2B5EF4-FFF2-40B4-BE49-F238E27FC236}">
                  <a16:creationId xmlns:a16="http://schemas.microsoft.com/office/drawing/2014/main" id="{00000000-0008-0000-1300-000001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16</xdr:row>
          <xdr:rowOff>31750</xdr:rowOff>
        </xdr:from>
        <xdr:to>
          <xdr:col>20</xdr:col>
          <xdr:colOff>50800</xdr:colOff>
          <xdr:row>16</xdr:row>
          <xdr:rowOff>254000</xdr:rowOff>
        </xdr:to>
        <xdr:sp macro="" textlink="">
          <xdr:nvSpPr>
            <xdr:cNvPr id="26626" name="Check Box 2" hidden="1">
              <a:extLst>
                <a:ext uri="{63B3BB69-23CF-44E3-9099-C40C66FF867C}">
                  <a14:compatExt spid="_x0000_s26626"/>
                </a:ext>
                <a:ext uri="{FF2B5EF4-FFF2-40B4-BE49-F238E27FC236}">
                  <a16:creationId xmlns:a16="http://schemas.microsoft.com/office/drawing/2014/main" id="{00000000-0008-0000-1300-000002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xdr:col>
          <xdr:colOff>44450</xdr:colOff>
          <xdr:row>16</xdr:row>
          <xdr:rowOff>44450</xdr:rowOff>
        </xdr:from>
        <xdr:to>
          <xdr:col>42</xdr:col>
          <xdr:colOff>69850</xdr:colOff>
          <xdr:row>16</xdr:row>
          <xdr:rowOff>266700</xdr:rowOff>
        </xdr:to>
        <xdr:sp macro="" textlink="">
          <xdr:nvSpPr>
            <xdr:cNvPr id="26627" name="Check Box 3" hidden="1">
              <a:extLst>
                <a:ext uri="{63B3BB69-23CF-44E3-9099-C40C66FF867C}">
                  <a14:compatExt spid="_x0000_s26627"/>
                </a:ext>
                <a:ext uri="{FF2B5EF4-FFF2-40B4-BE49-F238E27FC236}">
                  <a16:creationId xmlns:a16="http://schemas.microsoft.com/office/drawing/2014/main" id="{00000000-0008-0000-1300-000003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16</xdr:row>
          <xdr:rowOff>38100</xdr:rowOff>
        </xdr:from>
        <xdr:to>
          <xdr:col>46</xdr:col>
          <xdr:colOff>25400</xdr:colOff>
          <xdr:row>16</xdr:row>
          <xdr:rowOff>260350</xdr:rowOff>
        </xdr:to>
        <xdr:sp macro="" textlink="">
          <xdr:nvSpPr>
            <xdr:cNvPr id="26628" name="Check Box 4" hidden="1">
              <a:extLst>
                <a:ext uri="{63B3BB69-23CF-44E3-9099-C40C66FF867C}">
                  <a14:compatExt spid="_x0000_s26628"/>
                </a:ext>
                <a:ext uri="{FF2B5EF4-FFF2-40B4-BE49-F238E27FC236}">
                  <a16:creationId xmlns:a16="http://schemas.microsoft.com/office/drawing/2014/main" id="{00000000-0008-0000-1300-000004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33</xdr:col>
          <xdr:colOff>25400</xdr:colOff>
          <xdr:row>23</xdr:row>
          <xdr:rowOff>25400</xdr:rowOff>
        </xdr:from>
        <xdr:to>
          <xdr:col>33</xdr:col>
          <xdr:colOff>260350</xdr:colOff>
          <xdr:row>23</xdr:row>
          <xdr:rowOff>292100</xdr:rowOff>
        </xdr:to>
        <xdr:sp macro="" textlink="">
          <xdr:nvSpPr>
            <xdr:cNvPr id="58369" name="Check Box 1" hidden="1">
              <a:extLst>
                <a:ext uri="{63B3BB69-23CF-44E3-9099-C40C66FF867C}">
                  <a14:compatExt spid="_x0000_s58369"/>
                </a:ext>
                <a:ext uri="{FF2B5EF4-FFF2-40B4-BE49-F238E27FC236}">
                  <a16:creationId xmlns:a16="http://schemas.microsoft.com/office/drawing/2014/main" id="{00000000-0008-0000-1400-000001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25400</xdr:colOff>
          <xdr:row>24</xdr:row>
          <xdr:rowOff>25400</xdr:rowOff>
        </xdr:from>
        <xdr:to>
          <xdr:col>33</xdr:col>
          <xdr:colOff>260350</xdr:colOff>
          <xdr:row>24</xdr:row>
          <xdr:rowOff>292100</xdr:rowOff>
        </xdr:to>
        <xdr:sp macro="" textlink="">
          <xdr:nvSpPr>
            <xdr:cNvPr id="58370" name="Check Box 2" hidden="1">
              <a:extLst>
                <a:ext uri="{63B3BB69-23CF-44E3-9099-C40C66FF867C}">
                  <a14:compatExt spid="_x0000_s58370"/>
                </a:ext>
                <a:ext uri="{FF2B5EF4-FFF2-40B4-BE49-F238E27FC236}">
                  <a16:creationId xmlns:a16="http://schemas.microsoft.com/office/drawing/2014/main" id="{00000000-0008-0000-1400-000002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42</xdr:col>
          <xdr:colOff>25400</xdr:colOff>
          <xdr:row>23</xdr:row>
          <xdr:rowOff>25400</xdr:rowOff>
        </xdr:from>
        <xdr:to>
          <xdr:col>42</xdr:col>
          <xdr:colOff>260350</xdr:colOff>
          <xdr:row>23</xdr:row>
          <xdr:rowOff>292100</xdr:rowOff>
        </xdr:to>
        <xdr:sp macro="" textlink="">
          <xdr:nvSpPr>
            <xdr:cNvPr id="58371" name="Check Box 3" hidden="1">
              <a:extLst>
                <a:ext uri="{63B3BB69-23CF-44E3-9099-C40C66FF867C}">
                  <a14:compatExt spid="_x0000_s58371"/>
                </a:ext>
                <a:ext uri="{FF2B5EF4-FFF2-40B4-BE49-F238E27FC236}">
                  <a16:creationId xmlns:a16="http://schemas.microsoft.com/office/drawing/2014/main" id="{00000000-0008-0000-1400-000003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42</xdr:col>
          <xdr:colOff>25400</xdr:colOff>
          <xdr:row>24</xdr:row>
          <xdr:rowOff>25400</xdr:rowOff>
        </xdr:from>
        <xdr:to>
          <xdr:col>42</xdr:col>
          <xdr:colOff>260350</xdr:colOff>
          <xdr:row>24</xdr:row>
          <xdr:rowOff>292100</xdr:rowOff>
        </xdr:to>
        <xdr:sp macro="" textlink="">
          <xdr:nvSpPr>
            <xdr:cNvPr id="58372" name="Check Box 4" hidden="1">
              <a:extLst>
                <a:ext uri="{63B3BB69-23CF-44E3-9099-C40C66FF867C}">
                  <a14:compatExt spid="_x0000_s58372"/>
                </a:ext>
                <a:ext uri="{FF2B5EF4-FFF2-40B4-BE49-F238E27FC236}">
                  <a16:creationId xmlns:a16="http://schemas.microsoft.com/office/drawing/2014/main" id="{00000000-0008-0000-1400-000004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25400</xdr:colOff>
          <xdr:row>30</xdr:row>
          <xdr:rowOff>25400</xdr:rowOff>
        </xdr:from>
        <xdr:to>
          <xdr:col>33</xdr:col>
          <xdr:colOff>260350</xdr:colOff>
          <xdr:row>30</xdr:row>
          <xdr:rowOff>292100</xdr:rowOff>
        </xdr:to>
        <xdr:sp macro="" textlink="">
          <xdr:nvSpPr>
            <xdr:cNvPr id="58373" name="Check Box 5" hidden="1">
              <a:extLst>
                <a:ext uri="{63B3BB69-23CF-44E3-9099-C40C66FF867C}">
                  <a14:compatExt spid="_x0000_s58373"/>
                </a:ext>
                <a:ext uri="{FF2B5EF4-FFF2-40B4-BE49-F238E27FC236}">
                  <a16:creationId xmlns:a16="http://schemas.microsoft.com/office/drawing/2014/main" id="{00000000-0008-0000-1400-000005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25400</xdr:colOff>
          <xdr:row>31</xdr:row>
          <xdr:rowOff>25400</xdr:rowOff>
        </xdr:from>
        <xdr:to>
          <xdr:col>33</xdr:col>
          <xdr:colOff>260350</xdr:colOff>
          <xdr:row>31</xdr:row>
          <xdr:rowOff>292100</xdr:rowOff>
        </xdr:to>
        <xdr:sp macro="" textlink="">
          <xdr:nvSpPr>
            <xdr:cNvPr id="58374" name="Check Box 6" hidden="1">
              <a:extLst>
                <a:ext uri="{63B3BB69-23CF-44E3-9099-C40C66FF867C}">
                  <a14:compatExt spid="_x0000_s58374"/>
                </a:ext>
                <a:ext uri="{FF2B5EF4-FFF2-40B4-BE49-F238E27FC236}">
                  <a16:creationId xmlns:a16="http://schemas.microsoft.com/office/drawing/2014/main" id="{00000000-0008-0000-1400-000006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25400</xdr:colOff>
          <xdr:row>32</xdr:row>
          <xdr:rowOff>25400</xdr:rowOff>
        </xdr:from>
        <xdr:to>
          <xdr:col>33</xdr:col>
          <xdr:colOff>260350</xdr:colOff>
          <xdr:row>33</xdr:row>
          <xdr:rowOff>139700</xdr:rowOff>
        </xdr:to>
        <xdr:sp macro="" textlink="">
          <xdr:nvSpPr>
            <xdr:cNvPr id="58375" name="Check Box 7" hidden="1">
              <a:extLst>
                <a:ext uri="{63B3BB69-23CF-44E3-9099-C40C66FF867C}">
                  <a14:compatExt spid="_x0000_s58375"/>
                </a:ext>
                <a:ext uri="{FF2B5EF4-FFF2-40B4-BE49-F238E27FC236}">
                  <a16:creationId xmlns:a16="http://schemas.microsoft.com/office/drawing/2014/main" id="{00000000-0008-0000-1400-000007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25400</xdr:colOff>
          <xdr:row>34</xdr:row>
          <xdr:rowOff>25400</xdr:rowOff>
        </xdr:from>
        <xdr:to>
          <xdr:col>33</xdr:col>
          <xdr:colOff>260350</xdr:colOff>
          <xdr:row>35</xdr:row>
          <xdr:rowOff>139700</xdr:rowOff>
        </xdr:to>
        <xdr:sp macro="" textlink="">
          <xdr:nvSpPr>
            <xdr:cNvPr id="58376" name="Check Box 8" hidden="1">
              <a:extLst>
                <a:ext uri="{63B3BB69-23CF-44E3-9099-C40C66FF867C}">
                  <a14:compatExt spid="_x0000_s58376"/>
                </a:ext>
                <a:ext uri="{FF2B5EF4-FFF2-40B4-BE49-F238E27FC236}">
                  <a16:creationId xmlns:a16="http://schemas.microsoft.com/office/drawing/2014/main" id="{00000000-0008-0000-1400-000008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25400</xdr:colOff>
          <xdr:row>36</xdr:row>
          <xdr:rowOff>25400</xdr:rowOff>
        </xdr:from>
        <xdr:to>
          <xdr:col>33</xdr:col>
          <xdr:colOff>260350</xdr:colOff>
          <xdr:row>37</xdr:row>
          <xdr:rowOff>139700</xdr:rowOff>
        </xdr:to>
        <xdr:sp macro="" textlink="">
          <xdr:nvSpPr>
            <xdr:cNvPr id="58377" name="Check Box 9" hidden="1">
              <a:extLst>
                <a:ext uri="{63B3BB69-23CF-44E3-9099-C40C66FF867C}">
                  <a14:compatExt spid="_x0000_s58377"/>
                </a:ext>
                <a:ext uri="{FF2B5EF4-FFF2-40B4-BE49-F238E27FC236}">
                  <a16:creationId xmlns:a16="http://schemas.microsoft.com/office/drawing/2014/main" id="{00000000-0008-0000-1400-000009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42</xdr:col>
          <xdr:colOff>25400</xdr:colOff>
          <xdr:row>34</xdr:row>
          <xdr:rowOff>25400</xdr:rowOff>
        </xdr:from>
        <xdr:to>
          <xdr:col>42</xdr:col>
          <xdr:colOff>260350</xdr:colOff>
          <xdr:row>35</xdr:row>
          <xdr:rowOff>139700</xdr:rowOff>
        </xdr:to>
        <xdr:sp macro="" textlink="">
          <xdr:nvSpPr>
            <xdr:cNvPr id="58378" name="Check Box 10" hidden="1">
              <a:extLst>
                <a:ext uri="{63B3BB69-23CF-44E3-9099-C40C66FF867C}">
                  <a14:compatExt spid="_x0000_s58378"/>
                </a:ext>
                <a:ext uri="{FF2B5EF4-FFF2-40B4-BE49-F238E27FC236}">
                  <a16:creationId xmlns:a16="http://schemas.microsoft.com/office/drawing/2014/main" id="{00000000-0008-0000-1400-00000A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42</xdr:col>
          <xdr:colOff>25400</xdr:colOff>
          <xdr:row>32</xdr:row>
          <xdr:rowOff>25400</xdr:rowOff>
        </xdr:from>
        <xdr:to>
          <xdr:col>42</xdr:col>
          <xdr:colOff>260350</xdr:colOff>
          <xdr:row>33</xdr:row>
          <xdr:rowOff>139700</xdr:rowOff>
        </xdr:to>
        <xdr:sp macro="" textlink="">
          <xdr:nvSpPr>
            <xdr:cNvPr id="58379" name="Check Box 11" hidden="1">
              <a:extLst>
                <a:ext uri="{63B3BB69-23CF-44E3-9099-C40C66FF867C}">
                  <a14:compatExt spid="_x0000_s58379"/>
                </a:ext>
                <a:ext uri="{FF2B5EF4-FFF2-40B4-BE49-F238E27FC236}">
                  <a16:creationId xmlns:a16="http://schemas.microsoft.com/office/drawing/2014/main" id="{00000000-0008-0000-1400-00000B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42</xdr:col>
          <xdr:colOff>25400</xdr:colOff>
          <xdr:row>31</xdr:row>
          <xdr:rowOff>25400</xdr:rowOff>
        </xdr:from>
        <xdr:to>
          <xdr:col>42</xdr:col>
          <xdr:colOff>260350</xdr:colOff>
          <xdr:row>31</xdr:row>
          <xdr:rowOff>292100</xdr:rowOff>
        </xdr:to>
        <xdr:sp macro="" textlink="">
          <xdr:nvSpPr>
            <xdr:cNvPr id="58380" name="Check Box 12" hidden="1">
              <a:extLst>
                <a:ext uri="{63B3BB69-23CF-44E3-9099-C40C66FF867C}">
                  <a14:compatExt spid="_x0000_s58380"/>
                </a:ext>
                <a:ext uri="{FF2B5EF4-FFF2-40B4-BE49-F238E27FC236}">
                  <a16:creationId xmlns:a16="http://schemas.microsoft.com/office/drawing/2014/main" id="{00000000-0008-0000-1400-00000C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42</xdr:col>
          <xdr:colOff>25400</xdr:colOff>
          <xdr:row>30</xdr:row>
          <xdr:rowOff>25400</xdr:rowOff>
        </xdr:from>
        <xdr:to>
          <xdr:col>42</xdr:col>
          <xdr:colOff>260350</xdr:colOff>
          <xdr:row>30</xdr:row>
          <xdr:rowOff>292100</xdr:rowOff>
        </xdr:to>
        <xdr:sp macro="" textlink="">
          <xdr:nvSpPr>
            <xdr:cNvPr id="58381" name="Check Box 13" hidden="1">
              <a:extLst>
                <a:ext uri="{63B3BB69-23CF-44E3-9099-C40C66FF867C}">
                  <a14:compatExt spid="_x0000_s58381"/>
                </a:ext>
                <a:ext uri="{FF2B5EF4-FFF2-40B4-BE49-F238E27FC236}">
                  <a16:creationId xmlns:a16="http://schemas.microsoft.com/office/drawing/2014/main" id="{00000000-0008-0000-1400-00000D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24</xdr:col>
          <xdr:colOff>266700</xdr:colOff>
          <xdr:row>39</xdr:row>
          <xdr:rowOff>63500</xdr:rowOff>
        </xdr:from>
        <xdr:to>
          <xdr:col>25</xdr:col>
          <xdr:colOff>203200</xdr:colOff>
          <xdr:row>41</xdr:row>
          <xdr:rowOff>25400</xdr:rowOff>
        </xdr:to>
        <xdr:sp macro="" textlink="">
          <xdr:nvSpPr>
            <xdr:cNvPr id="28673" name="Check Box 1" hidden="1">
              <a:extLst>
                <a:ext uri="{63B3BB69-23CF-44E3-9099-C40C66FF867C}">
                  <a14:compatExt spid="_x0000_s28673"/>
                </a:ext>
                <a:ext uri="{FF2B5EF4-FFF2-40B4-BE49-F238E27FC236}">
                  <a16:creationId xmlns:a16="http://schemas.microsoft.com/office/drawing/2014/main" id="{00000000-0008-0000-1500-000001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0</xdr:colOff>
          <xdr:row>39</xdr:row>
          <xdr:rowOff>63500</xdr:rowOff>
        </xdr:from>
        <xdr:to>
          <xdr:col>30</xdr:col>
          <xdr:colOff>215900</xdr:colOff>
          <xdr:row>41</xdr:row>
          <xdr:rowOff>25400</xdr:rowOff>
        </xdr:to>
        <xdr:sp macro="" textlink="">
          <xdr:nvSpPr>
            <xdr:cNvPr id="28674" name="Check Box 2" hidden="1">
              <a:extLst>
                <a:ext uri="{63B3BB69-23CF-44E3-9099-C40C66FF867C}">
                  <a14:compatExt spid="_x0000_s28674"/>
                </a:ext>
                <a:ext uri="{FF2B5EF4-FFF2-40B4-BE49-F238E27FC236}">
                  <a16:creationId xmlns:a16="http://schemas.microsoft.com/office/drawing/2014/main" id="{00000000-0008-0000-1500-000002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266700</xdr:colOff>
          <xdr:row>42</xdr:row>
          <xdr:rowOff>222250</xdr:rowOff>
        </xdr:from>
        <xdr:to>
          <xdr:col>25</xdr:col>
          <xdr:colOff>203200</xdr:colOff>
          <xdr:row>44</xdr:row>
          <xdr:rowOff>25400</xdr:rowOff>
        </xdr:to>
        <xdr:sp macro="" textlink="">
          <xdr:nvSpPr>
            <xdr:cNvPr id="28675" name="Check Box 3" hidden="1">
              <a:extLst>
                <a:ext uri="{63B3BB69-23CF-44E3-9099-C40C66FF867C}">
                  <a14:compatExt spid="_x0000_s28675"/>
                </a:ext>
                <a:ext uri="{FF2B5EF4-FFF2-40B4-BE49-F238E27FC236}">
                  <a16:creationId xmlns:a16="http://schemas.microsoft.com/office/drawing/2014/main" id="{00000000-0008-0000-1500-000003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266700</xdr:colOff>
          <xdr:row>42</xdr:row>
          <xdr:rowOff>222250</xdr:rowOff>
        </xdr:from>
        <xdr:to>
          <xdr:col>30</xdr:col>
          <xdr:colOff>203200</xdr:colOff>
          <xdr:row>44</xdr:row>
          <xdr:rowOff>25400</xdr:rowOff>
        </xdr:to>
        <xdr:sp macro="" textlink="">
          <xdr:nvSpPr>
            <xdr:cNvPr id="28676" name="Check Box 4" hidden="1">
              <a:extLst>
                <a:ext uri="{63B3BB69-23CF-44E3-9099-C40C66FF867C}">
                  <a14:compatExt spid="_x0000_s28676"/>
                </a:ext>
                <a:ext uri="{FF2B5EF4-FFF2-40B4-BE49-F238E27FC236}">
                  <a16:creationId xmlns:a16="http://schemas.microsoft.com/office/drawing/2014/main" id="{00000000-0008-0000-1500-000004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0</xdr:colOff>
          <xdr:row>44</xdr:row>
          <xdr:rowOff>228600</xdr:rowOff>
        </xdr:from>
        <xdr:to>
          <xdr:col>25</xdr:col>
          <xdr:colOff>215900</xdr:colOff>
          <xdr:row>46</xdr:row>
          <xdr:rowOff>31750</xdr:rowOff>
        </xdr:to>
        <xdr:sp macro="" textlink="">
          <xdr:nvSpPr>
            <xdr:cNvPr id="28677" name="Check Box 5" hidden="1">
              <a:extLst>
                <a:ext uri="{63B3BB69-23CF-44E3-9099-C40C66FF867C}">
                  <a14:compatExt spid="_x0000_s28677"/>
                </a:ext>
                <a:ext uri="{FF2B5EF4-FFF2-40B4-BE49-F238E27FC236}">
                  <a16:creationId xmlns:a16="http://schemas.microsoft.com/office/drawing/2014/main" id="{00000000-0008-0000-1500-000005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0</xdr:colOff>
          <xdr:row>44</xdr:row>
          <xdr:rowOff>222250</xdr:rowOff>
        </xdr:from>
        <xdr:to>
          <xdr:col>30</xdr:col>
          <xdr:colOff>215900</xdr:colOff>
          <xdr:row>46</xdr:row>
          <xdr:rowOff>25400</xdr:rowOff>
        </xdr:to>
        <xdr:sp macro="" textlink="">
          <xdr:nvSpPr>
            <xdr:cNvPr id="28678" name="Check Box 6" hidden="1">
              <a:extLst>
                <a:ext uri="{63B3BB69-23CF-44E3-9099-C40C66FF867C}">
                  <a14:compatExt spid="_x0000_s28678"/>
                </a:ext>
                <a:ext uri="{FF2B5EF4-FFF2-40B4-BE49-F238E27FC236}">
                  <a16:creationId xmlns:a16="http://schemas.microsoft.com/office/drawing/2014/main" id="{00000000-0008-0000-1500-000006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0</xdr:colOff>
          <xdr:row>45</xdr:row>
          <xdr:rowOff>215900</xdr:rowOff>
        </xdr:from>
        <xdr:to>
          <xdr:col>25</xdr:col>
          <xdr:colOff>215900</xdr:colOff>
          <xdr:row>47</xdr:row>
          <xdr:rowOff>25400</xdr:rowOff>
        </xdr:to>
        <xdr:sp macro="" textlink="">
          <xdr:nvSpPr>
            <xdr:cNvPr id="28679" name="Check Box 7" hidden="1">
              <a:extLst>
                <a:ext uri="{63B3BB69-23CF-44E3-9099-C40C66FF867C}">
                  <a14:compatExt spid="_x0000_s28679"/>
                </a:ext>
                <a:ext uri="{FF2B5EF4-FFF2-40B4-BE49-F238E27FC236}">
                  <a16:creationId xmlns:a16="http://schemas.microsoft.com/office/drawing/2014/main" id="{00000000-0008-0000-1500-000007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266700</xdr:colOff>
          <xdr:row>45</xdr:row>
          <xdr:rowOff>222250</xdr:rowOff>
        </xdr:from>
        <xdr:to>
          <xdr:col>30</xdr:col>
          <xdr:colOff>203200</xdr:colOff>
          <xdr:row>47</xdr:row>
          <xdr:rowOff>31750</xdr:rowOff>
        </xdr:to>
        <xdr:sp macro="" textlink="">
          <xdr:nvSpPr>
            <xdr:cNvPr id="28680" name="Check Box 8" hidden="1">
              <a:extLst>
                <a:ext uri="{63B3BB69-23CF-44E3-9099-C40C66FF867C}">
                  <a14:compatExt spid="_x0000_s28680"/>
                </a:ext>
                <a:ext uri="{FF2B5EF4-FFF2-40B4-BE49-F238E27FC236}">
                  <a16:creationId xmlns:a16="http://schemas.microsoft.com/office/drawing/2014/main" id="{00000000-0008-0000-1500-000008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266700</xdr:colOff>
          <xdr:row>46</xdr:row>
          <xdr:rowOff>215900</xdr:rowOff>
        </xdr:from>
        <xdr:to>
          <xdr:col>25</xdr:col>
          <xdr:colOff>203200</xdr:colOff>
          <xdr:row>48</xdr:row>
          <xdr:rowOff>25400</xdr:rowOff>
        </xdr:to>
        <xdr:sp macro="" textlink="">
          <xdr:nvSpPr>
            <xdr:cNvPr id="28681" name="Check Box 9" hidden="1">
              <a:extLst>
                <a:ext uri="{63B3BB69-23CF-44E3-9099-C40C66FF867C}">
                  <a14:compatExt spid="_x0000_s28681"/>
                </a:ext>
                <a:ext uri="{FF2B5EF4-FFF2-40B4-BE49-F238E27FC236}">
                  <a16:creationId xmlns:a16="http://schemas.microsoft.com/office/drawing/2014/main" id="{00000000-0008-0000-1500-000009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0</xdr:colOff>
          <xdr:row>46</xdr:row>
          <xdr:rowOff>228600</xdr:rowOff>
        </xdr:from>
        <xdr:to>
          <xdr:col>30</xdr:col>
          <xdr:colOff>215900</xdr:colOff>
          <xdr:row>48</xdr:row>
          <xdr:rowOff>38100</xdr:rowOff>
        </xdr:to>
        <xdr:sp macro="" textlink="">
          <xdr:nvSpPr>
            <xdr:cNvPr id="28682" name="Check Box 10" hidden="1">
              <a:extLst>
                <a:ext uri="{63B3BB69-23CF-44E3-9099-C40C66FF867C}">
                  <a14:compatExt spid="_x0000_s28682"/>
                </a:ext>
                <a:ext uri="{FF2B5EF4-FFF2-40B4-BE49-F238E27FC236}">
                  <a16:creationId xmlns:a16="http://schemas.microsoft.com/office/drawing/2014/main" id="{00000000-0008-0000-1500-00000A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266700</xdr:colOff>
          <xdr:row>3</xdr:row>
          <xdr:rowOff>44450</xdr:rowOff>
        </xdr:from>
        <xdr:to>
          <xdr:col>26</xdr:col>
          <xdr:colOff>38100</xdr:colOff>
          <xdr:row>5</xdr:row>
          <xdr:rowOff>38100</xdr:rowOff>
        </xdr:to>
        <xdr:sp macro="" textlink="">
          <xdr:nvSpPr>
            <xdr:cNvPr id="28683" name="Check Box 11" hidden="1">
              <a:extLst>
                <a:ext uri="{63B3BB69-23CF-44E3-9099-C40C66FF867C}">
                  <a14:compatExt spid="_x0000_s28683"/>
                </a:ext>
                <a:ext uri="{FF2B5EF4-FFF2-40B4-BE49-F238E27FC236}">
                  <a16:creationId xmlns:a16="http://schemas.microsoft.com/office/drawing/2014/main" id="{00000000-0008-0000-1500-00000B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266700</xdr:colOff>
          <xdr:row>3</xdr:row>
          <xdr:rowOff>31750</xdr:rowOff>
        </xdr:from>
        <xdr:to>
          <xdr:col>30</xdr:col>
          <xdr:colOff>203200</xdr:colOff>
          <xdr:row>5</xdr:row>
          <xdr:rowOff>25400</xdr:rowOff>
        </xdr:to>
        <xdr:sp macro="" textlink="">
          <xdr:nvSpPr>
            <xdr:cNvPr id="28684" name="Check Box 12" hidden="1">
              <a:extLst>
                <a:ext uri="{63B3BB69-23CF-44E3-9099-C40C66FF867C}">
                  <a14:compatExt spid="_x0000_s28684"/>
                </a:ext>
                <a:ext uri="{FF2B5EF4-FFF2-40B4-BE49-F238E27FC236}">
                  <a16:creationId xmlns:a16="http://schemas.microsoft.com/office/drawing/2014/main" id="{00000000-0008-0000-1500-00000C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266700</xdr:colOff>
          <xdr:row>4</xdr:row>
          <xdr:rowOff>222250</xdr:rowOff>
        </xdr:from>
        <xdr:to>
          <xdr:col>25</xdr:col>
          <xdr:colOff>203200</xdr:colOff>
          <xdr:row>6</xdr:row>
          <xdr:rowOff>25400</xdr:rowOff>
        </xdr:to>
        <xdr:sp macro="" textlink="">
          <xdr:nvSpPr>
            <xdr:cNvPr id="28685" name="Check Box 13" hidden="1">
              <a:extLst>
                <a:ext uri="{63B3BB69-23CF-44E3-9099-C40C66FF867C}">
                  <a14:compatExt spid="_x0000_s28685"/>
                </a:ext>
                <a:ext uri="{FF2B5EF4-FFF2-40B4-BE49-F238E27FC236}">
                  <a16:creationId xmlns:a16="http://schemas.microsoft.com/office/drawing/2014/main" id="{00000000-0008-0000-1500-00000D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266700</xdr:colOff>
          <xdr:row>4</xdr:row>
          <xdr:rowOff>228600</xdr:rowOff>
        </xdr:from>
        <xdr:to>
          <xdr:col>30</xdr:col>
          <xdr:colOff>203200</xdr:colOff>
          <xdr:row>6</xdr:row>
          <xdr:rowOff>25400</xdr:rowOff>
        </xdr:to>
        <xdr:sp macro="" textlink="">
          <xdr:nvSpPr>
            <xdr:cNvPr id="28686" name="Check Box 14" hidden="1">
              <a:extLst>
                <a:ext uri="{63B3BB69-23CF-44E3-9099-C40C66FF867C}">
                  <a14:compatExt spid="_x0000_s28686"/>
                </a:ext>
                <a:ext uri="{FF2B5EF4-FFF2-40B4-BE49-F238E27FC236}">
                  <a16:creationId xmlns:a16="http://schemas.microsoft.com/office/drawing/2014/main" id="{00000000-0008-0000-1500-00000E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12700</xdr:colOff>
          <xdr:row>7</xdr:row>
          <xdr:rowOff>165100</xdr:rowOff>
        </xdr:from>
        <xdr:to>
          <xdr:col>6</xdr:col>
          <xdr:colOff>222250</xdr:colOff>
          <xdr:row>9</xdr:row>
          <xdr:rowOff>25400</xdr:rowOff>
        </xdr:to>
        <xdr:sp macro="" textlink="">
          <xdr:nvSpPr>
            <xdr:cNvPr id="28687" name="Check Box 15" hidden="1">
              <a:extLst>
                <a:ext uri="{63B3BB69-23CF-44E3-9099-C40C66FF867C}">
                  <a14:compatExt spid="_x0000_s28687"/>
                </a:ext>
                <a:ext uri="{FF2B5EF4-FFF2-40B4-BE49-F238E27FC236}">
                  <a16:creationId xmlns:a16="http://schemas.microsoft.com/office/drawing/2014/main" id="{00000000-0008-0000-1500-00000F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12700</xdr:colOff>
          <xdr:row>8</xdr:row>
          <xdr:rowOff>241300</xdr:rowOff>
        </xdr:from>
        <xdr:to>
          <xdr:col>6</xdr:col>
          <xdr:colOff>222250</xdr:colOff>
          <xdr:row>10</xdr:row>
          <xdr:rowOff>44450</xdr:rowOff>
        </xdr:to>
        <xdr:sp macro="" textlink="">
          <xdr:nvSpPr>
            <xdr:cNvPr id="28688" name="Check Box 16" hidden="1">
              <a:extLst>
                <a:ext uri="{63B3BB69-23CF-44E3-9099-C40C66FF867C}">
                  <a14:compatExt spid="_x0000_s28688"/>
                </a:ext>
                <a:ext uri="{FF2B5EF4-FFF2-40B4-BE49-F238E27FC236}">
                  <a16:creationId xmlns:a16="http://schemas.microsoft.com/office/drawing/2014/main" id="{00000000-0008-0000-1500-000010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xdr:row>
          <xdr:rowOff>165100</xdr:rowOff>
        </xdr:from>
        <xdr:to>
          <xdr:col>15</xdr:col>
          <xdr:colOff>228600</xdr:colOff>
          <xdr:row>9</xdr:row>
          <xdr:rowOff>25400</xdr:rowOff>
        </xdr:to>
        <xdr:sp macro="" textlink="">
          <xdr:nvSpPr>
            <xdr:cNvPr id="28689" name="Check Box 17" hidden="1">
              <a:extLst>
                <a:ext uri="{63B3BB69-23CF-44E3-9099-C40C66FF867C}">
                  <a14:compatExt spid="_x0000_s28689"/>
                </a:ext>
                <a:ext uri="{FF2B5EF4-FFF2-40B4-BE49-F238E27FC236}">
                  <a16:creationId xmlns:a16="http://schemas.microsoft.com/office/drawing/2014/main" id="{00000000-0008-0000-1500-000011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8</xdr:row>
          <xdr:rowOff>215900</xdr:rowOff>
        </xdr:from>
        <xdr:to>
          <xdr:col>15</xdr:col>
          <xdr:colOff>241300</xdr:colOff>
          <xdr:row>10</xdr:row>
          <xdr:rowOff>25400</xdr:rowOff>
        </xdr:to>
        <xdr:sp macro="" textlink="">
          <xdr:nvSpPr>
            <xdr:cNvPr id="28690" name="Check Box 18" hidden="1">
              <a:extLst>
                <a:ext uri="{63B3BB69-23CF-44E3-9099-C40C66FF867C}">
                  <a14:compatExt spid="_x0000_s28690"/>
                </a:ext>
                <a:ext uri="{FF2B5EF4-FFF2-40B4-BE49-F238E27FC236}">
                  <a16:creationId xmlns:a16="http://schemas.microsoft.com/office/drawing/2014/main" id="{00000000-0008-0000-1500-000012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10</xdr:row>
          <xdr:rowOff>215900</xdr:rowOff>
        </xdr:from>
        <xdr:to>
          <xdr:col>6</xdr:col>
          <xdr:colOff>203200</xdr:colOff>
          <xdr:row>12</xdr:row>
          <xdr:rowOff>25400</xdr:rowOff>
        </xdr:to>
        <xdr:sp macro="" textlink="">
          <xdr:nvSpPr>
            <xdr:cNvPr id="28691" name="Check Box 19" hidden="1">
              <a:extLst>
                <a:ext uri="{63B3BB69-23CF-44E3-9099-C40C66FF867C}">
                  <a14:compatExt spid="_x0000_s28691"/>
                </a:ext>
                <a:ext uri="{FF2B5EF4-FFF2-40B4-BE49-F238E27FC236}">
                  <a16:creationId xmlns:a16="http://schemas.microsoft.com/office/drawing/2014/main" id="{00000000-0008-0000-1500-000013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260350</xdr:colOff>
          <xdr:row>11</xdr:row>
          <xdr:rowOff>215900</xdr:rowOff>
        </xdr:from>
        <xdr:to>
          <xdr:col>6</xdr:col>
          <xdr:colOff>196850</xdr:colOff>
          <xdr:row>13</xdr:row>
          <xdr:rowOff>12700</xdr:rowOff>
        </xdr:to>
        <xdr:sp macro="" textlink="">
          <xdr:nvSpPr>
            <xdr:cNvPr id="28692" name="Check Box 20" hidden="1">
              <a:extLst>
                <a:ext uri="{63B3BB69-23CF-44E3-9099-C40C66FF867C}">
                  <a14:compatExt spid="_x0000_s28692"/>
                </a:ext>
                <a:ext uri="{FF2B5EF4-FFF2-40B4-BE49-F238E27FC236}">
                  <a16:creationId xmlns:a16="http://schemas.microsoft.com/office/drawing/2014/main" id="{00000000-0008-0000-1500-000014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266700</xdr:colOff>
          <xdr:row>10</xdr:row>
          <xdr:rowOff>222250</xdr:rowOff>
        </xdr:from>
        <xdr:to>
          <xdr:col>15</xdr:col>
          <xdr:colOff>203200</xdr:colOff>
          <xdr:row>12</xdr:row>
          <xdr:rowOff>31750</xdr:rowOff>
        </xdr:to>
        <xdr:sp macro="" textlink="">
          <xdr:nvSpPr>
            <xdr:cNvPr id="28693" name="Check Box 21" hidden="1">
              <a:extLst>
                <a:ext uri="{63B3BB69-23CF-44E3-9099-C40C66FF867C}">
                  <a14:compatExt spid="_x0000_s28693"/>
                </a:ext>
                <a:ext uri="{FF2B5EF4-FFF2-40B4-BE49-F238E27FC236}">
                  <a16:creationId xmlns:a16="http://schemas.microsoft.com/office/drawing/2014/main" id="{00000000-0008-0000-1500-000015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266700</xdr:colOff>
          <xdr:row>11</xdr:row>
          <xdr:rowOff>234950</xdr:rowOff>
        </xdr:from>
        <xdr:to>
          <xdr:col>15</xdr:col>
          <xdr:colOff>203200</xdr:colOff>
          <xdr:row>13</xdr:row>
          <xdr:rowOff>31750</xdr:rowOff>
        </xdr:to>
        <xdr:sp macro="" textlink="">
          <xdr:nvSpPr>
            <xdr:cNvPr id="28694" name="Check Box 22" hidden="1">
              <a:extLst>
                <a:ext uri="{63B3BB69-23CF-44E3-9099-C40C66FF867C}">
                  <a14:compatExt spid="_x0000_s28694"/>
                </a:ext>
                <a:ext uri="{FF2B5EF4-FFF2-40B4-BE49-F238E27FC236}">
                  <a16:creationId xmlns:a16="http://schemas.microsoft.com/office/drawing/2014/main" id="{00000000-0008-0000-1500-000016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266700</xdr:colOff>
          <xdr:row>10</xdr:row>
          <xdr:rowOff>203200</xdr:rowOff>
        </xdr:from>
        <xdr:to>
          <xdr:col>25</xdr:col>
          <xdr:colOff>203200</xdr:colOff>
          <xdr:row>12</xdr:row>
          <xdr:rowOff>12700</xdr:rowOff>
        </xdr:to>
        <xdr:sp macro="" textlink="">
          <xdr:nvSpPr>
            <xdr:cNvPr id="28695" name="Check Box 23" hidden="1">
              <a:extLst>
                <a:ext uri="{63B3BB69-23CF-44E3-9099-C40C66FF867C}">
                  <a14:compatExt spid="_x0000_s28695"/>
                </a:ext>
                <a:ext uri="{FF2B5EF4-FFF2-40B4-BE49-F238E27FC236}">
                  <a16:creationId xmlns:a16="http://schemas.microsoft.com/office/drawing/2014/main" id="{00000000-0008-0000-1500-000017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266700</xdr:colOff>
          <xdr:row>12</xdr:row>
          <xdr:rowOff>222250</xdr:rowOff>
        </xdr:from>
        <xdr:to>
          <xdr:col>25</xdr:col>
          <xdr:colOff>203200</xdr:colOff>
          <xdr:row>14</xdr:row>
          <xdr:rowOff>25400</xdr:rowOff>
        </xdr:to>
        <xdr:sp macro="" textlink="">
          <xdr:nvSpPr>
            <xdr:cNvPr id="28696" name="Check Box 24" hidden="1">
              <a:extLst>
                <a:ext uri="{63B3BB69-23CF-44E3-9099-C40C66FF867C}">
                  <a14:compatExt spid="_x0000_s28696"/>
                </a:ext>
                <a:ext uri="{FF2B5EF4-FFF2-40B4-BE49-F238E27FC236}">
                  <a16:creationId xmlns:a16="http://schemas.microsoft.com/office/drawing/2014/main" id="{00000000-0008-0000-1500-000018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266700</xdr:colOff>
          <xdr:row>12</xdr:row>
          <xdr:rowOff>222250</xdr:rowOff>
        </xdr:from>
        <xdr:to>
          <xdr:col>30</xdr:col>
          <xdr:colOff>203200</xdr:colOff>
          <xdr:row>14</xdr:row>
          <xdr:rowOff>25400</xdr:rowOff>
        </xdr:to>
        <xdr:sp macro="" textlink="">
          <xdr:nvSpPr>
            <xdr:cNvPr id="28697" name="Check Box 25" hidden="1">
              <a:extLst>
                <a:ext uri="{63B3BB69-23CF-44E3-9099-C40C66FF867C}">
                  <a14:compatExt spid="_x0000_s28697"/>
                </a:ext>
                <a:ext uri="{FF2B5EF4-FFF2-40B4-BE49-F238E27FC236}">
                  <a16:creationId xmlns:a16="http://schemas.microsoft.com/office/drawing/2014/main" id="{00000000-0008-0000-1500-000019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266700</xdr:colOff>
          <xdr:row>13</xdr:row>
          <xdr:rowOff>222250</xdr:rowOff>
        </xdr:from>
        <xdr:to>
          <xdr:col>25</xdr:col>
          <xdr:colOff>203200</xdr:colOff>
          <xdr:row>15</xdr:row>
          <xdr:rowOff>25400</xdr:rowOff>
        </xdr:to>
        <xdr:sp macro="" textlink="">
          <xdr:nvSpPr>
            <xdr:cNvPr id="28698" name="Check Box 26" hidden="1">
              <a:extLst>
                <a:ext uri="{63B3BB69-23CF-44E3-9099-C40C66FF867C}">
                  <a14:compatExt spid="_x0000_s28698"/>
                </a:ext>
                <a:ext uri="{FF2B5EF4-FFF2-40B4-BE49-F238E27FC236}">
                  <a16:creationId xmlns:a16="http://schemas.microsoft.com/office/drawing/2014/main" id="{00000000-0008-0000-1500-00001A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266700</xdr:colOff>
          <xdr:row>13</xdr:row>
          <xdr:rowOff>228600</xdr:rowOff>
        </xdr:from>
        <xdr:to>
          <xdr:col>30</xdr:col>
          <xdr:colOff>203200</xdr:colOff>
          <xdr:row>15</xdr:row>
          <xdr:rowOff>25400</xdr:rowOff>
        </xdr:to>
        <xdr:sp macro="" textlink="">
          <xdr:nvSpPr>
            <xdr:cNvPr id="28699" name="Check Box 27" hidden="1">
              <a:extLst>
                <a:ext uri="{63B3BB69-23CF-44E3-9099-C40C66FF867C}">
                  <a14:compatExt spid="_x0000_s28699"/>
                </a:ext>
                <a:ext uri="{FF2B5EF4-FFF2-40B4-BE49-F238E27FC236}">
                  <a16:creationId xmlns:a16="http://schemas.microsoft.com/office/drawing/2014/main" id="{00000000-0008-0000-1500-00001B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266700</xdr:colOff>
          <xdr:row>14</xdr:row>
          <xdr:rowOff>228600</xdr:rowOff>
        </xdr:from>
        <xdr:to>
          <xdr:col>25</xdr:col>
          <xdr:colOff>203200</xdr:colOff>
          <xdr:row>16</xdr:row>
          <xdr:rowOff>25400</xdr:rowOff>
        </xdr:to>
        <xdr:sp macro="" textlink="">
          <xdr:nvSpPr>
            <xdr:cNvPr id="28700" name="Check Box 28" hidden="1">
              <a:extLst>
                <a:ext uri="{63B3BB69-23CF-44E3-9099-C40C66FF867C}">
                  <a14:compatExt spid="_x0000_s28700"/>
                </a:ext>
                <a:ext uri="{FF2B5EF4-FFF2-40B4-BE49-F238E27FC236}">
                  <a16:creationId xmlns:a16="http://schemas.microsoft.com/office/drawing/2014/main" id="{00000000-0008-0000-1500-00001C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266700</xdr:colOff>
          <xdr:row>14</xdr:row>
          <xdr:rowOff>228600</xdr:rowOff>
        </xdr:from>
        <xdr:to>
          <xdr:col>30</xdr:col>
          <xdr:colOff>203200</xdr:colOff>
          <xdr:row>16</xdr:row>
          <xdr:rowOff>25400</xdr:rowOff>
        </xdr:to>
        <xdr:sp macro="" textlink="">
          <xdr:nvSpPr>
            <xdr:cNvPr id="28701" name="Check Box 29" hidden="1">
              <a:extLst>
                <a:ext uri="{63B3BB69-23CF-44E3-9099-C40C66FF867C}">
                  <a14:compatExt spid="_x0000_s28701"/>
                </a:ext>
                <a:ext uri="{FF2B5EF4-FFF2-40B4-BE49-F238E27FC236}">
                  <a16:creationId xmlns:a16="http://schemas.microsoft.com/office/drawing/2014/main" id="{00000000-0008-0000-1500-00001D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0</xdr:colOff>
          <xdr:row>15</xdr:row>
          <xdr:rowOff>222250</xdr:rowOff>
        </xdr:from>
        <xdr:to>
          <xdr:col>25</xdr:col>
          <xdr:colOff>215900</xdr:colOff>
          <xdr:row>17</xdr:row>
          <xdr:rowOff>25400</xdr:rowOff>
        </xdr:to>
        <xdr:sp macro="" textlink="">
          <xdr:nvSpPr>
            <xdr:cNvPr id="28702" name="Check Box 30" hidden="1">
              <a:extLst>
                <a:ext uri="{63B3BB69-23CF-44E3-9099-C40C66FF867C}">
                  <a14:compatExt spid="_x0000_s28702"/>
                </a:ext>
                <a:ext uri="{FF2B5EF4-FFF2-40B4-BE49-F238E27FC236}">
                  <a16:creationId xmlns:a16="http://schemas.microsoft.com/office/drawing/2014/main" id="{00000000-0008-0000-1500-00001E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0</xdr:colOff>
          <xdr:row>15</xdr:row>
          <xdr:rowOff>222250</xdr:rowOff>
        </xdr:from>
        <xdr:to>
          <xdr:col>30</xdr:col>
          <xdr:colOff>215900</xdr:colOff>
          <xdr:row>17</xdr:row>
          <xdr:rowOff>25400</xdr:rowOff>
        </xdr:to>
        <xdr:sp macro="" textlink="">
          <xdr:nvSpPr>
            <xdr:cNvPr id="28703" name="Check Box 31" hidden="1">
              <a:extLst>
                <a:ext uri="{63B3BB69-23CF-44E3-9099-C40C66FF867C}">
                  <a14:compatExt spid="_x0000_s28703"/>
                </a:ext>
                <a:ext uri="{FF2B5EF4-FFF2-40B4-BE49-F238E27FC236}">
                  <a16:creationId xmlns:a16="http://schemas.microsoft.com/office/drawing/2014/main" id="{00000000-0008-0000-1500-00001F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266700</xdr:colOff>
          <xdr:row>16</xdr:row>
          <xdr:rowOff>228600</xdr:rowOff>
        </xdr:from>
        <xdr:to>
          <xdr:col>25</xdr:col>
          <xdr:colOff>203200</xdr:colOff>
          <xdr:row>18</xdr:row>
          <xdr:rowOff>25400</xdr:rowOff>
        </xdr:to>
        <xdr:sp macro="" textlink="">
          <xdr:nvSpPr>
            <xdr:cNvPr id="28704" name="Check Box 32" hidden="1">
              <a:extLst>
                <a:ext uri="{63B3BB69-23CF-44E3-9099-C40C66FF867C}">
                  <a14:compatExt spid="_x0000_s28704"/>
                </a:ext>
                <a:ext uri="{FF2B5EF4-FFF2-40B4-BE49-F238E27FC236}">
                  <a16:creationId xmlns:a16="http://schemas.microsoft.com/office/drawing/2014/main" id="{00000000-0008-0000-1500-000020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266700</xdr:colOff>
          <xdr:row>16</xdr:row>
          <xdr:rowOff>222250</xdr:rowOff>
        </xdr:from>
        <xdr:to>
          <xdr:col>30</xdr:col>
          <xdr:colOff>203200</xdr:colOff>
          <xdr:row>18</xdr:row>
          <xdr:rowOff>25400</xdr:rowOff>
        </xdr:to>
        <xdr:sp macro="" textlink="">
          <xdr:nvSpPr>
            <xdr:cNvPr id="28705" name="Check Box 33" hidden="1">
              <a:extLst>
                <a:ext uri="{63B3BB69-23CF-44E3-9099-C40C66FF867C}">
                  <a14:compatExt spid="_x0000_s28705"/>
                </a:ext>
                <a:ext uri="{FF2B5EF4-FFF2-40B4-BE49-F238E27FC236}">
                  <a16:creationId xmlns:a16="http://schemas.microsoft.com/office/drawing/2014/main" id="{00000000-0008-0000-1500-000021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266700</xdr:colOff>
          <xdr:row>17</xdr:row>
          <xdr:rowOff>215900</xdr:rowOff>
        </xdr:from>
        <xdr:to>
          <xdr:col>25</xdr:col>
          <xdr:colOff>203200</xdr:colOff>
          <xdr:row>19</xdr:row>
          <xdr:rowOff>12700</xdr:rowOff>
        </xdr:to>
        <xdr:sp macro="" textlink="">
          <xdr:nvSpPr>
            <xdr:cNvPr id="28706" name="Check Box 34" hidden="1">
              <a:extLst>
                <a:ext uri="{63B3BB69-23CF-44E3-9099-C40C66FF867C}">
                  <a14:compatExt spid="_x0000_s28706"/>
                </a:ext>
                <a:ext uri="{FF2B5EF4-FFF2-40B4-BE49-F238E27FC236}">
                  <a16:creationId xmlns:a16="http://schemas.microsoft.com/office/drawing/2014/main" id="{00000000-0008-0000-1500-000022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266700</xdr:colOff>
          <xdr:row>17</xdr:row>
          <xdr:rowOff>228600</xdr:rowOff>
        </xdr:from>
        <xdr:to>
          <xdr:col>30</xdr:col>
          <xdr:colOff>203200</xdr:colOff>
          <xdr:row>19</xdr:row>
          <xdr:rowOff>25400</xdr:rowOff>
        </xdr:to>
        <xdr:sp macro="" textlink="">
          <xdr:nvSpPr>
            <xdr:cNvPr id="28707" name="Check Box 35" hidden="1">
              <a:extLst>
                <a:ext uri="{63B3BB69-23CF-44E3-9099-C40C66FF867C}">
                  <a14:compatExt spid="_x0000_s28707"/>
                </a:ext>
                <a:ext uri="{FF2B5EF4-FFF2-40B4-BE49-F238E27FC236}">
                  <a16:creationId xmlns:a16="http://schemas.microsoft.com/office/drawing/2014/main" id="{00000000-0008-0000-1500-000023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266700</xdr:colOff>
          <xdr:row>20</xdr:row>
          <xdr:rowOff>38100</xdr:rowOff>
        </xdr:from>
        <xdr:to>
          <xdr:col>25</xdr:col>
          <xdr:colOff>203200</xdr:colOff>
          <xdr:row>20</xdr:row>
          <xdr:rowOff>355600</xdr:rowOff>
        </xdr:to>
        <xdr:sp macro="" textlink="">
          <xdr:nvSpPr>
            <xdr:cNvPr id="28708" name="Check Box 36" hidden="1">
              <a:extLst>
                <a:ext uri="{63B3BB69-23CF-44E3-9099-C40C66FF867C}">
                  <a14:compatExt spid="_x0000_s28708"/>
                </a:ext>
                <a:ext uri="{FF2B5EF4-FFF2-40B4-BE49-F238E27FC236}">
                  <a16:creationId xmlns:a16="http://schemas.microsoft.com/office/drawing/2014/main" id="{00000000-0008-0000-1500-000024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266700</xdr:colOff>
          <xdr:row>20</xdr:row>
          <xdr:rowOff>44450</xdr:rowOff>
        </xdr:from>
        <xdr:to>
          <xdr:col>30</xdr:col>
          <xdr:colOff>203200</xdr:colOff>
          <xdr:row>20</xdr:row>
          <xdr:rowOff>368300</xdr:rowOff>
        </xdr:to>
        <xdr:sp macro="" textlink="">
          <xdr:nvSpPr>
            <xdr:cNvPr id="28709" name="Check Box 37" hidden="1">
              <a:extLst>
                <a:ext uri="{63B3BB69-23CF-44E3-9099-C40C66FF867C}">
                  <a14:compatExt spid="_x0000_s28709"/>
                </a:ext>
                <a:ext uri="{FF2B5EF4-FFF2-40B4-BE49-F238E27FC236}">
                  <a16:creationId xmlns:a16="http://schemas.microsoft.com/office/drawing/2014/main" id="{00000000-0008-0000-1500-000025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260350</xdr:colOff>
          <xdr:row>26</xdr:row>
          <xdr:rowOff>38100</xdr:rowOff>
        </xdr:from>
        <xdr:to>
          <xdr:col>29</xdr:col>
          <xdr:colOff>196850</xdr:colOff>
          <xdr:row>28</xdr:row>
          <xdr:rowOff>101600</xdr:rowOff>
        </xdr:to>
        <xdr:sp macro="" textlink="">
          <xdr:nvSpPr>
            <xdr:cNvPr id="28710" name="Check Box 38" hidden="1">
              <a:extLst>
                <a:ext uri="{63B3BB69-23CF-44E3-9099-C40C66FF867C}">
                  <a14:compatExt spid="_x0000_s28710"/>
                </a:ext>
                <a:ext uri="{FF2B5EF4-FFF2-40B4-BE49-F238E27FC236}">
                  <a16:creationId xmlns:a16="http://schemas.microsoft.com/office/drawing/2014/main" id="{00000000-0008-0000-1500-000026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266700</xdr:colOff>
          <xdr:row>26</xdr:row>
          <xdr:rowOff>38100</xdr:rowOff>
        </xdr:from>
        <xdr:to>
          <xdr:col>34</xdr:col>
          <xdr:colOff>203200</xdr:colOff>
          <xdr:row>28</xdr:row>
          <xdr:rowOff>101600</xdr:rowOff>
        </xdr:to>
        <xdr:sp macro="" textlink="">
          <xdr:nvSpPr>
            <xdr:cNvPr id="28711" name="Check Box 39" hidden="1">
              <a:extLst>
                <a:ext uri="{63B3BB69-23CF-44E3-9099-C40C66FF867C}">
                  <a14:compatExt spid="_x0000_s28711"/>
                </a:ext>
                <a:ext uri="{FF2B5EF4-FFF2-40B4-BE49-F238E27FC236}">
                  <a16:creationId xmlns:a16="http://schemas.microsoft.com/office/drawing/2014/main" id="{00000000-0008-0000-1500-000027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266700</xdr:colOff>
          <xdr:row>27</xdr:row>
          <xdr:rowOff>228600</xdr:rowOff>
        </xdr:from>
        <xdr:to>
          <xdr:col>29</xdr:col>
          <xdr:colOff>203200</xdr:colOff>
          <xdr:row>29</xdr:row>
          <xdr:rowOff>127000</xdr:rowOff>
        </xdr:to>
        <xdr:sp macro="" textlink="">
          <xdr:nvSpPr>
            <xdr:cNvPr id="28712" name="Check Box 40" hidden="1">
              <a:extLst>
                <a:ext uri="{63B3BB69-23CF-44E3-9099-C40C66FF867C}">
                  <a14:compatExt spid="_x0000_s28712"/>
                </a:ext>
                <a:ext uri="{FF2B5EF4-FFF2-40B4-BE49-F238E27FC236}">
                  <a16:creationId xmlns:a16="http://schemas.microsoft.com/office/drawing/2014/main" id="{00000000-0008-0000-1500-000028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266700</xdr:colOff>
          <xdr:row>27</xdr:row>
          <xdr:rowOff>234950</xdr:rowOff>
        </xdr:from>
        <xdr:to>
          <xdr:col>34</xdr:col>
          <xdr:colOff>203200</xdr:colOff>
          <xdr:row>29</xdr:row>
          <xdr:rowOff>127000</xdr:rowOff>
        </xdr:to>
        <xdr:sp macro="" textlink="">
          <xdr:nvSpPr>
            <xdr:cNvPr id="28713" name="Check Box 41" hidden="1">
              <a:extLst>
                <a:ext uri="{63B3BB69-23CF-44E3-9099-C40C66FF867C}">
                  <a14:compatExt spid="_x0000_s28713"/>
                </a:ext>
                <a:ext uri="{FF2B5EF4-FFF2-40B4-BE49-F238E27FC236}">
                  <a16:creationId xmlns:a16="http://schemas.microsoft.com/office/drawing/2014/main" id="{00000000-0008-0000-1500-000029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266700</xdr:colOff>
          <xdr:row>29</xdr:row>
          <xdr:rowOff>44450</xdr:rowOff>
        </xdr:from>
        <xdr:to>
          <xdr:col>29</xdr:col>
          <xdr:colOff>203200</xdr:colOff>
          <xdr:row>29</xdr:row>
          <xdr:rowOff>368300</xdr:rowOff>
        </xdr:to>
        <xdr:sp macro="" textlink="">
          <xdr:nvSpPr>
            <xdr:cNvPr id="28714" name="Check Box 42" hidden="1">
              <a:extLst>
                <a:ext uri="{63B3BB69-23CF-44E3-9099-C40C66FF867C}">
                  <a14:compatExt spid="_x0000_s28714"/>
                </a:ext>
                <a:ext uri="{FF2B5EF4-FFF2-40B4-BE49-F238E27FC236}">
                  <a16:creationId xmlns:a16="http://schemas.microsoft.com/office/drawing/2014/main" id="{00000000-0008-0000-1500-00002A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266700</xdr:colOff>
          <xdr:row>29</xdr:row>
          <xdr:rowOff>44450</xdr:rowOff>
        </xdr:from>
        <xdr:to>
          <xdr:col>34</xdr:col>
          <xdr:colOff>203200</xdr:colOff>
          <xdr:row>29</xdr:row>
          <xdr:rowOff>368300</xdr:rowOff>
        </xdr:to>
        <xdr:sp macro="" textlink="">
          <xdr:nvSpPr>
            <xdr:cNvPr id="28715" name="Check Box 43" hidden="1">
              <a:extLst>
                <a:ext uri="{63B3BB69-23CF-44E3-9099-C40C66FF867C}">
                  <a14:compatExt spid="_x0000_s28715"/>
                </a:ext>
                <a:ext uri="{FF2B5EF4-FFF2-40B4-BE49-F238E27FC236}">
                  <a16:creationId xmlns:a16="http://schemas.microsoft.com/office/drawing/2014/main" id="{00000000-0008-0000-1500-00002B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266700</xdr:colOff>
          <xdr:row>30</xdr:row>
          <xdr:rowOff>44450</xdr:rowOff>
        </xdr:from>
        <xdr:to>
          <xdr:col>29</xdr:col>
          <xdr:colOff>203200</xdr:colOff>
          <xdr:row>30</xdr:row>
          <xdr:rowOff>368300</xdr:rowOff>
        </xdr:to>
        <xdr:sp macro="" textlink="">
          <xdr:nvSpPr>
            <xdr:cNvPr id="28716" name="Check Box 44" hidden="1">
              <a:extLst>
                <a:ext uri="{63B3BB69-23CF-44E3-9099-C40C66FF867C}">
                  <a14:compatExt spid="_x0000_s28716"/>
                </a:ext>
                <a:ext uri="{FF2B5EF4-FFF2-40B4-BE49-F238E27FC236}">
                  <a16:creationId xmlns:a16="http://schemas.microsoft.com/office/drawing/2014/main" id="{00000000-0008-0000-1500-00002C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266700</xdr:colOff>
          <xdr:row>30</xdr:row>
          <xdr:rowOff>44450</xdr:rowOff>
        </xdr:from>
        <xdr:to>
          <xdr:col>34</xdr:col>
          <xdr:colOff>203200</xdr:colOff>
          <xdr:row>30</xdr:row>
          <xdr:rowOff>368300</xdr:rowOff>
        </xdr:to>
        <xdr:sp macro="" textlink="">
          <xdr:nvSpPr>
            <xdr:cNvPr id="28717" name="Check Box 45" hidden="1">
              <a:extLst>
                <a:ext uri="{63B3BB69-23CF-44E3-9099-C40C66FF867C}">
                  <a14:compatExt spid="_x0000_s28717"/>
                </a:ext>
                <a:ext uri="{FF2B5EF4-FFF2-40B4-BE49-F238E27FC236}">
                  <a16:creationId xmlns:a16="http://schemas.microsoft.com/office/drawing/2014/main" id="{00000000-0008-0000-1500-00002D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266700</xdr:colOff>
          <xdr:row>31</xdr:row>
          <xdr:rowOff>50800</xdr:rowOff>
        </xdr:from>
        <xdr:to>
          <xdr:col>29</xdr:col>
          <xdr:colOff>203200</xdr:colOff>
          <xdr:row>31</xdr:row>
          <xdr:rowOff>368300</xdr:rowOff>
        </xdr:to>
        <xdr:sp macro="" textlink="">
          <xdr:nvSpPr>
            <xdr:cNvPr id="28718" name="Check Box 46" hidden="1">
              <a:extLst>
                <a:ext uri="{63B3BB69-23CF-44E3-9099-C40C66FF867C}">
                  <a14:compatExt spid="_x0000_s28718"/>
                </a:ext>
                <a:ext uri="{FF2B5EF4-FFF2-40B4-BE49-F238E27FC236}">
                  <a16:creationId xmlns:a16="http://schemas.microsoft.com/office/drawing/2014/main" id="{00000000-0008-0000-1500-00002E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266700</xdr:colOff>
          <xdr:row>31</xdr:row>
          <xdr:rowOff>50800</xdr:rowOff>
        </xdr:from>
        <xdr:to>
          <xdr:col>34</xdr:col>
          <xdr:colOff>203200</xdr:colOff>
          <xdr:row>31</xdr:row>
          <xdr:rowOff>368300</xdr:rowOff>
        </xdr:to>
        <xdr:sp macro="" textlink="">
          <xdr:nvSpPr>
            <xdr:cNvPr id="28719" name="Check Box 47" hidden="1">
              <a:extLst>
                <a:ext uri="{63B3BB69-23CF-44E3-9099-C40C66FF867C}">
                  <a14:compatExt spid="_x0000_s28719"/>
                </a:ext>
                <a:ext uri="{FF2B5EF4-FFF2-40B4-BE49-F238E27FC236}">
                  <a16:creationId xmlns:a16="http://schemas.microsoft.com/office/drawing/2014/main" id="{00000000-0008-0000-1500-00002F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266700</xdr:colOff>
          <xdr:row>31</xdr:row>
          <xdr:rowOff>387350</xdr:rowOff>
        </xdr:from>
        <xdr:to>
          <xdr:col>29</xdr:col>
          <xdr:colOff>203200</xdr:colOff>
          <xdr:row>33</xdr:row>
          <xdr:rowOff>82550</xdr:rowOff>
        </xdr:to>
        <xdr:sp macro="" textlink="">
          <xdr:nvSpPr>
            <xdr:cNvPr id="28720" name="Check Box 48" hidden="1">
              <a:extLst>
                <a:ext uri="{63B3BB69-23CF-44E3-9099-C40C66FF867C}">
                  <a14:compatExt spid="_x0000_s28720"/>
                </a:ext>
                <a:ext uri="{FF2B5EF4-FFF2-40B4-BE49-F238E27FC236}">
                  <a16:creationId xmlns:a16="http://schemas.microsoft.com/office/drawing/2014/main" id="{00000000-0008-0000-1500-000030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266700</xdr:colOff>
          <xdr:row>31</xdr:row>
          <xdr:rowOff>393700</xdr:rowOff>
        </xdr:from>
        <xdr:to>
          <xdr:col>34</xdr:col>
          <xdr:colOff>203200</xdr:colOff>
          <xdr:row>33</xdr:row>
          <xdr:rowOff>88900</xdr:rowOff>
        </xdr:to>
        <xdr:sp macro="" textlink="">
          <xdr:nvSpPr>
            <xdr:cNvPr id="28721" name="Check Box 49" hidden="1">
              <a:extLst>
                <a:ext uri="{63B3BB69-23CF-44E3-9099-C40C66FF867C}">
                  <a14:compatExt spid="_x0000_s28721"/>
                </a:ext>
                <a:ext uri="{FF2B5EF4-FFF2-40B4-BE49-F238E27FC236}">
                  <a16:creationId xmlns:a16="http://schemas.microsoft.com/office/drawing/2014/main" id="{00000000-0008-0000-1500-000031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0</xdr:colOff>
          <xdr:row>33</xdr:row>
          <xdr:rowOff>158750</xdr:rowOff>
        </xdr:from>
        <xdr:to>
          <xdr:col>29</xdr:col>
          <xdr:colOff>215900</xdr:colOff>
          <xdr:row>33</xdr:row>
          <xdr:rowOff>482600</xdr:rowOff>
        </xdr:to>
        <xdr:sp macro="" textlink="">
          <xdr:nvSpPr>
            <xdr:cNvPr id="28722" name="Check Box 50" hidden="1">
              <a:extLst>
                <a:ext uri="{63B3BB69-23CF-44E3-9099-C40C66FF867C}">
                  <a14:compatExt spid="_x0000_s28722"/>
                </a:ext>
                <a:ext uri="{FF2B5EF4-FFF2-40B4-BE49-F238E27FC236}">
                  <a16:creationId xmlns:a16="http://schemas.microsoft.com/office/drawing/2014/main" id="{00000000-0008-0000-1500-000032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266700</xdr:colOff>
          <xdr:row>33</xdr:row>
          <xdr:rowOff>152400</xdr:rowOff>
        </xdr:from>
        <xdr:to>
          <xdr:col>34</xdr:col>
          <xdr:colOff>203200</xdr:colOff>
          <xdr:row>33</xdr:row>
          <xdr:rowOff>469900</xdr:rowOff>
        </xdr:to>
        <xdr:sp macro="" textlink="">
          <xdr:nvSpPr>
            <xdr:cNvPr id="28723" name="Check Box 51" hidden="1">
              <a:extLst>
                <a:ext uri="{63B3BB69-23CF-44E3-9099-C40C66FF867C}">
                  <a14:compatExt spid="_x0000_s28723"/>
                </a:ext>
                <a:ext uri="{FF2B5EF4-FFF2-40B4-BE49-F238E27FC236}">
                  <a16:creationId xmlns:a16="http://schemas.microsoft.com/office/drawing/2014/main" id="{00000000-0008-0000-1500-000033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266700</xdr:colOff>
          <xdr:row>34</xdr:row>
          <xdr:rowOff>38100</xdr:rowOff>
        </xdr:from>
        <xdr:to>
          <xdr:col>29</xdr:col>
          <xdr:colOff>203200</xdr:colOff>
          <xdr:row>34</xdr:row>
          <xdr:rowOff>355600</xdr:rowOff>
        </xdr:to>
        <xdr:sp macro="" textlink="">
          <xdr:nvSpPr>
            <xdr:cNvPr id="28724" name="Check Box 52" hidden="1">
              <a:extLst>
                <a:ext uri="{63B3BB69-23CF-44E3-9099-C40C66FF867C}">
                  <a14:compatExt spid="_x0000_s28724"/>
                </a:ext>
                <a:ext uri="{FF2B5EF4-FFF2-40B4-BE49-F238E27FC236}">
                  <a16:creationId xmlns:a16="http://schemas.microsoft.com/office/drawing/2014/main" id="{00000000-0008-0000-1500-000034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266700</xdr:colOff>
          <xdr:row>34</xdr:row>
          <xdr:rowOff>31750</xdr:rowOff>
        </xdr:from>
        <xdr:to>
          <xdr:col>34</xdr:col>
          <xdr:colOff>203200</xdr:colOff>
          <xdr:row>34</xdr:row>
          <xdr:rowOff>349250</xdr:rowOff>
        </xdr:to>
        <xdr:sp macro="" textlink="">
          <xdr:nvSpPr>
            <xdr:cNvPr id="28725" name="Check Box 53" hidden="1">
              <a:extLst>
                <a:ext uri="{63B3BB69-23CF-44E3-9099-C40C66FF867C}">
                  <a14:compatExt spid="_x0000_s28725"/>
                </a:ext>
                <a:ext uri="{FF2B5EF4-FFF2-40B4-BE49-F238E27FC236}">
                  <a16:creationId xmlns:a16="http://schemas.microsoft.com/office/drawing/2014/main" id="{00000000-0008-0000-1500-000035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6350</xdr:colOff>
          <xdr:row>7</xdr:row>
          <xdr:rowOff>177800</xdr:rowOff>
        </xdr:from>
        <xdr:to>
          <xdr:col>25</xdr:col>
          <xdr:colOff>215900</xdr:colOff>
          <xdr:row>9</xdr:row>
          <xdr:rowOff>31750</xdr:rowOff>
        </xdr:to>
        <xdr:sp macro="" textlink="">
          <xdr:nvSpPr>
            <xdr:cNvPr id="28730" name="Check Box 58" hidden="1">
              <a:extLst>
                <a:ext uri="{63B3BB69-23CF-44E3-9099-C40C66FF867C}">
                  <a14:compatExt spid="_x0000_s28730"/>
                </a:ext>
                <a:ext uri="{FF2B5EF4-FFF2-40B4-BE49-F238E27FC236}">
                  <a16:creationId xmlns:a16="http://schemas.microsoft.com/office/drawing/2014/main" id="{00000000-0008-0000-1500-00003A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4</xdr:col>
      <xdr:colOff>342900</xdr:colOff>
      <xdr:row>102</xdr:row>
      <xdr:rowOff>66675</xdr:rowOff>
    </xdr:from>
    <xdr:to>
      <xdr:col>4</xdr:col>
      <xdr:colOff>371475</xdr:colOff>
      <xdr:row>102</xdr:row>
      <xdr:rowOff>104775</xdr:rowOff>
    </xdr:to>
    <xdr:sp macro="" textlink="">
      <xdr:nvSpPr>
        <xdr:cNvPr id="2" name="Rectangle 118">
          <a:extLst>
            <a:ext uri="{FF2B5EF4-FFF2-40B4-BE49-F238E27FC236}">
              <a16:creationId xmlns:a16="http://schemas.microsoft.com/office/drawing/2014/main" id="{00000000-0008-0000-1600-000002000000}"/>
            </a:ext>
          </a:extLst>
        </xdr:cNvPr>
        <xdr:cNvSpPr>
          <a:spLocks noChangeArrowheads="1"/>
        </xdr:cNvSpPr>
      </xdr:nvSpPr>
      <xdr:spPr bwMode="auto">
        <a:xfrm flipH="1" flipV="1">
          <a:off x="1495425" y="27689175"/>
          <a:ext cx="9525" cy="38100"/>
        </a:xfrm>
        <a:prstGeom prst="rect">
          <a:avLst/>
        </a:prstGeom>
        <a:solidFill>
          <a:srgbClr val="000000"/>
        </a:solidFill>
        <a:ln w="9525">
          <a:solidFill>
            <a:srgbClr val="000000"/>
          </a:solidFill>
          <a:miter lim="800000"/>
          <a:headEnd/>
          <a:tailEnd/>
        </a:ln>
      </xdr:spPr>
    </xdr:sp>
    <xdr:clientData/>
  </xdr:twoCellAnchor>
  <xdr:twoCellAnchor>
    <xdr:from>
      <xdr:col>1</xdr:col>
      <xdr:colOff>342900</xdr:colOff>
      <xdr:row>102</xdr:row>
      <xdr:rowOff>66675</xdr:rowOff>
    </xdr:from>
    <xdr:to>
      <xdr:col>1</xdr:col>
      <xdr:colOff>371475</xdr:colOff>
      <xdr:row>102</xdr:row>
      <xdr:rowOff>104775</xdr:rowOff>
    </xdr:to>
    <xdr:sp macro="" textlink="">
      <xdr:nvSpPr>
        <xdr:cNvPr id="3" name="Rectangle 118">
          <a:extLst>
            <a:ext uri="{FF2B5EF4-FFF2-40B4-BE49-F238E27FC236}">
              <a16:creationId xmlns:a16="http://schemas.microsoft.com/office/drawing/2014/main" id="{00000000-0008-0000-1600-000003000000}"/>
            </a:ext>
          </a:extLst>
        </xdr:cNvPr>
        <xdr:cNvSpPr>
          <a:spLocks noChangeArrowheads="1"/>
        </xdr:cNvSpPr>
      </xdr:nvSpPr>
      <xdr:spPr bwMode="auto">
        <a:xfrm flipH="1" flipV="1">
          <a:off x="438150" y="27689175"/>
          <a:ext cx="9525" cy="38100"/>
        </a:xfrm>
        <a:prstGeom prst="rect">
          <a:avLst/>
        </a:prstGeom>
        <a:solidFill>
          <a:srgbClr val="000000"/>
        </a:solidFill>
        <a:ln w="9525">
          <a:solidFill>
            <a:srgbClr val="000000"/>
          </a:solidFill>
          <a:miter lim="800000"/>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342900</xdr:colOff>
      <xdr:row>113</xdr:row>
      <xdr:rowOff>66675</xdr:rowOff>
    </xdr:from>
    <xdr:to>
      <xdr:col>6</xdr:col>
      <xdr:colOff>371475</xdr:colOff>
      <xdr:row>113</xdr:row>
      <xdr:rowOff>104775</xdr:rowOff>
    </xdr:to>
    <xdr:sp macro="" textlink="">
      <xdr:nvSpPr>
        <xdr:cNvPr id="2" name="Rectangle 118">
          <a:extLst>
            <a:ext uri="{FF2B5EF4-FFF2-40B4-BE49-F238E27FC236}">
              <a16:creationId xmlns:a16="http://schemas.microsoft.com/office/drawing/2014/main" id="{00000000-0008-0000-1800-000002000000}"/>
            </a:ext>
          </a:extLst>
        </xdr:cNvPr>
        <xdr:cNvSpPr>
          <a:spLocks noChangeArrowheads="1"/>
        </xdr:cNvSpPr>
      </xdr:nvSpPr>
      <xdr:spPr bwMode="auto">
        <a:xfrm flipH="1" flipV="1">
          <a:off x="1797050" y="21815425"/>
          <a:ext cx="0" cy="38100"/>
        </a:xfrm>
        <a:prstGeom prst="rect">
          <a:avLst/>
        </a:prstGeom>
        <a:solidFill>
          <a:srgbClr val="000000"/>
        </a:solidFill>
        <a:ln w="9525">
          <a:solidFill>
            <a:srgbClr val="000000"/>
          </a:solidFill>
          <a:miter lim="800000"/>
          <a:headEnd/>
          <a:tailEnd/>
        </a:ln>
      </xdr:spPr>
    </xdr:sp>
    <xdr:clientData/>
  </xdr:twoCellAnchor>
  <xdr:twoCellAnchor>
    <xdr:from>
      <xdr:col>1</xdr:col>
      <xdr:colOff>342900</xdr:colOff>
      <xdr:row>113</xdr:row>
      <xdr:rowOff>66675</xdr:rowOff>
    </xdr:from>
    <xdr:to>
      <xdr:col>1</xdr:col>
      <xdr:colOff>371475</xdr:colOff>
      <xdr:row>113</xdr:row>
      <xdr:rowOff>104775</xdr:rowOff>
    </xdr:to>
    <xdr:sp macro="" textlink="">
      <xdr:nvSpPr>
        <xdr:cNvPr id="3" name="Rectangle 118">
          <a:extLst>
            <a:ext uri="{FF2B5EF4-FFF2-40B4-BE49-F238E27FC236}">
              <a16:creationId xmlns:a16="http://schemas.microsoft.com/office/drawing/2014/main" id="{00000000-0008-0000-1800-000003000000}"/>
            </a:ext>
          </a:extLst>
        </xdr:cNvPr>
        <xdr:cNvSpPr>
          <a:spLocks noChangeArrowheads="1"/>
        </xdr:cNvSpPr>
      </xdr:nvSpPr>
      <xdr:spPr bwMode="auto">
        <a:xfrm flipH="1" flipV="1">
          <a:off x="431800" y="21815425"/>
          <a:ext cx="0" cy="38100"/>
        </a:xfrm>
        <a:prstGeom prst="rect">
          <a:avLst/>
        </a:prstGeom>
        <a:solidFill>
          <a:srgbClr val="000000"/>
        </a:solidFill>
        <a:ln w="9525">
          <a:solidFill>
            <a:srgbClr val="000000"/>
          </a:solidFill>
          <a:miter lim="800000"/>
          <a:headEnd/>
          <a:tailEnd/>
        </a:ln>
      </xdr:spPr>
    </xdr:sp>
    <xdr:clientData/>
  </xdr:twoCellAnchor>
  <mc:AlternateContent xmlns:mc="http://schemas.openxmlformats.org/markup-compatibility/2006">
    <mc:Choice xmlns:a14="http://schemas.microsoft.com/office/drawing/2010/main" Requires="a14">
      <xdr:twoCellAnchor editAs="oneCell">
        <xdr:from>
          <xdr:col>7</xdr:col>
          <xdr:colOff>0</xdr:colOff>
          <xdr:row>6</xdr:row>
          <xdr:rowOff>6350</xdr:rowOff>
        </xdr:from>
        <xdr:to>
          <xdr:col>7</xdr:col>
          <xdr:colOff>203200</xdr:colOff>
          <xdr:row>7</xdr:row>
          <xdr:rowOff>69850</xdr:rowOff>
        </xdr:to>
        <xdr:sp macro="" textlink="">
          <xdr:nvSpPr>
            <xdr:cNvPr id="4097" name="Check Box 1" hidden="1">
              <a:extLst>
                <a:ext uri="{63B3BB69-23CF-44E3-9099-C40C66FF867C}">
                  <a14:compatExt spid="_x0000_s4097"/>
                </a:ext>
                <a:ext uri="{FF2B5EF4-FFF2-40B4-BE49-F238E27FC236}">
                  <a16:creationId xmlns:a16="http://schemas.microsoft.com/office/drawing/2014/main" id="{00000000-0008-0000-1800-000001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xdr:row>
          <xdr:rowOff>69850</xdr:rowOff>
        </xdr:from>
        <xdr:to>
          <xdr:col>20</xdr:col>
          <xdr:colOff>215900</xdr:colOff>
          <xdr:row>5</xdr:row>
          <xdr:rowOff>44450</xdr:rowOff>
        </xdr:to>
        <xdr:sp macro="" textlink="">
          <xdr:nvSpPr>
            <xdr:cNvPr id="4098" name="Check Box 2" hidden="1">
              <a:extLst>
                <a:ext uri="{63B3BB69-23CF-44E3-9099-C40C66FF867C}">
                  <a14:compatExt spid="_x0000_s4098"/>
                </a:ext>
                <a:ext uri="{FF2B5EF4-FFF2-40B4-BE49-F238E27FC236}">
                  <a16:creationId xmlns:a16="http://schemas.microsoft.com/office/drawing/2014/main" id="{00000000-0008-0000-1800-000002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44450</xdr:colOff>
          <xdr:row>3</xdr:row>
          <xdr:rowOff>69850</xdr:rowOff>
        </xdr:from>
        <xdr:to>
          <xdr:col>24</xdr:col>
          <xdr:colOff>254000</xdr:colOff>
          <xdr:row>5</xdr:row>
          <xdr:rowOff>44450</xdr:rowOff>
        </xdr:to>
        <xdr:sp macro="" textlink="">
          <xdr:nvSpPr>
            <xdr:cNvPr id="4099" name="Check Box 3" hidden="1">
              <a:extLst>
                <a:ext uri="{63B3BB69-23CF-44E3-9099-C40C66FF867C}">
                  <a14:compatExt spid="_x0000_s4099"/>
                </a:ext>
                <a:ext uri="{FF2B5EF4-FFF2-40B4-BE49-F238E27FC236}">
                  <a16:creationId xmlns:a16="http://schemas.microsoft.com/office/drawing/2014/main" id="{00000000-0008-0000-1800-000003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xdr:row>
          <xdr:rowOff>241300</xdr:rowOff>
        </xdr:from>
        <xdr:to>
          <xdr:col>7</xdr:col>
          <xdr:colOff>215900</xdr:colOff>
          <xdr:row>8</xdr:row>
          <xdr:rowOff>50800</xdr:rowOff>
        </xdr:to>
        <xdr:sp macro="" textlink="">
          <xdr:nvSpPr>
            <xdr:cNvPr id="4100" name="Check Box 4" hidden="1">
              <a:extLst>
                <a:ext uri="{63B3BB69-23CF-44E3-9099-C40C66FF867C}">
                  <a14:compatExt spid="_x0000_s4100"/>
                </a:ext>
                <a:ext uri="{FF2B5EF4-FFF2-40B4-BE49-F238E27FC236}">
                  <a16:creationId xmlns:a16="http://schemas.microsoft.com/office/drawing/2014/main" id="{00000000-0008-0000-1800-000004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5</xdr:row>
          <xdr:rowOff>241300</xdr:rowOff>
        </xdr:from>
        <xdr:to>
          <xdr:col>14</xdr:col>
          <xdr:colOff>203200</xdr:colOff>
          <xdr:row>7</xdr:row>
          <xdr:rowOff>50800</xdr:rowOff>
        </xdr:to>
        <xdr:sp macro="" textlink="">
          <xdr:nvSpPr>
            <xdr:cNvPr id="4101" name="Check Box 5" hidden="1">
              <a:extLst>
                <a:ext uri="{63B3BB69-23CF-44E3-9099-C40C66FF867C}">
                  <a14:compatExt spid="_x0000_s4101"/>
                </a:ext>
                <a:ext uri="{FF2B5EF4-FFF2-40B4-BE49-F238E27FC236}">
                  <a16:creationId xmlns:a16="http://schemas.microsoft.com/office/drawing/2014/main" id="{00000000-0008-0000-1800-000005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6</xdr:row>
          <xdr:rowOff>234950</xdr:rowOff>
        </xdr:from>
        <xdr:to>
          <xdr:col>14</xdr:col>
          <xdr:colOff>215900</xdr:colOff>
          <xdr:row>8</xdr:row>
          <xdr:rowOff>44450</xdr:rowOff>
        </xdr:to>
        <xdr:sp macro="" textlink="">
          <xdr:nvSpPr>
            <xdr:cNvPr id="4102" name="Check Box 6" hidden="1">
              <a:extLst>
                <a:ext uri="{63B3BB69-23CF-44E3-9099-C40C66FF867C}">
                  <a14:compatExt spid="_x0000_s4102"/>
                </a:ext>
                <a:ext uri="{FF2B5EF4-FFF2-40B4-BE49-F238E27FC236}">
                  <a16:creationId xmlns:a16="http://schemas.microsoft.com/office/drawing/2014/main" id="{00000000-0008-0000-1800-000006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5</xdr:row>
          <xdr:rowOff>234950</xdr:rowOff>
        </xdr:from>
        <xdr:to>
          <xdr:col>20</xdr:col>
          <xdr:colOff>215900</xdr:colOff>
          <xdr:row>7</xdr:row>
          <xdr:rowOff>44450</xdr:rowOff>
        </xdr:to>
        <xdr:sp macro="" textlink="">
          <xdr:nvSpPr>
            <xdr:cNvPr id="4103" name="Check Box 7" hidden="1">
              <a:extLst>
                <a:ext uri="{63B3BB69-23CF-44E3-9099-C40C66FF867C}">
                  <a14:compatExt spid="_x0000_s4103"/>
                </a:ext>
                <a:ext uri="{FF2B5EF4-FFF2-40B4-BE49-F238E27FC236}">
                  <a16:creationId xmlns:a16="http://schemas.microsoft.com/office/drawing/2014/main" id="{00000000-0008-0000-1800-000007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6</xdr:row>
          <xdr:rowOff>241300</xdr:rowOff>
        </xdr:from>
        <xdr:to>
          <xdr:col>20</xdr:col>
          <xdr:colOff>215900</xdr:colOff>
          <xdr:row>8</xdr:row>
          <xdr:rowOff>50800</xdr:rowOff>
        </xdr:to>
        <xdr:sp macro="" textlink="">
          <xdr:nvSpPr>
            <xdr:cNvPr id="4104" name="Check Box 8" hidden="1">
              <a:extLst>
                <a:ext uri="{63B3BB69-23CF-44E3-9099-C40C66FF867C}">
                  <a14:compatExt spid="_x0000_s4104"/>
                </a:ext>
                <a:ext uri="{FF2B5EF4-FFF2-40B4-BE49-F238E27FC236}">
                  <a16:creationId xmlns:a16="http://schemas.microsoft.com/office/drawing/2014/main" id="{00000000-0008-0000-1800-000008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266700</xdr:colOff>
          <xdr:row>5</xdr:row>
          <xdr:rowOff>254000</xdr:rowOff>
        </xdr:from>
        <xdr:to>
          <xdr:col>26</xdr:col>
          <xdr:colOff>203200</xdr:colOff>
          <xdr:row>7</xdr:row>
          <xdr:rowOff>63500</xdr:rowOff>
        </xdr:to>
        <xdr:sp macro="" textlink="">
          <xdr:nvSpPr>
            <xdr:cNvPr id="4105" name="Check Box 9" hidden="1">
              <a:extLst>
                <a:ext uri="{63B3BB69-23CF-44E3-9099-C40C66FF867C}">
                  <a14:compatExt spid="_x0000_s4105"/>
                </a:ext>
                <a:ext uri="{FF2B5EF4-FFF2-40B4-BE49-F238E27FC236}">
                  <a16:creationId xmlns:a16="http://schemas.microsoft.com/office/drawing/2014/main" id="{00000000-0008-0000-1800-000009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0</xdr:colOff>
          <xdr:row>6</xdr:row>
          <xdr:rowOff>234950</xdr:rowOff>
        </xdr:from>
        <xdr:to>
          <xdr:col>26</xdr:col>
          <xdr:colOff>215900</xdr:colOff>
          <xdr:row>8</xdr:row>
          <xdr:rowOff>44450</xdr:rowOff>
        </xdr:to>
        <xdr:sp macro="" textlink="">
          <xdr:nvSpPr>
            <xdr:cNvPr id="4106" name="Check Box 10" hidden="1">
              <a:extLst>
                <a:ext uri="{63B3BB69-23CF-44E3-9099-C40C66FF867C}">
                  <a14:compatExt spid="_x0000_s4106"/>
                </a:ext>
                <a:ext uri="{FF2B5EF4-FFF2-40B4-BE49-F238E27FC236}">
                  <a16:creationId xmlns:a16="http://schemas.microsoft.com/office/drawing/2014/main" id="{00000000-0008-0000-1800-00000A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266700</xdr:colOff>
          <xdr:row>8</xdr:row>
          <xdr:rowOff>101600</xdr:rowOff>
        </xdr:from>
        <xdr:to>
          <xdr:col>26</xdr:col>
          <xdr:colOff>203200</xdr:colOff>
          <xdr:row>10</xdr:row>
          <xdr:rowOff>44450</xdr:rowOff>
        </xdr:to>
        <xdr:sp macro="" textlink="">
          <xdr:nvSpPr>
            <xdr:cNvPr id="4107" name="Check Box 11" hidden="1">
              <a:extLst>
                <a:ext uri="{63B3BB69-23CF-44E3-9099-C40C66FF867C}">
                  <a14:compatExt spid="_x0000_s4107"/>
                </a:ext>
                <a:ext uri="{FF2B5EF4-FFF2-40B4-BE49-F238E27FC236}">
                  <a16:creationId xmlns:a16="http://schemas.microsoft.com/office/drawing/2014/main" id="{00000000-0008-0000-1800-00000B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44450</xdr:colOff>
          <xdr:row>8</xdr:row>
          <xdr:rowOff>101600</xdr:rowOff>
        </xdr:from>
        <xdr:to>
          <xdr:col>30</xdr:col>
          <xdr:colOff>254000</xdr:colOff>
          <xdr:row>10</xdr:row>
          <xdr:rowOff>44450</xdr:rowOff>
        </xdr:to>
        <xdr:sp macro="" textlink="">
          <xdr:nvSpPr>
            <xdr:cNvPr id="4108" name="Check Box 12" hidden="1">
              <a:extLst>
                <a:ext uri="{63B3BB69-23CF-44E3-9099-C40C66FF867C}">
                  <a14:compatExt spid="_x0000_s4108"/>
                </a:ext>
                <a:ext uri="{FF2B5EF4-FFF2-40B4-BE49-F238E27FC236}">
                  <a16:creationId xmlns:a16="http://schemas.microsoft.com/office/drawing/2014/main" id="{00000000-0008-0000-1800-00000C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12700</xdr:colOff>
          <xdr:row>10</xdr:row>
          <xdr:rowOff>254000</xdr:rowOff>
        </xdr:from>
        <xdr:to>
          <xdr:col>7</xdr:col>
          <xdr:colOff>222250</xdr:colOff>
          <xdr:row>12</xdr:row>
          <xdr:rowOff>63500</xdr:rowOff>
        </xdr:to>
        <xdr:sp macro="" textlink="">
          <xdr:nvSpPr>
            <xdr:cNvPr id="4109" name="Check Box 13" hidden="1">
              <a:extLst>
                <a:ext uri="{63B3BB69-23CF-44E3-9099-C40C66FF867C}">
                  <a14:compatExt spid="_x0000_s4109"/>
                </a:ext>
                <a:ext uri="{FF2B5EF4-FFF2-40B4-BE49-F238E27FC236}">
                  <a16:creationId xmlns:a16="http://schemas.microsoft.com/office/drawing/2014/main" id="{00000000-0008-0000-1800-00000D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25400</xdr:colOff>
          <xdr:row>11</xdr:row>
          <xdr:rowOff>241300</xdr:rowOff>
        </xdr:from>
        <xdr:to>
          <xdr:col>7</xdr:col>
          <xdr:colOff>228600</xdr:colOff>
          <xdr:row>13</xdr:row>
          <xdr:rowOff>50800</xdr:rowOff>
        </xdr:to>
        <xdr:sp macro="" textlink="">
          <xdr:nvSpPr>
            <xdr:cNvPr id="4110" name="Check Box 14" hidden="1">
              <a:extLst>
                <a:ext uri="{63B3BB69-23CF-44E3-9099-C40C66FF867C}">
                  <a14:compatExt spid="_x0000_s4110"/>
                </a:ext>
                <a:ext uri="{FF2B5EF4-FFF2-40B4-BE49-F238E27FC236}">
                  <a16:creationId xmlns:a16="http://schemas.microsoft.com/office/drawing/2014/main" id="{00000000-0008-0000-1800-00000E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xdr:from>
      <xdr:col>1</xdr:col>
      <xdr:colOff>342900</xdr:colOff>
      <xdr:row>112</xdr:row>
      <xdr:rowOff>66675</xdr:rowOff>
    </xdr:from>
    <xdr:to>
      <xdr:col>1</xdr:col>
      <xdr:colOff>371475</xdr:colOff>
      <xdr:row>112</xdr:row>
      <xdr:rowOff>104775</xdr:rowOff>
    </xdr:to>
    <xdr:sp macro="" textlink="">
      <xdr:nvSpPr>
        <xdr:cNvPr id="3" name="Rectangle 118">
          <a:extLst>
            <a:ext uri="{FF2B5EF4-FFF2-40B4-BE49-F238E27FC236}">
              <a16:creationId xmlns:a16="http://schemas.microsoft.com/office/drawing/2014/main" id="{00000000-0008-0000-1900-000003000000}"/>
            </a:ext>
          </a:extLst>
        </xdr:cNvPr>
        <xdr:cNvSpPr>
          <a:spLocks noChangeArrowheads="1"/>
        </xdr:cNvSpPr>
      </xdr:nvSpPr>
      <xdr:spPr bwMode="auto">
        <a:xfrm flipH="1" flipV="1">
          <a:off x="431800" y="21967825"/>
          <a:ext cx="0" cy="38100"/>
        </a:xfrm>
        <a:prstGeom prst="rect">
          <a:avLst/>
        </a:prstGeom>
        <a:solidFill>
          <a:srgbClr val="000000"/>
        </a:solidFill>
        <a:ln w="9525">
          <a:solidFill>
            <a:srgbClr val="000000"/>
          </a:solidFill>
          <a:miter lim="800000"/>
          <a:headEnd/>
          <a:tailEnd/>
        </a:ln>
      </xdr:spPr>
    </xdr:sp>
    <xdr:clientData/>
  </xdr:twoCellAnchor>
  <mc:AlternateContent xmlns:mc="http://schemas.openxmlformats.org/markup-compatibility/2006">
    <mc:Choice xmlns:a14="http://schemas.microsoft.com/office/drawing/2010/main" Requires="a14">
      <xdr:twoCellAnchor editAs="oneCell">
        <xdr:from>
          <xdr:col>9</xdr:col>
          <xdr:colOff>31750</xdr:colOff>
          <xdr:row>6</xdr:row>
          <xdr:rowOff>0</xdr:rowOff>
        </xdr:from>
        <xdr:to>
          <xdr:col>10</xdr:col>
          <xdr:colOff>6350</xdr:colOff>
          <xdr:row>7</xdr:row>
          <xdr:rowOff>12700</xdr:rowOff>
        </xdr:to>
        <xdr:sp macro="" textlink="">
          <xdr:nvSpPr>
            <xdr:cNvPr id="37889" name="Check Box 1" hidden="1">
              <a:extLst>
                <a:ext uri="{63B3BB69-23CF-44E3-9099-C40C66FF867C}">
                  <a14:compatExt spid="_x0000_s37889"/>
                </a:ext>
                <a:ext uri="{FF2B5EF4-FFF2-40B4-BE49-F238E27FC236}">
                  <a16:creationId xmlns:a16="http://schemas.microsoft.com/office/drawing/2014/main" id="{00000000-0008-0000-1900-0000019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7</xdr:row>
          <xdr:rowOff>0</xdr:rowOff>
        </xdr:from>
        <xdr:to>
          <xdr:col>10</xdr:col>
          <xdr:colOff>6350</xdr:colOff>
          <xdr:row>8</xdr:row>
          <xdr:rowOff>25400</xdr:rowOff>
        </xdr:to>
        <xdr:sp macro="" textlink="">
          <xdr:nvSpPr>
            <xdr:cNvPr id="37890" name="Check Box 2" hidden="1">
              <a:extLst>
                <a:ext uri="{63B3BB69-23CF-44E3-9099-C40C66FF867C}">
                  <a14:compatExt spid="_x0000_s37890"/>
                </a:ext>
                <a:ext uri="{FF2B5EF4-FFF2-40B4-BE49-F238E27FC236}">
                  <a16:creationId xmlns:a16="http://schemas.microsoft.com/office/drawing/2014/main" id="{00000000-0008-0000-1900-0000029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8</xdr:row>
          <xdr:rowOff>0</xdr:rowOff>
        </xdr:from>
        <xdr:to>
          <xdr:col>10</xdr:col>
          <xdr:colOff>6350</xdr:colOff>
          <xdr:row>9</xdr:row>
          <xdr:rowOff>25400</xdr:rowOff>
        </xdr:to>
        <xdr:sp macro="" textlink="">
          <xdr:nvSpPr>
            <xdr:cNvPr id="37891" name="Check Box 3" hidden="1">
              <a:extLst>
                <a:ext uri="{63B3BB69-23CF-44E3-9099-C40C66FF867C}">
                  <a14:compatExt spid="_x0000_s37891"/>
                </a:ext>
                <a:ext uri="{FF2B5EF4-FFF2-40B4-BE49-F238E27FC236}">
                  <a16:creationId xmlns:a16="http://schemas.microsoft.com/office/drawing/2014/main" id="{00000000-0008-0000-1900-0000039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6</xdr:row>
          <xdr:rowOff>0</xdr:rowOff>
        </xdr:from>
        <xdr:to>
          <xdr:col>16</xdr:col>
          <xdr:colOff>6350</xdr:colOff>
          <xdr:row>7</xdr:row>
          <xdr:rowOff>12700</xdr:rowOff>
        </xdr:to>
        <xdr:sp macro="" textlink="">
          <xdr:nvSpPr>
            <xdr:cNvPr id="37892" name="Check Box 4" hidden="1">
              <a:extLst>
                <a:ext uri="{63B3BB69-23CF-44E3-9099-C40C66FF867C}">
                  <a14:compatExt spid="_x0000_s37892"/>
                </a:ext>
                <a:ext uri="{FF2B5EF4-FFF2-40B4-BE49-F238E27FC236}">
                  <a16:creationId xmlns:a16="http://schemas.microsoft.com/office/drawing/2014/main" id="{00000000-0008-0000-1900-0000049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7</xdr:row>
          <xdr:rowOff>0</xdr:rowOff>
        </xdr:from>
        <xdr:to>
          <xdr:col>16</xdr:col>
          <xdr:colOff>6350</xdr:colOff>
          <xdr:row>8</xdr:row>
          <xdr:rowOff>25400</xdr:rowOff>
        </xdr:to>
        <xdr:sp macro="" textlink="">
          <xdr:nvSpPr>
            <xdr:cNvPr id="37893" name="Check Box 5" hidden="1">
              <a:extLst>
                <a:ext uri="{63B3BB69-23CF-44E3-9099-C40C66FF867C}">
                  <a14:compatExt spid="_x0000_s37893"/>
                </a:ext>
                <a:ext uri="{FF2B5EF4-FFF2-40B4-BE49-F238E27FC236}">
                  <a16:creationId xmlns:a16="http://schemas.microsoft.com/office/drawing/2014/main" id="{00000000-0008-0000-1900-0000059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9</xdr:row>
          <xdr:rowOff>0</xdr:rowOff>
        </xdr:from>
        <xdr:to>
          <xdr:col>10</xdr:col>
          <xdr:colOff>6350</xdr:colOff>
          <xdr:row>10</xdr:row>
          <xdr:rowOff>25400</xdr:rowOff>
        </xdr:to>
        <xdr:sp macro="" textlink="">
          <xdr:nvSpPr>
            <xdr:cNvPr id="37894" name="Check Box 6" hidden="1">
              <a:extLst>
                <a:ext uri="{63B3BB69-23CF-44E3-9099-C40C66FF867C}">
                  <a14:compatExt spid="_x0000_s37894"/>
                </a:ext>
                <a:ext uri="{FF2B5EF4-FFF2-40B4-BE49-F238E27FC236}">
                  <a16:creationId xmlns:a16="http://schemas.microsoft.com/office/drawing/2014/main" id="{00000000-0008-0000-1900-0000069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10</xdr:row>
          <xdr:rowOff>0</xdr:rowOff>
        </xdr:from>
        <xdr:to>
          <xdr:col>10</xdr:col>
          <xdr:colOff>6350</xdr:colOff>
          <xdr:row>11</xdr:row>
          <xdr:rowOff>25400</xdr:rowOff>
        </xdr:to>
        <xdr:sp macro="" textlink="">
          <xdr:nvSpPr>
            <xdr:cNvPr id="37895" name="Check Box 7" hidden="1">
              <a:extLst>
                <a:ext uri="{63B3BB69-23CF-44E3-9099-C40C66FF867C}">
                  <a14:compatExt spid="_x0000_s37895"/>
                </a:ext>
                <a:ext uri="{FF2B5EF4-FFF2-40B4-BE49-F238E27FC236}">
                  <a16:creationId xmlns:a16="http://schemas.microsoft.com/office/drawing/2014/main" id="{00000000-0008-0000-1900-0000079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11</xdr:row>
          <xdr:rowOff>0</xdr:rowOff>
        </xdr:from>
        <xdr:to>
          <xdr:col>10</xdr:col>
          <xdr:colOff>6350</xdr:colOff>
          <xdr:row>12</xdr:row>
          <xdr:rowOff>25400</xdr:rowOff>
        </xdr:to>
        <xdr:sp macro="" textlink="">
          <xdr:nvSpPr>
            <xdr:cNvPr id="37896" name="Check Box 8" hidden="1">
              <a:extLst>
                <a:ext uri="{63B3BB69-23CF-44E3-9099-C40C66FF867C}">
                  <a14:compatExt spid="_x0000_s37896"/>
                </a:ext>
                <a:ext uri="{FF2B5EF4-FFF2-40B4-BE49-F238E27FC236}">
                  <a16:creationId xmlns:a16="http://schemas.microsoft.com/office/drawing/2014/main" id="{00000000-0008-0000-1900-0000089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9</xdr:row>
          <xdr:rowOff>0</xdr:rowOff>
        </xdr:from>
        <xdr:to>
          <xdr:col>16</xdr:col>
          <xdr:colOff>6350</xdr:colOff>
          <xdr:row>10</xdr:row>
          <xdr:rowOff>25400</xdr:rowOff>
        </xdr:to>
        <xdr:sp macro="" textlink="">
          <xdr:nvSpPr>
            <xdr:cNvPr id="37897" name="Check Box 9" hidden="1">
              <a:extLst>
                <a:ext uri="{63B3BB69-23CF-44E3-9099-C40C66FF867C}">
                  <a14:compatExt spid="_x0000_s37897"/>
                </a:ext>
                <a:ext uri="{FF2B5EF4-FFF2-40B4-BE49-F238E27FC236}">
                  <a16:creationId xmlns:a16="http://schemas.microsoft.com/office/drawing/2014/main" id="{00000000-0008-0000-1900-0000099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10</xdr:row>
          <xdr:rowOff>0</xdr:rowOff>
        </xdr:from>
        <xdr:to>
          <xdr:col>16</xdr:col>
          <xdr:colOff>6350</xdr:colOff>
          <xdr:row>11</xdr:row>
          <xdr:rowOff>25400</xdr:rowOff>
        </xdr:to>
        <xdr:sp macro="" textlink="">
          <xdr:nvSpPr>
            <xdr:cNvPr id="37898" name="Check Box 10" hidden="1">
              <a:extLst>
                <a:ext uri="{63B3BB69-23CF-44E3-9099-C40C66FF867C}">
                  <a14:compatExt spid="_x0000_s37898"/>
                </a:ext>
                <a:ext uri="{FF2B5EF4-FFF2-40B4-BE49-F238E27FC236}">
                  <a16:creationId xmlns:a16="http://schemas.microsoft.com/office/drawing/2014/main" id="{00000000-0008-0000-1900-00000A9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12</xdr:row>
          <xdr:rowOff>0</xdr:rowOff>
        </xdr:from>
        <xdr:to>
          <xdr:col>10</xdr:col>
          <xdr:colOff>6350</xdr:colOff>
          <xdr:row>13</xdr:row>
          <xdr:rowOff>25400</xdr:rowOff>
        </xdr:to>
        <xdr:sp macro="" textlink="">
          <xdr:nvSpPr>
            <xdr:cNvPr id="37899" name="Check Box 11" hidden="1">
              <a:extLst>
                <a:ext uri="{63B3BB69-23CF-44E3-9099-C40C66FF867C}">
                  <a14:compatExt spid="_x0000_s37899"/>
                </a:ext>
                <a:ext uri="{FF2B5EF4-FFF2-40B4-BE49-F238E27FC236}">
                  <a16:creationId xmlns:a16="http://schemas.microsoft.com/office/drawing/2014/main" id="{00000000-0008-0000-1900-00000B9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13</xdr:row>
          <xdr:rowOff>0</xdr:rowOff>
        </xdr:from>
        <xdr:to>
          <xdr:col>10</xdr:col>
          <xdr:colOff>6350</xdr:colOff>
          <xdr:row>14</xdr:row>
          <xdr:rowOff>25400</xdr:rowOff>
        </xdr:to>
        <xdr:sp macro="" textlink="">
          <xdr:nvSpPr>
            <xdr:cNvPr id="37900" name="Check Box 12" hidden="1">
              <a:extLst>
                <a:ext uri="{63B3BB69-23CF-44E3-9099-C40C66FF867C}">
                  <a14:compatExt spid="_x0000_s37900"/>
                </a:ext>
                <a:ext uri="{FF2B5EF4-FFF2-40B4-BE49-F238E27FC236}">
                  <a16:creationId xmlns:a16="http://schemas.microsoft.com/office/drawing/2014/main" id="{00000000-0008-0000-1900-00000C9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14</xdr:row>
          <xdr:rowOff>0</xdr:rowOff>
        </xdr:from>
        <xdr:to>
          <xdr:col>10</xdr:col>
          <xdr:colOff>6350</xdr:colOff>
          <xdr:row>15</xdr:row>
          <xdr:rowOff>25400</xdr:rowOff>
        </xdr:to>
        <xdr:sp macro="" textlink="">
          <xdr:nvSpPr>
            <xdr:cNvPr id="37901" name="Check Box 13" hidden="1">
              <a:extLst>
                <a:ext uri="{63B3BB69-23CF-44E3-9099-C40C66FF867C}">
                  <a14:compatExt spid="_x0000_s37901"/>
                </a:ext>
                <a:ext uri="{FF2B5EF4-FFF2-40B4-BE49-F238E27FC236}">
                  <a16:creationId xmlns:a16="http://schemas.microsoft.com/office/drawing/2014/main" id="{00000000-0008-0000-1900-00000D9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12</xdr:row>
          <xdr:rowOff>0</xdr:rowOff>
        </xdr:from>
        <xdr:to>
          <xdr:col>16</xdr:col>
          <xdr:colOff>6350</xdr:colOff>
          <xdr:row>13</xdr:row>
          <xdr:rowOff>25400</xdr:rowOff>
        </xdr:to>
        <xdr:sp macro="" textlink="">
          <xdr:nvSpPr>
            <xdr:cNvPr id="37902" name="Check Box 14" hidden="1">
              <a:extLst>
                <a:ext uri="{63B3BB69-23CF-44E3-9099-C40C66FF867C}">
                  <a14:compatExt spid="_x0000_s37902"/>
                </a:ext>
                <a:ext uri="{FF2B5EF4-FFF2-40B4-BE49-F238E27FC236}">
                  <a16:creationId xmlns:a16="http://schemas.microsoft.com/office/drawing/2014/main" id="{00000000-0008-0000-1900-00000E9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13</xdr:row>
          <xdr:rowOff>0</xdr:rowOff>
        </xdr:from>
        <xdr:to>
          <xdr:col>16</xdr:col>
          <xdr:colOff>6350</xdr:colOff>
          <xdr:row>14</xdr:row>
          <xdr:rowOff>25400</xdr:rowOff>
        </xdr:to>
        <xdr:sp macro="" textlink="">
          <xdr:nvSpPr>
            <xdr:cNvPr id="37903" name="Check Box 15" hidden="1">
              <a:extLst>
                <a:ext uri="{63B3BB69-23CF-44E3-9099-C40C66FF867C}">
                  <a14:compatExt spid="_x0000_s37903"/>
                </a:ext>
                <a:ext uri="{FF2B5EF4-FFF2-40B4-BE49-F238E27FC236}">
                  <a16:creationId xmlns:a16="http://schemas.microsoft.com/office/drawing/2014/main" id="{00000000-0008-0000-1900-00000F9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15</xdr:row>
          <xdr:rowOff>0</xdr:rowOff>
        </xdr:from>
        <xdr:to>
          <xdr:col>10</xdr:col>
          <xdr:colOff>6350</xdr:colOff>
          <xdr:row>16</xdr:row>
          <xdr:rowOff>25400</xdr:rowOff>
        </xdr:to>
        <xdr:sp macro="" textlink="">
          <xdr:nvSpPr>
            <xdr:cNvPr id="37904" name="Check Box 16" hidden="1">
              <a:extLst>
                <a:ext uri="{63B3BB69-23CF-44E3-9099-C40C66FF867C}">
                  <a14:compatExt spid="_x0000_s37904"/>
                </a:ext>
                <a:ext uri="{FF2B5EF4-FFF2-40B4-BE49-F238E27FC236}">
                  <a16:creationId xmlns:a16="http://schemas.microsoft.com/office/drawing/2014/main" id="{00000000-0008-0000-1900-0000109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16</xdr:row>
          <xdr:rowOff>0</xdr:rowOff>
        </xdr:from>
        <xdr:to>
          <xdr:col>10</xdr:col>
          <xdr:colOff>6350</xdr:colOff>
          <xdr:row>17</xdr:row>
          <xdr:rowOff>25400</xdr:rowOff>
        </xdr:to>
        <xdr:sp macro="" textlink="">
          <xdr:nvSpPr>
            <xdr:cNvPr id="37905" name="Check Box 17" hidden="1">
              <a:extLst>
                <a:ext uri="{63B3BB69-23CF-44E3-9099-C40C66FF867C}">
                  <a14:compatExt spid="_x0000_s37905"/>
                </a:ext>
                <a:ext uri="{FF2B5EF4-FFF2-40B4-BE49-F238E27FC236}">
                  <a16:creationId xmlns:a16="http://schemas.microsoft.com/office/drawing/2014/main" id="{00000000-0008-0000-1900-0000119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17</xdr:row>
          <xdr:rowOff>0</xdr:rowOff>
        </xdr:from>
        <xdr:to>
          <xdr:col>10</xdr:col>
          <xdr:colOff>6350</xdr:colOff>
          <xdr:row>18</xdr:row>
          <xdr:rowOff>25400</xdr:rowOff>
        </xdr:to>
        <xdr:sp macro="" textlink="">
          <xdr:nvSpPr>
            <xdr:cNvPr id="37906" name="Check Box 18" hidden="1">
              <a:extLst>
                <a:ext uri="{63B3BB69-23CF-44E3-9099-C40C66FF867C}">
                  <a14:compatExt spid="_x0000_s37906"/>
                </a:ext>
                <a:ext uri="{FF2B5EF4-FFF2-40B4-BE49-F238E27FC236}">
                  <a16:creationId xmlns:a16="http://schemas.microsoft.com/office/drawing/2014/main" id="{00000000-0008-0000-1900-0000129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15</xdr:row>
          <xdr:rowOff>0</xdr:rowOff>
        </xdr:from>
        <xdr:to>
          <xdr:col>16</xdr:col>
          <xdr:colOff>6350</xdr:colOff>
          <xdr:row>16</xdr:row>
          <xdr:rowOff>25400</xdr:rowOff>
        </xdr:to>
        <xdr:sp macro="" textlink="">
          <xdr:nvSpPr>
            <xdr:cNvPr id="37907" name="Check Box 19" hidden="1">
              <a:extLst>
                <a:ext uri="{63B3BB69-23CF-44E3-9099-C40C66FF867C}">
                  <a14:compatExt spid="_x0000_s37907"/>
                </a:ext>
                <a:ext uri="{FF2B5EF4-FFF2-40B4-BE49-F238E27FC236}">
                  <a16:creationId xmlns:a16="http://schemas.microsoft.com/office/drawing/2014/main" id="{00000000-0008-0000-1900-0000139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16</xdr:row>
          <xdr:rowOff>0</xdr:rowOff>
        </xdr:from>
        <xdr:to>
          <xdr:col>16</xdr:col>
          <xdr:colOff>6350</xdr:colOff>
          <xdr:row>17</xdr:row>
          <xdr:rowOff>25400</xdr:rowOff>
        </xdr:to>
        <xdr:sp macro="" textlink="">
          <xdr:nvSpPr>
            <xdr:cNvPr id="37908" name="Check Box 20" hidden="1">
              <a:extLst>
                <a:ext uri="{63B3BB69-23CF-44E3-9099-C40C66FF867C}">
                  <a14:compatExt spid="_x0000_s37908"/>
                </a:ext>
                <a:ext uri="{FF2B5EF4-FFF2-40B4-BE49-F238E27FC236}">
                  <a16:creationId xmlns:a16="http://schemas.microsoft.com/office/drawing/2014/main" id="{00000000-0008-0000-1900-0000149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18</xdr:row>
          <xdr:rowOff>0</xdr:rowOff>
        </xdr:from>
        <xdr:to>
          <xdr:col>10</xdr:col>
          <xdr:colOff>6350</xdr:colOff>
          <xdr:row>19</xdr:row>
          <xdr:rowOff>25400</xdr:rowOff>
        </xdr:to>
        <xdr:sp macro="" textlink="">
          <xdr:nvSpPr>
            <xdr:cNvPr id="37909" name="Check Box 21" hidden="1">
              <a:extLst>
                <a:ext uri="{63B3BB69-23CF-44E3-9099-C40C66FF867C}">
                  <a14:compatExt spid="_x0000_s37909"/>
                </a:ext>
                <a:ext uri="{FF2B5EF4-FFF2-40B4-BE49-F238E27FC236}">
                  <a16:creationId xmlns:a16="http://schemas.microsoft.com/office/drawing/2014/main" id="{00000000-0008-0000-1900-0000159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19</xdr:row>
          <xdr:rowOff>0</xdr:rowOff>
        </xdr:from>
        <xdr:to>
          <xdr:col>10</xdr:col>
          <xdr:colOff>6350</xdr:colOff>
          <xdr:row>20</xdr:row>
          <xdr:rowOff>25400</xdr:rowOff>
        </xdr:to>
        <xdr:sp macro="" textlink="">
          <xdr:nvSpPr>
            <xdr:cNvPr id="37910" name="Check Box 22" hidden="1">
              <a:extLst>
                <a:ext uri="{63B3BB69-23CF-44E3-9099-C40C66FF867C}">
                  <a14:compatExt spid="_x0000_s37910"/>
                </a:ext>
                <a:ext uri="{FF2B5EF4-FFF2-40B4-BE49-F238E27FC236}">
                  <a16:creationId xmlns:a16="http://schemas.microsoft.com/office/drawing/2014/main" id="{00000000-0008-0000-1900-0000169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20</xdr:row>
          <xdr:rowOff>0</xdr:rowOff>
        </xdr:from>
        <xdr:to>
          <xdr:col>10</xdr:col>
          <xdr:colOff>6350</xdr:colOff>
          <xdr:row>21</xdr:row>
          <xdr:rowOff>12700</xdr:rowOff>
        </xdr:to>
        <xdr:sp macro="" textlink="">
          <xdr:nvSpPr>
            <xdr:cNvPr id="37911" name="Check Box 23" hidden="1">
              <a:extLst>
                <a:ext uri="{63B3BB69-23CF-44E3-9099-C40C66FF867C}">
                  <a14:compatExt spid="_x0000_s37911"/>
                </a:ext>
                <a:ext uri="{FF2B5EF4-FFF2-40B4-BE49-F238E27FC236}">
                  <a16:creationId xmlns:a16="http://schemas.microsoft.com/office/drawing/2014/main" id="{00000000-0008-0000-1900-0000179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18</xdr:row>
          <xdr:rowOff>0</xdr:rowOff>
        </xdr:from>
        <xdr:to>
          <xdr:col>16</xdr:col>
          <xdr:colOff>6350</xdr:colOff>
          <xdr:row>19</xdr:row>
          <xdr:rowOff>25400</xdr:rowOff>
        </xdr:to>
        <xdr:sp macro="" textlink="">
          <xdr:nvSpPr>
            <xdr:cNvPr id="37912" name="Check Box 24" hidden="1">
              <a:extLst>
                <a:ext uri="{63B3BB69-23CF-44E3-9099-C40C66FF867C}">
                  <a14:compatExt spid="_x0000_s37912"/>
                </a:ext>
                <a:ext uri="{FF2B5EF4-FFF2-40B4-BE49-F238E27FC236}">
                  <a16:creationId xmlns:a16="http://schemas.microsoft.com/office/drawing/2014/main" id="{00000000-0008-0000-1900-0000189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19</xdr:row>
          <xdr:rowOff>0</xdr:rowOff>
        </xdr:from>
        <xdr:to>
          <xdr:col>16</xdr:col>
          <xdr:colOff>6350</xdr:colOff>
          <xdr:row>20</xdr:row>
          <xdr:rowOff>25400</xdr:rowOff>
        </xdr:to>
        <xdr:sp macro="" textlink="">
          <xdr:nvSpPr>
            <xdr:cNvPr id="37913" name="Check Box 25" hidden="1">
              <a:extLst>
                <a:ext uri="{63B3BB69-23CF-44E3-9099-C40C66FF867C}">
                  <a14:compatExt spid="_x0000_s37913"/>
                </a:ext>
                <a:ext uri="{FF2B5EF4-FFF2-40B4-BE49-F238E27FC236}">
                  <a16:creationId xmlns:a16="http://schemas.microsoft.com/office/drawing/2014/main" id="{00000000-0008-0000-1900-0000199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6</xdr:col>
      <xdr:colOff>342900</xdr:colOff>
      <xdr:row>100</xdr:row>
      <xdr:rowOff>66675</xdr:rowOff>
    </xdr:from>
    <xdr:to>
      <xdr:col>6</xdr:col>
      <xdr:colOff>371475</xdr:colOff>
      <xdr:row>100</xdr:row>
      <xdr:rowOff>104775</xdr:rowOff>
    </xdr:to>
    <xdr:sp macro="" textlink="">
      <xdr:nvSpPr>
        <xdr:cNvPr id="2" name="Rectangle 118">
          <a:extLst>
            <a:ext uri="{FF2B5EF4-FFF2-40B4-BE49-F238E27FC236}">
              <a16:creationId xmlns:a16="http://schemas.microsoft.com/office/drawing/2014/main" id="{00000000-0008-0000-1A00-000002000000}"/>
            </a:ext>
          </a:extLst>
        </xdr:cNvPr>
        <xdr:cNvSpPr>
          <a:spLocks noChangeArrowheads="1"/>
        </xdr:cNvSpPr>
      </xdr:nvSpPr>
      <xdr:spPr bwMode="auto">
        <a:xfrm flipH="1" flipV="1">
          <a:off x="1797050" y="21967825"/>
          <a:ext cx="0" cy="38100"/>
        </a:xfrm>
        <a:prstGeom prst="rect">
          <a:avLst/>
        </a:prstGeom>
        <a:solidFill>
          <a:srgbClr val="000000"/>
        </a:solidFill>
        <a:ln w="9525">
          <a:solidFill>
            <a:srgbClr val="000000"/>
          </a:solidFill>
          <a:miter lim="800000"/>
          <a:headEnd/>
          <a:tailEnd/>
        </a:ln>
      </xdr:spPr>
    </xdr:sp>
    <xdr:clientData/>
  </xdr:twoCellAnchor>
  <xdr:twoCellAnchor>
    <xdr:from>
      <xdr:col>1</xdr:col>
      <xdr:colOff>342900</xdr:colOff>
      <xdr:row>100</xdr:row>
      <xdr:rowOff>66675</xdr:rowOff>
    </xdr:from>
    <xdr:to>
      <xdr:col>1</xdr:col>
      <xdr:colOff>371475</xdr:colOff>
      <xdr:row>100</xdr:row>
      <xdr:rowOff>104775</xdr:rowOff>
    </xdr:to>
    <xdr:sp macro="" textlink="">
      <xdr:nvSpPr>
        <xdr:cNvPr id="3" name="Rectangle 118">
          <a:extLst>
            <a:ext uri="{FF2B5EF4-FFF2-40B4-BE49-F238E27FC236}">
              <a16:creationId xmlns:a16="http://schemas.microsoft.com/office/drawing/2014/main" id="{00000000-0008-0000-1A00-000003000000}"/>
            </a:ext>
          </a:extLst>
        </xdr:cNvPr>
        <xdr:cNvSpPr>
          <a:spLocks noChangeArrowheads="1"/>
        </xdr:cNvSpPr>
      </xdr:nvSpPr>
      <xdr:spPr bwMode="auto">
        <a:xfrm flipH="1" flipV="1">
          <a:off x="431800" y="21967825"/>
          <a:ext cx="0" cy="38100"/>
        </a:xfrm>
        <a:prstGeom prst="rect">
          <a:avLst/>
        </a:prstGeom>
        <a:solidFill>
          <a:srgbClr val="000000"/>
        </a:solidFill>
        <a:ln w="9525">
          <a:solidFill>
            <a:srgbClr val="000000"/>
          </a:solidFill>
          <a:miter lim="800000"/>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6</xdr:col>
      <xdr:colOff>342900</xdr:colOff>
      <xdr:row>102</xdr:row>
      <xdr:rowOff>66675</xdr:rowOff>
    </xdr:from>
    <xdr:to>
      <xdr:col>6</xdr:col>
      <xdr:colOff>371475</xdr:colOff>
      <xdr:row>102</xdr:row>
      <xdr:rowOff>104775</xdr:rowOff>
    </xdr:to>
    <xdr:sp macro="" textlink="">
      <xdr:nvSpPr>
        <xdr:cNvPr id="2" name="Rectangle 118">
          <a:extLst>
            <a:ext uri="{FF2B5EF4-FFF2-40B4-BE49-F238E27FC236}">
              <a16:creationId xmlns:a16="http://schemas.microsoft.com/office/drawing/2014/main" id="{00000000-0008-0000-1B00-000002000000}"/>
            </a:ext>
          </a:extLst>
        </xdr:cNvPr>
        <xdr:cNvSpPr>
          <a:spLocks noChangeArrowheads="1"/>
        </xdr:cNvSpPr>
      </xdr:nvSpPr>
      <xdr:spPr bwMode="auto">
        <a:xfrm flipH="1" flipV="1">
          <a:off x="1797050" y="19796125"/>
          <a:ext cx="0" cy="38100"/>
        </a:xfrm>
        <a:prstGeom prst="rect">
          <a:avLst/>
        </a:prstGeom>
        <a:solidFill>
          <a:srgbClr val="000000"/>
        </a:solidFill>
        <a:ln w="9525">
          <a:solidFill>
            <a:srgbClr val="000000"/>
          </a:solidFill>
          <a:miter lim="800000"/>
          <a:headEnd/>
          <a:tailEnd/>
        </a:ln>
      </xdr:spPr>
    </xdr:sp>
    <xdr:clientData/>
  </xdr:twoCellAnchor>
  <xdr:twoCellAnchor>
    <xdr:from>
      <xdr:col>1</xdr:col>
      <xdr:colOff>342900</xdr:colOff>
      <xdr:row>102</xdr:row>
      <xdr:rowOff>66675</xdr:rowOff>
    </xdr:from>
    <xdr:to>
      <xdr:col>1</xdr:col>
      <xdr:colOff>371475</xdr:colOff>
      <xdr:row>102</xdr:row>
      <xdr:rowOff>104775</xdr:rowOff>
    </xdr:to>
    <xdr:sp macro="" textlink="">
      <xdr:nvSpPr>
        <xdr:cNvPr id="3" name="Rectangle 118">
          <a:extLst>
            <a:ext uri="{FF2B5EF4-FFF2-40B4-BE49-F238E27FC236}">
              <a16:creationId xmlns:a16="http://schemas.microsoft.com/office/drawing/2014/main" id="{00000000-0008-0000-1B00-000003000000}"/>
            </a:ext>
          </a:extLst>
        </xdr:cNvPr>
        <xdr:cNvSpPr>
          <a:spLocks noChangeArrowheads="1"/>
        </xdr:cNvSpPr>
      </xdr:nvSpPr>
      <xdr:spPr bwMode="auto">
        <a:xfrm flipH="1" flipV="1">
          <a:off x="431800" y="19796125"/>
          <a:ext cx="0" cy="38100"/>
        </a:xfrm>
        <a:prstGeom prst="rect">
          <a:avLst/>
        </a:prstGeom>
        <a:solidFill>
          <a:srgbClr val="000000"/>
        </a:solidFill>
        <a:ln w="9525">
          <a:solidFill>
            <a:srgbClr val="000000"/>
          </a:solidFill>
          <a:miter lim="800000"/>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342900</xdr:colOff>
      <xdr:row>97</xdr:row>
      <xdr:rowOff>66675</xdr:rowOff>
    </xdr:from>
    <xdr:to>
      <xdr:col>6</xdr:col>
      <xdr:colOff>371475</xdr:colOff>
      <xdr:row>97</xdr:row>
      <xdr:rowOff>104775</xdr:rowOff>
    </xdr:to>
    <xdr:sp macro="" textlink="">
      <xdr:nvSpPr>
        <xdr:cNvPr id="2" name="Rectangle 118">
          <a:extLst>
            <a:ext uri="{FF2B5EF4-FFF2-40B4-BE49-F238E27FC236}">
              <a16:creationId xmlns:a16="http://schemas.microsoft.com/office/drawing/2014/main" id="{00000000-0008-0000-1C00-000002000000}"/>
            </a:ext>
          </a:extLst>
        </xdr:cNvPr>
        <xdr:cNvSpPr>
          <a:spLocks noChangeArrowheads="1"/>
        </xdr:cNvSpPr>
      </xdr:nvSpPr>
      <xdr:spPr bwMode="auto">
        <a:xfrm flipH="1" flipV="1">
          <a:off x="1797050" y="19605625"/>
          <a:ext cx="0" cy="38100"/>
        </a:xfrm>
        <a:prstGeom prst="rect">
          <a:avLst/>
        </a:prstGeom>
        <a:solidFill>
          <a:srgbClr val="000000"/>
        </a:solidFill>
        <a:ln w="9525">
          <a:solidFill>
            <a:srgbClr val="000000"/>
          </a:solidFill>
          <a:miter lim="800000"/>
          <a:headEnd/>
          <a:tailEnd/>
        </a:ln>
      </xdr:spPr>
    </xdr:sp>
    <xdr:clientData/>
  </xdr:twoCellAnchor>
  <xdr:twoCellAnchor>
    <xdr:from>
      <xdr:col>1</xdr:col>
      <xdr:colOff>342900</xdr:colOff>
      <xdr:row>97</xdr:row>
      <xdr:rowOff>66675</xdr:rowOff>
    </xdr:from>
    <xdr:to>
      <xdr:col>1</xdr:col>
      <xdr:colOff>371475</xdr:colOff>
      <xdr:row>97</xdr:row>
      <xdr:rowOff>104775</xdr:rowOff>
    </xdr:to>
    <xdr:sp macro="" textlink="">
      <xdr:nvSpPr>
        <xdr:cNvPr id="3" name="Rectangle 118">
          <a:extLst>
            <a:ext uri="{FF2B5EF4-FFF2-40B4-BE49-F238E27FC236}">
              <a16:creationId xmlns:a16="http://schemas.microsoft.com/office/drawing/2014/main" id="{00000000-0008-0000-1C00-000003000000}"/>
            </a:ext>
          </a:extLst>
        </xdr:cNvPr>
        <xdr:cNvSpPr>
          <a:spLocks noChangeArrowheads="1"/>
        </xdr:cNvSpPr>
      </xdr:nvSpPr>
      <xdr:spPr bwMode="auto">
        <a:xfrm flipH="1" flipV="1">
          <a:off x="431800" y="19605625"/>
          <a:ext cx="0" cy="38100"/>
        </a:xfrm>
        <a:prstGeom prst="rect">
          <a:avLst/>
        </a:prstGeom>
        <a:solidFill>
          <a:srgbClr val="000000"/>
        </a:solidFill>
        <a:ln w="9525">
          <a:solidFill>
            <a:srgbClr val="000000"/>
          </a:solidFill>
          <a:miter lim="800000"/>
          <a:headEnd/>
          <a:tailEnd/>
        </a:ln>
      </xdr:spPr>
    </xdr:sp>
    <xdr:clientData/>
  </xdr:twoCellAnchor>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26</xdr:col>
          <xdr:colOff>266700</xdr:colOff>
          <xdr:row>5</xdr:row>
          <xdr:rowOff>0</xdr:rowOff>
        </xdr:from>
        <xdr:to>
          <xdr:col>27</xdr:col>
          <xdr:colOff>190500</xdr:colOff>
          <xdr:row>5</xdr:row>
          <xdr:rowOff>215900</xdr:rowOff>
        </xdr:to>
        <xdr:sp macro="" textlink="">
          <xdr:nvSpPr>
            <xdr:cNvPr id="30721" name="Check Box 1" hidden="1">
              <a:extLst>
                <a:ext uri="{63B3BB69-23CF-44E3-9099-C40C66FF867C}">
                  <a14:compatExt spid="_x0000_s30721"/>
                </a:ext>
                <a:ext uri="{FF2B5EF4-FFF2-40B4-BE49-F238E27FC236}">
                  <a16:creationId xmlns:a16="http://schemas.microsoft.com/office/drawing/2014/main" id="{00000000-0008-0000-1D00-000001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266700</xdr:colOff>
          <xdr:row>6</xdr:row>
          <xdr:rowOff>31750</xdr:rowOff>
        </xdr:from>
        <xdr:to>
          <xdr:col>27</xdr:col>
          <xdr:colOff>215900</xdr:colOff>
          <xdr:row>6</xdr:row>
          <xdr:rowOff>234950</xdr:rowOff>
        </xdr:to>
        <xdr:sp macro="" textlink="">
          <xdr:nvSpPr>
            <xdr:cNvPr id="30722" name="Check Box 2" hidden="1">
              <a:extLst>
                <a:ext uri="{63B3BB69-23CF-44E3-9099-C40C66FF867C}">
                  <a14:compatExt spid="_x0000_s30722"/>
                </a:ext>
                <a:ext uri="{FF2B5EF4-FFF2-40B4-BE49-F238E27FC236}">
                  <a16:creationId xmlns:a16="http://schemas.microsoft.com/office/drawing/2014/main" id="{00000000-0008-0000-1D00-000002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266700</xdr:colOff>
          <xdr:row>7</xdr:row>
          <xdr:rowOff>12700</xdr:rowOff>
        </xdr:from>
        <xdr:to>
          <xdr:col>30</xdr:col>
          <xdr:colOff>215900</xdr:colOff>
          <xdr:row>7</xdr:row>
          <xdr:rowOff>222250</xdr:rowOff>
        </xdr:to>
        <xdr:sp macro="" textlink="">
          <xdr:nvSpPr>
            <xdr:cNvPr id="30723" name="Check Box 3" hidden="1">
              <a:extLst>
                <a:ext uri="{63B3BB69-23CF-44E3-9099-C40C66FF867C}">
                  <a14:compatExt spid="_x0000_s30723"/>
                </a:ext>
                <a:ext uri="{FF2B5EF4-FFF2-40B4-BE49-F238E27FC236}">
                  <a16:creationId xmlns:a16="http://schemas.microsoft.com/office/drawing/2014/main" id="{00000000-0008-0000-1D00-000003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266700</xdr:colOff>
          <xdr:row>7</xdr:row>
          <xdr:rowOff>254000</xdr:rowOff>
        </xdr:from>
        <xdr:to>
          <xdr:col>30</xdr:col>
          <xdr:colOff>196850</xdr:colOff>
          <xdr:row>8</xdr:row>
          <xdr:rowOff>222250</xdr:rowOff>
        </xdr:to>
        <xdr:sp macro="" textlink="">
          <xdr:nvSpPr>
            <xdr:cNvPr id="30724" name="Check Box 4" hidden="1">
              <a:extLst>
                <a:ext uri="{63B3BB69-23CF-44E3-9099-C40C66FF867C}">
                  <a14:compatExt spid="_x0000_s30724"/>
                </a:ext>
                <a:ext uri="{FF2B5EF4-FFF2-40B4-BE49-F238E27FC236}">
                  <a16:creationId xmlns:a16="http://schemas.microsoft.com/office/drawing/2014/main" id="{00000000-0008-0000-1D00-000004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266700</xdr:colOff>
          <xdr:row>8</xdr:row>
          <xdr:rowOff>254000</xdr:rowOff>
        </xdr:from>
        <xdr:to>
          <xdr:col>30</xdr:col>
          <xdr:colOff>196850</xdr:colOff>
          <xdr:row>9</xdr:row>
          <xdr:rowOff>222250</xdr:rowOff>
        </xdr:to>
        <xdr:sp macro="" textlink="">
          <xdr:nvSpPr>
            <xdr:cNvPr id="30725" name="Check Box 5" hidden="1">
              <a:extLst>
                <a:ext uri="{63B3BB69-23CF-44E3-9099-C40C66FF867C}">
                  <a14:compatExt spid="_x0000_s30725"/>
                </a:ext>
                <a:ext uri="{FF2B5EF4-FFF2-40B4-BE49-F238E27FC236}">
                  <a16:creationId xmlns:a16="http://schemas.microsoft.com/office/drawing/2014/main" id="{00000000-0008-0000-1D00-000005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266700</xdr:colOff>
          <xdr:row>10</xdr:row>
          <xdr:rowOff>0</xdr:rowOff>
        </xdr:from>
        <xdr:to>
          <xdr:col>27</xdr:col>
          <xdr:colOff>184150</xdr:colOff>
          <xdr:row>10</xdr:row>
          <xdr:rowOff>222250</xdr:rowOff>
        </xdr:to>
        <xdr:sp macro="" textlink="">
          <xdr:nvSpPr>
            <xdr:cNvPr id="30726" name="Check Box 6" hidden="1">
              <a:extLst>
                <a:ext uri="{63B3BB69-23CF-44E3-9099-C40C66FF867C}">
                  <a14:compatExt spid="_x0000_s30726"/>
                </a:ext>
                <a:ext uri="{FF2B5EF4-FFF2-40B4-BE49-F238E27FC236}">
                  <a16:creationId xmlns:a16="http://schemas.microsoft.com/office/drawing/2014/main" id="{00000000-0008-0000-1D00-000006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266700</xdr:colOff>
          <xdr:row>13</xdr:row>
          <xdr:rowOff>0</xdr:rowOff>
        </xdr:from>
        <xdr:to>
          <xdr:col>27</xdr:col>
          <xdr:colOff>203200</xdr:colOff>
          <xdr:row>14</xdr:row>
          <xdr:rowOff>6350</xdr:rowOff>
        </xdr:to>
        <xdr:sp macro="" textlink="">
          <xdr:nvSpPr>
            <xdr:cNvPr id="30727" name="Check Box 7" hidden="1">
              <a:extLst>
                <a:ext uri="{63B3BB69-23CF-44E3-9099-C40C66FF867C}">
                  <a14:compatExt spid="_x0000_s30727"/>
                </a:ext>
                <a:ext uri="{FF2B5EF4-FFF2-40B4-BE49-F238E27FC236}">
                  <a16:creationId xmlns:a16="http://schemas.microsoft.com/office/drawing/2014/main" id="{00000000-0008-0000-1D00-000007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266700</xdr:colOff>
          <xdr:row>14</xdr:row>
          <xdr:rowOff>0</xdr:rowOff>
        </xdr:from>
        <xdr:to>
          <xdr:col>27</xdr:col>
          <xdr:colOff>215900</xdr:colOff>
          <xdr:row>15</xdr:row>
          <xdr:rowOff>0</xdr:rowOff>
        </xdr:to>
        <xdr:sp macro="" textlink="">
          <xdr:nvSpPr>
            <xdr:cNvPr id="30728" name="Check Box 8" hidden="1">
              <a:extLst>
                <a:ext uri="{63B3BB69-23CF-44E3-9099-C40C66FF867C}">
                  <a14:compatExt spid="_x0000_s30728"/>
                </a:ext>
                <a:ext uri="{FF2B5EF4-FFF2-40B4-BE49-F238E27FC236}">
                  <a16:creationId xmlns:a16="http://schemas.microsoft.com/office/drawing/2014/main" id="{00000000-0008-0000-1D00-000008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266700</xdr:colOff>
          <xdr:row>15</xdr:row>
          <xdr:rowOff>0</xdr:rowOff>
        </xdr:from>
        <xdr:to>
          <xdr:col>27</xdr:col>
          <xdr:colOff>215900</xdr:colOff>
          <xdr:row>15</xdr:row>
          <xdr:rowOff>215900</xdr:rowOff>
        </xdr:to>
        <xdr:sp macro="" textlink="">
          <xdr:nvSpPr>
            <xdr:cNvPr id="30729" name="Check Box 9" hidden="1">
              <a:extLst>
                <a:ext uri="{63B3BB69-23CF-44E3-9099-C40C66FF867C}">
                  <a14:compatExt spid="_x0000_s30729"/>
                </a:ext>
                <a:ext uri="{FF2B5EF4-FFF2-40B4-BE49-F238E27FC236}">
                  <a16:creationId xmlns:a16="http://schemas.microsoft.com/office/drawing/2014/main" id="{00000000-0008-0000-1D00-000009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266700</xdr:colOff>
          <xdr:row>13</xdr:row>
          <xdr:rowOff>0</xdr:rowOff>
        </xdr:from>
        <xdr:to>
          <xdr:col>33</xdr:col>
          <xdr:colOff>190500</xdr:colOff>
          <xdr:row>14</xdr:row>
          <xdr:rowOff>0</xdr:rowOff>
        </xdr:to>
        <xdr:sp macro="" textlink="">
          <xdr:nvSpPr>
            <xdr:cNvPr id="30730" name="Check Box 10" hidden="1">
              <a:extLst>
                <a:ext uri="{63B3BB69-23CF-44E3-9099-C40C66FF867C}">
                  <a14:compatExt spid="_x0000_s30730"/>
                </a:ext>
                <a:ext uri="{FF2B5EF4-FFF2-40B4-BE49-F238E27FC236}">
                  <a16:creationId xmlns:a16="http://schemas.microsoft.com/office/drawing/2014/main" id="{00000000-0008-0000-1D00-00000A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266700</xdr:colOff>
          <xdr:row>14</xdr:row>
          <xdr:rowOff>0</xdr:rowOff>
        </xdr:from>
        <xdr:to>
          <xdr:col>33</xdr:col>
          <xdr:colOff>215900</xdr:colOff>
          <xdr:row>14</xdr:row>
          <xdr:rowOff>228600</xdr:rowOff>
        </xdr:to>
        <xdr:sp macro="" textlink="">
          <xdr:nvSpPr>
            <xdr:cNvPr id="30731" name="Check Box 11" hidden="1">
              <a:extLst>
                <a:ext uri="{63B3BB69-23CF-44E3-9099-C40C66FF867C}">
                  <a14:compatExt spid="_x0000_s30731"/>
                </a:ext>
                <a:ext uri="{FF2B5EF4-FFF2-40B4-BE49-F238E27FC236}">
                  <a16:creationId xmlns:a16="http://schemas.microsoft.com/office/drawing/2014/main" id="{00000000-0008-0000-1D00-00000B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266700</xdr:colOff>
          <xdr:row>15</xdr:row>
          <xdr:rowOff>0</xdr:rowOff>
        </xdr:from>
        <xdr:to>
          <xdr:col>33</xdr:col>
          <xdr:colOff>177800</xdr:colOff>
          <xdr:row>15</xdr:row>
          <xdr:rowOff>228600</xdr:rowOff>
        </xdr:to>
        <xdr:sp macro="" textlink="">
          <xdr:nvSpPr>
            <xdr:cNvPr id="30732" name="Check Box 12" hidden="1">
              <a:extLst>
                <a:ext uri="{63B3BB69-23CF-44E3-9099-C40C66FF867C}">
                  <a14:compatExt spid="_x0000_s30732"/>
                </a:ext>
                <a:ext uri="{FF2B5EF4-FFF2-40B4-BE49-F238E27FC236}">
                  <a16:creationId xmlns:a16="http://schemas.microsoft.com/office/drawing/2014/main" id="{00000000-0008-0000-1D00-00000C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25400</xdr:colOff>
          <xdr:row>6</xdr:row>
          <xdr:rowOff>0</xdr:rowOff>
        </xdr:from>
        <xdr:to>
          <xdr:col>5</xdr:col>
          <xdr:colOff>101600</xdr:colOff>
          <xdr:row>6</xdr:row>
          <xdr:rowOff>222250</xdr:rowOff>
        </xdr:to>
        <xdr:sp macro="" textlink="">
          <xdr:nvSpPr>
            <xdr:cNvPr id="31745" name="Check Box 1" hidden="1">
              <a:extLst>
                <a:ext uri="{63B3BB69-23CF-44E3-9099-C40C66FF867C}">
                  <a14:compatExt spid="_x0000_s31745"/>
                </a:ext>
                <a:ext uri="{FF2B5EF4-FFF2-40B4-BE49-F238E27FC236}">
                  <a16:creationId xmlns:a16="http://schemas.microsoft.com/office/drawing/2014/main" id="{00000000-0008-0000-1E00-000001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25400</xdr:colOff>
          <xdr:row>6</xdr:row>
          <xdr:rowOff>0</xdr:rowOff>
        </xdr:from>
        <xdr:to>
          <xdr:col>9</xdr:col>
          <xdr:colOff>101600</xdr:colOff>
          <xdr:row>6</xdr:row>
          <xdr:rowOff>222250</xdr:rowOff>
        </xdr:to>
        <xdr:sp macro="" textlink="">
          <xdr:nvSpPr>
            <xdr:cNvPr id="31746" name="Check Box 2" hidden="1">
              <a:extLst>
                <a:ext uri="{63B3BB69-23CF-44E3-9099-C40C66FF867C}">
                  <a14:compatExt spid="_x0000_s31746"/>
                </a:ext>
                <a:ext uri="{FF2B5EF4-FFF2-40B4-BE49-F238E27FC236}">
                  <a16:creationId xmlns:a16="http://schemas.microsoft.com/office/drawing/2014/main" id="{00000000-0008-0000-1E00-000002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25400</xdr:colOff>
          <xdr:row>7</xdr:row>
          <xdr:rowOff>0</xdr:rowOff>
        </xdr:from>
        <xdr:to>
          <xdr:col>5</xdr:col>
          <xdr:colOff>101600</xdr:colOff>
          <xdr:row>7</xdr:row>
          <xdr:rowOff>222250</xdr:rowOff>
        </xdr:to>
        <xdr:sp macro="" textlink="">
          <xdr:nvSpPr>
            <xdr:cNvPr id="31747" name="Check Box 3" hidden="1">
              <a:extLst>
                <a:ext uri="{63B3BB69-23CF-44E3-9099-C40C66FF867C}">
                  <a14:compatExt spid="_x0000_s31747"/>
                </a:ext>
                <a:ext uri="{FF2B5EF4-FFF2-40B4-BE49-F238E27FC236}">
                  <a16:creationId xmlns:a16="http://schemas.microsoft.com/office/drawing/2014/main" id="{00000000-0008-0000-1E00-000003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25400</xdr:colOff>
          <xdr:row>7</xdr:row>
          <xdr:rowOff>0</xdr:rowOff>
        </xdr:from>
        <xdr:to>
          <xdr:col>9</xdr:col>
          <xdr:colOff>101600</xdr:colOff>
          <xdr:row>7</xdr:row>
          <xdr:rowOff>222250</xdr:rowOff>
        </xdr:to>
        <xdr:sp macro="" textlink="">
          <xdr:nvSpPr>
            <xdr:cNvPr id="31748" name="Check Box 4" hidden="1">
              <a:extLst>
                <a:ext uri="{63B3BB69-23CF-44E3-9099-C40C66FF867C}">
                  <a14:compatExt spid="_x0000_s31748"/>
                </a:ext>
                <a:ext uri="{FF2B5EF4-FFF2-40B4-BE49-F238E27FC236}">
                  <a16:creationId xmlns:a16="http://schemas.microsoft.com/office/drawing/2014/main" id="{00000000-0008-0000-1E00-000004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25400</xdr:colOff>
          <xdr:row>8</xdr:row>
          <xdr:rowOff>0</xdr:rowOff>
        </xdr:from>
        <xdr:to>
          <xdr:col>9</xdr:col>
          <xdr:colOff>101600</xdr:colOff>
          <xdr:row>8</xdr:row>
          <xdr:rowOff>222250</xdr:rowOff>
        </xdr:to>
        <xdr:sp macro="" textlink="">
          <xdr:nvSpPr>
            <xdr:cNvPr id="31749" name="Check Box 5" hidden="1">
              <a:extLst>
                <a:ext uri="{63B3BB69-23CF-44E3-9099-C40C66FF867C}">
                  <a14:compatExt spid="_x0000_s31749"/>
                </a:ext>
                <a:ext uri="{FF2B5EF4-FFF2-40B4-BE49-F238E27FC236}">
                  <a16:creationId xmlns:a16="http://schemas.microsoft.com/office/drawing/2014/main" id="{00000000-0008-0000-1E00-000005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25400</xdr:colOff>
          <xdr:row>8</xdr:row>
          <xdr:rowOff>0</xdr:rowOff>
        </xdr:from>
        <xdr:to>
          <xdr:col>13</xdr:col>
          <xdr:colOff>101600</xdr:colOff>
          <xdr:row>8</xdr:row>
          <xdr:rowOff>222250</xdr:rowOff>
        </xdr:to>
        <xdr:sp macro="" textlink="">
          <xdr:nvSpPr>
            <xdr:cNvPr id="31750" name="Check Box 6" hidden="1">
              <a:extLst>
                <a:ext uri="{63B3BB69-23CF-44E3-9099-C40C66FF867C}">
                  <a14:compatExt spid="_x0000_s31750"/>
                </a:ext>
                <a:ext uri="{FF2B5EF4-FFF2-40B4-BE49-F238E27FC236}">
                  <a16:creationId xmlns:a16="http://schemas.microsoft.com/office/drawing/2014/main" id="{00000000-0008-0000-1E00-000006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xdr:row>
          <xdr:rowOff>0</xdr:rowOff>
        </xdr:from>
        <xdr:to>
          <xdr:col>20</xdr:col>
          <xdr:colOff>101600</xdr:colOff>
          <xdr:row>9</xdr:row>
          <xdr:rowOff>222250</xdr:rowOff>
        </xdr:to>
        <xdr:sp macro="" textlink="">
          <xdr:nvSpPr>
            <xdr:cNvPr id="31751" name="Check Box 7" hidden="1">
              <a:extLst>
                <a:ext uri="{63B3BB69-23CF-44E3-9099-C40C66FF867C}">
                  <a14:compatExt spid="_x0000_s31751"/>
                </a:ext>
                <a:ext uri="{FF2B5EF4-FFF2-40B4-BE49-F238E27FC236}">
                  <a16:creationId xmlns:a16="http://schemas.microsoft.com/office/drawing/2014/main" id="{00000000-0008-0000-1E00-000007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10</xdr:row>
          <xdr:rowOff>0</xdr:rowOff>
        </xdr:from>
        <xdr:to>
          <xdr:col>20</xdr:col>
          <xdr:colOff>101600</xdr:colOff>
          <xdr:row>10</xdr:row>
          <xdr:rowOff>222250</xdr:rowOff>
        </xdr:to>
        <xdr:sp macro="" textlink="">
          <xdr:nvSpPr>
            <xdr:cNvPr id="31752" name="Check Box 8" hidden="1">
              <a:extLst>
                <a:ext uri="{63B3BB69-23CF-44E3-9099-C40C66FF867C}">
                  <a14:compatExt spid="_x0000_s31752"/>
                </a:ext>
                <a:ext uri="{FF2B5EF4-FFF2-40B4-BE49-F238E27FC236}">
                  <a16:creationId xmlns:a16="http://schemas.microsoft.com/office/drawing/2014/main" id="{00000000-0008-0000-1E00-000008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11</xdr:row>
          <xdr:rowOff>0</xdr:rowOff>
        </xdr:from>
        <xdr:to>
          <xdr:col>19</xdr:col>
          <xdr:colOff>215900</xdr:colOff>
          <xdr:row>12</xdr:row>
          <xdr:rowOff>6350</xdr:rowOff>
        </xdr:to>
        <xdr:sp macro="" textlink="">
          <xdr:nvSpPr>
            <xdr:cNvPr id="31753" name="Check Box 9" hidden="1">
              <a:extLst>
                <a:ext uri="{63B3BB69-23CF-44E3-9099-C40C66FF867C}">
                  <a14:compatExt spid="_x0000_s31753"/>
                </a:ext>
                <a:ext uri="{FF2B5EF4-FFF2-40B4-BE49-F238E27FC236}">
                  <a16:creationId xmlns:a16="http://schemas.microsoft.com/office/drawing/2014/main" id="{00000000-0008-0000-1E00-000009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12</xdr:row>
          <xdr:rowOff>12700</xdr:rowOff>
        </xdr:from>
        <xdr:to>
          <xdr:col>19</xdr:col>
          <xdr:colOff>222250</xdr:colOff>
          <xdr:row>12</xdr:row>
          <xdr:rowOff>241300</xdr:rowOff>
        </xdr:to>
        <xdr:sp macro="" textlink="">
          <xdr:nvSpPr>
            <xdr:cNvPr id="31754" name="Check Box 10" hidden="1">
              <a:extLst>
                <a:ext uri="{63B3BB69-23CF-44E3-9099-C40C66FF867C}">
                  <a14:compatExt spid="_x0000_s31754"/>
                </a:ext>
                <a:ext uri="{FF2B5EF4-FFF2-40B4-BE49-F238E27FC236}">
                  <a16:creationId xmlns:a16="http://schemas.microsoft.com/office/drawing/2014/main" id="{00000000-0008-0000-1E00-00000A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13</xdr:row>
          <xdr:rowOff>0</xdr:rowOff>
        </xdr:from>
        <xdr:to>
          <xdr:col>19</xdr:col>
          <xdr:colOff>234950</xdr:colOff>
          <xdr:row>14</xdr:row>
          <xdr:rowOff>12700</xdr:rowOff>
        </xdr:to>
        <xdr:sp macro="" textlink="">
          <xdr:nvSpPr>
            <xdr:cNvPr id="31755" name="Check Box 11" hidden="1">
              <a:extLst>
                <a:ext uri="{63B3BB69-23CF-44E3-9099-C40C66FF867C}">
                  <a14:compatExt spid="_x0000_s31755"/>
                </a:ext>
                <a:ext uri="{FF2B5EF4-FFF2-40B4-BE49-F238E27FC236}">
                  <a16:creationId xmlns:a16="http://schemas.microsoft.com/office/drawing/2014/main" id="{00000000-0008-0000-1E00-00000B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14</xdr:row>
          <xdr:rowOff>0</xdr:rowOff>
        </xdr:from>
        <xdr:to>
          <xdr:col>20</xdr:col>
          <xdr:colOff>101600</xdr:colOff>
          <xdr:row>14</xdr:row>
          <xdr:rowOff>222250</xdr:rowOff>
        </xdr:to>
        <xdr:sp macro="" textlink="">
          <xdr:nvSpPr>
            <xdr:cNvPr id="31756" name="Check Box 12" hidden="1">
              <a:extLst>
                <a:ext uri="{63B3BB69-23CF-44E3-9099-C40C66FF867C}">
                  <a14:compatExt spid="_x0000_s31756"/>
                </a:ext>
                <a:ext uri="{FF2B5EF4-FFF2-40B4-BE49-F238E27FC236}">
                  <a16:creationId xmlns:a16="http://schemas.microsoft.com/office/drawing/2014/main" id="{00000000-0008-0000-1E00-00000C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15</xdr:row>
          <xdr:rowOff>0</xdr:rowOff>
        </xdr:from>
        <xdr:to>
          <xdr:col>20</xdr:col>
          <xdr:colOff>101600</xdr:colOff>
          <xdr:row>15</xdr:row>
          <xdr:rowOff>222250</xdr:rowOff>
        </xdr:to>
        <xdr:sp macro="" textlink="">
          <xdr:nvSpPr>
            <xdr:cNvPr id="31757" name="Check Box 13" hidden="1">
              <a:extLst>
                <a:ext uri="{63B3BB69-23CF-44E3-9099-C40C66FF867C}">
                  <a14:compatExt spid="_x0000_s31757"/>
                </a:ext>
                <a:ext uri="{FF2B5EF4-FFF2-40B4-BE49-F238E27FC236}">
                  <a16:creationId xmlns:a16="http://schemas.microsoft.com/office/drawing/2014/main" id="{00000000-0008-0000-1E00-00000D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16</xdr:row>
          <xdr:rowOff>0</xdr:rowOff>
        </xdr:from>
        <xdr:to>
          <xdr:col>20</xdr:col>
          <xdr:colOff>101600</xdr:colOff>
          <xdr:row>16</xdr:row>
          <xdr:rowOff>222250</xdr:rowOff>
        </xdr:to>
        <xdr:sp macro="" textlink="">
          <xdr:nvSpPr>
            <xdr:cNvPr id="31758" name="Check Box 14" hidden="1">
              <a:extLst>
                <a:ext uri="{63B3BB69-23CF-44E3-9099-C40C66FF867C}">
                  <a14:compatExt spid="_x0000_s31758"/>
                </a:ext>
                <a:ext uri="{FF2B5EF4-FFF2-40B4-BE49-F238E27FC236}">
                  <a16:creationId xmlns:a16="http://schemas.microsoft.com/office/drawing/2014/main" id="{00000000-0008-0000-1E00-00000E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18</xdr:row>
          <xdr:rowOff>0</xdr:rowOff>
        </xdr:from>
        <xdr:to>
          <xdr:col>20</xdr:col>
          <xdr:colOff>101600</xdr:colOff>
          <xdr:row>18</xdr:row>
          <xdr:rowOff>222250</xdr:rowOff>
        </xdr:to>
        <xdr:sp macro="" textlink="">
          <xdr:nvSpPr>
            <xdr:cNvPr id="31759" name="Check Box 15" hidden="1">
              <a:extLst>
                <a:ext uri="{63B3BB69-23CF-44E3-9099-C40C66FF867C}">
                  <a14:compatExt spid="_x0000_s31759"/>
                </a:ext>
                <a:ext uri="{FF2B5EF4-FFF2-40B4-BE49-F238E27FC236}">
                  <a16:creationId xmlns:a16="http://schemas.microsoft.com/office/drawing/2014/main" id="{00000000-0008-0000-1E00-00000F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19</xdr:row>
          <xdr:rowOff>0</xdr:rowOff>
        </xdr:from>
        <xdr:to>
          <xdr:col>20</xdr:col>
          <xdr:colOff>101600</xdr:colOff>
          <xdr:row>19</xdr:row>
          <xdr:rowOff>222250</xdr:rowOff>
        </xdr:to>
        <xdr:sp macro="" textlink="">
          <xdr:nvSpPr>
            <xdr:cNvPr id="31760" name="Check Box 16" hidden="1">
              <a:extLst>
                <a:ext uri="{63B3BB69-23CF-44E3-9099-C40C66FF867C}">
                  <a14:compatExt spid="_x0000_s31760"/>
                </a:ext>
                <a:ext uri="{FF2B5EF4-FFF2-40B4-BE49-F238E27FC236}">
                  <a16:creationId xmlns:a16="http://schemas.microsoft.com/office/drawing/2014/main" id="{00000000-0008-0000-1E00-000010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25400</xdr:colOff>
          <xdr:row>10</xdr:row>
          <xdr:rowOff>0</xdr:rowOff>
        </xdr:from>
        <xdr:to>
          <xdr:col>5</xdr:col>
          <xdr:colOff>101600</xdr:colOff>
          <xdr:row>10</xdr:row>
          <xdr:rowOff>222250</xdr:rowOff>
        </xdr:to>
        <xdr:sp macro="" textlink="">
          <xdr:nvSpPr>
            <xdr:cNvPr id="31761" name="Check Box 17" hidden="1">
              <a:extLst>
                <a:ext uri="{63B3BB69-23CF-44E3-9099-C40C66FF867C}">
                  <a14:compatExt spid="_x0000_s31761"/>
                </a:ext>
                <a:ext uri="{FF2B5EF4-FFF2-40B4-BE49-F238E27FC236}">
                  <a16:creationId xmlns:a16="http://schemas.microsoft.com/office/drawing/2014/main" id="{00000000-0008-0000-1E00-000011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25400</xdr:colOff>
          <xdr:row>11</xdr:row>
          <xdr:rowOff>0</xdr:rowOff>
        </xdr:from>
        <xdr:to>
          <xdr:col>5</xdr:col>
          <xdr:colOff>101600</xdr:colOff>
          <xdr:row>11</xdr:row>
          <xdr:rowOff>222250</xdr:rowOff>
        </xdr:to>
        <xdr:sp macro="" textlink="">
          <xdr:nvSpPr>
            <xdr:cNvPr id="31762" name="Check Box 18" hidden="1">
              <a:extLst>
                <a:ext uri="{63B3BB69-23CF-44E3-9099-C40C66FF867C}">
                  <a14:compatExt spid="_x0000_s31762"/>
                </a:ext>
                <a:ext uri="{FF2B5EF4-FFF2-40B4-BE49-F238E27FC236}">
                  <a16:creationId xmlns:a16="http://schemas.microsoft.com/office/drawing/2014/main" id="{00000000-0008-0000-1E00-000012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25400</xdr:colOff>
          <xdr:row>12</xdr:row>
          <xdr:rowOff>0</xdr:rowOff>
        </xdr:from>
        <xdr:to>
          <xdr:col>5</xdr:col>
          <xdr:colOff>101600</xdr:colOff>
          <xdr:row>12</xdr:row>
          <xdr:rowOff>222250</xdr:rowOff>
        </xdr:to>
        <xdr:sp macro="" textlink="">
          <xdr:nvSpPr>
            <xdr:cNvPr id="31763" name="Check Box 19" hidden="1">
              <a:extLst>
                <a:ext uri="{63B3BB69-23CF-44E3-9099-C40C66FF867C}">
                  <a14:compatExt spid="_x0000_s31763"/>
                </a:ext>
                <a:ext uri="{FF2B5EF4-FFF2-40B4-BE49-F238E27FC236}">
                  <a16:creationId xmlns:a16="http://schemas.microsoft.com/office/drawing/2014/main" id="{00000000-0008-0000-1E00-000013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25400</xdr:colOff>
          <xdr:row>13</xdr:row>
          <xdr:rowOff>0</xdr:rowOff>
        </xdr:from>
        <xdr:to>
          <xdr:col>5</xdr:col>
          <xdr:colOff>101600</xdr:colOff>
          <xdr:row>13</xdr:row>
          <xdr:rowOff>222250</xdr:rowOff>
        </xdr:to>
        <xdr:sp macro="" textlink="">
          <xdr:nvSpPr>
            <xdr:cNvPr id="31764" name="Check Box 20" hidden="1">
              <a:extLst>
                <a:ext uri="{63B3BB69-23CF-44E3-9099-C40C66FF867C}">
                  <a14:compatExt spid="_x0000_s31764"/>
                </a:ext>
                <a:ext uri="{FF2B5EF4-FFF2-40B4-BE49-F238E27FC236}">
                  <a16:creationId xmlns:a16="http://schemas.microsoft.com/office/drawing/2014/main" id="{00000000-0008-0000-1E00-000014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25400</xdr:colOff>
          <xdr:row>14</xdr:row>
          <xdr:rowOff>0</xdr:rowOff>
        </xdr:from>
        <xdr:to>
          <xdr:col>5</xdr:col>
          <xdr:colOff>101600</xdr:colOff>
          <xdr:row>14</xdr:row>
          <xdr:rowOff>222250</xdr:rowOff>
        </xdr:to>
        <xdr:sp macro="" textlink="">
          <xdr:nvSpPr>
            <xdr:cNvPr id="31765" name="Check Box 21" hidden="1">
              <a:extLst>
                <a:ext uri="{63B3BB69-23CF-44E3-9099-C40C66FF867C}">
                  <a14:compatExt spid="_x0000_s31765"/>
                </a:ext>
                <a:ext uri="{FF2B5EF4-FFF2-40B4-BE49-F238E27FC236}">
                  <a16:creationId xmlns:a16="http://schemas.microsoft.com/office/drawing/2014/main" id="{00000000-0008-0000-1E00-000015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25400</xdr:colOff>
          <xdr:row>15</xdr:row>
          <xdr:rowOff>0</xdr:rowOff>
        </xdr:from>
        <xdr:to>
          <xdr:col>5</xdr:col>
          <xdr:colOff>101600</xdr:colOff>
          <xdr:row>15</xdr:row>
          <xdr:rowOff>222250</xdr:rowOff>
        </xdr:to>
        <xdr:sp macro="" textlink="">
          <xdr:nvSpPr>
            <xdr:cNvPr id="31766" name="Check Box 22" hidden="1">
              <a:extLst>
                <a:ext uri="{63B3BB69-23CF-44E3-9099-C40C66FF867C}">
                  <a14:compatExt spid="_x0000_s31766"/>
                </a:ext>
                <a:ext uri="{FF2B5EF4-FFF2-40B4-BE49-F238E27FC236}">
                  <a16:creationId xmlns:a16="http://schemas.microsoft.com/office/drawing/2014/main" id="{00000000-0008-0000-1E00-000016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25400</xdr:colOff>
          <xdr:row>16</xdr:row>
          <xdr:rowOff>0</xdr:rowOff>
        </xdr:from>
        <xdr:to>
          <xdr:col>5</xdr:col>
          <xdr:colOff>101600</xdr:colOff>
          <xdr:row>16</xdr:row>
          <xdr:rowOff>222250</xdr:rowOff>
        </xdr:to>
        <xdr:sp macro="" textlink="">
          <xdr:nvSpPr>
            <xdr:cNvPr id="31767" name="Check Box 23" hidden="1">
              <a:extLst>
                <a:ext uri="{63B3BB69-23CF-44E3-9099-C40C66FF867C}">
                  <a14:compatExt spid="_x0000_s31767"/>
                </a:ext>
                <a:ext uri="{FF2B5EF4-FFF2-40B4-BE49-F238E27FC236}">
                  <a16:creationId xmlns:a16="http://schemas.microsoft.com/office/drawing/2014/main" id="{00000000-0008-0000-1E00-000017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25400</xdr:colOff>
          <xdr:row>17</xdr:row>
          <xdr:rowOff>0</xdr:rowOff>
        </xdr:from>
        <xdr:to>
          <xdr:col>5</xdr:col>
          <xdr:colOff>101600</xdr:colOff>
          <xdr:row>17</xdr:row>
          <xdr:rowOff>222250</xdr:rowOff>
        </xdr:to>
        <xdr:sp macro="" textlink="">
          <xdr:nvSpPr>
            <xdr:cNvPr id="31768" name="Check Box 24" hidden="1">
              <a:extLst>
                <a:ext uri="{63B3BB69-23CF-44E3-9099-C40C66FF867C}">
                  <a14:compatExt spid="_x0000_s31768"/>
                </a:ext>
                <a:ext uri="{FF2B5EF4-FFF2-40B4-BE49-F238E27FC236}">
                  <a16:creationId xmlns:a16="http://schemas.microsoft.com/office/drawing/2014/main" id="{00000000-0008-0000-1E00-000018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25400</xdr:colOff>
          <xdr:row>18</xdr:row>
          <xdr:rowOff>0</xdr:rowOff>
        </xdr:from>
        <xdr:to>
          <xdr:col>5</xdr:col>
          <xdr:colOff>101600</xdr:colOff>
          <xdr:row>18</xdr:row>
          <xdr:rowOff>222250</xdr:rowOff>
        </xdr:to>
        <xdr:sp macro="" textlink="">
          <xdr:nvSpPr>
            <xdr:cNvPr id="31769" name="Check Box 25" hidden="1">
              <a:extLst>
                <a:ext uri="{63B3BB69-23CF-44E3-9099-C40C66FF867C}">
                  <a14:compatExt spid="_x0000_s31769"/>
                </a:ext>
                <a:ext uri="{FF2B5EF4-FFF2-40B4-BE49-F238E27FC236}">
                  <a16:creationId xmlns:a16="http://schemas.microsoft.com/office/drawing/2014/main" id="{00000000-0008-0000-1E00-000019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25400</xdr:colOff>
          <xdr:row>19</xdr:row>
          <xdr:rowOff>0</xdr:rowOff>
        </xdr:from>
        <xdr:to>
          <xdr:col>5</xdr:col>
          <xdr:colOff>101600</xdr:colOff>
          <xdr:row>19</xdr:row>
          <xdr:rowOff>222250</xdr:rowOff>
        </xdr:to>
        <xdr:sp macro="" textlink="">
          <xdr:nvSpPr>
            <xdr:cNvPr id="31770" name="Check Box 26" hidden="1">
              <a:extLst>
                <a:ext uri="{63B3BB69-23CF-44E3-9099-C40C66FF867C}">
                  <a14:compatExt spid="_x0000_s31770"/>
                </a:ext>
                <a:ext uri="{FF2B5EF4-FFF2-40B4-BE49-F238E27FC236}">
                  <a16:creationId xmlns:a16="http://schemas.microsoft.com/office/drawing/2014/main" id="{00000000-0008-0000-1E00-00001A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25400</xdr:colOff>
          <xdr:row>20</xdr:row>
          <xdr:rowOff>6350</xdr:rowOff>
        </xdr:from>
        <xdr:to>
          <xdr:col>5</xdr:col>
          <xdr:colOff>101600</xdr:colOff>
          <xdr:row>20</xdr:row>
          <xdr:rowOff>228600</xdr:rowOff>
        </xdr:to>
        <xdr:sp macro="" textlink="">
          <xdr:nvSpPr>
            <xdr:cNvPr id="31771" name="Check Box 27" hidden="1">
              <a:extLst>
                <a:ext uri="{63B3BB69-23CF-44E3-9099-C40C66FF867C}">
                  <a14:compatExt spid="_x0000_s31771"/>
                </a:ext>
                <a:ext uri="{FF2B5EF4-FFF2-40B4-BE49-F238E27FC236}">
                  <a16:creationId xmlns:a16="http://schemas.microsoft.com/office/drawing/2014/main" id="{00000000-0008-0000-1E00-00001B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25400</xdr:colOff>
          <xdr:row>22</xdr:row>
          <xdr:rowOff>0</xdr:rowOff>
        </xdr:from>
        <xdr:to>
          <xdr:col>5</xdr:col>
          <xdr:colOff>101600</xdr:colOff>
          <xdr:row>22</xdr:row>
          <xdr:rowOff>222250</xdr:rowOff>
        </xdr:to>
        <xdr:sp macro="" textlink="">
          <xdr:nvSpPr>
            <xdr:cNvPr id="31772" name="Check Box 28" hidden="1">
              <a:extLst>
                <a:ext uri="{63B3BB69-23CF-44E3-9099-C40C66FF867C}">
                  <a14:compatExt spid="_x0000_s31772"/>
                </a:ext>
                <a:ext uri="{FF2B5EF4-FFF2-40B4-BE49-F238E27FC236}">
                  <a16:creationId xmlns:a16="http://schemas.microsoft.com/office/drawing/2014/main" id="{00000000-0008-0000-1E00-00001C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25400</xdr:colOff>
          <xdr:row>23</xdr:row>
          <xdr:rowOff>0</xdr:rowOff>
        </xdr:from>
        <xdr:to>
          <xdr:col>5</xdr:col>
          <xdr:colOff>101600</xdr:colOff>
          <xdr:row>23</xdr:row>
          <xdr:rowOff>222250</xdr:rowOff>
        </xdr:to>
        <xdr:sp macro="" textlink="">
          <xdr:nvSpPr>
            <xdr:cNvPr id="31773" name="Check Box 29" hidden="1">
              <a:extLst>
                <a:ext uri="{63B3BB69-23CF-44E3-9099-C40C66FF867C}">
                  <a14:compatExt spid="_x0000_s31773"/>
                </a:ext>
                <a:ext uri="{FF2B5EF4-FFF2-40B4-BE49-F238E27FC236}">
                  <a16:creationId xmlns:a16="http://schemas.microsoft.com/office/drawing/2014/main" id="{00000000-0008-0000-1E00-00001D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25400</xdr:colOff>
          <xdr:row>24</xdr:row>
          <xdr:rowOff>0</xdr:rowOff>
        </xdr:from>
        <xdr:to>
          <xdr:col>5</xdr:col>
          <xdr:colOff>101600</xdr:colOff>
          <xdr:row>24</xdr:row>
          <xdr:rowOff>222250</xdr:rowOff>
        </xdr:to>
        <xdr:sp macro="" textlink="">
          <xdr:nvSpPr>
            <xdr:cNvPr id="31774" name="Check Box 30" hidden="1">
              <a:extLst>
                <a:ext uri="{63B3BB69-23CF-44E3-9099-C40C66FF867C}">
                  <a14:compatExt spid="_x0000_s31774"/>
                </a:ext>
                <a:ext uri="{FF2B5EF4-FFF2-40B4-BE49-F238E27FC236}">
                  <a16:creationId xmlns:a16="http://schemas.microsoft.com/office/drawing/2014/main" id="{00000000-0008-0000-1E00-00001E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25400</xdr:colOff>
          <xdr:row>25</xdr:row>
          <xdr:rowOff>0</xdr:rowOff>
        </xdr:from>
        <xdr:to>
          <xdr:col>5</xdr:col>
          <xdr:colOff>101600</xdr:colOff>
          <xdr:row>25</xdr:row>
          <xdr:rowOff>222250</xdr:rowOff>
        </xdr:to>
        <xdr:sp macro="" textlink="">
          <xdr:nvSpPr>
            <xdr:cNvPr id="31775" name="Check Box 31" hidden="1">
              <a:extLst>
                <a:ext uri="{63B3BB69-23CF-44E3-9099-C40C66FF867C}">
                  <a14:compatExt spid="_x0000_s31775"/>
                </a:ext>
                <a:ext uri="{FF2B5EF4-FFF2-40B4-BE49-F238E27FC236}">
                  <a16:creationId xmlns:a16="http://schemas.microsoft.com/office/drawing/2014/main" id="{00000000-0008-0000-1E00-00001F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xdr:col>
          <xdr:colOff>25400</xdr:colOff>
          <xdr:row>6</xdr:row>
          <xdr:rowOff>0</xdr:rowOff>
        </xdr:from>
        <xdr:to>
          <xdr:col>39</xdr:col>
          <xdr:colOff>101600</xdr:colOff>
          <xdr:row>6</xdr:row>
          <xdr:rowOff>222250</xdr:rowOff>
        </xdr:to>
        <xdr:sp macro="" textlink="">
          <xdr:nvSpPr>
            <xdr:cNvPr id="31776" name="Check Box 32" hidden="1">
              <a:extLst>
                <a:ext uri="{63B3BB69-23CF-44E3-9099-C40C66FF867C}">
                  <a14:compatExt spid="_x0000_s31776"/>
                </a:ext>
                <a:ext uri="{FF2B5EF4-FFF2-40B4-BE49-F238E27FC236}">
                  <a16:creationId xmlns:a16="http://schemas.microsoft.com/office/drawing/2014/main" id="{00000000-0008-0000-1E00-000020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42</xdr:col>
          <xdr:colOff>25400</xdr:colOff>
          <xdr:row>6</xdr:row>
          <xdr:rowOff>0</xdr:rowOff>
        </xdr:from>
        <xdr:to>
          <xdr:col>43</xdr:col>
          <xdr:colOff>101600</xdr:colOff>
          <xdr:row>6</xdr:row>
          <xdr:rowOff>222250</xdr:rowOff>
        </xdr:to>
        <xdr:sp macro="" textlink="">
          <xdr:nvSpPr>
            <xdr:cNvPr id="31777" name="Check Box 33" hidden="1">
              <a:extLst>
                <a:ext uri="{63B3BB69-23CF-44E3-9099-C40C66FF867C}">
                  <a14:compatExt spid="_x0000_s31777"/>
                </a:ext>
                <a:ext uri="{FF2B5EF4-FFF2-40B4-BE49-F238E27FC236}">
                  <a16:creationId xmlns:a16="http://schemas.microsoft.com/office/drawing/2014/main" id="{00000000-0008-0000-1E00-000021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xdr:col>
          <xdr:colOff>25400</xdr:colOff>
          <xdr:row>8</xdr:row>
          <xdr:rowOff>0</xdr:rowOff>
        </xdr:from>
        <xdr:to>
          <xdr:col>39</xdr:col>
          <xdr:colOff>101600</xdr:colOff>
          <xdr:row>8</xdr:row>
          <xdr:rowOff>222250</xdr:rowOff>
        </xdr:to>
        <xdr:sp macro="" textlink="">
          <xdr:nvSpPr>
            <xdr:cNvPr id="31778" name="Check Box 34" hidden="1">
              <a:extLst>
                <a:ext uri="{63B3BB69-23CF-44E3-9099-C40C66FF867C}">
                  <a14:compatExt spid="_x0000_s31778"/>
                </a:ext>
                <a:ext uri="{FF2B5EF4-FFF2-40B4-BE49-F238E27FC236}">
                  <a16:creationId xmlns:a16="http://schemas.microsoft.com/office/drawing/2014/main" id="{00000000-0008-0000-1E00-000022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42</xdr:col>
          <xdr:colOff>25400</xdr:colOff>
          <xdr:row>8</xdr:row>
          <xdr:rowOff>0</xdr:rowOff>
        </xdr:from>
        <xdr:to>
          <xdr:col>43</xdr:col>
          <xdr:colOff>101600</xdr:colOff>
          <xdr:row>8</xdr:row>
          <xdr:rowOff>222250</xdr:rowOff>
        </xdr:to>
        <xdr:sp macro="" textlink="">
          <xdr:nvSpPr>
            <xdr:cNvPr id="31779" name="Check Box 35" hidden="1">
              <a:extLst>
                <a:ext uri="{63B3BB69-23CF-44E3-9099-C40C66FF867C}">
                  <a14:compatExt spid="_x0000_s31779"/>
                </a:ext>
                <a:ext uri="{FF2B5EF4-FFF2-40B4-BE49-F238E27FC236}">
                  <a16:creationId xmlns:a16="http://schemas.microsoft.com/office/drawing/2014/main" id="{00000000-0008-0000-1E00-000023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xdr:col>
          <xdr:colOff>25400</xdr:colOff>
          <xdr:row>12</xdr:row>
          <xdr:rowOff>0</xdr:rowOff>
        </xdr:from>
        <xdr:to>
          <xdr:col>39</xdr:col>
          <xdr:colOff>101600</xdr:colOff>
          <xdr:row>12</xdr:row>
          <xdr:rowOff>222250</xdr:rowOff>
        </xdr:to>
        <xdr:sp macro="" textlink="">
          <xdr:nvSpPr>
            <xdr:cNvPr id="31780" name="Check Box 36" hidden="1">
              <a:extLst>
                <a:ext uri="{63B3BB69-23CF-44E3-9099-C40C66FF867C}">
                  <a14:compatExt spid="_x0000_s31780"/>
                </a:ext>
                <a:ext uri="{FF2B5EF4-FFF2-40B4-BE49-F238E27FC236}">
                  <a16:creationId xmlns:a16="http://schemas.microsoft.com/office/drawing/2014/main" id="{00000000-0008-0000-1E00-000024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42</xdr:col>
          <xdr:colOff>25400</xdr:colOff>
          <xdr:row>12</xdr:row>
          <xdr:rowOff>0</xdr:rowOff>
        </xdr:from>
        <xdr:to>
          <xdr:col>43</xdr:col>
          <xdr:colOff>101600</xdr:colOff>
          <xdr:row>12</xdr:row>
          <xdr:rowOff>222250</xdr:rowOff>
        </xdr:to>
        <xdr:sp macro="" textlink="">
          <xdr:nvSpPr>
            <xdr:cNvPr id="31781" name="Check Box 37" hidden="1">
              <a:extLst>
                <a:ext uri="{63B3BB69-23CF-44E3-9099-C40C66FF867C}">
                  <a14:compatExt spid="_x0000_s31781"/>
                </a:ext>
                <a:ext uri="{FF2B5EF4-FFF2-40B4-BE49-F238E27FC236}">
                  <a16:creationId xmlns:a16="http://schemas.microsoft.com/office/drawing/2014/main" id="{00000000-0008-0000-1E00-000025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xdr:col>
          <xdr:colOff>25400</xdr:colOff>
          <xdr:row>14</xdr:row>
          <xdr:rowOff>0</xdr:rowOff>
        </xdr:from>
        <xdr:to>
          <xdr:col>39</xdr:col>
          <xdr:colOff>101600</xdr:colOff>
          <xdr:row>14</xdr:row>
          <xdr:rowOff>222250</xdr:rowOff>
        </xdr:to>
        <xdr:sp macro="" textlink="">
          <xdr:nvSpPr>
            <xdr:cNvPr id="31782" name="Check Box 38" hidden="1">
              <a:extLst>
                <a:ext uri="{63B3BB69-23CF-44E3-9099-C40C66FF867C}">
                  <a14:compatExt spid="_x0000_s31782"/>
                </a:ext>
                <a:ext uri="{FF2B5EF4-FFF2-40B4-BE49-F238E27FC236}">
                  <a16:creationId xmlns:a16="http://schemas.microsoft.com/office/drawing/2014/main" id="{00000000-0008-0000-1E00-000026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42</xdr:col>
          <xdr:colOff>25400</xdr:colOff>
          <xdr:row>14</xdr:row>
          <xdr:rowOff>0</xdr:rowOff>
        </xdr:from>
        <xdr:to>
          <xdr:col>43</xdr:col>
          <xdr:colOff>101600</xdr:colOff>
          <xdr:row>14</xdr:row>
          <xdr:rowOff>222250</xdr:rowOff>
        </xdr:to>
        <xdr:sp macro="" textlink="">
          <xdr:nvSpPr>
            <xdr:cNvPr id="31783" name="Check Box 39" hidden="1">
              <a:extLst>
                <a:ext uri="{63B3BB69-23CF-44E3-9099-C40C66FF867C}">
                  <a14:compatExt spid="_x0000_s31783"/>
                </a:ext>
                <a:ext uri="{FF2B5EF4-FFF2-40B4-BE49-F238E27FC236}">
                  <a16:creationId xmlns:a16="http://schemas.microsoft.com/office/drawing/2014/main" id="{00000000-0008-0000-1E00-000027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xdr:col>
          <xdr:colOff>25400</xdr:colOff>
          <xdr:row>17</xdr:row>
          <xdr:rowOff>0</xdr:rowOff>
        </xdr:from>
        <xdr:to>
          <xdr:col>39</xdr:col>
          <xdr:colOff>101600</xdr:colOff>
          <xdr:row>17</xdr:row>
          <xdr:rowOff>222250</xdr:rowOff>
        </xdr:to>
        <xdr:sp macro="" textlink="">
          <xdr:nvSpPr>
            <xdr:cNvPr id="31784" name="Check Box 40" hidden="1">
              <a:extLst>
                <a:ext uri="{63B3BB69-23CF-44E3-9099-C40C66FF867C}">
                  <a14:compatExt spid="_x0000_s31784"/>
                </a:ext>
                <a:ext uri="{FF2B5EF4-FFF2-40B4-BE49-F238E27FC236}">
                  <a16:creationId xmlns:a16="http://schemas.microsoft.com/office/drawing/2014/main" id="{00000000-0008-0000-1E00-000028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xdr:col>
          <xdr:colOff>25400</xdr:colOff>
          <xdr:row>18</xdr:row>
          <xdr:rowOff>0</xdr:rowOff>
        </xdr:from>
        <xdr:to>
          <xdr:col>39</xdr:col>
          <xdr:colOff>101600</xdr:colOff>
          <xdr:row>18</xdr:row>
          <xdr:rowOff>222250</xdr:rowOff>
        </xdr:to>
        <xdr:sp macro="" textlink="">
          <xdr:nvSpPr>
            <xdr:cNvPr id="31785" name="Check Box 41" hidden="1">
              <a:extLst>
                <a:ext uri="{63B3BB69-23CF-44E3-9099-C40C66FF867C}">
                  <a14:compatExt spid="_x0000_s31785"/>
                </a:ext>
                <a:ext uri="{FF2B5EF4-FFF2-40B4-BE49-F238E27FC236}">
                  <a16:creationId xmlns:a16="http://schemas.microsoft.com/office/drawing/2014/main" id="{00000000-0008-0000-1E00-000029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xdr:col>
          <xdr:colOff>25400</xdr:colOff>
          <xdr:row>19</xdr:row>
          <xdr:rowOff>0</xdr:rowOff>
        </xdr:from>
        <xdr:to>
          <xdr:col>39</xdr:col>
          <xdr:colOff>101600</xdr:colOff>
          <xdr:row>19</xdr:row>
          <xdr:rowOff>222250</xdr:rowOff>
        </xdr:to>
        <xdr:sp macro="" textlink="">
          <xdr:nvSpPr>
            <xdr:cNvPr id="31786" name="Check Box 42" hidden="1">
              <a:extLst>
                <a:ext uri="{63B3BB69-23CF-44E3-9099-C40C66FF867C}">
                  <a14:compatExt spid="_x0000_s31786"/>
                </a:ext>
                <a:ext uri="{FF2B5EF4-FFF2-40B4-BE49-F238E27FC236}">
                  <a16:creationId xmlns:a16="http://schemas.microsoft.com/office/drawing/2014/main" id="{00000000-0008-0000-1E00-00002A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xdr:col>
          <xdr:colOff>25400</xdr:colOff>
          <xdr:row>20</xdr:row>
          <xdr:rowOff>0</xdr:rowOff>
        </xdr:from>
        <xdr:to>
          <xdr:col>39</xdr:col>
          <xdr:colOff>101600</xdr:colOff>
          <xdr:row>20</xdr:row>
          <xdr:rowOff>222250</xdr:rowOff>
        </xdr:to>
        <xdr:sp macro="" textlink="">
          <xdr:nvSpPr>
            <xdr:cNvPr id="31787" name="Check Box 43" hidden="1">
              <a:extLst>
                <a:ext uri="{63B3BB69-23CF-44E3-9099-C40C66FF867C}">
                  <a14:compatExt spid="_x0000_s31787"/>
                </a:ext>
                <a:ext uri="{FF2B5EF4-FFF2-40B4-BE49-F238E27FC236}">
                  <a16:creationId xmlns:a16="http://schemas.microsoft.com/office/drawing/2014/main" id="{00000000-0008-0000-1E00-00002B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xdr:col>
          <xdr:colOff>25400</xdr:colOff>
          <xdr:row>24</xdr:row>
          <xdr:rowOff>0</xdr:rowOff>
        </xdr:from>
        <xdr:to>
          <xdr:col>39</xdr:col>
          <xdr:colOff>101600</xdr:colOff>
          <xdr:row>24</xdr:row>
          <xdr:rowOff>222250</xdr:rowOff>
        </xdr:to>
        <xdr:sp macro="" textlink="">
          <xdr:nvSpPr>
            <xdr:cNvPr id="31788" name="Check Box 44" hidden="1">
              <a:extLst>
                <a:ext uri="{63B3BB69-23CF-44E3-9099-C40C66FF867C}">
                  <a14:compatExt spid="_x0000_s31788"/>
                </a:ext>
                <a:ext uri="{FF2B5EF4-FFF2-40B4-BE49-F238E27FC236}">
                  <a16:creationId xmlns:a16="http://schemas.microsoft.com/office/drawing/2014/main" id="{00000000-0008-0000-1E00-00002C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xdr:col>
          <xdr:colOff>25400</xdr:colOff>
          <xdr:row>25</xdr:row>
          <xdr:rowOff>0</xdr:rowOff>
        </xdr:from>
        <xdr:to>
          <xdr:col>39</xdr:col>
          <xdr:colOff>101600</xdr:colOff>
          <xdr:row>25</xdr:row>
          <xdr:rowOff>222250</xdr:rowOff>
        </xdr:to>
        <xdr:sp macro="" textlink="">
          <xdr:nvSpPr>
            <xdr:cNvPr id="31789" name="Check Box 45" hidden="1">
              <a:extLst>
                <a:ext uri="{63B3BB69-23CF-44E3-9099-C40C66FF867C}">
                  <a14:compatExt spid="_x0000_s31789"/>
                </a:ext>
                <a:ext uri="{FF2B5EF4-FFF2-40B4-BE49-F238E27FC236}">
                  <a16:creationId xmlns:a16="http://schemas.microsoft.com/office/drawing/2014/main" id="{00000000-0008-0000-1E00-00002D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30</xdr:row>
          <xdr:rowOff>12700</xdr:rowOff>
        </xdr:from>
        <xdr:to>
          <xdr:col>4</xdr:col>
          <xdr:colOff>196850</xdr:colOff>
          <xdr:row>30</xdr:row>
          <xdr:rowOff>234950</xdr:rowOff>
        </xdr:to>
        <xdr:sp macro="" textlink="">
          <xdr:nvSpPr>
            <xdr:cNvPr id="32769" name="Check Box 1" hidden="1">
              <a:extLst>
                <a:ext uri="{63B3BB69-23CF-44E3-9099-C40C66FF867C}">
                  <a14:compatExt spid="_x0000_s32769"/>
                </a:ext>
                <a:ext uri="{FF2B5EF4-FFF2-40B4-BE49-F238E27FC236}">
                  <a16:creationId xmlns:a16="http://schemas.microsoft.com/office/drawing/2014/main" id="{00000000-0008-0000-1F00-000001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31</xdr:row>
          <xdr:rowOff>12700</xdr:rowOff>
        </xdr:from>
        <xdr:to>
          <xdr:col>4</xdr:col>
          <xdr:colOff>196850</xdr:colOff>
          <xdr:row>31</xdr:row>
          <xdr:rowOff>234950</xdr:rowOff>
        </xdr:to>
        <xdr:sp macro="" textlink="">
          <xdr:nvSpPr>
            <xdr:cNvPr id="32770" name="Check Box 2" hidden="1">
              <a:extLst>
                <a:ext uri="{63B3BB69-23CF-44E3-9099-C40C66FF867C}">
                  <a14:compatExt spid="_x0000_s32770"/>
                </a:ext>
                <a:ext uri="{FF2B5EF4-FFF2-40B4-BE49-F238E27FC236}">
                  <a16:creationId xmlns:a16="http://schemas.microsoft.com/office/drawing/2014/main" id="{00000000-0008-0000-1F00-000002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32</xdr:row>
          <xdr:rowOff>12700</xdr:rowOff>
        </xdr:from>
        <xdr:to>
          <xdr:col>4</xdr:col>
          <xdr:colOff>196850</xdr:colOff>
          <xdr:row>32</xdr:row>
          <xdr:rowOff>234950</xdr:rowOff>
        </xdr:to>
        <xdr:sp macro="" textlink="">
          <xdr:nvSpPr>
            <xdr:cNvPr id="32771" name="Check Box 3" hidden="1">
              <a:extLst>
                <a:ext uri="{63B3BB69-23CF-44E3-9099-C40C66FF867C}">
                  <a14:compatExt spid="_x0000_s32771"/>
                </a:ext>
                <a:ext uri="{FF2B5EF4-FFF2-40B4-BE49-F238E27FC236}">
                  <a16:creationId xmlns:a16="http://schemas.microsoft.com/office/drawing/2014/main" id="{00000000-0008-0000-1F00-000003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30</xdr:row>
          <xdr:rowOff>12700</xdr:rowOff>
        </xdr:from>
        <xdr:to>
          <xdr:col>13</xdr:col>
          <xdr:colOff>196850</xdr:colOff>
          <xdr:row>30</xdr:row>
          <xdr:rowOff>234950</xdr:rowOff>
        </xdr:to>
        <xdr:sp macro="" textlink="">
          <xdr:nvSpPr>
            <xdr:cNvPr id="32772" name="Check Box 4" hidden="1">
              <a:extLst>
                <a:ext uri="{63B3BB69-23CF-44E3-9099-C40C66FF867C}">
                  <a14:compatExt spid="_x0000_s32772"/>
                </a:ext>
                <a:ext uri="{FF2B5EF4-FFF2-40B4-BE49-F238E27FC236}">
                  <a16:creationId xmlns:a16="http://schemas.microsoft.com/office/drawing/2014/main" id="{00000000-0008-0000-1F00-000004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31</xdr:row>
          <xdr:rowOff>12700</xdr:rowOff>
        </xdr:from>
        <xdr:to>
          <xdr:col>13</xdr:col>
          <xdr:colOff>196850</xdr:colOff>
          <xdr:row>31</xdr:row>
          <xdr:rowOff>234950</xdr:rowOff>
        </xdr:to>
        <xdr:sp macro="" textlink="">
          <xdr:nvSpPr>
            <xdr:cNvPr id="32773" name="Check Box 5" hidden="1">
              <a:extLst>
                <a:ext uri="{63B3BB69-23CF-44E3-9099-C40C66FF867C}">
                  <a14:compatExt spid="_x0000_s32773"/>
                </a:ext>
                <a:ext uri="{FF2B5EF4-FFF2-40B4-BE49-F238E27FC236}">
                  <a16:creationId xmlns:a16="http://schemas.microsoft.com/office/drawing/2014/main" id="{00000000-0008-0000-1F00-000005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32</xdr:row>
          <xdr:rowOff>12700</xdr:rowOff>
        </xdr:from>
        <xdr:to>
          <xdr:col>13</xdr:col>
          <xdr:colOff>196850</xdr:colOff>
          <xdr:row>32</xdr:row>
          <xdr:rowOff>234950</xdr:rowOff>
        </xdr:to>
        <xdr:sp macro="" textlink="">
          <xdr:nvSpPr>
            <xdr:cNvPr id="32774" name="Check Box 6" hidden="1">
              <a:extLst>
                <a:ext uri="{63B3BB69-23CF-44E3-9099-C40C66FF867C}">
                  <a14:compatExt spid="_x0000_s32774"/>
                </a:ext>
                <a:ext uri="{FF2B5EF4-FFF2-40B4-BE49-F238E27FC236}">
                  <a16:creationId xmlns:a16="http://schemas.microsoft.com/office/drawing/2014/main" id="{00000000-0008-0000-1F00-000006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30</xdr:row>
          <xdr:rowOff>12700</xdr:rowOff>
        </xdr:from>
        <xdr:to>
          <xdr:col>23</xdr:col>
          <xdr:colOff>196850</xdr:colOff>
          <xdr:row>30</xdr:row>
          <xdr:rowOff>234950</xdr:rowOff>
        </xdr:to>
        <xdr:sp macro="" textlink="">
          <xdr:nvSpPr>
            <xdr:cNvPr id="32775" name="Check Box 7" hidden="1">
              <a:extLst>
                <a:ext uri="{63B3BB69-23CF-44E3-9099-C40C66FF867C}">
                  <a14:compatExt spid="_x0000_s32775"/>
                </a:ext>
                <a:ext uri="{FF2B5EF4-FFF2-40B4-BE49-F238E27FC236}">
                  <a16:creationId xmlns:a16="http://schemas.microsoft.com/office/drawing/2014/main" id="{00000000-0008-0000-1F00-000007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31</xdr:row>
          <xdr:rowOff>12700</xdr:rowOff>
        </xdr:from>
        <xdr:to>
          <xdr:col>23</xdr:col>
          <xdr:colOff>196850</xdr:colOff>
          <xdr:row>31</xdr:row>
          <xdr:rowOff>234950</xdr:rowOff>
        </xdr:to>
        <xdr:sp macro="" textlink="">
          <xdr:nvSpPr>
            <xdr:cNvPr id="32776" name="Check Box 8" hidden="1">
              <a:extLst>
                <a:ext uri="{63B3BB69-23CF-44E3-9099-C40C66FF867C}">
                  <a14:compatExt spid="_x0000_s32776"/>
                </a:ext>
                <a:ext uri="{FF2B5EF4-FFF2-40B4-BE49-F238E27FC236}">
                  <a16:creationId xmlns:a16="http://schemas.microsoft.com/office/drawing/2014/main" id="{00000000-0008-0000-1F00-000008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23</xdr:col>
          <xdr:colOff>266700</xdr:colOff>
          <xdr:row>18</xdr:row>
          <xdr:rowOff>0</xdr:rowOff>
        </xdr:from>
        <xdr:to>
          <xdr:col>24</xdr:col>
          <xdr:colOff>196850</xdr:colOff>
          <xdr:row>18</xdr:row>
          <xdr:rowOff>222250</xdr:rowOff>
        </xdr:to>
        <xdr:sp macro="" textlink="">
          <xdr:nvSpPr>
            <xdr:cNvPr id="61441" name="Check Box 1" hidden="1">
              <a:extLst>
                <a:ext uri="{63B3BB69-23CF-44E3-9099-C40C66FF867C}">
                  <a14:compatExt spid="_x0000_s61441"/>
                </a:ext>
                <a:ext uri="{FF2B5EF4-FFF2-40B4-BE49-F238E27FC236}">
                  <a16:creationId xmlns:a16="http://schemas.microsoft.com/office/drawing/2014/main" id="{00000000-0008-0000-2100-000001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0</xdr:colOff>
          <xdr:row>20</xdr:row>
          <xdr:rowOff>0</xdr:rowOff>
        </xdr:from>
        <xdr:to>
          <xdr:col>24</xdr:col>
          <xdr:colOff>203200</xdr:colOff>
          <xdr:row>20</xdr:row>
          <xdr:rowOff>222250</xdr:rowOff>
        </xdr:to>
        <xdr:sp macro="" textlink="">
          <xdr:nvSpPr>
            <xdr:cNvPr id="61442" name="Check Box 2" hidden="1">
              <a:extLst>
                <a:ext uri="{63B3BB69-23CF-44E3-9099-C40C66FF867C}">
                  <a14:compatExt spid="_x0000_s61442"/>
                </a:ext>
                <a:ext uri="{FF2B5EF4-FFF2-40B4-BE49-F238E27FC236}">
                  <a16:creationId xmlns:a16="http://schemas.microsoft.com/office/drawing/2014/main" id="{00000000-0008-0000-2100-000002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266700</xdr:colOff>
          <xdr:row>18</xdr:row>
          <xdr:rowOff>0</xdr:rowOff>
        </xdr:from>
        <xdr:to>
          <xdr:col>29</xdr:col>
          <xdr:colOff>196850</xdr:colOff>
          <xdr:row>18</xdr:row>
          <xdr:rowOff>222250</xdr:rowOff>
        </xdr:to>
        <xdr:sp macro="" textlink="">
          <xdr:nvSpPr>
            <xdr:cNvPr id="61443" name="Check Box 3" hidden="1">
              <a:extLst>
                <a:ext uri="{63B3BB69-23CF-44E3-9099-C40C66FF867C}">
                  <a14:compatExt spid="_x0000_s61443"/>
                </a:ext>
                <a:ext uri="{FF2B5EF4-FFF2-40B4-BE49-F238E27FC236}">
                  <a16:creationId xmlns:a16="http://schemas.microsoft.com/office/drawing/2014/main" id="{00000000-0008-0000-2100-000003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266700</xdr:colOff>
          <xdr:row>20</xdr:row>
          <xdr:rowOff>0</xdr:rowOff>
        </xdr:from>
        <xdr:to>
          <xdr:col>29</xdr:col>
          <xdr:colOff>196850</xdr:colOff>
          <xdr:row>20</xdr:row>
          <xdr:rowOff>222250</xdr:rowOff>
        </xdr:to>
        <xdr:sp macro="" textlink="">
          <xdr:nvSpPr>
            <xdr:cNvPr id="61444" name="Check Box 4" hidden="1">
              <a:extLst>
                <a:ext uri="{63B3BB69-23CF-44E3-9099-C40C66FF867C}">
                  <a14:compatExt spid="_x0000_s61444"/>
                </a:ext>
                <a:ext uri="{FF2B5EF4-FFF2-40B4-BE49-F238E27FC236}">
                  <a16:creationId xmlns:a16="http://schemas.microsoft.com/office/drawing/2014/main" id="{00000000-0008-0000-2100-000004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266700</xdr:colOff>
          <xdr:row>32</xdr:row>
          <xdr:rowOff>0</xdr:rowOff>
        </xdr:from>
        <xdr:to>
          <xdr:col>10</xdr:col>
          <xdr:colOff>196850</xdr:colOff>
          <xdr:row>33</xdr:row>
          <xdr:rowOff>25400</xdr:rowOff>
        </xdr:to>
        <xdr:sp macro="" textlink="">
          <xdr:nvSpPr>
            <xdr:cNvPr id="61445" name="Check Box 5" hidden="1">
              <a:extLst>
                <a:ext uri="{63B3BB69-23CF-44E3-9099-C40C66FF867C}">
                  <a14:compatExt spid="_x0000_s61445"/>
                </a:ext>
                <a:ext uri="{FF2B5EF4-FFF2-40B4-BE49-F238E27FC236}">
                  <a16:creationId xmlns:a16="http://schemas.microsoft.com/office/drawing/2014/main" id="{00000000-0008-0000-2100-000005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266700</xdr:colOff>
          <xdr:row>33</xdr:row>
          <xdr:rowOff>0</xdr:rowOff>
        </xdr:from>
        <xdr:to>
          <xdr:col>10</xdr:col>
          <xdr:colOff>196850</xdr:colOff>
          <xdr:row>33</xdr:row>
          <xdr:rowOff>222250</xdr:rowOff>
        </xdr:to>
        <xdr:sp macro="" textlink="">
          <xdr:nvSpPr>
            <xdr:cNvPr id="61446" name="Check Box 6" hidden="1">
              <a:extLst>
                <a:ext uri="{63B3BB69-23CF-44E3-9099-C40C66FF867C}">
                  <a14:compatExt spid="_x0000_s61446"/>
                </a:ext>
                <a:ext uri="{FF2B5EF4-FFF2-40B4-BE49-F238E27FC236}">
                  <a16:creationId xmlns:a16="http://schemas.microsoft.com/office/drawing/2014/main" id="{00000000-0008-0000-2100-000006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266700</xdr:colOff>
          <xdr:row>32</xdr:row>
          <xdr:rowOff>0</xdr:rowOff>
        </xdr:from>
        <xdr:to>
          <xdr:col>20</xdr:col>
          <xdr:colOff>196850</xdr:colOff>
          <xdr:row>33</xdr:row>
          <xdr:rowOff>25400</xdr:rowOff>
        </xdr:to>
        <xdr:sp macro="" textlink="">
          <xdr:nvSpPr>
            <xdr:cNvPr id="61447" name="Check Box 7" hidden="1">
              <a:extLst>
                <a:ext uri="{63B3BB69-23CF-44E3-9099-C40C66FF867C}">
                  <a14:compatExt spid="_x0000_s61447"/>
                </a:ext>
                <a:ext uri="{FF2B5EF4-FFF2-40B4-BE49-F238E27FC236}">
                  <a16:creationId xmlns:a16="http://schemas.microsoft.com/office/drawing/2014/main" id="{00000000-0008-0000-2100-000007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266700</xdr:colOff>
          <xdr:row>33</xdr:row>
          <xdr:rowOff>0</xdr:rowOff>
        </xdr:from>
        <xdr:to>
          <xdr:col>20</xdr:col>
          <xdr:colOff>196850</xdr:colOff>
          <xdr:row>33</xdr:row>
          <xdr:rowOff>222250</xdr:rowOff>
        </xdr:to>
        <xdr:sp macro="" textlink="">
          <xdr:nvSpPr>
            <xdr:cNvPr id="61448" name="Check Box 8" hidden="1">
              <a:extLst>
                <a:ext uri="{63B3BB69-23CF-44E3-9099-C40C66FF867C}">
                  <a14:compatExt spid="_x0000_s61448"/>
                </a:ext>
                <a:ext uri="{FF2B5EF4-FFF2-40B4-BE49-F238E27FC236}">
                  <a16:creationId xmlns:a16="http://schemas.microsoft.com/office/drawing/2014/main" id="{00000000-0008-0000-2100-000008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266700</xdr:colOff>
          <xdr:row>32</xdr:row>
          <xdr:rowOff>0</xdr:rowOff>
        </xdr:from>
        <xdr:to>
          <xdr:col>29</xdr:col>
          <xdr:colOff>196850</xdr:colOff>
          <xdr:row>33</xdr:row>
          <xdr:rowOff>25400</xdr:rowOff>
        </xdr:to>
        <xdr:sp macro="" textlink="">
          <xdr:nvSpPr>
            <xdr:cNvPr id="61449" name="Check Box 9" hidden="1">
              <a:extLst>
                <a:ext uri="{63B3BB69-23CF-44E3-9099-C40C66FF867C}">
                  <a14:compatExt spid="_x0000_s61449"/>
                </a:ext>
                <a:ext uri="{FF2B5EF4-FFF2-40B4-BE49-F238E27FC236}">
                  <a16:creationId xmlns:a16="http://schemas.microsoft.com/office/drawing/2014/main" id="{00000000-0008-0000-2100-000009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28</xdr:col>
          <xdr:colOff>260350</xdr:colOff>
          <xdr:row>4</xdr:row>
          <xdr:rowOff>12700</xdr:rowOff>
        </xdr:from>
        <xdr:to>
          <xdr:col>29</xdr:col>
          <xdr:colOff>203200</xdr:colOff>
          <xdr:row>4</xdr:row>
          <xdr:rowOff>234950</xdr:rowOff>
        </xdr:to>
        <xdr:sp macro="" textlink="">
          <xdr:nvSpPr>
            <xdr:cNvPr id="62465" name="Check Box 1" hidden="1">
              <a:extLst>
                <a:ext uri="{63B3BB69-23CF-44E3-9099-C40C66FF867C}">
                  <a14:compatExt spid="_x0000_s62465"/>
                </a:ext>
                <a:ext uri="{FF2B5EF4-FFF2-40B4-BE49-F238E27FC236}">
                  <a16:creationId xmlns:a16="http://schemas.microsoft.com/office/drawing/2014/main" id="{00000000-0008-0000-2200-000001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260350</xdr:colOff>
          <xdr:row>4</xdr:row>
          <xdr:rowOff>12700</xdr:rowOff>
        </xdr:from>
        <xdr:to>
          <xdr:col>33</xdr:col>
          <xdr:colOff>203200</xdr:colOff>
          <xdr:row>4</xdr:row>
          <xdr:rowOff>234950</xdr:rowOff>
        </xdr:to>
        <xdr:sp macro="" textlink="">
          <xdr:nvSpPr>
            <xdr:cNvPr id="62466" name="Check Box 2" hidden="1">
              <a:extLst>
                <a:ext uri="{63B3BB69-23CF-44E3-9099-C40C66FF867C}">
                  <a14:compatExt spid="_x0000_s62466"/>
                </a:ext>
                <a:ext uri="{FF2B5EF4-FFF2-40B4-BE49-F238E27FC236}">
                  <a16:creationId xmlns:a16="http://schemas.microsoft.com/office/drawing/2014/main" id="{00000000-0008-0000-2200-000002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260350</xdr:colOff>
          <xdr:row>7</xdr:row>
          <xdr:rowOff>12700</xdr:rowOff>
        </xdr:from>
        <xdr:to>
          <xdr:col>9</xdr:col>
          <xdr:colOff>203200</xdr:colOff>
          <xdr:row>7</xdr:row>
          <xdr:rowOff>234950</xdr:rowOff>
        </xdr:to>
        <xdr:sp macro="" textlink="">
          <xdr:nvSpPr>
            <xdr:cNvPr id="62467" name="Check Box 3" hidden="1">
              <a:extLst>
                <a:ext uri="{63B3BB69-23CF-44E3-9099-C40C66FF867C}">
                  <a14:compatExt spid="_x0000_s62467"/>
                </a:ext>
                <a:ext uri="{FF2B5EF4-FFF2-40B4-BE49-F238E27FC236}">
                  <a16:creationId xmlns:a16="http://schemas.microsoft.com/office/drawing/2014/main" id="{00000000-0008-0000-2200-000003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260350</xdr:colOff>
          <xdr:row>8</xdr:row>
          <xdr:rowOff>12700</xdr:rowOff>
        </xdr:from>
        <xdr:to>
          <xdr:col>9</xdr:col>
          <xdr:colOff>203200</xdr:colOff>
          <xdr:row>8</xdr:row>
          <xdr:rowOff>234950</xdr:rowOff>
        </xdr:to>
        <xdr:sp macro="" textlink="">
          <xdr:nvSpPr>
            <xdr:cNvPr id="62468" name="Check Box 4" hidden="1">
              <a:extLst>
                <a:ext uri="{63B3BB69-23CF-44E3-9099-C40C66FF867C}">
                  <a14:compatExt spid="_x0000_s62468"/>
                </a:ext>
                <a:ext uri="{FF2B5EF4-FFF2-40B4-BE49-F238E27FC236}">
                  <a16:creationId xmlns:a16="http://schemas.microsoft.com/office/drawing/2014/main" id="{00000000-0008-0000-2200-000004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260350</xdr:colOff>
          <xdr:row>9</xdr:row>
          <xdr:rowOff>12700</xdr:rowOff>
        </xdr:from>
        <xdr:to>
          <xdr:col>9</xdr:col>
          <xdr:colOff>203200</xdr:colOff>
          <xdr:row>9</xdr:row>
          <xdr:rowOff>234950</xdr:rowOff>
        </xdr:to>
        <xdr:sp macro="" textlink="">
          <xdr:nvSpPr>
            <xdr:cNvPr id="62469" name="Check Box 5" hidden="1">
              <a:extLst>
                <a:ext uri="{63B3BB69-23CF-44E3-9099-C40C66FF867C}">
                  <a14:compatExt spid="_x0000_s62469"/>
                </a:ext>
                <a:ext uri="{FF2B5EF4-FFF2-40B4-BE49-F238E27FC236}">
                  <a16:creationId xmlns:a16="http://schemas.microsoft.com/office/drawing/2014/main" id="{00000000-0008-0000-2200-000005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260350</xdr:colOff>
          <xdr:row>7</xdr:row>
          <xdr:rowOff>12700</xdr:rowOff>
        </xdr:from>
        <xdr:to>
          <xdr:col>23</xdr:col>
          <xdr:colOff>203200</xdr:colOff>
          <xdr:row>7</xdr:row>
          <xdr:rowOff>234950</xdr:rowOff>
        </xdr:to>
        <xdr:sp macro="" textlink="">
          <xdr:nvSpPr>
            <xdr:cNvPr id="62470" name="Check Box 6" hidden="1">
              <a:extLst>
                <a:ext uri="{63B3BB69-23CF-44E3-9099-C40C66FF867C}">
                  <a14:compatExt spid="_x0000_s62470"/>
                </a:ext>
                <a:ext uri="{FF2B5EF4-FFF2-40B4-BE49-F238E27FC236}">
                  <a16:creationId xmlns:a16="http://schemas.microsoft.com/office/drawing/2014/main" id="{00000000-0008-0000-2200-000006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260350</xdr:colOff>
          <xdr:row>8</xdr:row>
          <xdr:rowOff>12700</xdr:rowOff>
        </xdr:from>
        <xdr:to>
          <xdr:col>23</xdr:col>
          <xdr:colOff>203200</xdr:colOff>
          <xdr:row>8</xdr:row>
          <xdr:rowOff>234950</xdr:rowOff>
        </xdr:to>
        <xdr:sp macro="" textlink="">
          <xdr:nvSpPr>
            <xdr:cNvPr id="62471" name="Check Box 7" hidden="1">
              <a:extLst>
                <a:ext uri="{63B3BB69-23CF-44E3-9099-C40C66FF867C}">
                  <a14:compatExt spid="_x0000_s62471"/>
                </a:ext>
                <a:ext uri="{FF2B5EF4-FFF2-40B4-BE49-F238E27FC236}">
                  <a16:creationId xmlns:a16="http://schemas.microsoft.com/office/drawing/2014/main" id="{00000000-0008-0000-2200-000007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260350</xdr:colOff>
          <xdr:row>12</xdr:row>
          <xdr:rowOff>12700</xdr:rowOff>
        </xdr:from>
        <xdr:to>
          <xdr:col>9</xdr:col>
          <xdr:colOff>203200</xdr:colOff>
          <xdr:row>12</xdr:row>
          <xdr:rowOff>234950</xdr:rowOff>
        </xdr:to>
        <xdr:sp macro="" textlink="">
          <xdr:nvSpPr>
            <xdr:cNvPr id="62472" name="Check Box 8" hidden="1">
              <a:extLst>
                <a:ext uri="{63B3BB69-23CF-44E3-9099-C40C66FF867C}">
                  <a14:compatExt spid="_x0000_s62472"/>
                </a:ext>
                <a:ext uri="{FF2B5EF4-FFF2-40B4-BE49-F238E27FC236}">
                  <a16:creationId xmlns:a16="http://schemas.microsoft.com/office/drawing/2014/main" id="{00000000-0008-0000-2200-000008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260350</xdr:colOff>
          <xdr:row>13</xdr:row>
          <xdr:rowOff>12700</xdr:rowOff>
        </xdr:from>
        <xdr:to>
          <xdr:col>9</xdr:col>
          <xdr:colOff>203200</xdr:colOff>
          <xdr:row>13</xdr:row>
          <xdr:rowOff>234950</xdr:rowOff>
        </xdr:to>
        <xdr:sp macro="" textlink="">
          <xdr:nvSpPr>
            <xdr:cNvPr id="62473" name="Check Box 9" hidden="1">
              <a:extLst>
                <a:ext uri="{63B3BB69-23CF-44E3-9099-C40C66FF867C}">
                  <a14:compatExt spid="_x0000_s62473"/>
                </a:ext>
                <a:ext uri="{FF2B5EF4-FFF2-40B4-BE49-F238E27FC236}">
                  <a16:creationId xmlns:a16="http://schemas.microsoft.com/office/drawing/2014/main" id="{00000000-0008-0000-2200-000009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260350</xdr:colOff>
          <xdr:row>14</xdr:row>
          <xdr:rowOff>12700</xdr:rowOff>
        </xdr:from>
        <xdr:to>
          <xdr:col>9</xdr:col>
          <xdr:colOff>203200</xdr:colOff>
          <xdr:row>14</xdr:row>
          <xdr:rowOff>234950</xdr:rowOff>
        </xdr:to>
        <xdr:sp macro="" textlink="">
          <xdr:nvSpPr>
            <xdr:cNvPr id="62474" name="Check Box 10" hidden="1">
              <a:extLst>
                <a:ext uri="{63B3BB69-23CF-44E3-9099-C40C66FF867C}">
                  <a14:compatExt spid="_x0000_s62474"/>
                </a:ext>
                <a:ext uri="{FF2B5EF4-FFF2-40B4-BE49-F238E27FC236}">
                  <a16:creationId xmlns:a16="http://schemas.microsoft.com/office/drawing/2014/main" id="{00000000-0008-0000-2200-00000A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260350</xdr:colOff>
          <xdr:row>12</xdr:row>
          <xdr:rowOff>12700</xdr:rowOff>
        </xdr:from>
        <xdr:to>
          <xdr:col>23</xdr:col>
          <xdr:colOff>203200</xdr:colOff>
          <xdr:row>12</xdr:row>
          <xdr:rowOff>234950</xdr:rowOff>
        </xdr:to>
        <xdr:sp macro="" textlink="">
          <xdr:nvSpPr>
            <xdr:cNvPr id="62475" name="Check Box 11" hidden="1">
              <a:extLst>
                <a:ext uri="{63B3BB69-23CF-44E3-9099-C40C66FF867C}">
                  <a14:compatExt spid="_x0000_s62475"/>
                </a:ext>
                <a:ext uri="{FF2B5EF4-FFF2-40B4-BE49-F238E27FC236}">
                  <a16:creationId xmlns:a16="http://schemas.microsoft.com/office/drawing/2014/main" id="{00000000-0008-0000-2200-00000B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260350</xdr:colOff>
          <xdr:row>13</xdr:row>
          <xdr:rowOff>12700</xdr:rowOff>
        </xdr:from>
        <xdr:to>
          <xdr:col>23</xdr:col>
          <xdr:colOff>203200</xdr:colOff>
          <xdr:row>13</xdr:row>
          <xdr:rowOff>234950</xdr:rowOff>
        </xdr:to>
        <xdr:sp macro="" textlink="">
          <xdr:nvSpPr>
            <xdr:cNvPr id="62476" name="Check Box 12" hidden="1">
              <a:extLst>
                <a:ext uri="{63B3BB69-23CF-44E3-9099-C40C66FF867C}">
                  <a14:compatExt spid="_x0000_s62476"/>
                </a:ext>
                <a:ext uri="{FF2B5EF4-FFF2-40B4-BE49-F238E27FC236}">
                  <a16:creationId xmlns:a16="http://schemas.microsoft.com/office/drawing/2014/main" id="{00000000-0008-0000-2200-00000C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260350</xdr:colOff>
          <xdr:row>14</xdr:row>
          <xdr:rowOff>12700</xdr:rowOff>
        </xdr:from>
        <xdr:to>
          <xdr:col>23</xdr:col>
          <xdr:colOff>203200</xdr:colOff>
          <xdr:row>14</xdr:row>
          <xdr:rowOff>234950</xdr:rowOff>
        </xdr:to>
        <xdr:sp macro="" textlink="">
          <xdr:nvSpPr>
            <xdr:cNvPr id="62477" name="Check Box 13" hidden="1">
              <a:extLst>
                <a:ext uri="{63B3BB69-23CF-44E3-9099-C40C66FF867C}">
                  <a14:compatExt spid="_x0000_s62477"/>
                </a:ext>
                <a:ext uri="{FF2B5EF4-FFF2-40B4-BE49-F238E27FC236}">
                  <a16:creationId xmlns:a16="http://schemas.microsoft.com/office/drawing/2014/main" id="{00000000-0008-0000-2200-00000D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260350</xdr:colOff>
          <xdr:row>15</xdr:row>
          <xdr:rowOff>12700</xdr:rowOff>
        </xdr:from>
        <xdr:to>
          <xdr:col>29</xdr:col>
          <xdr:colOff>203200</xdr:colOff>
          <xdr:row>15</xdr:row>
          <xdr:rowOff>234950</xdr:rowOff>
        </xdr:to>
        <xdr:sp macro="" textlink="">
          <xdr:nvSpPr>
            <xdr:cNvPr id="62478" name="Check Box 14" hidden="1">
              <a:extLst>
                <a:ext uri="{63B3BB69-23CF-44E3-9099-C40C66FF867C}">
                  <a14:compatExt spid="_x0000_s62478"/>
                </a:ext>
                <a:ext uri="{FF2B5EF4-FFF2-40B4-BE49-F238E27FC236}">
                  <a16:creationId xmlns:a16="http://schemas.microsoft.com/office/drawing/2014/main" id="{00000000-0008-0000-2200-00000E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260350</xdr:colOff>
          <xdr:row>16</xdr:row>
          <xdr:rowOff>12700</xdr:rowOff>
        </xdr:from>
        <xdr:to>
          <xdr:col>29</xdr:col>
          <xdr:colOff>203200</xdr:colOff>
          <xdr:row>16</xdr:row>
          <xdr:rowOff>234950</xdr:rowOff>
        </xdr:to>
        <xdr:sp macro="" textlink="">
          <xdr:nvSpPr>
            <xdr:cNvPr id="62479" name="Check Box 15" hidden="1">
              <a:extLst>
                <a:ext uri="{63B3BB69-23CF-44E3-9099-C40C66FF867C}">
                  <a14:compatExt spid="_x0000_s62479"/>
                </a:ext>
                <a:ext uri="{FF2B5EF4-FFF2-40B4-BE49-F238E27FC236}">
                  <a16:creationId xmlns:a16="http://schemas.microsoft.com/office/drawing/2014/main" id="{00000000-0008-0000-2200-00000F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260350</xdr:colOff>
          <xdr:row>15</xdr:row>
          <xdr:rowOff>12700</xdr:rowOff>
        </xdr:from>
        <xdr:to>
          <xdr:col>33</xdr:col>
          <xdr:colOff>203200</xdr:colOff>
          <xdr:row>15</xdr:row>
          <xdr:rowOff>234950</xdr:rowOff>
        </xdr:to>
        <xdr:sp macro="" textlink="">
          <xdr:nvSpPr>
            <xdr:cNvPr id="62480" name="Check Box 16" hidden="1">
              <a:extLst>
                <a:ext uri="{63B3BB69-23CF-44E3-9099-C40C66FF867C}">
                  <a14:compatExt spid="_x0000_s62480"/>
                </a:ext>
                <a:ext uri="{FF2B5EF4-FFF2-40B4-BE49-F238E27FC236}">
                  <a16:creationId xmlns:a16="http://schemas.microsoft.com/office/drawing/2014/main" id="{00000000-0008-0000-2200-000010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260350</xdr:colOff>
          <xdr:row>16</xdr:row>
          <xdr:rowOff>12700</xdr:rowOff>
        </xdr:from>
        <xdr:to>
          <xdr:col>33</xdr:col>
          <xdr:colOff>203200</xdr:colOff>
          <xdr:row>16</xdr:row>
          <xdr:rowOff>234950</xdr:rowOff>
        </xdr:to>
        <xdr:sp macro="" textlink="">
          <xdr:nvSpPr>
            <xdr:cNvPr id="62481" name="Check Box 17" hidden="1">
              <a:extLst>
                <a:ext uri="{63B3BB69-23CF-44E3-9099-C40C66FF867C}">
                  <a14:compatExt spid="_x0000_s62481"/>
                </a:ext>
                <a:ext uri="{FF2B5EF4-FFF2-40B4-BE49-F238E27FC236}">
                  <a16:creationId xmlns:a16="http://schemas.microsoft.com/office/drawing/2014/main" id="{00000000-0008-0000-2200-000011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260350</xdr:colOff>
          <xdr:row>17</xdr:row>
          <xdr:rowOff>12700</xdr:rowOff>
        </xdr:from>
        <xdr:to>
          <xdr:col>33</xdr:col>
          <xdr:colOff>203200</xdr:colOff>
          <xdr:row>17</xdr:row>
          <xdr:rowOff>234950</xdr:rowOff>
        </xdr:to>
        <xdr:sp macro="" textlink="">
          <xdr:nvSpPr>
            <xdr:cNvPr id="62482" name="Check Box 18" hidden="1">
              <a:extLst>
                <a:ext uri="{63B3BB69-23CF-44E3-9099-C40C66FF867C}">
                  <a14:compatExt spid="_x0000_s62482"/>
                </a:ext>
                <a:ext uri="{FF2B5EF4-FFF2-40B4-BE49-F238E27FC236}">
                  <a16:creationId xmlns:a16="http://schemas.microsoft.com/office/drawing/2014/main" id="{00000000-0008-0000-2200-000012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260350</xdr:colOff>
          <xdr:row>17</xdr:row>
          <xdr:rowOff>12700</xdr:rowOff>
        </xdr:from>
        <xdr:to>
          <xdr:col>29</xdr:col>
          <xdr:colOff>203200</xdr:colOff>
          <xdr:row>17</xdr:row>
          <xdr:rowOff>234950</xdr:rowOff>
        </xdr:to>
        <xdr:sp macro="" textlink="">
          <xdr:nvSpPr>
            <xdr:cNvPr id="62483" name="Check Box 19" hidden="1">
              <a:extLst>
                <a:ext uri="{63B3BB69-23CF-44E3-9099-C40C66FF867C}">
                  <a14:compatExt spid="_x0000_s62483"/>
                </a:ext>
                <a:ext uri="{FF2B5EF4-FFF2-40B4-BE49-F238E27FC236}">
                  <a16:creationId xmlns:a16="http://schemas.microsoft.com/office/drawing/2014/main" id="{00000000-0008-0000-2200-000013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260350</xdr:colOff>
          <xdr:row>19</xdr:row>
          <xdr:rowOff>12700</xdr:rowOff>
        </xdr:from>
        <xdr:to>
          <xdr:col>23</xdr:col>
          <xdr:colOff>203200</xdr:colOff>
          <xdr:row>19</xdr:row>
          <xdr:rowOff>234950</xdr:rowOff>
        </xdr:to>
        <xdr:sp macro="" textlink="">
          <xdr:nvSpPr>
            <xdr:cNvPr id="62484" name="Check Box 20" hidden="1">
              <a:extLst>
                <a:ext uri="{63B3BB69-23CF-44E3-9099-C40C66FF867C}">
                  <a14:compatExt spid="_x0000_s62484"/>
                </a:ext>
                <a:ext uri="{FF2B5EF4-FFF2-40B4-BE49-F238E27FC236}">
                  <a16:creationId xmlns:a16="http://schemas.microsoft.com/office/drawing/2014/main" id="{00000000-0008-0000-2200-000014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260350</xdr:colOff>
          <xdr:row>20</xdr:row>
          <xdr:rowOff>12700</xdr:rowOff>
        </xdr:from>
        <xdr:to>
          <xdr:col>23</xdr:col>
          <xdr:colOff>203200</xdr:colOff>
          <xdr:row>20</xdr:row>
          <xdr:rowOff>234950</xdr:rowOff>
        </xdr:to>
        <xdr:sp macro="" textlink="">
          <xdr:nvSpPr>
            <xdr:cNvPr id="62485" name="Check Box 21" hidden="1">
              <a:extLst>
                <a:ext uri="{63B3BB69-23CF-44E3-9099-C40C66FF867C}">
                  <a14:compatExt spid="_x0000_s62485"/>
                </a:ext>
                <a:ext uri="{FF2B5EF4-FFF2-40B4-BE49-F238E27FC236}">
                  <a16:creationId xmlns:a16="http://schemas.microsoft.com/office/drawing/2014/main" id="{00000000-0008-0000-2200-000015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260350</xdr:colOff>
          <xdr:row>19</xdr:row>
          <xdr:rowOff>12700</xdr:rowOff>
        </xdr:from>
        <xdr:to>
          <xdr:col>9</xdr:col>
          <xdr:colOff>203200</xdr:colOff>
          <xdr:row>19</xdr:row>
          <xdr:rowOff>234950</xdr:rowOff>
        </xdr:to>
        <xdr:sp macro="" textlink="">
          <xdr:nvSpPr>
            <xdr:cNvPr id="62486" name="Check Box 22" hidden="1">
              <a:extLst>
                <a:ext uri="{63B3BB69-23CF-44E3-9099-C40C66FF867C}">
                  <a14:compatExt spid="_x0000_s62486"/>
                </a:ext>
                <a:ext uri="{FF2B5EF4-FFF2-40B4-BE49-F238E27FC236}">
                  <a16:creationId xmlns:a16="http://schemas.microsoft.com/office/drawing/2014/main" id="{00000000-0008-0000-2200-000016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260350</xdr:colOff>
          <xdr:row>20</xdr:row>
          <xdr:rowOff>12700</xdr:rowOff>
        </xdr:from>
        <xdr:to>
          <xdr:col>9</xdr:col>
          <xdr:colOff>203200</xdr:colOff>
          <xdr:row>20</xdr:row>
          <xdr:rowOff>234950</xdr:rowOff>
        </xdr:to>
        <xdr:sp macro="" textlink="">
          <xdr:nvSpPr>
            <xdr:cNvPr id="62487" name="Check Box 23" hidden="1">
              <a:extLst>
                <a:ext uri="{63B3BB69-23CF-44E3-9099-C40C66FF867C}">
                  <a14:compatExt spid="_x0000_s62487"/>
                </a:ext>
                <a:ext uri="{FF2B5EF4-FFF2-40B4-BE49-F238E27FC236}">
                  <a16:creationId xmlns:a16="http://schemas.microsoft.com/office/drawing/2014/main" id="{00000000-0008-0000-2200-000017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260350</xdr:colOff>
          <xdr:row>22</xdr:row>
          <xdr:rowOff>12700</xdr:rowOff>
        </xdr:from>
        <xdr:to>
          <xdr:col>29</xdr:col>
          <xdr:colOff>203200</xdr:colOff>
          <xdr:row>22</xdr:row>
          <xdr:rowOff>234950</xdr:rowOff>
        </xdr:to>
        <xdr:sp macro="" textlink="">
          <xdr:nvSpPr>
            <xdr:cNvPr id="62488" name="Check Box 24" hidden="1">
              <a:extLst>
                <a:ext uri="{63B3BB69-23CF-44E3-9099-C40C66FF867C}">
                  <a14:compatExt spid="_x0000_s62488"/>
                </a:ext>
                <a:ext uri="{FF2B5EF4-FFF2-40B4-BE49-F238E27FC236}">
                  <a16:creationId xmlns:a16="http://schemas.microsoft.com/office/drawing/2014/main" id="{00000000-0008-0000-2200-000018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260350</xdr:colOff>
          <xdr:row>22</xdr:row>
          <xdr:rowOff>12700</xdr:rowOff>
        </xdr:from>
        <xdr:to>
          <xdr:col>33</xdr:col>
          <xdr:colOff>203200</xdr:colOff>
          <xdr:row>22</xdr:row>
          <xdr:rowOff>234950</xdr:rowOff>
        </xdr:to>
        <xdr:sp macro="" textlink="">
          <xdr:nvSpPr>
            <xdr:cNvPr id="62489" name="Check Box 25" hidden="1">
              <a:extLst>
                <a:ext uri="{63B3BB69-23CF-44E3-9099-C40C66FF867C}">
                  <a14:compatExt spid="_x0000_s62489"/>
                </a:ext>
                <a:ext uri="{FF2B5EF4-FFF2-40B4-BE49-F238E27FC236}">
                  <a16:creationId xmlns:a16="http://schemas.microsoft.com/office/drawing/2014/main" id="{00000000-0008-0000-2200-000019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260350</xdr:colOff>
          <xdr:row>24</xdr:row>
          <xdr:rowOff>12700</xdr:rowOff>
        </xdr:from>
        <xdr:to>
          <xdr:col>29</xdr:col>
          <xdr:colOff>203200</xdr:colOff>
          <xdr:row>24</xdr:row>
          <xdr:rowOff>234950</xdr:rowOff>
        </xdr:to>
        <xdr:sp macro="" textlink="">
          <xdr:nvSpPr>
            <xdr:cNvPr id="62490" name="Check Box 26" hidden="1">
              <a:extLst>
                <a:ext uri="{63B3BB69-23CF-44E3-9099-C40C66FF867C}">
                  <a14:compatExt spid="_x0000_s62490"/>
                </a:ext>
                <a:ext uri="{FF2B5EF4-FFF2-40B4-BE49-F238E27FC236}">
                  <a16:creationId xmlns:a16="http://schemas.microsoft.com/office/drawing/2014/main" id="{00000000-0008-0000-2200-00001A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260350</xdr:colOff>
          <xdr:row>24</xdr:row>
          <xdr:rowOff>12700</xdr:rowOff>
        </xdr:from>
        <xdr:to>
          <xdr:col>33</xdr:col>
          <xdr:colOff>203200</xdr:colOff>
          <xdr:row>24</xdr:row>
          <xdr:rowOff>234950</xdr:rowOff>
        </xdr:to>
        <xdr:sp macro="" textlink="">
          <xdr:nvSpPr>
            <xdr:cNvPr id="62491" name="Check Box 27" hidden="1">
              <a:extLst>
                <a:ext uri="{63B3BB69-23CF-44E3-9099-C40C66FF867C}">
                  <a14:compatExt spid="_x0000_s62491"/>
                </a:ext>
                <a:ext uri="{FF2B5EF4-FFF2-40B4-BE49-F238E27FC236}">
                  <a16:creationId xmlns:a16="http://schemas.microsoft.com/office/drawing/2014/main" id="{00000000-0008-0000-2200-00001B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260350</xdr:colOff>
          <xdr:row>26</xdr:row>
          <xdr:rowOff>12700</xdr:rowOff>
        </xdr:from>
        <xdr:to>
          <xdr:col>9</xdr:col>
          <xdr:colOff>203200</xdr:colOff>
          <xdr:row>26</xdr:row>
          <xdr:rowOff>234950</xdr:rowOff>
        </xdr:to>
        <xdr:sp macro="" textlink="">
          <xdr:nvSpPr>
            <xdr:cNvPr id="62492" name="Check Box 28" hidden="1">
              <a:extLst>
                <a:ext uri="{63B3BB69-23CF-44E3-9099-C40C66FF867C}">
                  <a14:compatExt spid="_x0000_s62492"/>
                </a:ext>
                <a:ext uri="{FF2B5EF4-FFF2-40B4-BE49-F238E27FC236}">
                  <a16:creationId xmlns:a16="http://schemas.microsoft.com/office/drawing/2014/main" id="{00000000-0008-0000-2200-00001C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260350</xdr:colOff>
          <xdr:row>27</xdr:row>
          <xdr:rowOff>12700</xdr:rowOff>
        </xdr:from>
        <xdr:to>
          <xdr:col>9</xdr:col>
          <xdr:colOff>203200</xdr:colOff>
          <xdr:row>27</xdr:row>
          <xdr:rowOff>234950</xdr:rowOff>
        </xdr:to>
        <xdr:sp macro="" textlink="">
          <xdr:nvSpPr>
            <xdr:cNvPr id="62493" name="Check Box 29" hidden="1">
              <a:extLst>
                <a:ext uri="{63B3BB69-23CF-44E3-9099-C40C66FF867C}">
                  <a14:compatExt spid="_x0000_s62493"/>
                </a:ext>
                <a:ext uri="{FF2B5EF4-FFF2-40B4-BE49-F238E27FC236}">
                  <a16:creationId xmlns:a16="http://schemas.microsoft.com/office/drawing/2014/main" id="{00000000-0008-0000-2200-00001D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260350</xdr:colOff>
          <xdr:row>28</xdr:row>
          <xdr:rowOff>12700</xdr:rowOff>
        </xdr:from>
        <xdr:to>
          <xdr:col>9</xdr:col>
          <xdr:colOff>203200</xdr:colOff>
          <xdr:row>28</xdr:row>
          <xdr:rowOff>234950</xdr:rowOff>
        </xdr:to>
        <xdr:sp macro="" textlink="">
          <xdr:nvSpPr>
            <xdr:cNvPr id="62494" name="Check Box 30" hidden="1">
              <a:extLst>
                <a:ext uri="{63B3BB69-23CF-44E3-9099-C40C66FF867C}">
                  <a14:compatExt spid="_x0000_s62494"/>
                </a:ext>
                <a:ext uri="{FF2B5EF4-FFF2-40B4-BE49-F238E27FC236}">
                  <a16:creationId xmlns:a16="http://schemas.microsoft.com/office/drawing/2014/main" id="{00000000-0008-0000-2200-00001E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260350</xdr:colOff>
          <xdr:row>29</xdr:row>
          <xdr:rowOff>12700</xdr:rowOff>
        </xdr:from>
        <xdr:to>
          <xdr:col>9</xdr:col>
          <xdr:colOff>203200</xdr:colOff>
          <xdr:row>29</xdr:row>
          <xdr:rowOff>234950</xdr:rowOff>
        </xdr:to>
        <xdr:sp macro="" textlink="">
          <xdr:nvSpPr>
            <xdr:cNvPr id="62495" name="Check Box 31" hidden="1">
              <a:extLst>
                <a:ext uri="{63B3BB69-23CF-44E3-9099-C40C66FF867C}">
                  <a14:compatExt spid="_x0000_s62495"/>
                </a:ext>
                <a:ext uri="{FF2B5EF4-FFF2-40B4-BE49-F238E27FC236}">
                  <a16:creationId xmlns:a16="http://schemas.microsoft.com/office/drawing/2014/main" id="{00000000-0008-0000-2200-00001F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25</xdr:col>
          <xdr:colOff>266700</xdr:colOff>
          <xdr:row>4</xdr:row>
          <xdr:rowOff>69850</xdr:rowOff>
        </xdr:from>
        <xdr:to>
          <xdr:col>27</xdr:col>
          <xdr:colOff>152400</xdr:colOff>
          <xdr:row>4</xdr:row>
          <xdr:rowOff>292100</xdr:rowOff>
        </xdr:to>
        <xdr:sp macro="" textlink="">
          <xdr:nvSpPr>
            <xdr:cNvPr id="64513" name="Check Box 1" hidden="1">
              <a:extLst>
                <a:ext uri="{63B3BB69-23CF-44E3-9099-C40C66FF867C}">
                  <a14:compatExt spid="_x0000_s64513"/>
                </a:ext>
                <a:ext uri="{FF2B5EF4-FFF2-40B4-BE49-F238E27FC236}">
                  <a16:creationId xmlns:a16="http://schemas.microsoft.com/office/drawing/2014/main" id="{00000000-0008-0000-2400-000001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266700</xdr:colOff>
          <xdr:row>4</xdr:row>
          <xdr:rowOff>69850</xdr:rowOff>
        </xdr:from>
        <xdr:to>
          <xdr:col>32</xdr:col>
          <xdr:colOff>152400</xdr:colOff>
          <xdr:row>4</xdr:row>
          <xdr:rowOff>292100</xdr:rowOff>
        </xdr:to>
        <xdr:sp macro="" textlink="">
          <xdr:nvSpPr>
            <xdr:cNvPr id="64514" name="Check Box 2" hidden="1">
              <a:extLst>
                <a:ext uri="{63B3BB69-23CF-44E3-9099-C40C66FF867C}">
                  <a14:compatExt spid="_x0000_s64514"/>
                </a:ext>
                <a:ext uri="{FF2B5EF4-FFF2-40B4-BE49-F238E27FC236}">
                  <a16:creationId xmlns:a16="http://schemas.microsoft.com/office/drawing/2014/main" id="{00000000-0008-0000-2400-000002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266700</xdr:colOff>
          <xdr:row>6</xdr:row>
          <xdr:rowOff>69850</xdr:rowOff>
        </xdr:from>
        <xdr:to>
          <xdr:col>27</xdr:col>
          <xdr:colOff>152400</xdr:colOff>
          <xdr:row>6</xdr:row>
          <xdr:rowOff>292100</xdr:rowOff>
        </xdr:to>
        <xdr:sp macro="" textlink="">
          <xdr:nvSpPr>
            <xdr:cNvPr id="64515" name="Check Box 3" hidden="1">
              <a:extLst>
                <a:ext uri="{63B3BB69-23CF-44E3-9099-C40C66FF867C}">
                  <a14:compatExt spid="_x0000_s64515"/>
                </a:ext>
                <a:ext uri="{FF2B5EF4-FFF2-40B4-BE49-F238E27FC236}">
                  <a16:creationId xmlns:a16="http://schemas.microsoft.com/office/drawing/2014/main" id="{00000000-0008-0000-2400-000003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266700</xdr:colOff>
          <xdr:row>6</xdr:row>
          <xdr:rowOff>69850</xdr:rowOff>
        </xdr:from>
        <xdr:to>
          <xdr:col>32</xdr:col>
          <xdr:colOff>152400</xdr:colOff>
          <xdr:row>6</xdr:row>
          <xdr:rowOff>292100</xdr:rowOff>
        </xdr:to>
        <xdr:sp macro="" textlink="">
          <xdr:nvSpPr>
            <xdr:cNvPr id="64516" name="Check Box 4" hidden="1">
              <a:extLst>
                <a:ext uri="{63B3BB69-23CF-44E3-9099-C40C66FF867C}">
                  <a14:compatExt spid="_x0000_s64516"/>
                </a:ext>
                <a:ext uri="{FF2B5EF4-FFF2-40B4-BE49-F238E27FC236}">
                  <a16:creationId xmlns:a16="http://schemas.microsoft.com/office/drawing/2014/main" id="{00000000-0008-0000-2400-000004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266700</xdr:colOff>
          <xdr:row>17</xdr:row>
          <xdr:rowOff>69850</xdr:rowOff>
        </xdr:from>
        <xdr:to>
          <xdr:col>27</xdr:col>
          <xdr:colOff>152400</xdr:colOff>
          <xdr:row>17</xdr:row>
          <xdr:rowOff>292100</xdr:rowOff>
        </xdr:to>
        <xdr:sp macro="" textlink="">
          <xdr:nvSpPr>
            <xdr:cNvPr id="64517" name="Check Box 5" hidden="1">
              <a:extLst>
                <a:ext uri="{63B3BB69-23CF-44E3-9099-C40C66FF867C}">
                  <a14:compatExt spid="_x0000_s64517"/>
                </a:ext>
                <a:ext uri="{FF2B5EF4-FFF2-40B4-BE49-F238E27FC236}">
                  <a16:creationId xmlns:a16="http://schemas.microsoft.com/office/drawing/2014/main" id="{00000000-0008-0000-2400-000005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266700</xdr:colOff>
          <xdr:row>19</xdr:row>
          <xdr:rowOff>69850</xdr:rowOff>
        </xdr:from>
        <xdr:to>
          <xdr:col>27</xdr:col>
          <xdr:colOff>152400</xdr:colOff>
          <xdr:row>19</xdr:row>
          <xdr:rowOff>292100</xdr:rowOff>
        </xdr:to>
        <xdr:sp macro="" textlink="">
          <xdr:nvSpPr>
            <xdr:cNvPr id="64518" name="Check Box 6" hidden="1">
              <a:extLst>
                <a:ext uri="{63B3BB69-23CF-44E3-9099-C40C66FF867C}">
                  <a14:compatExt spid="_x0000_s64518"/>
                </a:ext>
                <a:ext uri="{FF2B5EF4-FFF2-40B4-BE49-F238E27FC236}">
                  <a16:creationId xmlns:a16="http://schemas.microsoft.com/office/drawing/2014/main" id="{00000000-0008-0000-2400-000006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266700</xdr:colOff>
          <xdr:row>17</xdr:row>
          <xdr:rowOff>69850</xdr:rowOff>
        </xdr:from>
        <xdr:to>
          <xdr:col>32</xdr:col>
          <xdr:colOff>152400</xdr:colOff>
          <xdr:row>17</xdr:row>
          <xdr:rowOff>292100</xdr:rowOff>
        </xdr:to>
        <xdr:sp macro="" textlink="">
          <xdr:nvSpPr>
            <xdr:cNvPr id="64519" name="Check Box 7" hidden="1">
              <a:extLst>
                <a:ext uri="{63B3BB69-23CF-44E3-9099-C40C66FF867C}">
                  <a14:compatExt spid="_x0000_s64519"/>
                </a:ext>
                <a:ext uri="{FF2B5EF4-FFF2-40B4-BE49-F238E27FC236}">
                  <a16:creationId xmlns:a16="http://schemas.microsoft.com/office/drawing/2014/main" id="{00000000-0008-0000-2400-000007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266700</xdr:colOff>
          <xdr:row>19</xdr:row>
          <xdr:rowOff>69850</xdr:rowOff>
        </xdr:from>
        <xdr:to>
          <xdr:col>32</xdr:col>
          <xdr:colOff>152400</xdr:colOff>
          <xdr:row>19</xdr:row>
          <xdr:rowOff>292100</xdr:rowOff>
        </xdr:to>
        <xdr:sp macro="" textlink="">
          <xdr:nvSpPr>
            <xdr:cNvPr id="64520" name="Check Box 8" hidden="1">
              <a:extLst>
                <a:ext uri="{63B3BB69-23CF-44E3-9099-C40C66FF867C}">
                  <a14:compatExt spid="_x0000_s64520"/>
                </a:ext>
                <a:ext uri="{FF2B5EF4-FFF2-40B4-BE49-F238E27FC236}">
                  <a16:creationId xmlns:a16="http://schemas.microsoft.com/office/drawing/2014/main" id="{00000000-0008-0000-2400-000008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0</xdr:colOff>
          <xdr:row>20</xdr:row>
          <xdr:rowOff>50800</xdr:rowOff>
        </xdr:from>
        <xdr:to>
          <xdr:col>32</xdr:col>
          <xdr:colOff>158750</xdr:colOff>
          <xdr:row>21</xdr:row>
          <xdr:rowOff>196850</xdr:rowOff>
        </xdr:to>
        <xdr:sp macro="" textlink="">
          <xdr:nvSpPr>
            <xdr:cNvPr id="64521" name="Check Box 9" hidden="1">
              <a:extLst>
                <a:ext uri="{63B3BB69-23CF-44E3-9099-C40C66FF867C}">
                  <a14:compatExt spid="_x0000_s64521"/>
                </a:ext>
                <a:ext uri="{FF2B5EF4-FFF2-40B4-BE49-F238E27FC236}">
                  <a16:creationId xmlns:a16="http://schemas.microsoft.com/office/drawing/2014/main" id="{00000000-0008-0000-2400-000009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xdr:col>
          <xdr:colOff>260350</xdr:colOff>
          <xdr:row>20</xdr:row>
          <xdr:rowOff>50800</xdr:rowOff>
        </xdr:from>
        <xdr:to>
          <xdr:col>37</xdr:col>
          <xdr:colOff>146050</xdr:colOff>
          <xdr:row>21</xdr:row>
          <xdr:rowOff>196850</xdr:rowOff>
        </xdr:to>
        <xdr:sp macro="" textlink="">
          <xdr:nvSpPr>
            <xdr:cNvPr id="64522" name="Check Box 10" hidden="1">
              <a:extLst>
                <a:ext uri="{63B3BB69-23CF-44E3-9099-C40C66FF867C}">
                  <a14:compatExt spid="_x0000_s64522"/>
                </a:ext>
                <a:ext uri="{FF2B5EF4-FFF2-40B4-BE49-F238E27FC236}">
                  <a16:creationId xmlns:a16="http://schemas.microsoft.com/office/drawing/2014/main" id="{00000000-0008-0000-2400-00000A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0</xdr:colOff>
          <xdr:row>30</xdr:row>
          <xdr:rowOff>63500</xdr:rowOff>
        </xdr:from>
        <xdr:to>
          <xdr:col>32</xdr:col>
          <xdr:colOff>158750</xdr:colOff>
          <xdr:row>31</xdr:row>
          <xdr:rowOff>203200</xdr:rowOff>
        </xdr:to>
        <xdr:sp macro="" textlink="">
          <xdr:nvSpPr>
            <xdr:cNvPr id="64523" name="Check Box 11" hidden="1">
              <a:extLst>
                <a:ext uri="{63B3BB69-23CF-44E3-9099-C40C66FF867C}">
                  <a14:compatExt spid="_x0000_s64523"/>
                </a:ext>
                <a:ext uri="{FF2B5EF4-FFF2-40B4-BE49-F238E27FC236}">
                  <a16:creationId xmlns:a16="http://schemas.microsoft.com/office/drawing/2014/main" id="{00000000-0008-0000-2400-00000B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xdr:col>
          <xdr:colOff>266700</xdr:colOff>
          <xdr:row>30</xdr:row>
          <xdr:rowOff>63500</xdr:rowOff>
        </xdr:from>
        <xdr:to>
          <xdr:col>37</xdr:col>
          <xdr:colOff>152400</xdr:colOff>
          <xdr:row>31</xdr:row>
          <xdr:rowOff>215900</xdr:rowOff>
        </xdr:to>
        <xdr:sp macro="" textlink="">
          <xdr:nvSpPr>
            <xdr:cNvPr id="64524" name="Check Box 12" hidden="1">
              <a:extLst>
                <a:ext uri="{63B3BB69-23CF-44E3-9099-C40C66FF867C}">
                  <a14:compatExt spid="_x0000_s64524"/>
                </a:ext>
                <a:ext uri="{FF2B5EF4-FFF2-40B4-BE49-F238E27FC236}">
                  <a16:creationId xmlns:a16="http://schemas.microsoft.com/office/drawing/2014/main" id="{00000000-0008-0000-2400-00000C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26</xdr:col>
          <xdr:colOff>0</xdr:colOff>
          <xdr:row>24</xdr:row>
          <xdr:rowOff>12700</xdr:rowOff>
        </xdr:from>
        <xdr:to>
          <xdr:col>26</xdr:col>
          <xdr:colOff>190500</xdr:colOff>
          <xdr:row>24</xdr:row>
          <xdr:rowOff>215900</xdr:rowOff>
        </xdr:to>
        <xdr:sp macro="" textlink="">
          <xdr:nvSpPr>
            <xdr:cNvPr id="66561" name="Check Box 1" hidden="1">
              <a:extLst>
                <a:ext uri="{63B3BB69-23CF-44E3-9099-C40C66FF867C}">
                  <a14:compatExt spid="_x0000_s66561"/>
                </a:ext>
                <a:ext uri="{FF2B5EF4-FFF2-40B4-BE49-F238E27FC236}">
                  <a16:creationId xmlns:a16="http://schemas.microsoft.com/office/drawing/2014/main" id="{00000000-0008-0000-2600-000001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254000</xdr:colOff>
          <xdr:row>24</xdr:row>
          <xdr:rowOff>25400</xdr:rowOff>
        </xdr:from>
        <xdr:to>
          <xdr:col>31</xdr:col>
          <xdr:colOff>177800</xdr:colOff>
          <xdr:row>24</xdr:row>
          <xdr:rowOff>228600</xdr:rowOff>
        </xdr:to>
        <xdr:sp macro="" textlink="">
          <xdr:nvSpPr>
            <xdr:cNvPr id="66562" name="Check Box 2" hidden="1">
              <a:extLst>
                <a:ext uri="{63B3BB69-23CF-44E3-9099-C40C66FF867C}">
                  <a14:compatExt spid="_x0000_s66562"/>
                </a:ext>
                <a:ext uri="{FF2B5EF4-FFF2-40B4-BE49-F238E27FC236}">
                  <a16:creationId xmlns:a16="http://schemas.microsoft.com/office/drawing/2014/main" id="{00000000-0008-0000-2600-000002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32</xdr:col>
          <xdr:colOff>266700</xdr:colOff>
          <xdr:row>5</xdr:row>
          <xdr:rowOff>6350</xdr:rowOff>
        </xdr:from>
        <xdr:to>
          <xdr:col>34</xdr:col>
          <xdr:colOff>120650</xdr:colOff>
          <xdr:row>5</xdr:row>
          <xdr:rowOff>228600</xdr:rowOff>
        </xdr:to>
        <xdr:sp macro="" textlink="">
          <xdr:nvSpPr>
            <xdr:cNvPr id="67585" name="Check Box 1" hidden="1">
              <a:extLst>
                <a:ext uri="{63B3BB69-23CF-44E3-9099-C40C66FF867C}">
                  <a14:compatExt spid="_x0000_s67585"/>
                </a:ext>
                <a:ext uri="{FF2B5EF4-FFF2-40B4-BE49-F238E27FC236}">
                  <a16:creationId xmlns:a16="http://schemas.microsoft.com/office/drawing/2014/main" id="{00000000-0008-0000-2700-000001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266700</xdr:colOff>
          <xdr:row>5</xdr:row>
          <xdr:rowOff>6350</xdr:rowOff>
        </xdr:from>
        <xdr:to>
          <xdr:col>39</xdr:col>
          <xdr:colOff>120650</xdr:colOff>
          <xdr:row>5</xdr:row>
          <xdr:rowOff>228600</xdr:rowOff>
        </xdr:to>
        <xdr:sp macro="" textlink="">
          <xdr:nvSpPr>
            <xdr:cNvPr id="67586" name="Check Box 2" hidden="1">
              <a:extLst>
                <a:ext uri="{63B3BB69-23CF-44E3-9099-C40C66FF867C}">
                  <a14:compatExt spid="_x0000_s67586"/>
                </a:ext>
                <a:ext uri="{FF2B5EF4-FFF2-40B4-BE49-F238E27FC236}">
                  <a16:creationId xmlns:a16="http://schemas.microsoft.com/office/drawing/2014/main" id="{00000000-0008-0000-2700-000002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0</xdr:colOff>
          <xdr:row>6</xdr:row>
          <xdr:rowOff>69850</xdr:rowOff>
        </xdr:from>
        <xdr:to>
          <xdr:col>34</xdr:col>
          <xdr:colOff>127000</xdr:colOff>
          <xdr:row>6</xdr:row>
          <xdr:rowOff>292100</xdr:rowOff>
        </xdr:to>
        <xdr:sp macro="" textlink="">
          <xdr:nvSpPr>
            <xdr:cNvPr id="67587" name="Check Box 3" hidden="1">
              <a:extLst>
                <a:ext uri="{63B3BB69-23CF-44E3-9099-C40C66FF867C}">
                  <a14:compatExt spid="_x0000_s67587"/>
                </a:ext>
                <a:ext uri="{FF2B5EF4-FFF2-40B4-BE49-F238E27FC236}">
                  <a16:creationId xmlns:a16="http://schemas.microsoft.com/office/drawing/2014/main" id="{00000000-0008-0000-2700-000003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266700</xdr:colOff>
          <xdr:row>6</xdr:row>
          <xdr:rowOff>69850</xdr:rowOff>
        </xdr:from>
        <xdr:to>
          <xdr:col>39</xdr:col>
          <xdr:colOff>120650</xdr:colOff>
          <xdr:row>6</xdr:row>
          <xdr:rowOff>292100</xdr:rowOff>
        </xdr:to>
        <xdr:sp macro="" textlink="">
          <xdr:nvSpPr>
            <xdr:cNvPr id="67588" name="Check Box 4" hidden="1">
              <a:extLst>
                <a:ext uri="{63B3BB69-23CF-44E3-9099-C40C66FF867C}">
                  <a14:compatExt spid="_x0000_s67588"/>
                </a:ext>
                <a:ext uri="{FF2B5EF4-FFF2-40B4-BE49-F238E27FC236}">
                  <a16:creationId xmlns:a16="http://schemas.microsoft.com/office/drawing/2014/main" id="{00000000-0008-0000-2700-000004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266700</xdr:colOff>
          <xdr:row>9</xdr:row>
          <xdr:rowOff>6350</xdr:rowOff>
        </xdr:from>
        <xdr:to>
          <xdr:col>34</xdr:col>
          <xdr:colOff>120650</xdr:colOff>
          <xdr:row>9</xdr:row>
          <xdr:rowOff>228600</xdr:rowOff>
        </xdr:to>
        <xdr:sp macro="" textlink="">
          <xdr:nvSpPr>
            <xdr:cNvPr id="67589" name="Check Box 5" hidden="1">
              <a:extLst>
                <a:ext uri="{63B3BB69-23CF-44E3-9099-C40C66FF867C}">
                  <a14:compatExt spid="_x0000_s67589"/>
                </a:ext>
                <a:ext uri="{FF2B5EF4-FFF2-40B4-BE49-F238E27FC236}">
                  <a16:creationId xmlns:a16="http://schemas.microsoft.com/office/drawing/2014/main" id="{00000000-0008-0000-2700-000005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266700</xdr:colOff>
          <xdr:row>9</xdr:row>
          <xdr:rowOff>6350</xdr:rowOff>
        </xdr:from>
        <xdr:to>
          <xdr:col>39</xdr:col>
          <xdr:colOff>120650</xdr:colOff>
          <xdr:row>9</xdr:row>
          <xdr:rowOff>228600</xdr:rowOff>
        </xdr:to>
        <xdr:sp macro="" textlink="">
          <xdr:nvSpPr>
            <xdr:cNvPr id="67590" name="Check Box 6" hidden="1">
              <a:extLst>
                <a:ext uri="{63B3BB69-23CF-44E3-9099-C40C66FF867C}">
                  <a14:compatExt spid="_x0000_s67590"/>
                </a:ext>
                <a:ext uri="{FF2B5EF4-FFF2-40B4-BE49-F238E27FC236}">
                  <a16:creationId xmlns:a16="http://schemas.microsoft.com/office/drawing/2014/main" id="{00000000-0008-0000-2700-000006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266700</xdr:colOff>
          <xdr:row>10</xdr:row>
          <xdr:rowOff>6350</xdr:rowOff>
        </xdr:from>
        <xdr:to>
          <xdr:col>34</xdr:col>
          <xdr:colOff>120650</xdr:colOff>
          <xdr:row>10</xdr:row>
          <xdr:rowOff>228600</xdr:rowOff>
        </xdr:to>
        <xdr:sp macro="" textlink="">
          <xdr:nvSpPr>
            <xdr:cNvPr id="67591" name="Check Box 7" hidden="1">
              <a:extLst>
                <a:ext uri="{63B3BB69-23CF-44E3-9099-C40C66FF867C}">
                  <a14:compatExt spid="_x0000_s67591"/>
                </a:ext>
                <a:ext uri="{FF2B5EF4-FFF2-40B4-BE49-F238E27FC236}">
                  <a16:creationId xmlns:a16="http://schemas.microsoft.com/office/drawing/2014/main" id="{00000000-0008-0000-2700-000007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266700</xdr:colOff>
          <xdr:row>10</xdr:row>
          <xdr:rowOff>6350</xdr:rowOff>
        </xdr:from>
        <xdr:to>
          <xdr:col>39</xdr:col>
          <xdr:colOff>120650</xdr:colOff>
          <xdr:row>10</xdr:row>
          <xdr:rowOff>228600</xdr:rowOff>
        </xdr:to>
        <xdr:sp macro="" textlink="">
          <xdr:nvSpPr>
            <xdr:cNvPr id="67592" name="Check Box 8" hidden="1">
              <a:extLst>
                <a:ext uri="{63B3BB69-23CF-44E3-9099-C40C66FF867C}">
                  <a14:compatExt spid="_x0000_s67592"/>
                </a:ext>
                <a:ext uri="{FF2B5EF4-FFF2-40B4-BE49-F238E27FC236}">
                  <a16:creationId xmlns:a16="http://schemas.microsoft.com/office/drawing/2014/main" id="{00000000-0008-0000-2700-000008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266700</xdr:colOff>
          <xdr:row>19</xdr:row>
          <xdr:rowOff>6350</xdr:rowOff>
        </xdr:from>
        <xdr:to>
          <xdr:col>6</xdr:col>
          <xdr:colOff>120650</xdr:colOff>
          <xdr:row>19</xdr:row>
          <xdr:rowOff>228600</xdr:rowOff>
        </xdr:to>
        <xdr:sp macro="" textlink="">
          <xdr:nvSpPr>
            <xdr:cNvPr id="67593" name="Check Box 9" hidden="1">
              <a:extLst>
                <a:ext uri="{63B3BB69-23CF-44E3-9099-C40C66FF867C}">
                  <a14:compatExt spid="_x0000_s67593"/>
                </a:ext>
                <a:ext uri="{FF2B5EF4-FFF2-40B4-BE49-F238E27FC236}">
                  <a16:creationId xmlns:a16="http://schemas.microsoft.com/office/drawing/2014/main" id="{00000000-0008-0000-2700-000009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266700</xdr:colOff>
          <xdr:row>20</xdr:row>
          <xdr:rowOff>6350</xdr:rowOff>
        </xdr:from>
        <xdr:to>
          <xdr:col>6</xdr:col>
          <xdr:colOff>120650</xdr:colOff>
          <xdr:row>20</xdr:row>
          <xdr:rowOff>228600</xdr:rowOff>
        </xdr:to>
        <xdr:sp macro="" textlink="">
          <xdr:nvSpPr>
            <xdr:cNvPr id="67594" name="Check Box 10" hidden="1">
              <a:extLst>
                <a:ext uri="{63B3BB69-23CF-44E3-9099-C40C66FF867C}">
                  <a14:compatExt spid="_x0000_s67594"/>
                </a:ext>
                <a:ext uri="{FF2B5EF4-FFF2-40B4-BE49-F238E27FC236}">
                  <a16:creationId xmlns:a16="http://schemas.microsoft.com/office/drawing/2014/main" id="{00000000-0008-0000-2700-00000A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266700</xdr:colOff>
          <xdr:row>19</xdr:row>
          <xdr:rowOff>6350</xdr:rowOff>
        </xdr:from>
        <xdr:to>
          <xdr:col>26</xdr:col>
          <xdr:colOff>120650</xdr:colOff>
          <xdr:row>19</xdr:row>
          <xdr:rowOff>228600</xdr:rowOff>
        </xdr:to>
        <xdr:sp macro="" textlink="">
          <xdr:nvSpPr>
            <xdr:cNvPr id="67595" name="Check Box 11" hidden="1">
              <a:extLst>
                <a:ext uri="{63B3BB69-23CF-44E3-9099-C40C66FF867C}">
                  <a14:compatExt spid="_x0000_s67595"/>
                </a:ext>
                <a:ext uri="{FF2B5EF4-FFF2-40B4-BE49-F238E27FC236}">
                  <a16:creationId xmlns:a16="http://schemas.microsoft.com/office/drawing/2014/main" id="{00000000-0008-0000-2700-00000B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266700</xdr:colOff>
          <xdr:row>20</xdr:row>
          <xdr:rowOff>6350</xdr:rowOff>
        </xdr:from>
        <xdr:to>
          <xdr:col>26</xdr:col>
          <xdr:colOff>120650</xdr:colOff>
          <xdr:row>20</xdr:row>
          <xdr:rowOff>228600</xdr:rowOff>
        </xdr:to>
        <xdr:sp macro="" textlink="">
          <xdr:nvSpPr>
            <xdr:cNvPr id="67596" name="Check Box 12" hidden="1">
              <a:extLst>
                <a:ext uri="{63B3BB69-23CF-44E3-9099-C40C66FF867C}">
                  <a14:compatExt spid="_x0000_s67596"/>
                </a:ext>
                <a:ext uri="{FF2B5EF4-FFF2-40B4-BE49-F238E27FC236}">
                  <a16:creationId xmlns:a16="http://schemas.microsoft.com/office/drawing/2014/main" id="{00000000-0008-0000-2700-00000C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32</xdr:col>
          <xdr:colOff>0</xdr:colOff>
          <xdr:row>4</xdr:row>
          <xdr:rowOff>6350</xdr:rowOff>
        </xdr:from>
        <xdr:to>
          <xdr:col>33</xdr:col>
          <xdr:colOff>25400</xdr:colOff>
          <xdr:row>4</xdr:row>
          <xdr:rowOff>228600</xdr:rowOff>
        </xdr:to>
        <xdr:sp macro="" textlink="">
          <xdr:nvSpPr>
            <xdr:cNvPr id="68609" name="Check Box 1" hidden="1">
              <a:extLst>
                <a:ext uri="{63B3BB69-23CF-44E3-9099-C40C66FF867C}">
                  <a14:compatExt spid="_x0000_s68609"/>
                </a:ext>
                <a:ext uri="{FF2B5EF4-FFF2-40B4-BE49-F238E27FC236}">
                  <a16:creationId xmlns:a16="http://schemas.microsoft.com/office/drawing/2014/main" id="{00000000-0008-0000-2800-000001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0</xdr:colOff>
          <xdr:row>4</xdr:row>
          <xdr:rowOff>12700</xdr:rowOff>
        </xdr:from>
        <xdr:to>
          <xdr:col>38</xdr:col>
          <xdr:colOff>25400</xdr:colOff>
          <xdr:row>4</xdr:row>
          <xdr:rowOff>234950</xdr:rowOff>
        </xdr:to>
        <xdr:sp macro="" textlink="">
          <xdr:nvSpPr>
            <xdr:cNvPr id="68610" name="Check Box 2" hidden="1">
              <a:extLst>
                <a:ext uri="{63B3BB69-23CF-44E3-9099-C40C66FF867C}">
                  <a14:compatExt spid="_x0000_s68610"/>
                </a:ext>
                <a:ext uri="{FF2B5EF4-FFF2-40B4-BE49-F238E27FC236}">
                  <a16:creationId xmlns:a16="http://schemas.microsoft.com/office/drawing/2014/main" id="{00000000-0008-0000-2800-000002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6</xdr:row>
          <xdr:rowOff>25400</xdr:rowOff>
        </xdr:from>
        <xdr:to>
          <xdr:col>13</xdr:col>
          <xdr:colOff>25400</xdr:colOff>
          <xdr:row>6</xdr:row>
          <xdr:rowOff>241300</xdr:rowOff>
        </xdr:to>
        <xdr:sp macro="" textlink="">
          <xdr:nvSpPr>
            <xdr:cNvPr id="68611" name="Check Box 3" hidden="1">
              <a:extLst>
                <a:ext uri="{63B3BB69-23CF-44E3-9099-C40C66FF867C}">
                  <a14:compatExt spid="_x0000_s68611"/>
                </a:ext>
                <a:ext uri="{FF2B5EF4-FFF2-40B4-BE49-F238E27FC236}">
                  <a16:creationId xmlns:a16="http://schemas.microsoft.com/office/drawing/2014/main" id="{00000000-0008-0000-2800-000003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7</xdr:row>
          <xdr:rowOff>25400</xdr:rowOff>
        </xdr:from>
        <xdr:to>
          <xdr:col>13</xdr:col>
          <xdr:colOff>25400</xdr:colOff>
          <xdr:row>7</xdr:row>
          <xdr:rowOff>241300</xdr:rowOff>
        </xdr:to>
        <xdr:sp macro="" textlink="">
          <xdr:nvSpPr>
            <xdr:cNvPr id="68612" name="Check Box 4" hidden="1">
              <a:extLst>
                <a:ext uri="{63B3BB69-23CF-44E3-9099-C40C66FF867C}">
                  <a14:compatExt spid="_x0000_s68612"/>
                </a:ext>
                <a:ext uri="{FF2B5EF4-FFF2-40B4-BE49-F238E27FC236}">
                  <a16:creationId xmlns:a16="http://schemas.microsoft.com/office/drawing/2014/main" id="{00000000-0008-0000-2800-000004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xdr:row>
          <xdr:rowOff>25400</xdr:rowOff>
        </xdr:from>
        <xdr:to>
          <xdr:col>23</xdr:col>
          <xdr:colOff>25400</xdr:colOff>
          <xdr:row>6</xdr:row>
          <xdr:rowOff>241300</xdr:rowOff>
        </xdr:to>
        <xdr:sp macro="" textlink="">
          <xdr:nvSpPr>
            <xdr:cNvPr id="68613" name="Check Box 5" hidden="1">
              <a:extLst>
                <a:ext uri="{63B3BB69-23CF-44E3-9099-C40C66FF867C}">
                  <a14:compatExt spid="_x0000_s68613"/>
                </a:ext>
                <a:ext uri="{FF2B5EF4-FFF2-40B4-BE49-F238E27FC236}">
                  <a16:creationId xmlns:a16="http://schemas.microsoft.com/office/drawing/2014/main" id="{00000000-0008-0000-2800-000005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7</xdr:row>
          <xdr:rowOff>25400</xdr:rowOff>
        </xdr:from>
        <xdr:to>
          <xdr:col>23</xdr:col>
          <xdr:colOff>25400</xdr:colOff>
          <xdr:row>7</xdr:row>
          <xdr:rowOff>241300</xdr:rowOff>
        </xdr:to>
        <xdr:sp macro="" textlink="">
          <xdr:nvSpPr>
            <xdr:cNvPr id="68614" name="Check Box 6" hidden="1">
              <a:extLst>
                <a:ext uri="{63B3BB69-23CF-44E3-9099-C40C66FF867C}">
                  <a14:compatExt spid="_x0000_s68614"/>
                </a:ext>
                <a:ext uri="{FF2B5EF4-FFF2-40B4-BE49-F238E27FC236}">
                  <a16:creationId xmlns:a16="http://schemas.microsoft.com/office/drawing/2014/main" id="{00000000-0008-0000-2800-000006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0</xdr:colOff>
          <xdr:row>8</xdr:row>
          <xdr:rowOff>25400</xdr:rowOff>
        </xdr:from>
        <xdr:to>
          <xdr:col>33</xdr:col>
          <xdr:colOff>25400</xdr:colOff>
          <xdr:row>8</xdr:row>
          <xdr:rowOff>241300</xdr:rowOff>
        </xdr:to>
        <xdr:sp macro="" textlink="">
          <xdr:nvSpPr>
            <xdr:cNvPr id="68615" name="Check Box 7" hidden="1">
              <a:extLst>
                <a:ext uri="{63B3BB69-23CF-44E3-9099-C40C66FF867C}">
                  <a14:compatExt spid="_x0000_s68615"/>
                </a:ext>
                <a:ext uri="{FF2B5EF4-FFF2-40B4-BE49-F238E27FC236}">
                  <a16:creationId xmlns:a16="http://schemas.microsoft.com/office/drawing/2014/main" id="{00000000-0008-0000-2800-000007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0</xdr:colOff>
          <xdr:row>8</xdr:row>
          <xdr:rowOff>25400</xdr:rowOff>
        </xdr:from>
        <xdr:to>
          <xdr:col>38</xdr:col>
          <xdr:colOff>25400</xdr:colOff>
          <xdr:row>8</xdr:row>
          <xdr:rowOff>241300</xdr:rowOff>
        </xdr:to>
        <xdr:sp macro="" textlink="">
          <xdr:nvSpPr>
            <xdr:cNvPr id="68616" name="Check Box 8" hidden="1">
              <a:extLst>
                <a:ext uri="{63B3BB69-23CF-44E3-9099-C40C66FF867C}">
                  <a14:compatExt spid="_x0000_s68616"/>
                </a:ext>
                <a:ext uri="{FF2B5EF4-FFF2-40B4-BE49-F238E27FC236}">
                  <a16:creationId xmlns:a16="http://schemas.microsoft.com/office/drawing/2014/main" id="{00000000-0008-0000-2800-000008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0</xdr:colOff>
          <xdr:row>10</xdr:row>
          <xdr:rowOff>25400</xdr:rowOff>
        </xdr:from>
        <xdr:to>
          <xdr:col>33</xdr:col>
          <xdr:colOff>25400</xdr:colOff>
          <xdr:row>10</xdr:row>
          <xdr:rowOff>241300</xdr:rowOff>
        </xdr:to>
        <xdr:sp macro="" textlink="">
          <xdr:nvSpPr>
            <xdr:cNvPr id="68617" name="Check Box 9" hidden="1">
              <a:extLst>
                <a:ext uri="{63B3BB69-23CF-44E3-9099-C40C66FF867C}">
                  <a14:compatExt spid="_x0000_s68617"/>
                </a:ext>
                <a:ext uri="{FF2B5EF4-FFF2-40B4-BE49-F238E27FC236}">
                  <a16:creationId xmlns:a16="http://schemas.microsoft.com/office/drawing/2014/main" id="{00000000-0008-0000-2800-000009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0</xdr:colOff>
          <xdr:row>10</xdr:row>
          <xdr:rowOff>25400</xdr:rowOff>
        </xdr:from>
        <xdr:to>
          <xdr:col>38</xdr:col>
          <xdr:colOff>25400</xdr:colOff>
          <xdr:row>10</xdr:row>
          <xdr:rowOff>241300</xdr:rowOff>
        </xdr:to>
        <xdr:sp macro="" textlink="">
          <xdr:nvSpPr>
            <xdr:cNvPr id="68618" name="Check Box 10" hidden="1">
              <a:extLst>
                <a:ext uri="{63B3BB69-23CF-44E3-9099-C40C66FF867C}">
                  <a14:compatExt spid="_x0000_s68618"/>
                </a:ext>
                <a:ext uri="{FF2B5EF4-FFF2-40B4-BE49-F238E27FC236}">
                  <a16:creationId xmlns:a16="http://schemas.microsoft.com/office/drawing/2014/main" id="{00000000-0008-0000-2800-00000A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260350</xdr:colOff>
          <xdr:row>31</xdr:row>
          <xdr:rowOff>139700</xdr:rowOff>
        </xdr:from>
        <xdr:to>
          <xdr:col>32</xdr:col>
          <xdr:colOff>273050</xdr:colOff>
          <xdr:row>32</xdr:row>
          <xdr:rowOff>38100</xdr:rowOff>
        </xdr:to>
        <xdr:sp macro="" textlink="">
          <xdr:nvSpPr>
            <xdr:cNvPr id="68619" name="Check Box 11" hidden="1">
              <a:extLst>
                <a:ext uri="{63B3BB69-23CF-44E3-9099-C40C66FF867C}">
                  <a14:compatExt spid="_x0000_s68619"/>
                </a:ext>
                <a:ext uri="{FF2B5EF4-FFF2-40B4-BE49-F238E27FC236}">
                  <a16:creationId xmlns:a16="http://schemas.microsoft.com/office/drawing/2014/main" id="{00000000-0008-0000-2800-00000B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266700</xdr:colOff>
          <xdr:row>32</xdr:row>
          <xdr:rowOff>76200</xdr:rowOff>
        </xdr:from>
        <xdr:to>
          <xdr:col>33</xdr:col>
          <xdr:colOff>12700</xdr:colOff>
          <xdr:row>32</xdr:row>
          <xdr:rowOff>298450</xdr:rowOff>
        </xdr:to>
        <xdr:sp macro="" textlink="">
          <xdr:nvSpPr>
            <xdr:cNvPr id="68620" name="Check Box 12" hidden="1">
              <a:extLst>
                <a:ext uri="{63B3BB69-23CF-44E3-9099-C40C66FF867C}">
                  <a14:compatExt spid="_x0000_s68620"/>
                </a:ext>
                <a:ext uri="{FF2B5EF4-FFF2-40B4-BE49-F238E27FC236}">
                  <a16:creationId xmlns:a16="http://schemas.microsoft.com/office/drawing/2014/main" id="{00000000-0008-0000-2800-00000C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266700</xdr:colOff>
          <xdr:row>33</xdr:row>
          <xdr:rowOff>107950</xdr:rowOff>
        </xdr:from>
        <xdr:to>
          <xdr:col>33</xdr:col>
          <xdr:colOff>12700</xdr:colOff>
          <xdr:row>34</xdr:row>
          <xdr:rowOff>12700</xdr:rowOff>
        </xdr:to>
        <xdr:sp macro="" textlink="">
          <xdr:nvSpPr>
            <xdr:cNvPr id="68621" name="Check Box 13" hidden="1">
              <a:extLst>
                <a:ext uri="{63B3BB69-23CF-44E3-9099-C40C66FF867C}">
                  <a14:compatExt spid="_x0000_s68621"/>
                </a:ext>
                <a:ext uri="{FF2B5EF4-FFF2-40B4-BE49-F238E27FC236}">
                  <a16:creationId xmlns:a16="http://schemas.microsoft.com/office/drawing/2014/main" id="{00000000-0008-0000-2800-00000D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12700</xdr:colOff>
          <xdr:row>31</xdr:row>
          <xdr:rowOff>114300</xdr:rowOff>
        </xdr:from>
        <xdr:to>
          <xdr:col>38</xdr:col>
          <xdr:colOff>31750</xdr:colOff>
          <xdr:row>32</xdr:row>
          <xdr:rowOff>25400</xdr:rowOff>
        </xdr:to>
        <xdr:sp macro="" textlink="">
          <xdr:nvSpPr>
            <xdr:cNvPr id="68622" name="Check Box 14" hidden="1">
              <a:extLst>
                <a:ext uri="{63B3BB69-23CF-44E3-9099-C40C66FF867C}">
                  <a14:compatExt spid="_x0000_s68622"/>
                </a:ext>
                <a:ext uri="{FF2B5EF4-FFF2-40B4-BE49-F238E27FC236}">
                  <a16:creationId xmlns:a16="http://schemas.microsoft.com/office/drawing/2014/main" id="{00000000-0008-0000-2800-00000E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25400</xdr:colOff>
          <xdr:row>32</xdr:row>
          <xdr:rowOff>69850</xdr:rowOff>
        </xdr:from>
        <xdr:to>
          <xdr:col>38</xdr:col>
          <xdr:colOff>44450</xdr:colOff>
          <xdr:row>32</xdr:row>
          <xdr:rowOff>292100</xdr:rowOff>
        </xdr:to>
        <xdr:sp macro="" textlink="">
          <xdr:nvSpPr>
            <xdr:cNvPr id="68623" name="Check Box 15" hidden="1">
              <a:extLst>
                <a:ext uri="{63B3BB69-23CF-44E3-9099-C40C66FF867C}">
                  <a14:compatExt spid="_x0000_s68623"/>
                </a:ext>
                <a:ext uri="{FF2B5EF4-FFF2-40B4-BE49-F238E27FC236}">
                  <a16:creationId xmlns:a16="http://schemas.microsoft.com/office/drawing/2014/main" id="{00000000-0008-0000-2800-00000F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33</xdr:row>
          <xdr:rowOff>88900</xdr:rowOff>
        </xdr:from>
        <xdr:to>
          <xdr:col>38</xdr:col>
          <xdr:colOff>50800</xdr:colOff>
          <xdr:row>33</xdr:row>
          <xdr:rowOff>311150</xdr:rowOff>
        </xdr:to>
        <xdr:sp macro="" textlink="">
          <xdr:nvSpPr>
            <xdr:cNvPr id="68624" name="Check Box 16" hidden="1">
              <a:extLst>
                <a:ext uri="{63B3BB69-23CF-44E3-9099-C40C66FF867C}">
                  <a14:compatExt spid="_x0000_s68624"/>
                </a:ext>
                <a:ext uri="{FF2B5EF4-FFF2-40B4-BE49-F238E27FC236}">
                  <a16:creationId xmlns:a16="http://schemas.microsoft.com/office/drawing/2014/main" id="{00000000-0008-0000-2800-000010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266700</xdr:colOff>
          <xdr:row>4</xdr:row>
          <xdr:rowOff>6350</xdr:rowOff>
        </xdr:from>
        <xdr:to>
          <xdr:col>19</xdr:col>
          <xdr:colOff>76200</xdr:colOff>
          <xdr:row>4</xdr:row>
          <xdr:rowOff>228600</xdr:rowOff>
        </xdr:to>
        <xdr:sp macro="" textlink="">
          <xdr:nvSpPr>
            <xdr:cNvPr id="69633" name="Check Box 1" hidden="1">
              <a:extLst>
                <a:ext uri="{63B3BB69-23CF-44E3-9099-C40C66FF867C}">
                  <a14:compatExt spid="_x0000_s69633"/>
                </a:ext>
                <a:ext uri="{FF2B5EF4-FFF2-40B4-BE49-F238E27FC236}">
                  <a16:creationId xmlns:a16="http://schemas.microsoft.com/office/drawing/2014/main" id="{00000000-0008-0000-2900-000001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266700</xdr:colOff>
          <xdr:row>4</xdr:row>
          <xdr:rowOff>6350</xdr:rowOff>
        </xdr:from>
        <xdr:to>
          <xdr:col>24</xdr:col>
          <xdr:colOff>76200</xdr:colOff>
          <xdr:row>4</xdr:row>
          <xdr:rowOff>228600</xdr:rowOff>
        </xdr:to>
        <xdr:sp macro="" textlink="">
          <xdr:nvSpPr>
            <xdr:cNvPr id="69634" name="Check Box 2" hidden="1">
              <a:extLst>
                <a:ext uri="{63B3BB69-23CF-44E3-9099-C40C66FF867C}">
                  <a14:compatExt spid="_x0000_s69634"/>
                </a:ext>
                <a:ext uri="{FF2B5EF4-FFF2-40B4-BE49-F238E27FC236}">
                  <a16:creationId xmlns:a16="http://schemas.microsoft.com/office/drawing/2014/main" id="{00000000-0008-0000-2900-000002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266700</xdr:colOff>
          <xdr:row>6</xdr:row>
          <xdr:rowOff>6350</xdr:rowOff>
        </xdr:from>
        <xdr:to>
          <xdr:col>9</xdr:col>
          <xdr:colOff>76200</xdr:colOff>
          <xdr:row>6</xdr:row>
          <xdr:rowOff>228600</xdr:rowOff>
        </xdr:to>
        <xdr:sp macro="" textlink="">
          <xdr:nvSpPr>
            <xdr:cNvPr id="69635" name="Check Box 3" hidden="1">
              <a:extLst>
                <a:ext uri="{63B3BB69-23CF-44E3-9099-C40C66FF867C}">
                  <a14:compatExt spid="_x0000_s69635"/>
                </a:ext>
                <a:ext uri="{FF2B5EF4-FFF2-40B4-BE49-F238E27FC236}">
                  <a16:creationId xmlns:a16="http://schemas.microsoft.com/office/drawing/2014/main" id="{00000000-0008-0000-2900-000003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266700</xdr:colOff>
          <xdr:row>7</xdr:row>
          <xdr:rowOff>6350</xdr:rowOff>
        </xdr:from>
        <xdr:to>
          <xdr:col>9</xdr:col>
          <xdr:colOff>76200</xdr:colOff>
          <xdr:row>7</xdr:row>
          <xdr:rowOff>228600</xdr:rowOff>
        </xdr:to>
        <xdr:sp macro="" textlink="">
          <xdr:nvSpPr>
            <xdr:cNvPr id="69636" name="Check Box 4" hidden="1">
              <a:extLst>
                <a:ext uri="{63B3BB69-23CF-44E3-9099-C40C66FF867C}">
                  <a14:compatExt spid="_x0000_s69636"/>
                </a:ext>
                <a:ext uri="{FF2B5EF4-FFF2-40B4-BE49-F238E27FC236}">
                  <a16:creationId xmlns:a16="http://schemas.microsoft.com/office/drawing/2014/main" id="{00000000-0008-0000-2900-000004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266700</xdr:colOff>
          <xdr:row>6</xdr:row>
          <xdr:rowOff>6350</xdr:rowOff>
        </xdr:from>
        <xdr:to>
          <xdr:col>17</xdr:col>
          <xdr:colOff>76200</xdr:colOff>
          <xdr:row>6</xdr:row>
          <xdr:rowOff>228600</xdr:rowOff>
        </xdr:to>
        <xdr:sp macro="" textlink="">
          <xdr:nvSpPr>
            <xdr:cNvPr id="69637" name="Check Box 5" hidden="1">
              <a:extLst>
                <a:ext uri="{63B3BB69-23CF-44E3-9099-C40C66FF867C}">
                  <a14:compatExt spid="_x0000_s69637"/>
                </a:ext>
                <a:ext uri="{FF2B5EF4-FFF2-40B4-BE49-F238E27FC236}">
                  <a16:creationId xmlns:a16="http://schemas.microsoft.com/office/drawing/2014/main" id="{00000000-0008-0000-2900-000005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266700</xdr:colOff>
          <xdr:row>7</xdr:row>
          <xdr:rowOff>6350</xdr:rowOff>
        </xdr:from>
        <xdr:to>
          <xdr:col>17</xdr:col>
          <xdr:colOff>76200</xdr:colOff>
          <xdr:row>7</xdr:row>
          <xdr:rowOff>228600</xdr:rowOff>
        </xdr:to>
        <xdr:sp macro="" textlink="">
          <xdr:nvSpPr>
            <xdr:cNvPr id="69638" name="Check Box 6" hidden="1">
              <a:extLst>
                <a:ext uri="{63B3BB69-23CF-44E3-9099-C40C66FF867C}">
                  <a14:compatExt spid="_x0000_s69638"/>
                </a:ext>
                <a:ext uri="{FF2B5EF4-FFF2-40B4-BE49-F238E27FC236}">
                  <a16:creationId xmlns:a16="http://schemas.microsoft.com/office/drawing/2014/main" id="{00000000-0008-0000-2900-000006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266700</xdr:colOff>
          <xdr:row>6</xdr:row>
          <xdr:rowOff>6350</xdr:rowOff>
        </xdr:from>
        <xdr:to>
          <xdr:col>24</xdr:col>
          <xdr:colOff>76200</xdr:colOff>
          <xdr:row>6</xdr:row>
          <xdr:rowOff>228600</xdr:rowOff>
        </xdr:to>
        <xdr:sp macro="" textlink="">
          <xdr:nvSpPr>
            <xdr:cNvPr id="69639" name="Check Box 7" hidden="1">
              <a:extLst>
                <a:ext uri="{63B3BB69-23CF-44E3-9099-C40C66FF867C}">
                  <a14:compatExt spid="_x0000_s69639"/>
                </a:ext>
                <a:ext uri="{FF2B5EF4-FFF2-40B4-BE49-F238E27FC236}">
                  <a16:creationId xmlns:a16="http://schemas.microsoft.com/office/drawing/2014/main" id="{00000000-0008-0000-2900-000007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266700</xdr:colOff>
          <xdr:row>7</xdr:row>
          <xdr:rowOff>6350</xdr:rowOff>
        </xdr:from>
        <xdr:to>
          <xdr:col>24</xdr:col>
          <xdr:colOff>76200</xdr:colOff>
          <xdr:row>7</xdr:row>
          <xdr:rowOff>228600</xdr:rowOff>
        </xdr:to>
        <xdr:sp macro="" textlink="">
          <xdr:nvSpPr>
            <xdr:cNvPr id="69640" name="Check Box 8" hidden="1">
              <a:extLst>
                <a:ext uri="{63B3BB69-23CF-44E3-9099-C40C66FF867C}">
                  <a14:compatExt spid="_x0000_s69640"/>
                </a:ext>
                <a:ext uri="{FF2B5EF4-FFF2-40B4-BE49-F238E27FC236}">
                  <a16:creationId xmlns:a16="http://schemas.microsoft.com/office/drawing/2014/main" id="{00000000-0008-0000-2900-000008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266700</xdr:colOff>
          <xdr:row>6</xdr:row>
          <xdr:rowOff>6350</xdr:rowOff>
        </xdr:from>
        <xdr:to>
          <xdr:col>33</xdr:col>
          <xdr:colOff>76200</xdr:colOff>
          <xdr:row>6</xdr:row>
          <xdr:rowOff>228600</xdr:rowOff>
        </xdr:to>
        <xdr:sp macro="" textlink="">
          <xdr:nvSpPr>
            <xdr:cNvPr id="69641" name="Check Box 9" hidden="1">
              <a:extLst>
                <a:ext uri="{63B3BB69-23CF-44E3-9099-C40C66FF867C}">
                  <a14:compatExt spid="_x0000_s69641"/>
                </a:ext>
                <a:ext uri="{FF2B5EF4-FFF2-40B4-BE49-F238E27FC236}">
                  <a16:creationId xmlns:a16="http://schemas.microsoft.com/office/drawing/2014/main" id="{00000000-0008-0000-2900-000009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266700</xdr:colOff>
          <xdr:row>7</xdr:row>
          <xdr:rowOff>6350</xdr:rowOff>
        </xdr:from>
        <xdr:to>
          <xdr:col>33</xdr:col>
          <xdr:colOff>76200</xdr:colOff>
          <xdr:row>7</xdr:row>
          <xdr:rowOff>228600</xdr:rowOff>
        </xdr:to>
        <xdr:sp macro="" textlink="">
          <xdr:nvSpPr>
            <xdr:cNvPr id="69642" name="Check Box 10" hidden="1">
              <a:extLst>
                <a:ext uri="{63B3BB69-23CF-44E3-9099-C40C66FF867C}">
                  <a14:compatExt spid="_x0000_s69642"/>
                </a:ext>
                <a:ext uri="{FF2B5EF4-FFF2-40B4-BE49-F238E27FC236}">
                  <a16:creationId xmlns:a16="http://schemas.microsoft.com/office/drawing/2014/main" id="{00000000-0008-0000-2900-00000A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266700</xdr:colOff>
          <xdr:row>10</xdr:row>
          <xdr:rowOff>6350</xdr:rowOff>
        </xdr:from>
        <xdr:to>
          <xdr:col>9</xdr:col>
          <xdr:colOff>76200</xdr:colOff>
          <xdr:row>11</xdr:row>
          <xdr:rowOff>31750</xdr:rowOff>
        </xdr:to>
        <xdr:sp macro="" textlink="">
          <xdr:nvSpPr>
            <xdr:cNvPr id="69643" name="Check Box 11" hidden="1">
              <a:extLst>
                <a:ext uri="{63B3BB69-23CF-44E3-9099-C40C66FF867C}">
                  <a14:compatExt spid="_x0000_s69643"/>
                </a:ext>
                <a:ext uri="{FF2B5EF4-FFF2-40B4-BE49-F238E27FC236}">
                  <a16:creationId xmlns:a16="http://schemas.microsoft.com/office/drawing/2014/main" id="{00000000-0008-0000-2900-00000B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266700</xdr:colOff>
          <xdr:row>11</xdr:row>
          <xdr:rowOff>6350</xdr:rowOff>
        </xdr:from>
        <xdr:to>
          <xdr:col>12</xdr:col>
          <xdr:colOff>76200</xdr:colOff>
          <xdr:row>11</xdr:row>
          <xdr:rowOff>228600</xdr:rowOff>
        </xdr:to>
        <xdr:sp macro="" textlink="">
          <xdr:nvSpPr>
            <xdr:cNvPr id="69644" name="Check Box 12" hidden="1">
              <a:extLst>
                <a:ext uri="{63B3BB69-23CF-44E3-9099-C40C66FF867C}">
                  <a14:compatExt spid="_x0000_s69644"/>
                </a:ext>
                <a:ext uri="{FF2B5EF4-FFF2-40B4-BE49-F238E27FC236}">
                  <a16:creationId xmlns:a16="http://schemas.microsoft.com/office/drawing/2014/main" id="{00000000-0008-0000-2900-00000C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266700</xdr:colOff>
          <xdr:row>11</xdr:row>
          <xdr:rowOff>6350</xdr:rowOff>
        </xdr:from>
        <xdr:to>
          <xdr:col>17</xdr:col>
          <xdr:colOff>76200</xdr:colOff>
          <xdr:row>11</xdr:row>
          <xdr:rowOff>228600</xdr:rowOff>
        </xdr:to>
        <xdr:sp macro="" textlink="">
          <xdr:nvSpPr>
            <xdr:cNvPr id="69645" name="Check Box 13" hidden="1">
              <a:extLst>
                <a:ext uri="{63B3BB69-23CF-44E3-9099-C40C66FF867C}">
                  <a14:compatExt spid="_x0000_s69645"/>
                </a:ext>
                <a:ext uri="{FF2B5EF4-FFF2-40B4-BE49-F238E27FC236}">
                  <a16:creationId xmlns:a16="http://schemas.microsoft.com/office/drawing/2014/main" id="{00000000-0008-0000-2900-00000D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266700</xdr:colOff>
          <xdr:row>11</xdr:row>
          <xdr:rowOff>6350</xdr:rowOff>
        </xdr:from>
        <xdr:to>
          <xdr:col>24</xdr:col>
          <xdr:colOff>76200</xdr:colOff>
          <xdr:row>11</xdr:row>
          <xdr:rowOff>228600</xdr:rowOff>
        </xdr:to>
        <xdr:sp macro="" textlink="">
          <xdr:nvSpPr>
            <xdr:cNvPr id="69646" name="Check Box 14" hidden="1">
              <a:extLst>
                <a:ext uri="{63B3BB69-23CF-44E3-9099-C40C66FF867C}">
                  <a14:compatExt spid="_x0000_s69646"/>
                </a:ext>
                <a:ext uri="{FF2B5EF4-FFF2-40B4-BE49-F238E27FC236}">
                  <a16:creationId xmlns:a16="http://schemas.microsoft.com/office/drawing/2014/main" id="{00000000-0008-0000-2900-00000E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266700</xdr:colOff>
          <xdr:row>11</xdr:row>
          <xdr:rowOff>6350</xdr:rowOff>
        </xdr:from>
        <xdr:to>
          <xdr:col>30</xdr:col>
          <xdr:colOff>76200</xdr:colOff>
          <xdr:row>11</xdr:row>
          <xdr:rowOff>228600</xdr:rowOff>
        </xdr:to>
        <xdr:sp macro="" textlink="">
          <xdr:nvSpPr>
            <xdr:cNvPr id="69647" name="Check Box 15" hidden="1">
              <a:extLst>
                <a:ext uri="{63B3BB69-23CF-44E3-9099-C40C66FF867C}">
                  <a14:compatExt spid="_x0000_s69647"/>
                </a:ext>
                <a:ext uri="{FF2B5EF4-FFF2-40B4-BE49-F238E27FC236}">
                  <a16:creationId xmlns:a16="http://schemas.microsoft.com/office/drawing/2014/main" id="{00000000-0008-0000-2900-00000F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266700</xdr:colOff>
          <xdr:row>12</xdr:row>
          <xdr:rowOff>6350</xdr:rowOff>
        </xdr:from>
        <xdr:to>
          <xdr:col>9</xdr:col>
          <xdr:colOff>76200</xdr:colOff>
          <xdr:row>12</xdr:row>
          <xdr:rowOff>228600</xdr:rowOff>
        </xdr:to>
        <xdr:sp macro="" textlink="">
          <xdr:nvSpPr>
            <xdr:cNvPr id="69648" name="Check Box 16" hidden="1">
              <a:extLst>
                <a:ext uri="{63B3BB69-23CF-44E3-9099-C40C66FF867C}">
                  <a14:compatExt spid="_x0000_s69648"/>
                </a:ext>
                <a:ext uri="{FF2B5EF4-FFF2-40B4-BE49-F238E27FC236}">
                  <a16:creationId xmlns:a16="http://schemas.microsoft.com/office/drawing/2014/main" id="{00000000-0008-0000-2900-000010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266700</xdr:colOff>
          <xdr:row>13</xdr:row>
          <xdr:rowOff>6350</xdr:rowOff>
        </xdr:from>
        <xdr:to>
          <xdr:col>9</xdr:col>
          <xdr:colOff>76200</xdr:colOff>
          <xdr:row>13</xdr:row>
          <xdr:rowOff>228600</xdr:rowOff>
        </xdr:to>
        <xdr:sp macro="" textlink="">
          <xdr:nvSpPr>
            <xdr:cNvPr id="69649" name="Check Box 17" hidden="1">
              <a:extLst>
                <a:ext uri="{63B3BB69-23CF-44E3-9099-C40C66FF867C}">
                  <a14:compatExt spid="_x0000_s69649"/>
                </a:ext>
                <a:ext uri="{FF2B5EF4-FFF2-40B4-BE49-F238E27FC236}">
                  <a16:creationId xmlns:a16="http://schemas.microsoft.com/office/drawing/2014/main" id="{00000000-0008-0000-2900-000011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266700</xdr:colOff>
          <xdr:row>14</xdr:row>
          <xdr:rowOff>6350</xdr:rowOff>
        </xdr:from>
        <xdr:to>
          <xdr:col>9</xdr:col>
          <xdr:colOff>76200</xdr:colOff>
          <xdr:row>14</xdr:row>
          <xdr:rowOff>228600</xdr:rowOff>
        </xdr:to>
        <xdr:sp macro="" textlink="">
          <xdr:nvSpPr>
            <xdr:cNvPr id="69650" name="Check Box 18" hidden="1">
              <a:extLst>
                <a:ext uri="{63B3BB69-23CF-44E3-9099-C40C66FF867C}">
                  <a14:compatExt spid="_x0000_s69650"/>
                </a:ext>
                <a:ext uri="{FF2B5EF4-FFF2-40B4-BE49-F238E27FC236}">
                  <a16:creationId xmlns:a16="http://schemas.microsoft.com/office/drawing/2014/main" id="{00000000-0008-0000-2900-000012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266700</xdr:colOff>
          <xdr:row>15</xdr:row>
          <xdr:rowOff>6350</xdr:rowOff>
        </xdr:from>
        <xdr:to>
          <xdr:col>9</xdr:col>
          <xdr:colOff>76200</xdr:colOff>
          <xdr:row>15</xdr:row>
          <xdr:rowOff>228600</xdr:rowOff>
        </xdr:to>
        <xdr:sp macro="" textlink="">
          <xdr:nvSpPr>
            <xdr:cNvPr id="69651" name="Check Box 19" hidden="1">
              <a:extLst>
                <a:ext uri="{63B3BB69-23CF-44E3-9099-C40C66FF867C}">
                  <a14:compatExt spid="_x0000_s69651"/>
                </a:ext>
                <a:ext uri="{FF2B5EF4-FFF2-40B4-BE49-F238E27FC236}">
                  <a16:creationId xmlns:a16="http://schemas.microsoft.com/office/drawing/2014/main" id="{00000000-0008-0000-2900-000013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266700</xdr:colOff>
          <xdr:row>16</xdr:row>
          <xdr:rowOff>6350</xdr:rowOff>
        </xdr:from>
        <xdr:to>
          <xdr:col>9</xdr:col>
          <xdr:colOff>76200</xdr:colOff>
          <xdr:row>16</xdr:row>
          <xdr:rowOff>228600</xdr:rowOff>
        </xdr:to>
        <xdr:sp macro="" textlink="">
          <xdr:nvSpPr>
            <xdr:cNvPr id="69652" name="Check Box 20" hidden="1">
              <a:extLst>
                <a:ext uri="{63B3BB69-23CF-44E3-9099-C40C66FF867C}">
                  <a14:compatExt spid="_x0000_s69652"/>
                </a:ext>
                <a:ext uri="{FF2B5EF4-FFF2-40B4-BE49-F238E27FC236}">
                  <a16:creationId xmlns:a16="http://schemas.microsoft.com/office/drawing/2014/main" id="{00000000-0008-0000-2900-000014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266700</xdr:colOff>
          <xdr:row>17</xdr:row>
          <xdr:rowOff>6350</xdr:rowOff>
        </xdr:from>
        <xdr:to>
          <xdr:col>25</xdr:col>
          <xdr:colOff>76200</xdr:colOff>
          <xdr:row>17</xdr:row>
          <xdr:rowOff>228600</xdr:rowOff>
        </xdr:to>
        <xdr:sp macro="" textlink="">
          <xdr:nvSpPr>
            <xdr:cNvPr id="69653" name="Check Box 21" hidden="1">
              <a:extLst>
                <a:ext uri="{63B3BB69-23CF-44E3-9099-C40C66FF867C}">
                  <a14:compatExt spid="_x0000_s69653"/>
                </a:ext>
                <a:ext uri="{FF2B5EF4-FFF2-40B4-BE49-F238E27FC236}">
                  <a16:creationId xmlns:a16="http://schemas.microsoft.com/office/drawing/2014/main" id="{00000000-0008-0000-2900-000015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266700</xdr:colOff>
          <xdr:row>17</xdr:row>
          <xdr:rowOff>6350</xdr:rowOff>
        </xdr:from>
        <xdr:to>
          <xdr:col>30</xdr:col>
          <xdr:colOff>76200</xdr:colOff>
          <xdr:row>17</xdr:row>
          <xdr:rowOff>228600</xdr:rowOff>
        </xdr:to>
        <xdr:sp macro="" textlink="">
          <xdr:nvSpPr>
            <xdr:cNvPr id="69654" name="Check Box 22" hidden="1">
              <a:extLst>
                <a:ext uri="{63B3BB69-23CF-44E3-9099-C40C66FF867C}">
                  <a14:compatExt spid="_x0000_s69654"/>
                </a:ext>
                <a:ext uri="{FF2B5EF4-FFF2-40B4-BE49-F238E27FC236}">
                  <a16:creationId xmlns:a16="http://schemas.microsoft.com/office/drawing/2014/main" id="{00000000-0008-0000-2900-000016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266700</xdr:colOff>
          <xdr:row>19</xdr:row>
          <xdr:rowOff>6350</xdr:rowOff>
        </xdr:from>
        <xdr:to>
          <xdr:col>9</xdr:col>
          <xdr:colOff>76200</xdr:colOff>
          <xdr:row>19</xdr:row>
          <xdr:rowOff>228600</xdr:rowOff>
        </xdr:to>
        <xdr:sp macro="" textlink="">
          <xdr:nvSpPr>
            <xdr:cNvPr id="69655" name="Check Box 23" hidden="1">
              <a:extLst>
                <a:ext uri="{63B3BB69-23CF-44E3-9099-C40C66FF867C}">
                  <a14:compatExt spid="_x0000_s69655"/>
                </a:ext>
                <a:ext uri="{FF2B5EF4-FFF2-40B4-BE49-F238E27FC236}">
                  <a16:creationId xmlns:a16="http://schemas.microsoft.com/office/drawing/2014/main" id="{00000000-0008-0000-2900-000017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266700</xdr:colOff>
          <xdr:row>20</xdr:row>
          <xdr:rowOff>6350</xdr:rowOff>
        </xdr:from>
        <xdr:to>
          <xdr:col>9</xdr:col>
          <xdr:colOff>76200</xdr:colOff>
          <xdr:row>20</xdr:row>
          <xdr:rowOff>228600</xdr:rowOff>
        </xdr:to>
        <xdr:sp macro="" textlink="">
          <xdr:nvSpPr>
            <xdr:cNvPr id="69656" name="Check Box 24" hidden="1">
              <a:extLst>
                <a:ext uri="{63B3BB69-23CF-44E3-9099-C40C66FF867C}">
                  <a14:compatExt spid="_x0000_s69656"/>
                </a:ext>
                <a:ext uri="{FF2B5EF4-FFF2-40B4-BE49-F238E27FC236}">
                  <a16:creationId xmlns:a16="http://schemas.microsoft.com/office/drawing/2014/main" id="{00000000-0008-0000-2900-000018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266700</xdr:colOff>
          <xdr:row>19</xdr:row>
          <xdr:rowOff>6350</xdr:rowOff>
        </xdr:from>
        <xdr:to>
          <xdr:col>17</xdr:col>
          <xdr:colOff>76200</xdr:colOff>
          <xdr:row>19</xdr:row>
          <xdr:rowOff>228600</xdr:rowOff>
        </xdr:to>
        <xdr:sp macro="" textlink="">
          <xdr:nvSpPr>
            <xdr:cNvPr id="69657" name="Check Box 25" hidden="1">
              <a:extLst>
                <a:ext uri="{63B3BB69-23CF-44E3-9099-C40C66FF867C}">
                  <a14:compatExt spid="_x0000_s69657"/>
                </a:ext>
                <a:ext uri="{FF2B5EF4-FFF2-40B4-BE49-F238E27FC236}">
                  <a16:creationId xmlns:a16="http://schemas.microsoft.com/office/drawing/2014/main" id="{00000000-0008-0000-2900-000019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266700</xdr:colOff>
          <xdr:row>20</xdr:row>
          <xdr:rowOff>6350</xdr:rowOff>
        </xdr:from>
        <xdr:to>
          <xdr:col>17</xdr:col>
          <xdr:colOff>76200</xdr:colOff>
          <xdr:row>20</xdr:row>
          <xdr:rowOff>228600</xdr:rowOff>
        </xdr:to>
        <xdr:sp macro="" textlink="">
          <xdr:nvSpPr>
            <xdr:cNvPr id="69658" name="Check Box 26" hidden="1">
              <a:extLst>
                <a:ext uri="{63B3BB69-23CF-44E3-9099-C40C66FF867C}">
                  <a14:compatExt spid="_x0000_s69658"/>
                </a:ext>
                <a:ext uri="{FF2B5EF4-FFF2-40B4-BE49-F238E27FC236}">
                  <a16:creationId xmlns:a16="http://schemas.microsoft.com/office/drawing/2014/main" id="{00000000-0008-0000-2900-00001A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266700</xdr:colOff>
          <xdr:row>19</xdr:row>
          <xdr:rowOff>6350</xdr:rowOff>
        </xdr:from>
        <xdr:to>
          <xdr:col>24</xdr:col>
          <xdr:colOff>76200</xdr:colOff>
          <xdr:row>19</xdr:row>
          <xdr:rowOff>228600</xdr:rowOff>
        </xdr:to>
        <xdr:sp macro="" textlink="">
          <xdr:nvSpPr>
            <xdr:cNvPr id="69659" name="Check Box 27" hidden="1">
              <a:extLst>
                <a:ext uri="{63B3BB69-23CF-44E3-9099-C40C66FF867C}">
                  <a14:compatExt spid="_x0000_s69659"/>
                </a:ext>
                <a:ext uri="{FF2B5EF4-FFF2-40B4-BE49-F238E27FC236}">
                  <a16:creationId xmlns:a16="http://schemas.microsoft.com/office/drawing/2014/main" id="{00000000-0008-0000-2900-00001B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266700</xdr:colOff>
          <xdr:row>20</xdr:row>
          <xdr:rowOff>6350</xdr:rowOff>
        </xdr:from>
        <xdr:to>
          <xdr:col>24</xdr:col>
          <xdr:colOff>76200</xdr:colOff>
          <xdr:row>20</xdr:row>
          <xdr:rowOff>228600</xdr:rowOff>
        </xdr:to>
        <xdr:sp macro="" textlink="">
          <xdr:nvSpPr>
            <xdr:cNvPr id="69660" name="Check Box 28" hidden="1">
              <a:extLst>
                <a:ext uri="{63B3BB69-23CF-44E3-9099-C40C66FF867C}">
                  <a14:compatExt spid="_x0000_s69660"/>
                </a:ext>
                <a:ext uri="{FF2B5EF4-FFF2-40B4-BE49-F238E27FC236}">
                  <a16:creationId xmlns:a16="http://schemas.microsoft.com/office/drawing/2014/main" id="{00000000-0008-0000-2900-00001C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266700</xdr:colOff>
          <xdr:row>19</xdr:row>
          <xdr:rowOff>6350</xdr:rowOff>
        </xdr:from>
        <xdr:to>
          <xdr:col>33</xdr:col>
          <xdr:colOff>76200</xdr:colOff>
          <xdr:row>19</xdr:row>
          <xdr:rowOff>228600</xdr:rowOff>
        </xdr:to>
        <xdr:sp macro="" textlink="">
          <xdr:nvSpPr>
            <xdr:cNvPr id="69661" name="Check Box 29" hidden="1">
              <a:extLst>
                <a:ext uri="{63B3BB69-23CF-44E3-9099-C40C66FF867C}">
                  <a14:compatExt spid="_x0000_s69661"/>
                </a:ext>
                <a:ext uri="{FF2B5EF4-FFF2-40B4-BE49-F238E27FC236}">
                  <a16:creationId xmlns:a16="http://schemas.microsoft.com/office/drawing/2014/main" id="{00000000-0008-0000-2900-00001D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0</xdr:colOff>
          <xdr:row>29</xdr:row>
          <xdr:rowOff>107950</xdr:rowOff>
        </xdr:from>
        <xdr:to>
          <xdr:col>34</xdr:col>
          <xdr:colOff>82550</xdr:colOff>
          <xdr:row>29</xdr:row>
          <xdr:rowOff>330200</xdr:rowOff>
        </xdr:to>
        <xdr:sp macro="" textlink="">
          <xdr:nvSpPr>
            <xdr:cNvPr id="69662" name="Check Box 30" hidden="1">
              <a:extLst>
                <a:ext uri="{63B3BB69-23CF-44E3-9099-C40C66FF867C}">
                  <a14:compatExt spid="_x0000_s69662"/>
                </a:ext>
                <a:ext uri="{FF2B5EF4-FFF2-40B4-BE49-F238E27FC236}">
                  <a16:creationId xmlns:a16="http://schemas.microsoft.com/office/drawing/2014/main" id="{00000000-0008-0000-2900-00001E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xdr:col>
          <xdr:colOff>0</xdr:colOff>
          <xdr:row>29</xdr:row>
          <xdr:rowOff>101600</xdr:rowOff>
        </xdr:from>
        <xdr:to>
          <xdr:col>39</xdr:col>
          <xdr:colOff>82550</xdr:colOff>
          <xdr:row>29</xdr:row>
          <xdr:rowOff>317500</xdr:rowOff>
        </xdr:to>
        <xdr:sp macro="" textlink="">
          <xdr:nvSpPr>
            <xdr:cNvPr id="69663" name="Check Box 31" hidden="1">
              <a:extLst>
                <a:ext uri="{63B3BB69-23CF-44E3-9099-C40C66FF867C}">
                  <a14:compatExt spid="_x0000_s69663"/>
                </a:ext>
                <a:ext uri="{FF2B5EF4-FFF2-40B4-BE49-F238E27FC236}">
                  <a16:creationId xmlns:a16="http://schemas.microsoft.com/office/drawing/2014/main" id="{00000000-0008-0000-2900-00001F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0</xdr:colOff>
          <xdr:row>31</xdr:row>
          <xdr:rowOff>107950</xdr:rowOff>
        </xdr:from>
        <xdr:to>
          <xdr:col>34</xdr:col>
          <xdr:colOff>82550</xdr:colOff>
          <xdr:row>31</xdr:row>
          <xdr:rowOff>330200</xdr:rowOff>
        </xdr:to>
        <xdr:sp macro="" textlink="">
          <xdr:nvSpPr>
            <xdr:cNvPr id="69664" name="Check Box 32" hidden="1">
              <a:extLst>
                <a:ext uri="{63B3BB69-23CF-44E3-9099-C40C66FF867C}">
                  <a14:compatExt spid="_x0000_s69664"/>
                </a:ext>
                <a:ext uri="{FF2B5EF4-FFF2-40B4-BE49-F238E27FC236}">
                  <a16:creationId xmlns:a16="http://schemas.microsoft.com/office/drawing/2014/main" id="{00000000-0008-0000-2900-000020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xdr:col>
          <xdr:colOff>0</xdr:colOff>
          <xdr:row>31</xdr:row>
          <xdr:rowOff>107950</xdr:rowOff>
        </xdr:from>
        <xdr:to>
          <xdr:col>39</xdr:col>
          <xdr:colOff>82550</xdr:colOff>
          <xdr:row>31</xdr:row>
          <xdr:rowOff>330200</xdr:rowOff>
        </xdr:to>
        <xdr:sp macro="" textlink="">
          <xdr:nvSpPr>
            <xdr:cNvPr id="69665" name="Check Box 33" hidden="1">
              <a:extLst>
                <a:ext uri="{63B3BB69-23CF-44E3-9099-C40C66FF867C}">
                  <a14:compatExt spid="_x0000_s69665"/>
                </a:ext>
                <a:ext uri="{FF2B5EF4-FFF2-40B4-BE49-F238E27FC236}">
                  <a16:creationId xmlns:a16="http://schemas.microsoft.com/office/drawing/2014/main" id="{00000000-0008-0000-2900-000021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0</xdr:colOff>
          <xdr:row>34</xdr:row>
          <xdr:rowOff>38100</xdr:rowOff>
        </xdr:from>
        <xdr:to>
          <xdr:col>34</xdr:col>
          <xdr:colOff>82550</xdr:colOff>
          <xdr:row>34</xdr:row>
          <xdr:rowOff>260350</xdr:rowOff>
        </xdr:to>
        <xdr:sp macro="" textlink="">
          <xdr:nvSpPr>
            <xdr:cNvPr id="69666" name="Check Box 34" hidden="1">
              <a:extLst>
                <a:ext uri="{63B3BB69-23CF-44E3-9099-C40C66FF867C}">
                  <a14:compatExt spid="_x0000_s69666"/>
                </a:ext>
                <a:ext uri="{FF2B5EF4-FFF2-40B4-BE49-F238E27FC236}">
                  <a16:creationId xmlns:a16="http://schemas.microsoft.com/office/drawing/2014/main" id="{00000000-0008-0000-2900-000022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xdr:col>
          <xdr:colOff>0</xdr:colOff>
          <xdr:row>34</xdr:row>
          <xdr:rowOff>38100</xdr:rowOff>
        </xdr:from>
        <xdr:to>
          <xdr:col>39</xdr:col>
          <xdr:colOff>82550</xdr:colOff>
          <xdr:row>34</xdr:row>
          <xdr:rowOff>260350</xdr:rowOff>
        </xdr:to>
        <xdr:sp macro="" textlink="">
          <xdr:nvSpPr>
            <xdr:cNvPr id="69667" name="Check Box 35" hidden="1">
              <a:extLst>
                <a:ext uri="{63B3BB69-23CF-44E3-9099-C40C66FF867C}">
                  <a14:compatExt spid="_x0000_s69667"/>
                </a:ext>
                <a:ext uri="{FF2B5EF4-FFF2-40B4-BE49-F238E27FC236}">
                  <a16:creationId xmlns:a16="http://schemas.microsoft.com/office/drawing/2014/main" id="{00000000-0008-0000-2900-000023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29</xdr:row>
          <xdr:rowOff>107950</xdr:rowOff>
        </xdr:from>
        <xdr:to>
          <xdr:col>9</xdr:col>
          <xdr:colOff>82550</xdr:colOff>
          <xdr:row>29</xdr:row>
          <xdr:rowOff>330200</xdr:rowOff>
        </xdr:to>
        <xdr:sp macro="" textlink="">
          <xdr:nvSpPr>
            <xdr:cNvPr id="69668" name="Check Box 36" hidden="1">
              <a:extLst>
                <a:ext uri="{63B3BB69-23CF-44E3-9099-C40C66FF867C}">
                  <a14:compatExt spid="_x0000_s69668"/>
                </a:ext>
                <a:ext uri="{FF2B5EF4-FFF2-40B4-BE49-F238E27FC236}">
                  <a16:creationId xmlns:a16="http://schemas.microsoft.com/office/drawing/2014/main" id="{00000000-0008-0000-2900-000024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31</xdr:row>
          <xdr:rowOff>107950</xdr:rowOff>
        </xdr:from>
        <xdr:to>
          <xdr:col>9</xdr:col>
          <xdr:colOff>82550</xdr:colOff>
          <xdr:row>31</xdr:row>
          <xdr:rowOff>330200</xdr:rowOff>
        </xdr:to>
        <xdr:sp macro="" textlink="">
          <xdr:nvSpPr>
            <xdr:cNvPr id="69669" name="Check Box 37" hidden="1">
              <a:extLst>
                <a:ext uri="{63B3BB69-23CF-44E3-9099-C40C66FF867C}">
                  <a14:compatExt spid="_x0000_s69669"/>
                </a:ext>
                <a:ext uri="{FF2B5EF4-FFF2-40B4-BE49-F238E27FC236}">
                  <a16:creationId xmlns:a16="http://schemas.microsoft.com/office/drawing/2014/main" id="{00000000-0008-0000-2900-000025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33</xdr:row>
          <xdr:rowOff>38100</xdr:rowOff>
        </xdr:from>
        <xdr:to>
          <xdr:col>9</xdr:col>
          <xdr:colOff>82550</xdr:colOff>
          <xdr:row>33</xdr:row>
          <xdr:rowOff>260350</xdr:rowOff>
        </xdr:to>
        <xdr:sp macro="" textlink="">
          <xdr:nvSpPr>
            <xdr:cNvPr id="69670" name="Check Box 38" hidden="1">
              <a:extLst>
                <a:ext uri="{63B3BB69-23CF-44E3-9099-C40C66FF867C}">
                  <a14:compatExt spid="_x0000_s69670"/>
                </a:ext>
                <a:ext uri="{FF2B5EF4-FFF2-40B4-BE49-F238E27FC236}">
                  <a16:creationId xmlns:a16="http://schemas.microsoft.com/office/drawing/2014/main" id="{00000000-0008-0000-2900-000026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26</xdr:row>
          <xdr:rowOff>0</xdr:rowOff>
        </xdr:from>
        <xdr:to>
          <xdr:col>17</xdr:col>
          <xdr:colOff>88900</xdr:colOff>
          <xdr:row>26</xdr:row>
          <xdr:rowOff>222250</xdr:rowOff>
        </xdr:to>
        <xdr:sp macro="" textlink="">
          <xdr:nvSpPr>
            <xdr:cNvPr id="69671" name="Check Box 39" hidden="1">
              <a:extLst>
                <a:ext uri="{63B3BB69-23CF-44E3-9099-C40C66FF867C}">
                  <a14:compatExt spid="_x0000_s69671"/>
                </a:ext>
                <a:ext uri="{FF2B5EF4-FFF2-40B4-BE49-F238E27FC236}">
                  <a16:creationId xmlns:a16="http://schemas.microsoft.com/office/drawing/2014/main" id="{00000000-0008-0000-2900-000027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25</xdr:row>
          <xdr:rowOff>101600</xdr:rowOff>
        </xdr:from>
        <xdr:to>
          <xdr:col>22</xdr:col>
          <xdr:colOff>76200</xdr:colOff>
          <xdr:row>26</xdr:row>
          <xdr:rowOff>215900</xdr:rowOff>
        </xdr:to>
        <xdr:sp macro="" textlink="">
          <xdr:nvSpPr>
            <xdr:cNvPr id="69672" name="Check Box 40" hidden="1">
              <a:extLst>
                <a:ext uri="{63B3BB69-23CF-44E3-9099-C40C66FF867C}">
                  <a14:compatExt spid="_x0000_s69672"/>
                </a:ext>
                <a:ext uri="{FF2B5EF4-FFF2-40B4-BE49-F238E27FC236}">
                  <a16:creationId xmlns:a16="http://schemas.microsoft.com/office/drawing/2014/main" id="{00000000-0008-0000-2900-000028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266700</xdr:colOff>
          <xdr:row>4</xdr:row>
          <xdr:rowOff>6350</xdr:rowOff>
        </xdr:from>
        <xdr:to>
          <xdr:col>29</xdr:col>
          <xdr:colOff>82550</xdr:colOff>
          <xdr:row>4</xdr:row>
          <xdr:rowOff>228600</xdr:rowOff>
        </xdr:to>
        <xdr:sp macro="" textlink="">
          <xdr:nvSpPr>
            <xdr:cNvPr id="70657" name="Check Box 1" hidden="1">
              <a:extLst>
                <a:ext uri="{63B3BB69-23CF-44E3-9099-C40C66FF867C}">
                  <a14:compatExt spid="_x0000_s70657"/>
                </a:ext>
                <a:ext uri="{FF2B5EF4-FFF2-40B4-BE49-F238E27FC236}">
                  <a16:creationId xmlns:a16="http://schemas.microsoft.com/office/drawing/2014/main" id="{00000000-0008-0000-2A00-000001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0</xdr:colOff>
          <xdr:row>4</xdr:row>
          <xdr:rowOff>12700</xdr:rowOff>
        </xdr:from>
        <xdr:to>
          <xdr:col>34</xdr:col>
          <xdr:colOff>88900</xdr:colOff>
          <xdr:row>4</xdr:row>
          <xdr:rowOff>234950</xdr:rowOff>
        </xdr:to>
        <xdr:sp macro="" textlink="">
          <xdr:nvSpPr>
            <xdr:cNvPr id="70658" name="Check Box 2" hidden="1">
              <a:extLst>
                <a:ext uri="{63B3BB69-23CF-44E3-9099-C40C66FF867C}">
                  <a14:compatExt spid="_x0000_s70658"/>
                </a:ext>
                <a:ext uri="{FF2B5EF4-FFF2-40B4-BE49-F238E27FC236}">
                  <a16:creationId xmlns:a16="http://schemas.microsoft.com/office/drawing/2014/main" id="{00000000-0008-0000-2A00-000002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266700</xdr:colOff>
          <xdr:row>7</xdr:row>
          <xdr:rowOff>6350</xdr:rowOff>
        </xdr:from>
        <xdr:to>
          <xdr:col>9</xdr:col>
          <xdr:colOff>82550</xdr:colOff>
          <xdr:row>7</xdr:row>
          <xdr:rowOff>228600</xdr:rowOff>
        </xdr:to>
        <xdr:sp macro="" textlink="">
          <xdr:nvSpPr>
            <xdr:cNvPr id="70659" name="Check Box 3" hidden="1">
              <a:extLst>
                <a:ext uri="{63B3BB69-23CF-44E3-9099-C40C66FF867C}">
                  <a14:compatExt spid="_x0000_s70659"/>
                </a:ext>
                <a:ext uri="{FF2B5EF4-FFF2-40B4-BE49-F238E27FC236}">
                  <a16:creationId xmlns:a16="http://schemas.microsoft.com/office/drawing/2014/main" id="{00000000-0008-0000-2A00-000003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266700</xdr:colOff>
          <xdr:row>8</xdr:row>
          <xdr:rowOff>6350</xdr:rowOff>
        </xdr:from>
        <xdr:to>
          <xdr:col>9</xdr:col>
          <xdr:colOff>82550</xdr:colOff>
          <xdr:row>8</xdr:row>
          <xdr:rowOff>228600</xdr:rowOff>
        </xdr:to>
        <xdr:sp macro="" textlink="">
          <xdr:nvSpPr>
            <xdr:cNvPr id="70660" name="Check Box 4" hidden="1">
              <a:extLst>
                <a:ext uri="{63B3BB69-23CF-44E3-9099-C40C66FF867C}">
                  <a14:compatExt spid="_x0000_s70660"/>
                </a:ext>
                <a:ext uri="{FF2B5EF4-FFF2-40B4-BE49-F238E27FC236}">
                  <a16:creationId xmlns:a16="http://schemas.microsoft.com/office/drawing/2014/main" id="{00000000-0008-0000-2A00-000004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266700</xdr:colOff>
          <xdr:row>9</xdr:row>
          <xdr:rowOff>6350</xdr:rowOff>
        </xdr:from>
        <xdr:to>
          <xdr:col>9</xdr:col>
          <xdr:colOff>82550</xdr:colOff>
          <xdr:row>9</xdr:row>
          <xdr:rowOff>228600</xdr:rowOff>
        </xdr:to>
        <xdr:sp macro="" textlink="">
          <xdr:nvSpPr>
            <xdr:cNvPr id="70661" name="Check Box 5" hidden="1">
              <a:extLst>
                <a:ext uri="{63B3BB69-23CF-44E3-9099-C40C66FF867C}">
                  <a14:compatExt spid="_x0000_s70661"/>
                </a:ext>
                <a:ext uri="{FF2B5EF4-FFF2-40B4-BE49-F238E27FC236}">
                  <a16:creationId xmlns:a16="http://schemas.microsoft.com/office/drawing/2014/main" id="{00000000-0008-0000-2A00-000005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7</xdr:row>
          <xdr:rowOff>6350</xdr:rowOff>
        </xdr:from>
        <xdr:to>
          <xdr:col>22</xdr:col>
          <xdr:colOff>82550</xdr:colOff>
          <xdr:row>7</xdr:row>
          <xdr:rowOff>228600</xdr:rowOff>
        </xdr:to>
        <xdr:sp macro="" textlink="">
          <xdr:nvSpPr>
            <xdr:cNvPr id="70662" name="Check Box 6" hidden="1">
              <a:extLst>
                <a:ext uri="{63B3BB69-23CF-44E3-9099-C40C66FF867C}">
                  <a14:compatExt spid="_x0000_s70662"/>
                </a:ext>
                <a:ext uri="{FF2B5EF4-FFF2-40B4-BE49-F238E27FC236}">
                  <a16:creationId xmlns:a16="http://schemas.microsoft.com/office/drawing/2014/main" id="{00000000-0008-0000-2A00-000006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8</xdr:row>
          <xdr:rowOff>6350</xdr:rowOff>
        </xdr:from>
        <xdr:to>
          <xdr:col>22</xdr:col>
          <xdr:colOff>82550</xdr:colOff>
          <xdr:row>8</xdr:row>
          <xdr:rowOff>228600</xdr:rowOff>
        </xdr:to>
        <xdr:sp macro="" textlink="">
          <xdr:nvSpPr>
            <xdr:cNvPr id="70663" name="Check Box 7" hidden="1">
              <a:extLst>
                <a:ext uri="{63B3BB69-23CF-44E3-9099-C40C66FF867C}">
                  <a14:compatExt spid="_x0000_s70663"/>
                </a:ext>
                <a:ext uri="{FF2B5EF4-FFF2-40B4-BE49-F238E27FC236}">
                  <a16:creationId xmlns:a16="http://schemas.microsoft.com/office/drawing/2014/main" id="{00000000-0008-0000-2A00-000007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9</xdr:row>
          <xdr:rowOff>6350</xdr:rowOff>
        </xdr:from>
        <xdr:to>
          <xdr:col>22</xdr:col>
          <xdr:colOff>82550</xdr:colOff>
          <xdr:row>9</xdr:row>
          <xdr:rowOff>228600</xdr:rowOff>
        </xdr:to>
        <xdr:sp macro="" textlink="">
          <xdr:nvSpPr>
            <xdr:cNvPr id="70664" name="Check Box 8" hidden="1">
              <a:extLst>
                <a:ext uri="{63B3BB69-23CF-44E3-9099-C40C66FF867C}">
                  <a14:compatExt spid="_x0000_s70664"/>
                </a:ext>
                <a:ext uri="{FF2B5EF4-FFF2-40B4-BE49-F238E27FC236}">
                  <a16:creationId xmlns:a16="http://schemas.microsoft.com/office/drawing/2014/main" id="{00000000-0008-0000-2A00-000008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266700</xdr:colOff>
          <xdr:row>10</xdr:row>
          <xdr:rowOff>6350</xdr:rowOff>
        </xdr:from>
        <xdr:to>
          <xdr:col>34</xdr:col>
          <xdr:colOff>82550</xdr:colOff>
          <xdr:row>10</xdr:row>
          <xdr:rowOff>228600</xdr:rowOff>
        </xdr:to>
        <xdr:sp macro="" textlink="">
          <xdr:nvSpPr>
            <xdr:cNvPr id="70665" name="Check Box 9" hidden="1">
              <a:extLst>
                <a:ext uri="{63B3BB69-23CF-44E3-9099-C40C66FF867C}">
                  <a14:compatExt spid="_x0000_s70665"/>
                </a:ext>
                <a:ext uri="{FF2B5EF4-FFF2-40B4-BE49-F238E27FC236}">
                  <a16:creationId xmlns:a16="http://schemas.microsoft.com/office/drawing/2014/main" id="{00000000-0008-0000-2A00-000009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266700</xdr:colOff>
          <xdr:row>9</xdr:row>
          <xdr:rowOff>6350</xdr:rowOff>
        </xdr:from>
        <xdr:to>
          <xdr:col>34</xdr:col>
          <xdr:colOff>82550</xdr:colOff>
          <xdr:row>9</xdr:row>
          <xdr:rowOff>228600</xdr:rowOff>
        </xdr:to>
        <xdr:sp macro="" textlink="">
          <xdr:nvSpPr>
            <xdr:cNvPr id="70666" name="Check Box 10" hidden="1">
              <a:extLst>
                <a:ext uri="{63B3BB69-23CF-44E3-9099-C40C66FF867C}">
                  <a14:compatExt spid="_x0000_s70666"/>
                </a:ext>
                <a:ext uri="{FF2B5EF4-FFF2-40B4-BE49-F238E27FC236}">
                  <a16:creationId xmlns:a16="http://schemas.microsoft.com/office/drawing/2014/main" id="{00000000-0008-0000-2A00-00000A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266700</xdr:colOff>
          <xdr:row>8</xdr:row>
          <xdr:rowOff>6350</xdr:rowOff>
        </xdr:from>
        <xdr:to>
          <xdr:col>34</xdr:col>
          <xdr:colOff>82550</xdr:colOff>
          <xdr:row>8</xdr:row>
          <xdr:rowOff>228600</xdr:rowOff>
        </xdr:to>
        <xdr:sp macro="" textlink="">
          <xdr:nvSpPr>
            <xdr:cNvPr id="70667" name="Check Box 11" hidden="1">
              <a:extLst>
                <a:ext uri="{63B3BB69-23CF-44E3-9099-C40C66FF867C}">
                  <a14:compatExt spid="_x0000_s70667"/>
                </a:ext>
                <a:ext uri="{FF2B5EF4-FFF2-40B4-BE49-F238E27FC236}">
                  <a16:creationId xmlns:a16="http://schemas.microsoft.com/office/drawing/2014/main" id="{00000000-0008-0000-2A00-00000B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266700</xdr:colOff>
          <xdr:row>7</xdr:row>
          <xdr:rowOff>6350</xdr:rowOff>
        </xdr:from>
        <xdr:to>
          <xdr:col>34</xdr:col>
          <xdr:colOff>82550</xdr:colOff>
          <xdr:row>7</xdr:row>
          <xdr:rowOff>228600</xdr:rowOff>
        </xdr:to>
        <xdr:sp macro="" textlink="">
          <xdr:nvSpPr>
            <xdr:cNvPr id="70668" name="Check Box 12" hidden="1">
              <a:extLst>
                <a:ext uri="{63B3BB69-23CF-44E3-9099-C40C66FF867C}">
                  <a14:compatExt spid="_x0000_s70668"/>
                </a:ext>
                <a:ext uri="{FF2B5EF4-FFF2-40B4-BE49-F238E27FC236}">
                  <a16:creationId xmlns:a16="http://schemas.microsoft.com/office/drawing/2014/main" id="{00000000-0008-0000-2A00-00000C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266700</xdr:colOff>
          <xdr:row>13</xdr:row>
          <xdr:rowOff>6350</xdr:rowOff>
        </xdr:from>
        <xdr:to>
          <xdr:col>9</xdr:col>
          <xdr:colOff>82550</xdr:colOff>
          <xdr:row>13</xdr:row>
          <xdr:rowOff>228600</xdr:rowOff>
        </xdr:to>
        <xdr:sp macro="" textlink="">
          <xdr:nvSpPr>
            <xdr:cNvPr id="70669" name="Check Box 13" hidden="1">
              <a:extLst>
                <a:ext uri="{63B3BB69-23CF-44E3-9099-C40C66FF867C}">
                  <a14:compatExt spid="_x0000_s70669"/>
                </a:ext>
                <a:ext uri="{FF2B5EF4-FFF2-40B4-BE49-F238E27FC236}">
                  <a16:creationId xmlns:a16="http://schemas.microsoft.com/office/drawing/2014/main" id="{00000000-0008-0000-2A00-00000D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266700</xdr:colOff>
          <xdr:row>14</xdr:row>
          <xdr:rowOff>6350</xdr:rowOff>
        </xdr:from>
        <xdr:to>
          <xdr:col>9</xdr:col>
          <xdr:colOff>82550</xdr:colOff>
          <xdr:row>14</xdr:row>
          <xdr:rowOff>228600</xdr:rowOff>
        </xdr:to>
        <xdr:sp macro="" textlink="">
          <xdr:nvSpPr>
            <xdr:cNvPr id="70670" name="Check Box 14" hidden="1">
              <a:extLst>
                <a:ext uri="{63B3BB69-23CF-44E3-9099-C40C66FF867C}">
                  <a14:compatExt spid="_x0000_s70670"/>
                </a:ext>
                <a:ext uri="{FF2B5EF4-FFF2-40B4-BE49-F238E27FC236}">
                  <a16:creationId xmlns:a16="http://schemas.microsoft.com/office/drawing/2014/main" id="{00000000-0008-0000-2A00-00000E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13</xdr:row>
          <xdr:rowOff>6350</xdr:rowOff>
        </xdr:from>
        <xdr:to>
          <xdr:col>22</xdr:col>
          <xdr:colOff>82550</xdr:colOff>
          <xdr:row>13</xdr:row>
          <xdr:rowOff>228600</xdr:rowOff>
        </xdr:to>
        <xdr:sp macro="" textlink="">
          <xdr:nvSpPr>
            <xdr:cNvPr id="70671" name="Check Box 15" hidden="1">
              <a:extLst>
                <a:ext uri="{63B3BB69-23CF-44E3-9099-C40C66FF867C}">
                  <a14:compatExt spid="_x0000_s70671"/>
                </a:ext>
                <a:ext uri="{FF2B5EF4-FFF2-40B4-BE49-F238E27FC236}">
                  <a16:creationId xmlns:a16="http://schemas.microsoft.com/office/drawing/2014/main" id="{00000000-0008-0000-2A00-00000F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14</xdr:row>
          <xdr:rowOff>6350</xdr:rowOff>
        </xdr:from>
        <xdr:to>
          <xdr:col>22</xdr:col>
          <xdr:colOff>82550</xdr:colOff>
          <xdr:row>14</xdr:row>
          <xdr:rowOff>228600</xdr:rowOff>
        </xdr:to>
        <xdr:sp macro="" textlink="">
          <xdr:nvSpPr>
            <xdr:cNvPr id="70672" name="Check Box 16" hidden="1">
              <a:extLst>
                <a:ext uri="{63B3BB69-23CF-44E3-9099-C40C66FF867C}">
                  <a14:compatExt spid="_x0000_s70672"/>
                </a:ext>
                <a:ext uri="{FF2B5EF4-FFF2-40B4-BE49-F238E27FC236}">
                  <a16:creationId xmlns:a16="http://schemas.microsoft.com/office/drawing/2014/main" id="{00000000-0008-0000-2A00-000010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266700</xdr:colOff>
          <xdr:row>13</xdr:row>
          <xdr:rowOff>6350</xdr:rowOff>
        </xdr:from>
        <xdr:to>
          <xdr:col>34</xdr:col>
          <xdr:colOff>82550</xdr:colOff>
          <xdr:row>13</xdr:row>
          <xdr:rowOff>228600</xdr:rowOff>
        </xdr:to>
        <xdr:sp macro="" textlink="">
          <xdr:nvSpPr>
            <xdr:cNvPr id="70673" name="Check Box 17" hidden="1">
              <a:extLst>
                <a:ext uri="{63B3BB69-23CF-44E3-9099-C40C66FF867C}">
                  <a14:compatExt spid="_x0000_s70673"/>
                </a:ext>
                <a:ext uri="{FF2B5EF4-FFF2-40B4-BE49-F238E27FC236}">
                  <a16:creationId xmlns:a16="http://schemas.microsoft.com/office/drawing/2014/main" id="{00000000-0008-0000-2A00-000011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266700</xdr:colOff>
          <xdr:row>21</xdr:row>
          <xdr:rowOff>6350</xdr:rowOff>
        </xdr:from>
        <xdr:to>
          <xdr:col>21</xdr:col>
          <xdr:colOff>82550</xdr:colOff>
          <xdr:row>21</xdr:row>
          <xdr:rowOff>228600</xdr:rowOff>
        </xdr:to>
        <xdr:sp macro="" textlink="">
          <xdr:nvSpPr>
            <xdr:cNvPr id="70674" name="Check Box 18" hidden="1">
              <a:extLst>
                <a:ext uri="{63B3BB69-23CF-44E3-9099-C40C66FF867C}">
                  <a14:compatExt spid="_x0000_s70674"/>
                </a:ext>
                <a:ext uri="{FF2B5EF4-FFF2-40B4-BE49-F238E27FC236}">
                  <a16:creationId xmlns:a16="http://schemas.microsoft.com/office/drawing/2014/main" id="{00000000-0008-0000-2A00-000012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266700</xdr:colOff>
          <xdr:row>22</xdr:row>
          <xdr:rowOff>6350</xdr:rowOff>
        </xdr:from>
        <xdr:to>
          <xdr:col>21</xdr:col>
          <xdr:colOff>82550</xdr:colOff>
          <xdr:row>22</xdr:row>
          <xdr:rowOff>228600</xdr:rowOff>
        </xdr:to>
        <xdr:sp macro="" textlink="">
          <xdr:nvSpPr>
            <xdr:cNvPr id="70675" name="Check Box 19" hidden="1">
              <a:extLst>
                <a:ext uri="{63B3BB69-23CF-44E3-9099-C40C66FF867C}">
                  <a14:compatExt spid="_x0000_s70675"/>
                </a:ext>
                <a:ext uri="{FF2B5EF4-FFF2-40B4-BE49-F238E27FC236}">
                  <a16:creationId xmlns:a16="http://schemas.microsoft.com/office/drawing/2014/main" id="{00000000-0008-0000-2A00-000013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266700</xdr:colOff>
          <xdr:row>21</xdr:row>
          <xdr:rowOff>6350</xdr:rowOff>
        </xdr:from>
        <xdr:to>
          <xdr:col>9</xdr:col>
          <xdr:colOff>82550</xdr:colOff>
          <xdr:row>21</xdr:row>
          <xdr:rowOff>228600</xdr:rowOff>
        </xdr:to>
        <xdr:sp macro="" textlink="">
          <xdr:nvSpPr>
            <xdr:cNvPr id="70676" name="Check Box 20" hidden="1">
              <a:extLst>
                <a:ext uri="{63B3BB69-23CF-44E3-9099-C40C66FF867C}">
                  <a14:compatExt spid="_x0000_s70676"/>
                </a:ext>
                <a:ext uri="{FF2B5EF4-FFF2-40B4-BE49-F238E27FC236}">
                  <a16:creationId xmlns:a16="http://schemas.microsoft.com/office/drawing/2014/main" id="{00000000-0008-0000-2A00-000014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266700</xdr:colOff>
          <xdr:row>22</xdr:row>
          <xdr:rowOff>6350</xdr:rowOff>
        </xdr:from>
        <xdr:to>
          <xdr:col>9</xdr:col>
          <xdr:colOff>82550</xdr:colOff>
          <xdr:row>22</xdr:row>
          <xdr:rowOff>228600</xdr:rowOff>
        </xdr:to>
        <xdr:sp macro="" textlink="">
          <xdr:nvSpPr>
            <xdr:cNvPr id="70677" name="Check Box 21" hidden="1">
              <a:extLst>
                <a:ext uri="{63B3BB69-23CF-44E3-9099-C40C66FF867C}">
                  <a14:compatExt spid="_x0000_s70677"/>
                </a:ext>
                <a:ext uri="{FF2B5EF4-FFF2-40B4-BE49-F238E27FC236}">
                  <a16:creationId xmlns:a16="http://schemas.microsoft.com/office/drawing/2014/main" id="{00000000-0008-0000-2A00-000015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266700</xdr:colOff>
          <xdr:row>25</xdr:row>
          <xdr:rowOff>6350</xdr:rowOff>
        </xdr:from>
        <xdr:to>
          <xdr:col>9</xdr:col>
          <xdr:colOff>82550</xdr:colOff>
          <xdr:row>25</xdr:row>
          <xdr:rowOff>228600</xdr:rowOff>
        </xdr:to>
        <xdr:sp macro="" textlink="">
          <xdr:nvSpPr>
            <xdr:cNvPr id="70678" name="Check Box 22" hidden="1">
              <a:extLst>
                <a:ext uri="{63B3BB69-23CF-44E3-9099-C40C66FF867C}">
                  <a14:compatExt spid="_x0000_s70678"/>
                </a:ext>
                <a:ext uri="{FF2B5EF4-FFF2-40B4-BE49-F238E27FC236}">
                  <a16:creationId xmlns:a16="http://schemas.microsoft.com/office/drawing/2014/main" id="{00000000-0008-0000-2A00-000016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266700</xdr:colOff>
          <xdr:row>26</xdr:row>
          <xdr:rowOff>6350</xdr:rowOff>
        </xdr:from>
        <xdr:to>
          <xdr:col>9</xdr:col>
          <xdr:colOff>82550</xdr:colOff>
          <xdr:row>26</xdr:row>
          <xdr:rowOff>228600</xdr:rowOff>
        </xdr:to>
        <xdr:sp macro="" textlink="">
          <xdr:nvSpPr>
            <xdr:cNvPr id="70679" name="Check Box 23" hidden="1">
              <a:extLst>
                <a:ext uri="{63B3BB69-23CF-44E3-9099-C40C66FF867C}">
                  <a14:compatExt spid="_x0000_s70679"/>
                </a:ext>
                <a:ext uri="{FF2B5EF4-FFF2-40B4-BE49-F238E27FC236}">
                  <a16:creationId xmlns:a16="http://schemas.microsoft.com/office/drawing/2014/main" id="{00000000-0008-0000-2A00-000017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266700</xdr:colOff>
          <xdr:row>27</xdr:row>
          <xdr:rowOff>6350</xdr:rowOff>
        </xdr:from>
        <xdr:to>
          <xdr:col>9</xdr:col>
          <xdr:colOff>82550</xdr:colOff>
          <xdr:row>27</xdr:row>
          <xdr:rowOff>228600</xdr:rowOff>
        </xdr:to>
        <xdr:sp macro="" textlink="">
          <xdr:nvSpPr>
            <xdr:cNvPr id="70680" name="Check Box 24" hidden="1">
              <a:extLst>
                <a:ext uri="{63B3BB69-23CF-44E3-9099-C40C66FF867C}">
                  <a14:compatExt spid="_x0000_s70680"/>
                </a:ext>
                <a:ext uri="{FF2B5EF4-FFF2-40B4-BE49-F238E27FC236}">
                  <a16:creationId xmlns:a16="http://schemas.microsoft.com/office/drawing/2014/main" id="{00000000-0008-0000-2A00-000018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266700</xdr:colOff>
          <xdr:row>25</xdr:row>
          <xdr:rowOff>6350</xdr:rowOff>
        </xdr:from>
        <xdr:to>
          <xdr:col>21</xdr:col>
          <xdr:colOff>82550</xdr:colOff>
          <xdr:row>25</xdr:row>
          <xdr:rowOff>228600</xdr:rowOff>
        </xdr:to>
        <xdr:sp macro="" textlink="">
          <xdr:nvSpPr>
            <xdr:cNvPr id="70681" name="Check Box 25" hidden="1">
              <a:extLst>
                <a:ext uri="{63B3BB69-23CF-44E3-9099-C40C66FF867C}">
                  <a14:compatExt spid="_x0000_s70681"/>
                </a:ext>
                <a:ext uri="{FF2B5EF4-FFF2-40B4-BE49-F238E27FC236}">
                  <a16:creationId xmlns:a16="http://schemas.microsoft.com/office/drawing/2014/main" id="{00000000-0008-0000-2A00-000019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266700</xdr:colOff>
          <xdr:row>26</xdr:row>
          <xdr:rowOff>6350</xdr:rowOff>
        </xdr:from>
        <xdr:to>
          <xdr:col>21</xdr:col>
          <xdr:colOff>82550</xdr:colOff>
          <xdr:row>26</xdr:row>
          <xdr:rowOff>228600</xdr:rowOff>
        </xdr:to>
        <xdr:sp macro="" textlink="">
          <xdr:nvSpPr>
            <xdr:cNvPr id="70682" name="Check Box 26" hidden="1">
              <a:extLst>
                <a:ext uri="{63B3BB69-23CF-44E3-9099-C40C66FF867C}">
                  <a14:compatExt spid="_x0000_s70682"/>
                </a:ext>
                <a:ext uri="{FF2B5EF4-FFF2-40B4-BE49-F238E27FC236}">
                  <a16:creationId xmlns:a16="http://schemas.microsoft.com/office/drawing/2014/main" id="{00000000-0008-0000-2A00-00001A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266700</xdr:colOff>
          <xdr:row>27</xdr:row>
          <xdr:rowOff>6350</xdr:rowOff>
        </xdr:from>
        <xdr:to>
          <xdr:col>21</xdr:col>
          <xdr:colOff>82550</xdr:colOff>
          <xdr:row>27</xdr:row>
          <xdr:rowOff>228600</xdr:rowOff>
        </xdr:to>
        <xdr:sp macro="" textlink="">
          <xdr:nvSpPr>
            <xdr:cNvPr id="70683" name="Check Box 27" hidden="1">
              <a:extLst>
                <a:ext uri="{63B3BB69-23CF-44E3-9099-C40C66FF867C}">
                  <a14:compatExt spid="_x0000_s70683"/>
                </a:ext>
                <a:ext uri="{FF2B5EF4-FFF2-40B4-BE49-F238E27FC236}">
                  <a16:creationId xmlns:a16="http://schemas.microsoft.com/office/drawing/2014/main" id="{00000000-0008-0000-2A00-00001B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266700</xdr:colOff>
          <xdr:row>33</xdr:row>
          <xdr:rowOff>6350</xdr:rowOff>
        </xdr:from>
        <xdr:to>
          <xdr:col>24</xdr:col>
          <xdr:colOff>82550</xdr:colOff>
          <xdr:row>33</xdr:row>
          <xdr:rowOff>228600</xdr:rowOff>
        </xdr:to>
        <xdr:sp macro="" textlink="">
          <xdr:nvSpPr>
            <xdr:cNvPr id="70684" name="Check Box 28" hidden="1">
              <a:extLst>
                <a:ext uri="{63B3BB69-23CF-44E3-9099-C40C66FF867C}">
                  <a14:compatExt spid="_x0000_s70684"/>
                </a:ext>
                <a:ext uri="{FF2B5EF4-FFF2-40B4-BE49-F238E27FC236}">
                  <a16:creationId xmlns:a16="http://schemas.microsoft.com/office/drawing/2014/main" id="{00000000-0008-0000-2A00-00001C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266700</xdr:colOff>
          <xdr:row>33</xdr:row>
          <xdr:rowOff>6350</xdr:rowOff>
        </xdr:from>
        <xdr:to>
          <xdr:col>29</xdr:col>
          <xdr:colOff>82550</xdr:colOff>
          <xdr:row>33</xdr:row>
          <xdr:rowOff>228600</xdr:rowOff>
        </xdr:to>
        <xdr:sp macro="" textlink="">
          <xdr:nvSpPr>
            <xdr:cNvPr id="70685" name="Check Box 29" hidden="1">
              <a:extLst>
                <a:ext uri="{63B3BB69-23CF-44E3-9099-C40C66FF867C}">
                  <a14:compatExt spid="_x0000_s70685"/>
                </a:ext>
                <a:ext uri="{FF2B5EF4-FFF2-40B4-BE49-F238E27FC236}">
                  <a16:creationId xmlns:a16="http://schemas.microsoft.com/office/drawing/2014/main" id="{00000000-0008-0000-2A00-00001D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266700</xdr:colOff>
          <xdr:row>35</xdr:row>
          <xdr:rowOff>6350</xdr:rowOff>
        </xdr:from>
        <xdr:to>
          <xdr:col>9</xdr:col>
          <xdr:colOff>82550</xdr:colOff>
          <xdr:row>35</xdr:row>
          <xdr:rowOff>228600</xdr:rowOff>
        </xdr:to>
        <xdr:sp macro="" textlink="">
          <xdr:nvSpPr>
            <xdr:cNvPr id="70686" name="Check Box 30" hidden="1">
              <a:extLst>
                <a:ext uri="{63B3BB69-23CF-44E3-9099-C40C66FF867C}">
                  <a14:compatExt spid="_x0000_s70686"/>
                </a:ext>
                <a:ext uri="{FF2B5EF4-FFF2-40B4-BE49-F238E27FC236}">
                  <a16:creationId xmlns:a16="http://schemas.microsoft.com/office/drawing/2014/main" id="{00000000-0008-0000-2A00-00001E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266700</xdr:colOff>
          <xdr:row>36</xdr:row>
          <xdr:rowOff>6350</xdr:rowOff>
        </xdr:from>
        <xdr:to>
          <xdr:col>9</xdr:col>
          <xdr:colOff>82550</xdr:colOff>
          <xdr:row>36</xdr:row>
          <xdr:rowOff>228600</xdr:rowOff>
        </xdr:to>
        <xdr:sp macro="" textlink="">
          <xdr:nvSpPr>
            <xdr:cNvPr id="70687" name="Check Box 31" hidden="1">
              <a:extLst>
                <a:ext uri="{63B3BB69-23CF-44E3-9099-C40C66FF867C}">
                  <a14:compatExt spid="_x0000_s70687"/>
                </a:ext>
                <a:ext uri="{FF2B5EF4-FFF2-40B4-BE49-F238E27FC236}">
                  <a16:creationId xmlns:a16="http://schemas.microsoft.com/office/drawing/2014/main" id="{00000000-0008-0000-2A00-00001F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266700</xdr:colOff>
          <xdr:row>35</xdr:row>
          <xdr:rowOff>6350</xdr:rowOff>
        </xdr:from>
        <xdr:to>
          <xdr:col>21</xdr:col>
          <xdr:colOff>82550</xdr:colOff>
          <xdr:row>35</xdr:row>
          <xdr:rowOff>228600</xdr:rowOff>
        </xdr:to>
        <xdr:sp macro="" textlink="">
          <xdr:nvSpPr>
            <xdr:cNvPr id="70688" name="Check Box 32" hidden="1">
              <a:extLst>
                <a:ext uri="{63B3BB69-23CF-44E3-9099-C40C66FF867C}">
                  <a14:compatExt spid="_x0000_s70688"/>
                </a:ext>
                <a:ext uri="{FF2B5EF4-FFF2-40B4-BE49-F238E27FC236}">
                  <a16:creationId xmlns:a16="http://schemas.microsoft.com/office/drawing/2014/main" id="{00000000-0008-0000-2A00-000020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266700</xdr:colOff>
          <xdr:row>36</xdr:row>
          <xdr:rowOff>6350</xdr:rowOff>
        </xdr:from>
        <xdr:to>
          <xdr:col>21</xdr:col>
          <xdr:colOff>82550</xdr:colOff>
          <xdr:row>36</xdr:row>
          <xdr:rowOff>228600</xdr:rowOff>
        </xdr:to>
        <xdr:sp macro="" textlink="">
          <xdr:nvSpPr>
            <xdr:cNvPr id="70689" name="Check Box 33" hidden="1">
              <a:extLst>
                <a:ext uri="{63B3BB69-23CF-44E3-9099-C40C66FF867C}">
                  <a14:compatExt spid="_x0000_s70689"/>
                </a:ext>
                <a:ext uri="{FF2B5EF4-FFF2-40B4-BE49-F238E27FC236}">
                  <a16:creationId xmlns:a16="http://schemas.microsoft.com/office/drawing/2014/main" id="{00000000-0008-0000-2A00-000021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30</xdr:col>
          <xdr:colOff>266700</xdr:colOff>
          <xdr:row>4</xdr:row>
          <xdr:rowOff>146050</xdr:rowOff>
        </xdr:from>
        <xdr:to>
          <xdr:col>31</xdr:col>
          <xdr:colOff>177800</xdr:colOff>
          <xdr:row>4</xdr:row>
          <xdr:rowOff>349250</xdr:rowOff>
        </xdr:to>
        <xdr:sp macro="" textlink="">
          <xdr:nvSpPr>
            <xdr:cNvPr id="71681" name="Check Box 1" hidden="1">
              <a:extLst>
                <a:ext uri="{63B3BB69-23CF-44E3-9099-C40C66FF867C}">
                  <a14:compatExt spid="_x0000_s71681"/>
                </a:ext>
                <a:ext uri="{FF2B5EF4-FFF2-40B4-BE49-F238E27FC236}">
                  <a16:creationId xmlns:a16="http://schemas.microsoft.com/office/drawing/2014/main" id="{00000000-0008-0000-2B00-000001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5</xdr:row>
          <xdr:rowOff>88900</xdr:rowOff>
        </xdr:from>
        <xdr:to>
          <xdr:col>19</xdr:col>
          <xdr:colOff>177800</xdr:colOff>
          <xdr:row>5</xdr:row>
          <xdr:rowOff>292100</xdr:rowOff>
        </xdr:to>
        <xdr:sp macro="" textlink="">
          <xdr:nvSpPr>
            <xdr:cNvPr id="71682" name="Check Box 2" hidden="1">
              <a:extLst>
                <a:ext uri="{63B3BB69-23CF-44E3-9099-C40C66FF867C}">
                  <a14:compatExt spid="_x0000_s71682"/>
                </a:ext>
                <a:ext uri="{FF2B5EF4-FFF2-40B4-BE49-F238E27FC236}">
                  <a16:creationId xmlns:a16="http://schemas.microsoft.com/office/drawing/2014/main" id="{00000000-0008-0000-2B00-000002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xdr:col>
          <xdr:colOff>260350</xdr:colOff>
          <xdr:row>4</xdr:row>
          <xdr:rowOff>146050</xdr:rowOff>
        </xdr:from>
        <xdr:to>
          <xdr:col>36</xdr:col>
          <xdr:colOff>165100</xdr:colOff>
          <xdr:row>4</xdr:row>
          <xdr:rowOff>349250</xdr:rowOff>
        </xdr:to>
        <xdr:sp macro="" textlink="">
          <xdr:nvSpPr>
            <xdr:cNvPr id="71683" name="Check Box 3" hidden="1">
              <a:extLst>
                <a:ext uri="{63B3BB69-23CF-44E3-9099-C40C66FF867C}">
                  <a14:compatExt spid="_x0000_s71683"/>
                </a:ext>
                <a:ext uri="{FF2B5EF4-FFF2-40B4-BE49-F238E27FC236}">
                  <a16:creationId xmlns:a16="http://schemas.microsoft.com/office/drawing/2014/main" id="{00000000-0008-0000-2B00-000003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266700</xdr:colOff>
          <xdr:row>5</xdr:row>
          <xdr:rowOff>76200</xdr:rowOff>
        </xdr:from>
        <xdr:to>
          <xdr:col>23</xdr:col>
          <xdr:colOff>177800</xdr:colOff>
          <xdr:row>5</xdr:row>
          <xdr:rowOff>279400</xdr:rowOff>
        </xdr:to>
        <xdr:sp macro="" textlink="">
          <xdr:nvSpPr>
            <xdr:cNvPr id="71684" name="Check Box 4" hidden="1">
              <a:extLst>
                <a:ext uri="{63B3BB69-23CF-44E3-9099-C40C66FF867C}">
                  <a14:compatExt spid="_x0000_s71684"/>
                </a:ext>
                <a:ext uri="{FF2B5EF4-FFF2-40B4-BE49-F238E27FC236}">
                  <a16:creationId xmlns:a16="http://schemas.microsoft.com/office/drawing/2014/main" id="{00000000-0008-0000-2B00-000004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0</xdr:colOff>
          <xdr:row>5</xdr:row>
          <xdr:rowOff>82550</xdr:rowOff>
        </xdr:from>
        <xdr:to>
          <xdr:col>27</xdr:col>
          <xdr:colOff>177800</xdr:colOff>
          <xdr:row>5</xdr:row>
          <xdr:rowOff>292100</xdr:rowOff>
        </xdr:to>
        <xdr:sp macro="" textlink="">
          <xdr:nvSpPr>
            <xdr:cNvPr id="71685" name="Check Box 5" hidden="1">
              <a:extLst>
                <a:ext uri="{63B3BB69-23CF-44E3-9099-C40C66FF867C}">
                  <a14:compatExt spid="_x0000_s71685"/>
                </a:ext>
                <a:ext uri="{FF2B5EF4-FFF2-40B4-BE49-F238E27FC236}">
                  <a16:creationId xmlns:a16="http://schemas.microsoft.com/office/drawing/2014/main" id="{00000000-0008-0000-2B00-000005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266700</xdr:colOff>
          <xdr:row>5</xdr:row>
          <xdr:rowOff>76200</xdr:rowOff>
        </xdr:from>
        <xdr:to>
          <xdr:col>31</xdr:col>
          <xdr:colOff>177800</xdr:colOff>
          <xdr:row>5</xdr:row>
          <xdr:rowOff>279400</xdr:rowOff>
        </xdr:to>
        <xdr:sp macro="" textlink="">
          <xdr:nvSpPr>
            <xdr:cNvPr id="71686" name="Check Box 6" hidden="1">
              <a:extLst>
                <a:ext uri="{63B3BB69-23CF-44E3-9099-C40C66FF867C}">
                  <a14:compatExt spid="_x0000_s71686"/>
                </a:ext>
                <a:ext uri="{FF2B5EF4-FFF2-40B4-BE49-F238E27FC236}">
                  <a16:creationId xmlns:a16="http://schemas.microsoft.com/office/drawing/2014/main" id="{00000000-0008-0000-2B00-000006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266700</xdr:colOff>
          <xdr:row>8</xdr:row>
          <xdr:rowOff>88900</xdr:rowOff>
        </xdr:from>
        <xdr:to>
          <xdr:col>31</xdr:col>
          <xdr:colOff>177800</xdr:colOff>
          <xdr:row>8</xdr:row>
          <xdr:rowOff>298450</xdr:rowOff>
        </xdr:to>
        <xdr:sp macro="" textlink="">
          <xdr:nvSpPr>
            <xdr:cNvPr id="71687" name="Check Box 7" hidden="1">
              <a:extLst>
                <a:ext uri="{63B3BB69-23CF-44E3-9099-C40C66FF867C}">
                  <a14:compatExt spid="_x0000_s71687"/>
                </a:ext>
                <a:ext uri="{FF2B5EF4-FFF2-40B4-BE49-F238E27FC236}">
                  <a16:creationId xmlns:a16="http://schemas.microsoft.com/office/drawing/2014/main" id="{00000000-0008-0000-2B00-000007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xdr:col>
          <xdr:colOff>266700</xdr:colOff>
          <xdr:row>8</xdr:row>
          <xdr:rowOff>101600</xdr:rowOff>
        </xdr:from>
        <xdr:to>
          <xdr:col>36</xdr:col>
          <xdr:colOff>177800</xdr:colOff>
          <xdr:row>9</xdr:row>
          <xdr:rowOff>0</xdr:rowOff>
        </xdr:to>
        <xdr:sp macro="" textlink="">
          <xdr:nvSpPr>
            <xdr:cNvPr id="71688" name="Check Box 8" hidden="1">
              <a:extLst>
                <a:ext uri="{63B3BB69-23CF-44E3-9099-C40C66FF867C}">
                  <a14:compatExt spid="_x0000_s71688"/>
                </a:ext>
                <a:ext uri="{FF2B5EF4-FFF2-40B4-BE49-F238E27FC236}">
                  <a16:creationId xmlns:a16="http://schemas.microsoft.com/office/drawing/2014/main" id="{00000000-0008-0000-2B00-0000081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15</xdr:col>
          <xdr:colOff>12700</xdr:colOff>
          <xdr:row>4</xdr:row>
          <xdr:rowOff>76200</xdr:rowOff>
        </xdr:from>
        <xdr:to>
          <xdr:col>16</xdr:col>
          <xdr:colOff>177800</xdr:colOff>
          <xdr:row>4</xdr:row>
          <xdr:rowOff>298450</xdr:rowOff>
        </xdr:to>
        <xdr:sp macro="" textlink="">
          <xdr:nvSpPr>
            <xdr:cNvPr id="73729" name="Check Box 1" hidden="1">
              <a:extLst>
                <a:ext uri="{63B3BB69-23CF-44E3-9099-C40C66FF867C}">
                  <a14:compatExt spid="_x0000_s73729"/>
                </a:ext>
                <a:ext uri="{FF2B5EF4-FFF2-40B4-BE49-F238E27FC236}">
                  <a16:creationId xmlns:a16="http://schemas.microsoft.com/office/drawing/2014/main" id="{00000000-0008-0000-2D00-000001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xdr:row>
          <xdr:rowOff>88900</xdr:rowOff>
        </xdr:from>
        <xdr:to>
          <xdr:col>19</xdr:col>
          <xdr:colOff>184150</xdr:colOff>
          <xdr:row>4</xdr:row>
          <xdr:rowOff>311150</xdr:rowOff>
        </xdr:to>
        <xdr:sp macro="" textlink="">
          <xdr:nvSpPr>
            <xdr:cNvPr id="73730" name="Check Box 2" hidden="1">
              <a:extLst>
                <a:ext uri="{63B3BB69-23CF-44E3-9099-C40C66FF867C}">
                  <a14:compatExt spid="_x0000_s73730"/>
                </a:ext>
                <a:ext uri="{FF2B5EF4-FFF2-40B4-BE49-F238E27FC236}">
                  <a16:creationId xmlns:a16="http://schemas.microsoft.com/office/drawing/2014/main" id="{00000000-0008-0000-2D00-000002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6350</xdr:colOff>
          <xdr:row>5</xdr:row>
          <xdr:rowOff>69850</xdr:rowOff>
        </xdr:from>
        <xdr:to>
          <xdr:col>16</xdr:col>
          <xdr:colOff>165100</xdr:colOff>
          <xdr:row>5</xdr:row>
          <xdr:rowOff>292100</xdr:rowOff>
        </xdr:to>
        <xdr:sp macro="" textlink="">
          <xdr:nvSpPr>
            <xdr:cNvPr id="73732" name="Check Box 4" hidden="1">
              <a:extLst>
                <a:ext uri="{63B3BB69-23CF-44E3-9099-C40C66FF867C}">
                  <a14:compatExt spid="_x0000_s73732"/>
                </a:ext>
                <a:ext uri="{FF2B5EF4-FFF2-40B4-BE49-F238E27FC236}">
                  <a16:creationId xmlns:a16="http://schemas.microsoft.com/office/drawing/2014/main" id="{00000000-0008-0000-2D00-000004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xdr:row>
          <xdr:rowOff>25400</xdr:rowOff>
        </xdr:from>
        <xdr:to>
          <xdr:col>16</xdr:col>
          <xdr:colOff>25400</xdr:colOff>
          <xdr:row>6</xdr:row>
          <xdr:rowOff>330200</xdr:rowOff>
        </xdr:to>
        <xdr:sp macro="" textlink="">
          <xdr:nvSpPr>
            <xdr:cNvPr id="73735" name="Check Box 7" hidden="1">
              <a:extLst>
                <a:ext uri="{63B3BB69-23CF-44E3-9099-C40C66FF867C}">
                  <a14:compatExt spid="_x0000_s73735"/>
                </a:ext>
                <a:ext uri="{FF2B5EF4-FFF2-40B4-BE49-F238E27FC236}">
                  <a16:creationId xmlns:a16="http://schemas.microsoft.com/office/drawing/2014/main" id="{00000000-0008-0000-2D00-000007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6350</xdr:colOff>
          <xdr:row>7</xdr:row>
          <xdr:rowOff>38100</xdr:rowOff>
        </xdr:from>
        <xdr:to>
          <xdr:col>16</xdr:col>
          <xdr:colOff>25400</xdr:colOff>
          <xdr:row>7</xdr:row>
          <xdr:rowOff>342900</xdr:rowOff>
        </xdr:to>
        <xdr:sp macro="" textlink="">
          <xdr:nvSpPr>
            <xdr:cNvPr id="73738" name="Check Box 10" hidden="1">
              <a:extLst>
                <a:ext uri="{63B3BB69-23CF-44E3-9099-C40C66FF867C}">
                  <a14:compatExt spid="_x0000_s73738"/>
                </a:ext>
                <a:ext uri="{FF2B5EF4-FFF2-40B4-BE49-F238E27FC236}">
                  <a16:creationId xmlns:a16="http://schemas.microsoft.com/office/drawing/2014/main" id="{00000000-0008-0000-2D00-00000A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xdr:row>
          <xdr:rowOff>50800</xdr:rowOff>
        </xdr:from>
        <xdr:to>
          <xdr:col>16</xdr:col>
          <xdr:colOff>25400</xdr:colOff>
          <xdr:row>8</xdr:row>
          <xdr:rowOff>355600</xdr:rowOff>
        </xdr:to>
        <xdr:sp macro="" textlink="">
          <xdr:nvSpPr>
            <xdr:cNvPr id="73741" name="Check Box 13" hidden="1">
              <a:extLst>
                <a:ext uri="{63B3BB69-23CF-44E3-9099-C40C66FF867C}">
                  <a14:compatExt spid="_x0000_s73741"/>
                </a:ext>
                <a:ext uri="{FF2B5EF4-FFF2-40B4-BE49-F238E27FC236}">
                  <a16:creationId xmlns:a16="http://schemas.microsoft.com/office/drawing/2014/main" id="{00000000-0008-0000-2D00-00000D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6350</xdr:colOff>
          <xdr:row>9</xdr:row>
          <xdr:rowOff>44450</xdr:rowOff>
        </xdr:from>
        <xdr:to>
          <xdr:col>16</xdr:col>
          <xdr:colOff>25400</xdr:colOff>
          <xdr:row>9</xdr:row>
          <xdr:rowOff>349250</xdr:rowOff>
        </xdr:to>
        <xdr:sp macro="" textlink="">
          <xdr:nvSpPr>
            <xdr:cNvPr id="73744" name="Check Box 16" hidden="1">
              <a:extLst>
                <a:ext uri="{63B3BB69-23CF-44E3-9099-C40C66FF867C}">
                  <a14:compatExt spid="_x0000_s73744"/>
                </a:ext>
                <a:ext uri="{FF2B5EF4-FFF2-40B4-BE49-F238E27FC236}">
                  <a16:creationId xmlns:a16="http://schemas.microsoft.com/office/drawing/2014/main" id="{00000000-0008-0000-2D00-000010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6350</xdr:colOff>
          <xdr:row>10</xdr:row>
          <xdr:rowOff>44450</xdr:rowOff>
        </xdr:from>
        <xdr:to>
          <xdr:col>16</xdr:col>
          <xdr:colOff>25400</xdr:colOff>
          <xdr:row>10</xdr:row>
          <xdr:rowOff>349250</xdr:rowOff>
        </xdr:to>
        <xdr:sp macro="" textlink="">
          <xdr:nvSpPr>
            <xdr:cNvPr id="73747" name="Check Box 19" hidden="1">
              <a:extLst>
                <a:ext uri="{63B3BB69-23CF-44E3-9099-C40C66FF867C}">
                  <a14:compatExt spid="_x0000_s73747"/>
                </a:ext>
                <a:ext uri="{FF2B5EF4-FFF2-40B4-BE49-F238E27FC236}">
                  <a16:creationId xmlns:a16="http://schemas.microsoft.com/office/drawing/2014/main" id="{00000000-0008-0000-2D00-000013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xdr:row>
          <xdr:rowOff>31750</xdr:rowOff>
        </xdr:from>
        <xdr:to>
          <xdr:col>16</xdr:col>
          <xdr:colOff>25400</xdr:colOff>
          <xdr:row>11</xdr:row>
          <xdr:rowOff>336550</xdr:rowOff>
        </xdr:to>
        <xdr:sp macro="" textlink="">
          <xdr:nvSpPr>
            <xdr:cNvPr id="73750" name="Check Box 22" hidden="1">
              <a:extLst>
                <a:ext uri="{63B3BB69-23CF-44E3-9099-C40C66FF867C}">
                  <a14:compatExt spid="_x0000_s73750"/>
                </a:ext>
                <a:ext uri="{FF2B5EF4-FFF2-40B4-BE49-F238E27FC236}">
                  <a16:creationId xmlns:a16="http://schemas.microsoft.com/office/drawing/2014/main" id="{00000000-0008-0000-2D00-000016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xdr:row>
          <xdr:rowOff>38100</xdr:rowOff>
        </xdr:from>
        <xdr:to>
          <xdr:col>16</xdr:col>
          <xdr:colOff>25400</xdr:colOff>
          <xdr:row>12</xdr:row>
          <xdr:rowOff>342900</xdr:rowOff>
        </xdr:to>
        <xdr:sp macro="" textlink="">
          <xdr:nvSpPr>
            <xdr:cNvPr id="73753" name="Check Box 25" hidden="1">
              <a:extLst>
                <a:ext uri="{63B3BB69-23CF-44E3-9099-C40C66FF867C}">
                  <a14:compatExt spid="_x0000_s73753"/>
                </a:ext>
                <a:ext uri="{FF2B5EF4-FFF2-40B4-BE49-F238E27FC236}">
                  <a16:creationId xmlns:a16="http://schemas.microsoft.com/office/drawing/2014/main" id="{00000000-0008-0000-2D00-000019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13</xdr:row>
          <xdr:rowOff>44450</xdr:rowOff>
        </xdr:from>
        <xdr:to>
          <xdr:col>16</xdr:col>
          <xdr:colOff>31750</xdr:colOff>
          <xdr:row>13</xdr:row>
          <xdr:rowOff>349250</xdr:rowOff>
        </xdr:to>
        <xdr:sp macro="" textlink="">
          <xdr:nvSpPr>
            <xdr:cNvPr id="73755" name="Check Box 27" hidden="1">
              <a:extLst>
                <a:ext uri="{63B3BB69-23CF-44E3-9099-C40C66FF867C}">
                  <a14:compatExt spid="_x0000_s73755"/>
                </a:ext>
                <a:ext uri="{FF2B5EF4-FFF2-40B4-BE49-F238E27FC236}">
                  <a16:creationId xmlns:a16="http://schemas.microsoft.com/office/drawing/2014/main" id="{00000000-0008-0000-2D00-00001B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14</xdr:row>
          <xdr:rowOff>44450</xdr:rowOff>
        </xdr:from>
        <xdr:to>
          <xdr:col>16</xdr:col>
          <xdr:colOff>31750</xdr:colOff>
          <xdr:row>14</xdr:row>
          <xdr:rowOff>349250</xdr:rowOff>
        </xdr:to>
        <xdr:sp macro="" textlink="">
          <xdr:nvSpPr>
            <xdr:cNvPr id="73758" name="Check Box 30" hidden="1">
              <a:extLst>
                <a:ext uri="{63B3BB69-23CF-44E3-9099-C40C66FF867C}">
                  <a14:compatExt spid="_x0000_s73758"/>
                </a:ext>
                <a:ext uri="{FF2B5EF4-FFF2-40B4-BE49-F238E27FC236}">
                  <a16:creationId xmlns:a16="http://schemas.microsoft.com/office/drawing/2014/main" id="{00000000-0008-0000-2D00-00001E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xdr:row>
          <xdr:rowOff>44450</xdr:rowOff>
        </xdr:from>
        <xdr:to>
          <xdr:col>16</xdr:col>
          <xdr:colOff>25400</xdr:colOff>
          <xdr:row>15</xdr:row>
          <xdr:rowOff>349250</xdr:rowOff>
        </xdr:to>
        <xdr:sp macro="" textlink="">
          <xdr:nvSpPr>
            <xdr:cNvPr id="73761" name="Check Box 33" hidden="1">
              <a:extLst>
                <a:ext uri="{63B3BB69-23CF-44E3-9099-C40C66FF867C}">
                  <a14:compatExt spid="_x0000_s73761"/>
                </a:ext>
                <a:ext uri="{FF2B5EF4-FFF2-40B4-BE49-F238E27FC236}">
                  <a16:creationId xmlns:a16="http://schemas.microsoft.com/office/drawing/2014/main" id="{00000000-0008-0000-2D00-000021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16</xdr:row>
          <xdr:rowOff>44450</xdr:rowOff>
        </xdr:from>
        <xdr:to>
          <xdr:col>16</xdr:col>
          <xdr:colOff>31750</xdr:colOff>
          <xdr:row>16</xdr:row>
          <xdr:rowOff>349250</xdr:rowOff>
        </xdr:to>
        <xdr:sp macro="" textlink="">
          <xdr:nvSpPr>
            <xdr:cNvPr id="73764" name="Check Box 36" hidden="1">
              <a:extLst>
                <a:ext uri="{63B3BB69-23CF-44E3-9099-C40C66FF867C}">
                  <a14:compatExt spid="_x0000_s73764"/>
                </a:ext>
                <a:ext uri="{FF2B5EF4-FFF2-40B4-BE49-F238E27FC236}">
                  <a16:creationId xmlns:a16="http://schemas.microsoft.com/office/drawing/2014/main" id="{00000000-0008-0000-2D00-000024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17</xdr:row>
          <xdr:rowOff>38100</xdr:rowOff>
        </xdr:from>
        <xdr:to>
          <xdr:col>16</xdr:col>
          <xdr:colOff>31750</xdr:colOff>
          <xdr:row>17</xdr:row>
          <xdr:rowOff>342900</xdr:rowOff>
        </xdr:to>
        <xdr:sp macro="" textlink="">
          <xdr:nvSpPr>
            <xdr:cNvPr id="73767" name="Check Box 39" hidden="1">
              <a:extLst>
                <a:ext uri="{63B3BB69-23CF-44E3-9099-C40C66FF867C}">
                  <a14:compatExt spid="_x0000_s73767"/>
                </a:ext>
                <a:ext uri="{FF2B5EF4-FFF2-40B4-BE49-F238E27FC236}">
                  <a16:creationId xmlns:a16="http://schemas.microsoft.com/office/drawing/2014/main" id="{00000000-0008-0000-2D00-000027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xdr:row>
          <xdr:rowOff>38100</xdr:rowOff>
        </xdr:from>
        <xdr:to>
          <xdr:col>16</xdr:col>
          <xdr:colOff>25400</xdr:colOff>
          <xdr:row>18</xdr:row>
          <xdr:rowOff>342900</xdr:rowOff>
        </xdr:to>
        <xdr:sp macro="" textlink="">
          <xdr:nvSpPr>
            <xdr:cNvPr id="73770" name="Check Box 42" hidden="1">
              <a:extLst>
                <a:ext uri="{63B3BB69-23CF-44E3-9099-C40C66FF867C}">
                  <a14:compatExt spid="_x0000_s73770"/>
                </a:ext>
                <a:ext uri="{FF2B5EF4-FFF2-40B4-BE49-F238E27FC236}">
                  <a16:creationId xmlns:a16="http://schemas.microsoft.com/office/drawing/2014/main" id="{00000000-0008-0000-2D00-00002A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0</xdr:colOff>
          <xdr:row>17</xdr:row>
          <xdr:rowOff>38100</xdr:rowOff>
        </xdr:from>
        <xdr:to>
          <xdr:col>35</xdr:col>
          <xdr:colOff>25400</xdr:colOff>
          <xdr:row>17</xdr:row>
          <xdr:rowOff>342900</xdr:rowOff>
        </xdr:to>
        <xdr:sp macro="" textlink="">
          <xdr:nvSpPr>
            <xdr:cNvPr id="73773" name="Check Box 45" hidden="1">
              <a:extLst>
                <a:ext uri="{63B3BB69-23CF-44E3-9099-C40C66FF867C}">
                  <a14:compatExt spid="_x0000_s73773"/>
                </a:ext>
                <a:ext uri="{FF2B5EF4-FFF2-40B4-BE49-F238E27FC236}">
                  <a16:creationId xmlns:a16="http://schemas.microsoft.com/office/drawing/2014/main" id="{00000000-0008-0000-2D00-00002D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0</xdr:colOff>
          <xdr:row>17</xdr:row>
          <xdr:rowOff>38100</xdr:rowOff>
        </xdr:from>
        <xdr:to>
          <xdr:col>38</xdr:col>
          <xdr:colOff>25400</xdr:colOff>
          <xdr:row>17</xdr:row>
          <xdr:rowOff>342900</xdr:rowOff>
        </xdr:to>
        <xdr:sp macro="" textlink="">
          <xdr:nvSpPr>
            <xdr:cNvPr id="73774" name="Check Box 46" hidden="1">
              <a:extLst>
                <a:ext uri="{63B3BB69-23CF-44E3-9099-C40C66FF867C}">
                  <a14:compatExt spid="_x0000_s73774"/>
                </a:ext>
                <a:ext uri="{FF2B5EF4-FFF2-40B4-BE49-F238E27FC236}">
                  <a16:creationId xmlns:a16="http://schemas.microsoft.com/office/drawing/2014/main" id="{00000000-0008-0000-2D00-00002E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12700</xdr:colOff>
          <xdr:row>17</xdr:row>
          <xdr:rowOff>44450</xdr:rowOff>
        </xdr:from>
        <xdr:to>
          <xdr:col>41</xdr:col>
          <xdr:colOff>31750</xdr:colOff>
          <xdr:row>17</xdr:row>
          <xdr:rowOff>349250</xdr:rowOff>
        </xdr:to>
        <xdr:sp macro="" textlink="">
          <xdr:nvSpPr>
            <xdr:cNvPr id="73775" name="Check Box 47" hidden="1">
              <a:extLst>
                <a:ext uri="{63B3BB69-23CF-44E3-9099-C40C66FF867C}">
                  <a14:compatExt spid="_x0000_s73775"/>
                </a:ext>
                <a:ext uri="{FF2B5EF4-FFF2-40B4-BE49-F238E27FC236}">
                  <a16:creationId xmlns:a16="http://schemas.microsoft.com/office/drawing/2014/main" id="{00000000-0008-0000-2D00-00002F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12700</xdr:colOff>
          <xdr:row>16</xdr:row>
          <xdr:rowOff>44450</xdr:rowOff>
        </xdr:from>
        <xdr:to>
          <xdr:col>35</xdr:col>
          <xdr:colOff>31750</xdr:colOff>
          <xdr:row>16</xdr:row>
          <xdr:rowOff>349250</xdr:rowOff>
        </xdr:to>
        <xdr:sp macro="" textlink="">
          <xdr:nvSpPr>
            <xdr:cNvPr id="73776" name="Check Box 48" hidden="1">
              <a:extLst>
                <a:ext uri="{63B3BB69-23CF-44E3-9099-C40C66FF867C}">
                  <a14:compatExt spid="_x0000_s73776"/>
                </a:ext>
                <a:ext uri="{FF2B5EF4-FFF2-40B4-BE49-F238E27FC236}">
                  <a16:creationId xmlns:a16="http://schemas.microsoft.com/office/drawing/2014/main" id="{00000000-0008-0000-2D00-000030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25400</xdr:colOff>
          <xdr:row>16</xdr:row>
          <xdr:rowOff>44450</xdr:rowOff>
        </xdr:from>
        <xdr:to>
          <xdr:col>38</xdr:col>
          <xdr:colOff>38100</xdr:colOff>
          <xdr:row>16</xdr:row>
          <xdr:rowOff>349250</xdr:rowOff>
        </xdr:to>
        <xdr:sp macro="" textlink="">
          <xdr:nvSpPr>
            <xdr:cNvPr id="73777" name="Check Box 49" hidden="1">
              <a:extLst>
                <a:ext uri="{63B3BB69-23CF-44E3-9099-C40C66FF867C}">
                  <a14:compatExt spid="_x0000_s73777"/>
                </a:ext>
                <a:ext uri="{FF2B5EF4-FFF2-40B4-BE49-F238E27FC236}">
                  <a16:creationId xmlns:a16="http://schemas.microsoft.com/office/drawing/2014/main" id="{00000000-0008-0000-2D00-000031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6350</xdr:colOff>
          <xdr:row>16</xdr:row>
          <xdr:rowOff>63500</xdr:rowOff>
        </xdr:from>
        <xdr:to>
          <xdr:col>41</xdr:col>
          <xdr:colOff>25400</xdr:colOff>
          <xdr:row>16</xdr:row>
          <xdr:rowOff>368300</xdr:rowOff>
        </xdr:to>
        <xdr:sp macro="" textlink="">
          <xdr:nvSpPr>
            <xdr:cNvPr id="73778" name="Check Box 50" hidden="1">
              <a:extLst>
                <a:ext uri="{63B3BB69-23CF-44E3-9099-C40C66FF867C}">
                  <a14:compatExt spid="_x0000_s73778"/>
                </a:ext>
                <a:ext uri="{FF2B5EF4-FFF2-40B4-BE49-F238E27FC236}">
                  <a16:creationId xmlns:a16="http://schemas.microsoft.com/office/drawing/2014/main" id="{00000000-0008-0000-2D00-000032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6350</xdr:colOff>
          <xdr:row>15</xdr:row>
          <xdr:rowOff>38100</xdr:rowOff>
        </xdr:from>
        <xdr:to>
          <xdr:col>35</xdr:col>
          <xdr:colOff>25400</xdr:colOff>
          <xdr:row>15</xdr:row>
          <xdr:rowOff>342900</xdr:rowOff>
        </xdr:to>
        <xdr:sp macro="" textlink="">
          <xdr:nvSpPr>
            <xdr:cNvPr id="73779" name="Check Box 51" hidden="1">
              <a:extLst>
                <a:ext uri="{63B3BB69-23CF-44E3-9099-C40C66FF867C}">
                  <a14:compatExt spid="_x0000_s73779"/>
                </a:ext>
                <a:ext uri="{FF2B5EF4-FFF2-40B4-BE49-F238E27FC236}">
                  <a16:creationId xmlns:a16="http://schemas.microsoft.com/office/drawing/2014/main" id="{00000000-0008-0000-2D00-000033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6350</xdr:colOff>
          <xdr:row>15</xdr:row>
          <xdr:rowOff>69850</xdr:rowOff>
        </xdr:from>
        <xdr:to>
          <xdr:col>37</xdr:col>
          <xdr:colOff>234950</xdr:colOff>
          <xdr:row>15</xdr:row>
          <xdr:rowOff>336550</xdr:rowOff>
        </xdr:to>
        <xdr:sp macro="" textlink="">
          <xdr:nvSpPr>
            <xdr:cNvPr id="73780" name="Check Box 52" hidden="1">
              <a:extLst>
                <a:ext uri="{63B3BB69-23CF-44E3-9099-C40C66FF867C}">
                  <a14:compatExt spid="_x0000_s73780"/>
                </a:ext>
                <a:ext uri="{FF2B5EF4-FFF2-40B4-BE49-F238E27FC236}">
                  <a16:creationId xmlns:a16="http://schemas.microsoft.com/office/drawing/2014/main" id="{00000000-0008-0000-2D00-000034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6350</xdr:colOff>
          <xdr:row>15</xdr:row>
          <xdr:rowOff>44450</xdr:rowOff>
        </xdr:from>
        <xdr:to>
          <xdr:col>41</xdr:col>
          <xdr:colOff>25400</xdr:colOff>
          <xdr:row>15</xdr:row>
          <xdr:rowOff>349250</xdr:rowOff>
        </xdr:to>
        <xdr:sp macro="" textlink="">
          <xdr:nvSpPr>
            <xdr:cNvPr id="73781" name="Check Box 53" hidden="1">
              <a:extLst>
                <a:ext uri="{63B3BB69-23CF-44E3-9099-C40C66FF867C}">
                  <a14:compatExt spid="_x0000_s73781"/>
                </a:ext>
                <a:ext uri="{FF2B5EF4-FFF2-40B4-BE49-F238E27FC236}">
                  <a16:creationId xmlns:a16="http://schemas.microsoft.com/office/drawing/2014/main" id="{00000000-0008-0000-2D00-000035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12700</xdr:colOff>
          <xdr:row>14</xdr:row>
          <xdr:rowOff>38100</xdr:rowOff>
        </xdr:from>
        <xdr:to>
          <xdr:col>35</xdr:col>
          <xdr:colOff>31750</xdr:colOff>
          <xdr:row>14</xdr:row>
          <xdr:rowOff>342900</xdr:rowOff>
        </xdr:to>
        <xdr:sp macro="" textlink="">
          <xdr:nvSpPr>
            <xdr:cNvPr id="73782" name="Check Box 54" hidden="1">
              <a:extLst>
                <a:ext uri="{63B3BB69-23CF-44E3-9099-C40C66FF867C}">
                  <a14:compatExt spid="_x0000_s73782"/>
                </a:ext>
                <a:ext uri="{FF2B5EF4-FFF2-40B4-BE49-F238E27FC236}">
                  <a16:creationId xmlns:a16="http://schemas.microsoft.com/office/drawing/2014/main" id="{00000000-0008-0000-2D00-000036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6350</xdr:colOff>
          <xdr:row>14</xdr:row>
          <xdr:rowOff>44450</xdr:rowOff>
        </xdr:from>
        <xdr:to>
          <xdr:col>38</xdr:col>
          <xdr:colOff>25400</xdr:colOff>
          <xdr:row>14</xdr:row>
          <xdr:rowOff>349250</xdr:rowOff>
        </xdr:to>
        <xdr:sp macro="" textlink="">
          <xdr:nvSpPr>
            <xdr:cNvPr id="73783" name="Check Box 55" hidden="1">
              <a:extLst>
                <a:ext uri="{63B3BB69-23CF-44E3-9099-C40C66FF867C}">
                  <a14:compatExt spid="_x0000_s73783"/>
                </a:ext>
                <a:ext uri="{FF2B5EF4-FFF2-40B4-BE49-F238E27FC236}">
                  <a16:creationId xmlns:a16="http://schemas.microsoft.com/office/drawing/2014/main" id="{00000000-0008-0000-2D00-000037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0</xdr:colOff>
          <xdr:row>14</xdr:row>
          <xdr:rowOff>44450</xdr:rowOff>
        </xdr:from>
        <xdr:to>
          <xdr:col>41</xdr:col>
          <xdr:colOff>25400</xdr:colOff>
          <xdr:row>14</xdr:row>
          <xdr:rowOff>349250</xdr:rowOff>
        </xdr:to>
        <xdr:sp macro="" textlink="">
          <xdr:nvSpPr>
            <xdr:cNvPr id="73784" name="Check Box 56" hidden="1">
              <a:extLst>
                <a:ext uri="{63B3BB69-23CF-44E3-9099-C40C66FF867C}">
                  <a14:compatExt spid="_x0000_s73784"/>
                </a:ext>
                <a:ext uri="{FF2B5EF4-FFF2-40B4-BE49-F238E27FC236}">
                  <a16:creationId xmlns:a16="http://schemas.microsoft.com/office/drawing/2014/main" id="{00000000-0008-0000-2D00-000038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6350</xdr:colOff>
          <xdr:row>13</xdr:row>
          <xdr:rowOff>44450</xdr:rowOff>
        </xdr:from>
        <xdr:to>
          <xdr:col>35</xdr:col>
          <xdr:colOff>25400</xdr:colOff>
          <xdr:row>13</xdr:row>
          <xdr:rowOff>349250</xdr:rowOff>
        </xdr:to>
        <xdr:sp macro="" textlink="">
          <xdr:nvSpPr>
            <xdr:cNvPr id="73785" name="Check Box 57" hidden="1">
              <a:extLst>
                <a:ext uri="{63B3BB69-23CF-44E3-9099-C40C66FF867C}">
                  <a14:compatExt spid="_x0000_s73785"/>
                </a:ext>
                <a:ext uri="{FF2B5EF4-FFF2-40B4-BE49-F238E27FC236}">
                  <a16:creationId xmlns:a16="http://schemas.microsoft.com/office/drawing/2014/main" id="{00000000-0008-0000-2D00-000039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6350</xdr:colOff>
          <xdr:row>13</xdr:row>
          <xdr:rowOff>44450</xdr:rowOff>
        </xdr:from>
        <xdr:to>
          <xdr:col>38</xdr:col>
          <xdr:colOff>25400</xdr:colOff>
          <xdr:row>13</xdr:row>
          <xdr:rowOff>349250</xdr:rowOff>
        </xdr:to>
        <xdr:sp macro="" textlink="">
          <xdr:nvSpPr>
            <xdr:cNvPr id="73786" name="Check Box 58" hidden="1">
              <a:extLst>
                <a:ext uri="{63B3BB69-23CF-44E3-9099-C40C66FF867C}">
                  <a14:compatExt spid="_x0000_s73786"/>
                </a:ext>
                <a:ext uri="{FF2B5EF4-FFF2-40B4-BE49-F238E27FC236}">
                  <a16:creationId xmlns:a16="http://schemas.microsoft.com/office/drawing/2014/main" id="{00000000-0008-0000-2D00-00003A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0</xdr:colOff>
          <xdr:row>13</xdr:row>
          <xdr:rowOff>50800</xdr:rowOff>
        </xdr:from>
        <xdr:to>
          <xdr:col>41</xdr:col>
          <xdr:colOff>25400</xdr:colOff>
          <xdr:row>13</xdr:row>
          <xdr:rowOff>355600</xdr:rowOff>
        </xdr:to>
        <xdr:sp macro="" textlink="">
          <xdr:nvSpPr>
            <xdr:cNvPr id="73787" name="Check Box 59" hidden="1">
              <a:extLst>
                <a:ext uri="{63B3BB69-23CF-44E3-9099-C40C66FF867C}">
                  <a14:compatExt spid="_x0000_s73787"/>
                </a:ext>
                <a:ext uri="{FF2B5EF4-FFF2-40B4-BE49-F238E27FC236}">
                  <a16:creationId xmlns:a16="http://schemas.microsoft.com/office/drawing/2014/main" id="{00000000-0008-0000-2D00-00003B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6350</xdr:colOff>
          <xdr:row>12</xdr:row>
          <xdr:rowOff>63500</xdr:rowOff>
        </xdr:from>
        <xdr:to>
          <xdr:col>35</xdr:col>
          <xdr:colOff>25400</xdr:colOff>
          <xdr:row>12</xdr:row>
          <xdr:rowOff>368300</xdr:rowOff>
        </xdr:to>
        <xdr:sp macro="" textlink="">
          <xdr:nvSpPr>
            <xdr:cNvPr id="73788" name="Check Box 60" hidden="1">
              <a:extLst>
                <a:ext uri="{63B3BB69-23CF-44E3-9099-C40C66FF867C}">
                  <a14:compatExt spid="_x0000_s73788"/>
                </a:ext>
                <a:ext uri="{FF2B5EF4-FFF2-40B4-BE49-F238E27FC236}">
                  <a16:creationId xmlns:a16="http://schemas.microsoft.com/office/drawing/2014/main" id="{00000000-0008-0000-2D00-00003C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6350</xdr:colOff>
          <xdr:row>12</xdr:row>
          <xdr:rowOff>38100</xdr:rowOff>
        </xdr:from>
        <xdr:to>
          <xdr:col>38</xdr:col>
          <xdr:colOff>25400</xdr:colOff>
          <xdr:row>12</xdr:row>
          <xdr:rowOff>342900</xdr:rowOff>
        </xdr:to>
        <xdr:sp macro="" textlink="">
          <xdr:nvSpPr>
            <xdr:cNvPr id="73789" name="Check Box 61" hidden="1">
              <a:extLst>
                <a:ext uri="{63B3BB69-23CF-44E3-9099-C40C66FF867C}">
                  <a14:compatExt spid="_x0000_s73789"/>
                </a:ext>
                <a:ext uri="{FF2B5EF4-FFF2-40B4-BE49-F238E27FC236}">
                  <a16:creationId xmlns:a16="http://schemas.microsoft.com/office/drawing/2014/main" id="{00000000-0008-0000-2D00-00003D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6350</xdr:colOff>
          <xdr:row>12</xdr:row>
          <xdr:rowOff>44450</xdr:rowOff>
        </xdr:from>
        <xdr:to>
          <xdr:col>41</xdr:col>
          <xdr:colOff>25400</xdr:colOff>
          <xdr:row>12</xdr:row>
          <xdr:rowOff>349250</xdr:rowOff>
        </xdr:to>
        <xdr:sp macro="" textlink="">
          <xdr:nvSpPr>
            <xdr:cNvPr id="73790" name="Check Box 62" hidden="1">
              <a:extLst>
                <a:ext uri="{63B3BB69-23CF-44E3-9099-C40C66FF867C}">
                  <a14:compatExt spid="_x0000_s73790"/>
                </a:ext>
                <a:ext uri="{FF2B5EF4-FFF2-40B4-BE49-F238E27FC236}">
                  <a16:creationId xmlns:a16="http://schemas.microsoft.com/office/drawing/2014/main" id="{00000000-0008-0000-2D00-00003E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12700</xdr:colOff>
          <xdr:row>11</xdr:row>
          <xdr:rowOff>38100</xdr:rowOff>
        </xdr:from>
        <xdr:to>
          <xdr:col>35</xdr:col>
          <xdr:colOff>31750</xdr:colOff>
          <xdr:row>11</xdr:row>
          <xdr:rowOff>342900</xdr:rowOff>
        </xdr:to>
        <xdr:sp macro="" textlink="">
          <xdr:nvSpPr>
            <xdr:cNvPr id="73791" name="Check Box 63" hidden="1">
              <a:extLst>
                <a:ext uri="{63B3BB69-23CF-44E3-9099-C40C66FF867C}">
                  <a14:compatExt spid="_x0000_s73791"/>
                </a:ext>
                <a:ext uri="{FF2B5EF4-FFF2-40B4-BE49-F238E27FC236}">
                  <a16:creationId xmlns:a16="http://schemas.microsoft.com/office/drawing/2014/main" id="{00000000-0008-0000-2D00-00003F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12700</xdr:colOff>
          <xdr:row>11</xdr:row>
          <xdr:rowOff>38100</xdr:rowOff>
        </xdr:from>
        <xdr:to>
          <xdr:col>38</xdr:col>
          <xdr:colOff>31750</xdr:colOff>
          <xdr:row>11</xdr:row>
          <xdr:rowOff>342900</xdr:rowOff>
        </xdr:to>
        <xdr:sp macro="" textlink="">
          <xdr:nvSpPr>
            <xdr:cNvPr id="73792" name="Check Box 64" hidden="1">
              <a:extLst>
                <a:ext uri="{63B3BB69-23CF-44E3-9099-C40C66FF867C}">
                  <a14:compatExt spid="_x0000_s73792"/>
                </a:ext>
                <a:ext uri="{FF2B5EF4-FFF2-40B4-BE49-F238E27FC236}">
                  <a16:creationId xmlns:a16="http://schemas.microsoft.com/office/drawing/2014/main" id="{00000000-0008-0000-2D00-000040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0</xdr:colOff>
          <xdr:row>11</xdr:row>
          <xdr:rowOff>38100</xdr:rowOff>
        </xdr:from>
        <xdr:to>
          <xdr:col>41</xdr:col>
          <xdr:colOff>25400</xdr:colOff>
          <xdr:row>11</xdr:row>
          <xdr:rowOff>342900</xdr:rowOff>
        </xdr:to>
        <xdr:sp macro="" textlink="">
          <xdr:nvSpPr>
            <xdr:cNvPr id="73793" name="Check Box 65" hidden="1">
              <a:extLst>
                <a:ext uri="{63B3BB69-23CF-44E3-9099-C40C66FF867C}">
                  <a14:compatExt spid="_x0000_s73793"/>
                </a:ext>
                <a:ext uri="{FF2B5EF4-FFF2-40B4-BE49-F238E27FC236}">
                  <a16:creationId xmlns:a16="http://schemas.microsoft.com/office/drawing/2014/main" id="{00000000-0008-0000-2D00-000041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12700</xdr:colOff>
          <xdr:row>10</xdr:row>
          <xdr:rowOff>44450</xdr:rowOff>
        </xdr:from>
        <xdr:to>
          <xdr:col>35</xdr:col>
          <xdr:colOff>31750</xdr:colOff>
          <xdr:row>10</xdr:row>
          <xdr:rowOff>349250</xdr:rowOff>
        </xdr:to>
        <xdr:sp macro="" textlink="">
          <xdr:nvSpPr>
            <xdr:cNvPr id="73794" name="Check Box 66" hidden="1">
              <a:extLst>
                <a:ext uri="{63B3BB69-23CF-44E3-9099-C40C66FF867C}">
                  <a14:compatExt spid="_x0000_s73794"/>
                </a:ext>
                <a:ext uri="{FF2B5EF4-FFF2-40B4-BE49-F238E27FC236}">
                  <a16:creationId xmlns:a16="http://schemas.microsoft.com/office/drawing/2014/main" id="{00000000-0008-0000-2D00-000042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6350</xdr:colOff>
          <xdr:row>10</xdr:row>
          <xdr:rowOff>50800</xdr:rowOff>
        </xdr:from>
        <xdr:to>
          <xdr:col>38</xdr:col>
          <xdr:colOff>25400</xdr:colOff>
          <xdr:row>10</xdr:row>
          <xdr:rowOff>355600</xdr:rowOff>
        </xdr:to>
        <xdr:sp macro="" textlink="">
          <xdr:nvSpPr>
            <xdr:cNvPr id="73795" name="Check Box 67" hidden="1">
              <a:extLst>
                <a:ext uri="{63B3BB69-23CF-44E3-9099-C40C66FF867C}">
                  <a14:compatExt spid="_x0000_s73795"/>
                </a:ext>
                <a:ext uri="{FF2B5EF4-FFF2-40B4-BE49-F238E27FC236}">
                  <a16:creationId xmlns:a16="http://schemas.microsoft.com/office/drawing/2014/main" id="{00000000-0008-0000-2D00-000043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12700</xdr:colOff>
          <xdr:row>10</xdr:row>
          <xdr:rowOff>38100</xdr:rowOff>
        </xdr:from>
        <xdr:to>
          <xdr:col>41</xdr:col>
          <xdr:colOff>31750</xdr:colOff>
          <xdr:row>10</xdr:row>
          <xdr:rowOff>342900</xdr:rowOff>
        </xdr:to>
        <xdr:sp macro="" textlink="">
          <xdr:nvSpPr>
            <xdr:cNvPr id="73796" name="Check Box 68" hidden="1">
              <a:extLst>
                <a:ext uri="{63B3BB69-23CF-44E3-9099-C40C66FF867C}">
                  <a14:compatExt spid="_x0000_s73796"/>
                </a:ext>
                <a:ext uri="{FF2B5EF4-FFF2-40B4-BE49-F238E27FC236}">
                  <a16:creationId xmlns:a16="http://schemas.microsoft.com/office/drawing/2014/main" id="{00000000-0008-0000-2D00-000044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6350</xdr:colOff>
          <xdr:row>9</xdr:row>
          <xdr:rowOff>44450</xdr:rowOff>
        </xdr:from>
        <xdr:to>
          <xdr:col>35</xdr:col>
          <xdr:colOff>25400</xdr:colOff>
          <xdr:row>9</xdr:row>
          <xdr:rowOff>349250</xdr:rowOff>
        </xdr:to>
        <xdr:sp macro="" textlink="">
          <xdr:nvSpPr>
            <xdr:cNvPr id="73797" name="Check Box 69" hidden="1">
              <a:extLst>
                <a:ext uri="{63B3BB69-23CF-44E3-9099-C40C66FF867C}">
                  <a14:compatExt spid="_x0000_s73797"/>
                </a:ext>
                <a:ext uri="{FF2B5EF4-FFF2-40B4-BE49-F238E27FC236}">
                  <a16:creationId xmlns:a16="http://schemas.microsoft.com/office/drawing/2014/main" id="{00000000-0008-0000-2D00-000045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6350</xdr:colOff>
          <xdr:row>9</xdr:row>
          <xdr:rowOff>44450</xdr:rowOff>
        </xdr:from>
        <xdr:to>
          <xdr:col>37</xdr:col>
          <xdr:colOff>254000</xdr:colOff>
          <xdr:row>9</xdr:row>
          <xdr:rowOff>336550</xdr:rowOff>
        </xdr:to>
        <xdr:sp macro="" textlink="">
          <xdr:nvSpPr>
            <xdr:cNvPr id="73798" name="Check Box 70" hidden="1">
              <a:extLst>
                <a:ext uri="{63B3BB69-23CF-44E3-9099-C40C66FF867C}">
                  <a14:compatExt spid="_x0000_s73798"/>
                </a:ext>
                <a:ext uri="{FF2B5EF4-FFF2-40B4-BE49-F238E27FC236}">
                  <a16:creationId xmlns:a16="http://schemas.microsoft.com/office/drawing/2014/main" id="{00000000-0008-0000-2D00-000046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12700</xdr:colOff>
          <xdr:row>9</xdr:row>
          <xdr:rowOff>44450</xdr:rowOff>
        </xdr:from>
        <xdr:to>
          <xdr:col>41</xdr:col>
          <xdr:colOff>31750</xdr:colOff>
          <xdr:row>9</xdr:row>
          <xdr:rowOff>349250</xdr:rowOff>
        </xdr:to>
        <xdr:sp macro="" textlink="">
          <xdr:nvSpPr>
            <xdr:cNvPr id="73799" name="Check Box 71" hidden="1">
              <a:extLst>
                <a:ext uri="{63B3BB69-23CF-44E3-9099-C40C66FF867C}">
                  <a14:compatExt spid="_x0000_s73799"/>
                </a:ext>
                <a:ext uri="{FF2B5EF4-FFF2-40B4-BE49-F238E27FC236}">
                  <a16:creationId xmlns:a16="http://schemas.microsoft.com/office/drawing/2014/main" id="{00000000-0008-0000-2D00-000047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0</xdr:colOff>
          <xdr:row>8</xdr:row>
          <xdr:rowOff>88900</xdr:rowOff>
        </xdr:from>
        <xdr:to>
          <xdr:col>34</xdr:col>
          <xdr:colOff>222250</xdr:colOff>
          <xdr:row>8</xdr:row>
          <xdr:rowOff>317500</xdr:rowOff>
        </xdr:to>
        <xdr:sp macro="" textlink="">
          <xdr:nvSpPr>
            <xdr:cNvPr id="73800" name="Check Box 72" hidden="1">
              <a:extLst>
                <a:ext uri="{63B3BB69-23CF-44E3-9099-C40C66FF867C}">
                  <a14:compatExt spid="_x0000_s73800"/>
                </a:ext>
                <a:ext uri="{FF2B5EF4-FFF2-40B4-BE49-F238E27FC236}">
                  <a16:creationId xmlns:a16="http://schemas.microsoft.com/office/drawing/2014/main" id="{00000000-0008-0000-2D00-000048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6350</xdr:colOff>
          <xdr:row>8</xdr:row>
          <xdr:rowOff>50800</xdr:rowOff>
        </xdr:from>
        <xdr:to>
          <xdr:col>38</xdr:col>
          <xdr:colOff>25400</xdr:colOff>
          <xdr:row>8</xdr:row>
          <xdr:rowOff>355600</xdr:rowOff>
        </xdr:to>
        <xdr:sp macro="" textlink="">
          <xdr:nvSpPr>
            <xdr:cNvPr id="73801" name="Check Box 73" hidden="1">
              <a:extLst>
                <a:ext uri="{63B3BB69-23CF-44E3-9099-C40C66FF867C}">
                  <a14:compatExt spid="_x0000_s73801"/>
                </a:ext>
                <a:ext uri="{FF2B5EF4-FFF2-40B4-BE49-F238E27FC236}">
                  <a16:creationId xmlns:a16="http://schemas.microsoft.com/office/drawing/2014/main" id="{00000000-0008-0000-2D00-000049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0</xdr:colOff>
          <xdr:row>8</xdr:row>
          <xdr:rowOff>38100</xdr:rowOff>
        </xdr:from>
        <xdr:to>
          <xdr:col>41</xdr:col>
          <xdr:colOff>25400</xdr:colOff>
          <xdr:row>8</xdr:row>
          <xdr:rowOff>342900</xdr:rowOff>
        </xdr:to>
        <xdr:sp macro="" textlink="">
          <xdr:nvSpPr>
            <xdr:cNvPr id="73802" name="Check Box 74" hidden="1">
              <a:extLst>
                <a:ext uri="{63B3BB69-23CF-44E3-9099-C40C66FF867C}">
                  <a14:compatExt spid="_x0000_s73802"/>
                </a:ext>
                <a:ext uri="{FF2B5EF4-FFF2-40B4-BE49-F238E27FC236}">
                  <a16:creationId xmlns:a16="http://schemas.microsoft.com/office/drawing/2014/main" id="{00000000-0008-0000-2D00-00004A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6350</xdr:colOff>
          <xdr:row>7</xdr:row>
          <xdr:rowOff>44450</xdr:rowOff>
        </xdr:from>
        <xdr:to>
          <xdr:col>35</xdr:col>
          <xdr:colOff>25400</xdr:colOff>
          <xdr:row>7</xdr:row>
          <xdr:rowOff>349250</xdr:rowOff>
        </xdr:to>
        <xdr:sp macro="" textlink="">
          <xdr:nvSpPr>
            <xdr:cNvPr id="73803" name="Check Box 75" hidden="1">
              <a:extLst>
                <a:ext uri="{63B3BB69-23CF-44E3-9099-C40C66FF867C}">
                  <a14:compatExt spid="_x0000_s73803"/>
                </a:ext>
                <a:ext uri="{FF2B5EF4-FFF2-40B4-BE49-F238E27FC236}">
                  <a16:creationId xmlns:a16="http://schemas.microsoft.com/office/drawing/2014/main" id="{00000000-0008-0000-2D00-00004B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6350</xdr:colOff>
          <xdr:row>7</xdr:row>
          <xdr:rowOff>44450</xdr:rowOff>
        </xdr:from>
        <xdr:to>
          <xdr:col>38</xdr:col>
          <xdr:colOff>25400</xdr:colOff>
          <xdr:row>7</xdr:row>
          <xdr:rowOff>349250</xdr:rowOff>
        </xdr:to>
        <xdr:sp macro="" textlink="">
          <xdr:nvSpPr>
            <xdr:cNvPr id="73804" name="Check Box 76" hidden="1">
              <a:extLst>
                <a:ext uri="{63B3BB69-23CF-44E3-9099-C40C66FF867C}">
                  <a14:compatExt spid="_x0000_s73804"/>
                </a:ext>
                <a:ext uri="{FF2B5EF4-FFF2-40B4-BE49-F238E27FC236}">
                  <a16:creationId xmlns:a16="http://schemas.microsoft.com/office/drawing/2014/main" id="{00000000-0008-0000-2D00-00004C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6350</xdr:colOff>
          <xdr:row>7</xdr:row>
          <xdr:rowOff>50800</xdr:rowOff>
        </xdr:from>
        <xdr:to>
          <xdr:col>41</xdr:col>
          <xdr:colOff>25400</xdr:colOff>
          <xdr:row>7</xdr:row>
          <xdr:rowOff>355600</xdr:rowOff>
        </xdr:to>
        <xdr:sp macro="" textlink="">
          <xdr:nvSpPr>
            <xdr:cNvPr id="73805" name="Check Box 77" hidden="1">
              <a:extLst>
                <a:ext uri="{63B3BB69-23CF-44E3-9099-C40C66FF867C}">
                  <a14:compatExt spid="_x0000_s73805"/>
                </a:ext>
                <a:ext uri="{FF2B5EF4-FFF2-40B4-BE49-F238E27FC236}">
                  <a16:creationId xmlns:a16="http://schemas.microsoft.com/office/drawing/2014/main" id="{00000000-0008-0000-2D00-00004D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12700</xdr:colOff>
          <xdr:row>6</xdr:row>
          <xdr:rowOff>69850</xdr:rowOff>
        </xdr:from>
        <xdr:to>
          <xdr:col>35</xdr:col>
          <xdr:colOff>0</xdr:colOff>
          <xdr:row>6</xdr:row>
          <xdr:rowOff>330200</xdr:rowOff>
        </xdr:to>
        <xdr:sp macro="" textlink="">
          <xdr:nvSpPr>
            <xdr:cNvPr id="73806" name="Check Box 78" hidden="1">
              <a:extLst>
                <a:ext uri="{63B3BB69-23CF-44E3-9099-C40C66FF867C}">
                  <a14:compatExt spid="_x0000_s73806"/>
                </a:ext>
                <a:ext uri="{FF2B5EF4-FFF2-40B4-BE49-F238E27FC236}">
                  <a16:creationId xmlns:a16="http://schemas.microsoft.com/office/drawing/2014/main" id="{00000000-0008-0000-2D00-00004E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12700</xdr:colOff>
          <xdr:row>6</xdr:row>
          <xdr:rowOff>38100</xdr:rowOff>
        </xdr:from>
        <xdr:to>
          <xdr:col>38</xdr:col>
          <xdr:colOff>31750</xdr:colOff>
          <xdr:row>6</xdr:row>
          <xdr:rowOff>342900</xdr:rowOff>
        </xdr:to>
        <xdr:sp macro="" textlink="">
          <xdr:nvSpPr>
            <xdr:cNvPr id="73807" name="Check Box 79" hidden="1">
              <a:extLst>
                <a:ext uri="{63B3BB69-23CF-44E3-9099-C40C66FF867C}">
                  <a14:compatExt spid="_x0000_s73807"/>
                </a:ext>
                <a:ext uri="{FF2B5EF4-FFF2-40B4-BE49-F238E27FC236}">
                  <a16:creationId xmlns:a16="http://schemas.microsoft.com/office/drawing/2014/main" id="{00000000-0008-0000-2D00-00004F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12700</xdr:colOff>
          <xdr:row>6</xdr:row>
          <xdr:rowOff>38100</xdr:rowOff>
        </xdr:from>
        <xdr:to>
          <xdr:col>41</xdr:col>
          <xdr:colOff>31750</xdr:colOff>
          <xdr:row>6</xdr:row>
          <xdr:rowOff>342900</xdr:rowOff>
        </xdr:to>
        <xdr:sp macro="" textlink="">
          <xdr:nvSpPr>
            <xdr:cNvPr id="73808" name="Check Box 80" hidden="1">
              <a:extLst>
                <a:ext uri="{63B3BB69-23CF-44E3-9099-C40C66FF867C}">
                  <a14:compatExt spid="_x0000_s73808"/>
                </a:ext>
                <a:ext uri="{FF2B5EF4-FFF2-40B4-BE49-F238E27FC236}">
                  <a16:creationId xmlns:a16="http://schemas.microsoft.com/office/drawing/2014/main" id="{00000000-0008-0000-2D00-000050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6350</xdr:colOff>
          <xdr:row>5</xdr:row>
          <xdr:rowOff>44450</xdr:rowOff>
        </xdr:from>
        <xdr:to>
          <xdr:col>35</xdr:col>
          <xdr:colOff>25400</xdr:colOff>
          <xdr:row>5</xdr:row>
          <xdr:rowOff>349250</xdr:rowOff>
        </xdr:to>
        <xdr:sp macro="" textlink="">
          <xdr:nvSpPr>
            <xdr:cNvPr id="73809" name="Check Box 81" hidden="1">
              <a:extLst>
                <a:ext uri="{63B3BB69-23CF-44E3-9099-C40C66FF867C}">
                  <a14:compatExt spid="_x0000_s73809"/>
                </a:ext>
                <a:ext uri="{FF2B5EF4-FFF2-40B4-BE49-F238E27FC236}">
                  <a16:creationId xmlns:a16="http://schemas.microsoft.com/office/drawing/2014/main" id="{00000000-0008-0000-2D00-000051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12700</xdr:colOff>
          <xdr:row>5</xdr:row>
          <xdr:rowOff>38100</xdr:rowOff>
        </xdr:from>
        <xdr:to>
          <xdr:col>38</xdr:col>
          <xdr:colOff>31750</xdr:colOff>
          <xdr:row>5</xdr:row>
          <xdr:rowOff>342900</xdr:rowOff>
        </xdr:to>
        <xdr:sp macro="" textlink="">
          <xdr:nvSpPr>
            <xdr:cNvPr id="73810" name="Check Box 82" hidden="1">
              <a:extLst>
                <a:ext uri="{63B3BB69-23CF-44E3-9099-C40C66FF867C}">
                  <a14:compatExt spid="_x0000_s73810"/>
                </a:ext>
                <a:ext uri="{FF2B5EF4-FFF2-40B4-BE49-F238E27FC236}">
                  <a16:creationId xmlns:a16="http://schemas.microsoft.com/office/drawing/2014/main" id="{00000000-0008-0000-2D00-000052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6350</xdr:colOff>
          <xdr:row>5</xdr:row>
          <xdr:rowOff>38100</xdr:rowOff>
        </xdr:from>
        <xdr:to>
          <xdr:col>41</xdr:col>
          <xdr:colOff>25400</xdr:colOff>
          <xdr:row>5</xdr:row>
          <xdr:rowOff>342900</xdr:rowOff>
        </xdr:to>
        <xdr:sp macro="" textlink="">
          <xdr:nvSpPr>
            <xdr:cNvPr id="73811" name="Check Box 83" hidden="1">
              <a:extLst>
                <a:ext uri="{63B3BB69-23CF-44E3-9099-C40C66FF867C}">
                  <a14:compatExt spid="_x0000_s73811"/>
                </a:ext>
                <a:ext uri="{FF2B5EF4-FFF2-40B4-BE49-F238E27FC236}">
                  <a16:creationId xmlns:a16="http://schemas.microsoft.com/office/drawing/2014/main" id="{00000000-0008-0000-2D00-000053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12700</xdr:colOff>
          <xdr:row>4</xdr:row>
          <xdr:rowOff>38100</xdr:rowOff>
        </xdr:from>
        <xdr:to>
          <xdr:col>35</xdr:col>
          <xdr:colOff>31750</xdr:colOff>
          <xdr:row>4</xdr:row>
          <xdr:rowOff>342900</xdr:rowOff>
        </xdr:to>
        <xdr:sp macro="" textlink="">
          <xdr:nvSpPr>
            <xdr:cNvPr id="73812" name="Check Box 84" hidden="1">
              <a:extLst>
                <a:ext uri="{63B3BB69-23CF-44E3-9099-C40C66FF867C}">
                  <a14:compatExt spid="_x0000_s73812"/>
                </a:ext>
                <a:ext uri="{FF2B5EF4-FFF2-40B4-BE49-F238E27FC236}">
                  <a16:creationId xmlns:a16="http://schemas.microsoft.com/office/drawing/2014/main" id="{00000000-0008-0000-2D00-000054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12700</xdr:colOff>
          <xdr:row>4</xdr:row>
          <xdr:rowOff>50800</xdr:rowOff>
        </xdr:from>
        <xdr:to>
          <xdr:col>38</xdr:col>
          <xdr:colOff>31750</xdr:colOff>
          <xdr:row>4</xdr:row>
          <xdr:rowOff>355600</xdr:rowOff>
        </xdr:to>
        <xdr:sp macro="" textlink="">
          <xdr:nvSpPr>
            <xdr:cNvPr id="73813" name="Check Box 85" hidden="1">
              <a:extLst>
                <a:ext uri="{63B3BB69-23CF-44E3-9099-C40C66FF867C}">
                  <a14:compatExt spid="_x0000_s73813"/>
                </a:ext>
                <a:ext uri="{FF2B5EF4-FFF2-40B4-BE49-F238E27FC236}">
                  <a16:creationId xmlns:a16="http://schemas.microsoft.com/office/drawing/2014/main" id="{00000000-0008-0000-2D00-000055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6350</xdr:colOff>
          <xdr:row>4</xdr:row>
          <xdr:rowOff>44450</xdr:rowOff>
        </xdr:from>
        <xdr:to>
          <xdr:col>41</xdr:col>
          <xdr:colOff>25400</xdr:colOff>
          <xdr:row>4</xdr:row>
          <xdr:rowOff>349250</xdr:rowOff>
        </xdr:to>
        <xdr:sp macro="" textlink="">
          <xdr:nvSpPr>
            <xdr:cNvPr id="73814" name="Check Box 86" hidden="1">
              <a:extLst>
                <a:ext uri="{63B3BB69-23CF-44E3-9099-C40C66FF867C}">
                  <a14:compatExt spid="_x0000_s73814"/>
                </a:ext>
                <a:ext uri="{FF2B5EF4-FFF2-40B4-BE49-F238E27FC236}">
                  <a16:creationId xmlns:a16="http://schemas.microsoft.com/office/drawing/2014/main" id="{00000000-0008-0000-2D00-000056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260350</xdr:colOff>
          <xdr:row>4</xdr:row>
          <xdr:rowOff>88900</xdr:rowOff>
        </xdr:from>
        <xdr:to>
          <xdr:col>21</xdr:col>
          <xdr:colOff>241300</xdr:colOff>
          <xdr:row>4</xdr:row>
          <xdr:rowOff>311150</xdr:rowOff>
        </xdr:to>
        <xdr:sp macro="" textlink="">
          <xdr:nvSpPr>
            <xdr:cNvPr id="73818" name="Check Box 90" hidden="1">
              <a:extLst>
                <a:ext uri="{63B3BB69-23CF-44E3-9099-C40C66FF867C}">
                  <a14:compatExt spid="_x0000_s73818"/>
                </a:ext>
                <a:ext uri="{FF2B5EF4-FFF2-40B4-BE49-F238E27FC236}">
                  <a16:creationId xmlns:a16="http://schemas.microsoft.com/office/drawing/2014/main" id="{00000000-0008-0000-2D00-00005A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260350</xdr:colOff>
          <xdr:row>5</xdr:row>
          <xdr:rowOff>88900</xdr:rowOff>
        </xdr:from>
        <xdr:to>
          <xdr:col>21</xdr:col>
          <xdr:colOff>241300</xdr:colOff>
          <xdr:row>5</xdr:row>
          <xdr:rowOff>311150</xdr:rowOff>
        </xdr:to>
        <xdr:sp macro="" textlink="">
          <xdr:nvSpPr>
            <xdr:cNvPr id="73819" name="Check Box 91" hidden="1">
              <a:extLst>
                <a:ext uri="{63B3BB69-23CF-44E3-9099-C40C66FF867C}">
                  <a14:compatExt spid="_x0000_s73819"/>
                </a:ext>
                <a:ext uri="{FF2B5EF4-FFF2-40B4-BE49-F238E27FC236}">
                  <a16:creationId xmlns:a16="http://schemas.microsoft.com/office/drawing/2014/main" id="{00000000-0008-0000-2D00-00005B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260350</xdr:colOff>
          <xdr:row>6</xdr:row>
          <xdr:rowOff>88900</xdr:rowOff>
        </xdr:from>
        <xdr:to>
          <xdr:col>21</xdr:col>
          <xdr:colOff>241300</xdr:colOff>
          <xdr:row>6</xdr:row>
          <xdr:rowOff>311150</xdr:rowOff>
        </xdr:to>
        <xdr:sp macro="" textlink="">
          <xdr:nvSpPr>
            <xdr:cNvPr id="73820" name="Check Box 92" hidden="1">
              <a:extLst>
                <a:ext uri="{63B3BB69-23CF-44E3-9099-C40C66FF867C}">
                  <a14:compatExt spid="_x0000_s73820"/>
                </a:ext>
                <a:ext uri="{FF2B5EF4-FFF2-40B4-BE49-F238E27FC236}">
                  <a16:creationId xmlns:a16="http://schemas.microsoft.com/office/drawing/2014/main" id="{00000000-0008-0000-2D00-00005C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260350</xdr:colOff>
          <xdr:row>7</xdr:row>
          <xdr:rowOff>88900</xdr:rowOff>
        </xdr:from>
        <xdr:to>
          <xdr:col>21</xdr:col>
          <xdr:colOff>241300</xdr:colOff>
          <xdr:row>7</xdr:row>
          <xdr:rowOff>311150</xdr:rowOff>
        </xdr:to>
        <xdr:sp macro="" textlink="">
          <xdr:nvSpPr>
            <xdr:cNvPr id="73821" name="Check Box 93" hidden="1">
              <a:extLst>
                <a:ext uri="{63B3BB69-23CF-44E3-9099-C40C66FF867C}">
                  <a14:compatExt spid="_x0000_s73821"/>
                </a:ext>
                <a:ext uri="{FF2B5EF4-FFF2-40B4-BE49-F238E27FC236}">
                  <a16:creationId xmlns:a16="http://schemas.microsoft.com/office/drawing/2014/main" id="{00000000-0008-0000-2D00-00005D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260350</xdr:colOff>
          <xdr:row>8</xdr:row>
          <xdr:rowOff>88900</xdr:rowOff>
        </xdr:from>
        <xdr:to>
          <xdr:col>21</xdr:col>
          <xdr:colOff>241300</xdr:colOff>
          <xdr:row>8</xdr:row>
          <xdr:rowOff>311150</xdr:rowOff>
        </xdr:to>
        <xdr:sp macro="" textlink="">
          <xdr:nvSpPr>
            <xdr:cNvPr id="73822" name="Check Box 94" hidden="1">
              <a:extLst>
                <a:ext uri="{63B3BB69-23CF-44E3-9099-C40C66FF867C}">
                  <a14:compatExt spid="_x0000_s73822"/>
                </a:ext>
                <a:ext uri="{FF2B5EF4-FFF2-40B4-BE49-F238E27FC236}">
                  <a16:creationId xmlns:a16="http://schemas.microsoft.com/office/drawing/2014/main" id="{00000000-0008-0000-2D00-00005E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260350</xdr:colOff>
          <xdr:row>9</xdr:row>
          <xdr:rowOff>88900</xdr:rowOff>
        </xdr:from>
        <xdr:to>
          <xdr:col>21</xdr:col>
          <xdr:colOff>241300</xdr:colOff>
          <xdr:row>9</xdr:row>
          <xdr:rowOff>311150</xdr:rowOff>
        </xdr:to>
        <xdr:sp macro="" textlink="">
          <xdr:nvSpPr>
            <xdr:cNvPr id="73823" name="Check Box 95" hidden="1">
              <a:extLst>
                <a:ext uri="{63B3BB69-23CF-44E3-9099-C40C66FF867C}">
                  <a14:compatExt spid="_x0000_s73823"/>
                </a:ext>
                <a:ext uri="{FF2B5EF4-FFF2-40B4-BE49-F238E27FC236}">
                  <a16:creationId xmlns:a16="http://schemas.microsoft.com/office/drawing/2014/main" id="{00000000-0008-0000-2D00-00005F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260350</xdr:colOff>
          <xdr:row>10</xdr:row>
          <xdr:rowOff>88900</xdr:rowOff>
        </xdr:from>
        <xdr:to>
          <xdr:col>21</xdr:col>
          <xdr:colOff>241300</xdr:colOff>
          <xdr:row>10</xdr:row>
          <xdr:rowOff>311150</xdr:rowOff>
        </xdr:to>
        <xdr:sp macro="" textlink="">
          <xdr:nvSpPr>
            <xdr:cNvPr id="73824" name="Check Box 96" hidden="1">
              <a:extLst>
                <a:ext uri="{63B3BB69-23CF-44E3-9099-C40C66FF867C}">
                  <a14:compatExt spid="_x0000_s73824"/>
                </a:ext>
                <a:ext uri="{FF2B5EF4-FFF2-40B4-BE49-F238E27FC236}">
                  <a16:creationId xmlns:a16="http://schemas.microsoft.com/office/drawing/2014/main" id="{00000000-0008-0000-2D00-000060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260350</xdr:colOff>
          <xdr:row>11</xdr:row>
          <xdr:rowOff>88900</xdr:rowOff>
        </xdr:from>
        <xdr:to>
          <xdr:col>21</xdr:col>
          <xdr:colOff>241300</xdr:colOff>
          <xdr:row>11</xdr:row>
          <xdr:rowOff>311150</xdr:rowOff>
        </xdr:to>
        <xdr:sp macro="" textlink="">
          <xdr:nvSpPr>
            <xdr:cNvPr id="73825" name="Check Box 97" hidden="1">
              <a:extLst>
                <a:ext uri="{63B3BB69-23CF-44E3-9099-C40C66FF867C}">
                  <a14:compatExt spid="_x0000_s73825"/>
                </a:ext>
                <a:ext uri="{FF2B5EF4-FFF2-40B4-BE49-F238E27FC236}">
                  <a16:creationId xmlns:a16="http://schemas.microsoft.com/office/drawing/2014/main" id="{00000000-0008-0000-2D00-000061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260350</xdr:colOff>
          <xdr:row>12</xdr:row>
          <xdr:rowOff>88900</xdr:rowOff>
        </xdr:from>
        <xdr:to>
          <xdr:col>21</xdr:col>
          <xdr:colOff>241300</xdr:colOff>
          <xdr:row>12</xdr:row>
          <xdr:rowOff>311150</xdr:rowOff>
        </xdr:to>
        <xdr:sp macro="" textlink="">
          <xdr:nvSpPr>
            <xdr:cNvPr id="73826" name="Check Box 98" hidden="1">
              <a:extLst>
                <a:ext uri="{63B3BB69-23CF-44E3-9099-C40C66FF867C}">
                  <a14:compatExt spid="_x0000_s73826"/>
                </a:ext>
                <a:ext uri="{FF2B5EF4-FFF2-40B4-BE49-F238E27FC236}">
                  <a16:creationId xmlns:a16="http://schemas.microsoft.com/office/drawing/2014/main" id="{00000000-0008-0000-2D00-000062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260350</xdr:colOff>
          <xdr:row>13</xdr:row>
          <xdr:rowOff>88900</xdr:rowOff>
        </xdr:from>
        <xdr:to>
          <xdr:col>21</xdr:col>
          <xdr:colOff>241300</xdr:colOff>
          <xdr:row>13</xdr:row>
          <xdr:rowOff>311150</xdr:rowOff>
        </xdr:to>
        <xdr:sp macro="" textlink="">
          <xdr:nvSpPr>
            <xdr:cNvPr id="73827" name="Check Box 99" hidden="1">
              <a:extLst>
                <a:ext uri="{63B3BB69-23CF-44E3-9099-C40C66FF867C}">
                  <a14:compatExt spid="_x0000_s73827"/>
                </a:ext>
                <a:ext uri="{FF2B5EF4-FFF2-40B4-BE49-F238E27FC236}">
                  <a16:creationId xmlns:a16="http://schemas.microsoft.com/office/drawing/2014/main" id="{00000000-0008-0000-2D00-000063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260350</xdr:colOff>
          <xdr:row>14</xdr:row>
          <xdr:rowOff>88900</xdr:rowOff>
        </xdr:from>
        <xdr:to>
          <xdr:col>21</xdr:col>
          <xdr:colOff>241300</xdr:colOff>
          <xdr:row>14</xdr:row>
          <xdr:rowOff>311150</xdr:rowOff>
        </xdr:to>
        <xdr:sp macro="" textlink="">
          <xdr:nvSpPr>
            <xdr:cNvPr id="73828" name="Check Box 100" hidden="1">
              <a:extLst>
                <a:ext uri="{63B3BB69-23CF-44E3-9099-C40C66FF867C}">
                  <a14:compatExt spid="_x0000_s73828"/>
                </a:ext>
                <a:ext uri="{FF2B5EF4-FFF2-40B4-BE49-F238E27FC236}">
                  <a16:creationId xmlns:a16="http://schemas.microsoft.com/office/drawing/2014/main" id="{00000000-0008-0000-2D00-000064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260350</xdr:colOff>
          <xdr:row>15</xdr:row>
          <xdr:rowOff>88900</xdr:rowOff>
        </xdr:from>
        <xdr:to>
          <xdr:col>21</xdr:col>
          <xdr:colOff>241300</xdr:colOff>
          <xdr:row>15</xdr:row>
          <xdr:rowOff>311150</xdr:rowOff>
        </xdr:to>
        <xdr:sp macro="" textlink="">
          <xdr:nvSpPr>
            <xdr:cNvPr id="73829" name="Check Box 101" hidden="1">
              <a:extLst>
                <a:ext uri="{63B3BB69-23CF-44E3-9099-C40C66FF867C}">
                  <a14:compatExt spid="_x0000_s73829"/>
                </a:ext>
                <a:ext uri="{FF2B5EF4-FFF2-40B4-BE49-F238E27FC236}">
                  <a16:creationId xmlns:a16="http://schemas.microsoft.com/office/drawing/2014/main" id="{00000000-0008-0000-2D00-000065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260350</xdr:colOff>
          <xdr:row>16</xdr:row>
          <xdr:rowOff>88900</xdr:rowOff>
        </xdr:from>
        <xdr:to>
          <xdr:col>21</xdr:col>
          <xdr:colOff>241300</xdr:colOff>
          <xdr:row>16</xdr:row>
          <xdr:rowOff>311150</xdr:rowOff>
        </xdr:to>
        <xdr:sp macro="" textlink="">
          <xdr:nvSpPr>
            <xdr:cNvPr id="73830" name="Check Box 102" hidden="1">
              <a:extLst>
                <a:ext uri="{63B3BB69-23CF-44E3-9099-C40C66FF867C}">
                  <a14:compatExt spid="_x0000_s73830"/>
                </a:ext>
                <a:ext uri="{FF2B5EF4-FFF2-40B4-BE49-F238E27FC236}">
                  <a16:creationId xmlns:a16="http://schemas.microsoft.com/office/drawing/2014/main" id="{00000000-0008-0000-2D00-000066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260350</xdr:colOff>
          <xdr:row>17</xdr:row>
          <xdr:rowOff>88900</xdr:rowOff>
        </xdr:from>
        <xdr:to>
          <xdr:col>21</xdr:col>
          <xdr:colOff>241300</xdr:colOff>
          <xdr:row>17</xdr:row>
          <xdr:rowOff>311150</xdr:rowOff>
        </xdr:to>
        <xdr:sp macro="" textlink="">
          <xdr:nvSpPr>
            <xdr:cNvPr id="73831" name="Check Box 103" hidden="1">
              <a:extLst>
                <a:ext uri="{63B3BB69-23CF-44E3-9099-C40C66FF867C}">
                  <a14:compatExt spid="_x0000_s73831"/>
                </a:ext>
                <a:ext uri="{FF2B5EF4-FFF2-40B4-BE49-F238E27FC236}">
                  <a16:creationId xmlns:a16="http://schemas.microsoft.com/office/drawing/2014/main" id="{00000000-0008-0000-2D00-000067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260350</xdr:colOff>
          <xdr:row>18</xdr:row>
          <xdr:rowOff>88900</xdr:rowOff>
        </xdr:from>
        <xdr:to>
          <xdr:col>21</xdr:col>
          <xdr:colOff>241300</xdr:colOff>
          <xdr:row>18</xdr:row>
          <xdr:rowOff>311150</xdr:rowOff>
        </xdr:to>
        <xdr:sp macro="" textlink="">
          <xdr:nvSpPr>
            <xdr:cNvPr id="73832" name="Check Box 104" hidden="1">
              <a:extLst>
                <a:ext uri="{63B3BB69-23CF-44E3-9099-C40C66FF867C}">
                  <a14:compatExt spid="_x0000_s73832"/>
                </a:ext>
                <a:ext uri="{FF2B5EF4-FFF2-40B4-BE49-F238E27FC236}">
                  <a16:creationId xmlns:a16="http://schemas.microsoft.com/office/drawing/2014/main" id="{00000000-0008-0000-2D00-000068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260350</xdr:colOff>
          <xdr:row>5</xdr:row>
          <xdr:rowOff>88900</xdr:rowOff>
        </xdr:from>
        <xdr:to>
          <xdr:col>18</xdr:col>
          <xdr:colOff>241300</xdr:colOff>
          <xdr:row>5</xdr:row>
          <xdr:rowOff>311150</xdr:rowOff>
        </xdr:to>
        <xdr:sp macro="" textlink="">
          <xdr:nvSpPr>
            <xdr:cNvPr id="73833" name="Check Box 105" hidden="1">
              <a:extLst>
                <a:ext uri="{63B3BB69-23CF-44E3-9099-C40C66FF867C}">
                  <a14:compatExt spid="_x0000_s73833"/>
                </a:ext>
                <a:ext uri="{FF2B5EF4-FFF2-40B4-BE49-F238E27FC236}">
                  <a16:creationId xmlns:a16="http://schemas.microsoft.com/office/drawing/2014/main" id="{00000000-0008-0000-2D00-000069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260350</xdr:colOff>
          <xdr:row>6</xdr:row>
          <xdr:rowOff>88900</xdr:rowOff>
        </xdr:from>
        <xdr:to>
          <xdr:col>18</xdr:col>
          <xdr:colOff>241300</xdr:colOff>
          <xdr:row>6</xdr:row>
          <xdr:rowOff>311150</xdr:rowOff>
        </xdr:to>
        <xdr:sp macro="" textlink="">
          <xdr:nvSpPr>
            <xdr:cNvPr id="73834" name="Check Box 106" hidden="1">
              <a:extLst>
                <a:ext uri="{63B3BB69-23CF-44E3-9099-C40C66FF867C}">
                  <a14:compatExt spid="_x0000_s73834"/>
                </a:ext>
                <a:ext uri="{FF2B5EF4-FFF2-40B4-BE49-F238E27FC236}">
                  <a16:creationId xmlns:a16="http://schemas.microsoft.com/office/drawing/2014/main" id="{00000000-0008-0000-2D00-00006A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260350</xdr:colOff>
          <xdr:row>7</xdr:row>
          <xdr:rowOff>88900</xdr:rowOff>
        </xdr:from>
        <xdr:to>
          <xdr:col>18</xdr:col>
          <xdr:colOff>241300</xdr:colOff>
          <xdr:row>7</xdr:row>
          <xdr:rowOff>311150</xdr:rowOff>
        </xdr:to>
        <xdr:sp macro="" textlink="">
          <xdr:nvSpPr>
            <xdr:cNvPr id="73835" name="Check Box 107" hidden="1">
              <a:extLst>
                <a:ext uri="{63B3BB69-23CF-44E3-9099-C40C66FF867C}">
                  <a14:compatExt spid="_x0000_s73835"/>
                </a:ext>
                <a:ext uri="{FF2B5EF4-FFF2-40B4-BE49-F238E27FC236}">
                  <a16:creationId xmlns:a16="http://schemas.microsoft.com/office/drawing/2014/main" id="{00000000-0008-0000-2D00-00006B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260350</xdr:colOff>
          <xdr:row>8</xdr:row>
          <xdr:rowOff>88900</xdr:rowOff>
        </xdr:from>
        <xdr:to>
          <xdr:col>18</xdr:col>
          <xdr:colOff>241300</xdr:colOff>
          <xdr:row>8</xdr:row>
          <xdr:rowOff>311150</xdr:rowOff>
        </xdr:to>
        <xdr:sp macro="" textlink="">
          <xdr:nvSpPr>
            <xdr:cNvPr id="73836" name="Check Box 108" hidden="1">
              <a:extLst>
                <a:ext uri="{63B3BB69-23CF-44E3-9099-C40C66FF867C}">
                  <a14:compatExt spid="_x0000_s73836"/>
                </a:ext>
                <a:ext uri="{FF2B5EF4-FFF2-40B4-BE49-F238E27FC236}">
                  <a16:creationId xmlns:a16="http://schemas.microsoft.com/office/drawing/2014/main" id="{00000000-0008-0000-2D00-00006C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260350</xdr:colOff>
          <xdr:row>9</xdr:row>
          <xdr:rowOff>88900</xdr:rowOff>
        </xdr:from>
        <xdr:to>
          <xdr:col>18</xdr:col>
          <xdr:colOff>241300</xdr:colOff>
          <xdr:row>9</xdr:row>
          <xdr:rowOff>311150</xdr:rowOff>
        </xdr:to>
        <xdr:sp macro="" textlink="">
          <xdr:nvSpPr>
            <xdr:cNvPr id="73837" name="Check Box 109" hidden="1">
              <a:extLst>
                <a:ext uri="{63B3BB69-23CF-44E3-9099-C40C66FF867C}">
                  <a14:compatExt spid="_x0000_s73837"/>
                </a:ext>
                <a:ext uri="{FF2B5EF4-FFF2-40B4-BE49-F238E27FC236}">
                  <a16:creationId xmlns:a16="http://schemas.microsoft.com/office/drawing/2014/main" id="{00000000-0008-0000-2D00-00006D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260350</xdr:colOff>
          <xdr:row>10</xdr:row>
          <xdr:rowOff>88900</xdr:rowOff>
        </xdr:from>
        <xdr:to>
          <xdr:col>18</xdr:col>
          <xdr:colOff>241300</xdr:colOff>
          <xdr:row>10</xdr:row>
          <xdr:rowOff>311150</xdr:rowOff>
        </xdr:to>
        <xdr:sp macro="" textlink="">
          <xdr:nvSpPr>
            <xdr:cNvPr id="73838" name="Check Box 110" hidden="1">
              <a:extLst>
                <a:ext uri="{63B3BB69-23CF-44E3-9099-C40C66FF867C}">
                  <a14:compatExt spid="_x0000_s73838"/>
                </a:ext>
                <a:ext uri="{FF2B5EF4-FFF2-40B4-BE49-F238E27FC236}">
                  <a16:creationId xmlns:a16="http://schemas.microsoft.com/office/drawing/2014/main" id="{00000000-0008-0000-2D00-00006E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260350</xdr:colOff>
          <xdr:row>11</xdr:row>
          <xdr:rowOff>88900</xdr:rowOff>
        </xdr:from>
        <xdr:to>
          <xdr:col>18</xdr:col>
          <xdr:colOff>241300</xdr:colOff>
          <xdr:row>11</xdr:row>
          <xdr:rowOff>311150</xdr:rowOff>
        </xdr:to>
        <xdr:sp macro="" textlink="">
          <xdr:nvSpPr>
            <xdr:cNvPr id="73839" name="Check Box 111" hidden="1">
              <a:extLst>
                <a:ext uri="{63B3BB69-23CF-44E3-9099-C40C66FF867C}">
                  <a14:compatExt spid="_x0000_s73839"/>
                </a:ext>
                <a:ext uri="{FF2B5EF4-FFF2-40B4-BE49-F238E27FC236}">
                  <a16:creationId xmlns:a16="http://schemas.microsoft.com/office/drawing/2014/main" id="{00000000-0008-0000-2D00-00006F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260350</xdr:colOff>
          <xdr:row>12</xdr:row>
          <xdr:rowOff>88900</xdr:rowOff>
        </xdr:from>
        <xdr:to>
          <xdr:col>18</xdr:col>
          <xdr:colOff>241300</xdr:colOff>
          <xdr:row>12</xdr:row>
          <xdr:rowOff>311150</xdr:rowOff>
        </xdr:to>
        <xdr:sp macro="" textlink="">
          <xdr:nvSpPr>
            <xdr:cNvPr id="73840" name="Check Box 112" hidden="1">
              <a:extLst>
                <a:ext uri="{63B3BB69-23CF-44E3-9099-C40C66FF867C}">
                  <a14:compatExt spid="_x0000_s73840"/>
                </a:ext>
                <a:ext uri="{FF2B5EF4-FFF2-40B4-BE49-F238E27FC236}">
                  <a16:creationId xmlns:a16="http://schemas.microsoft.com/office/drawing/2014/main" id="{00000000-0008-0000-2D00-000070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260350</xdr:colOff>
          <xdr:row>13</xdr:row>
          <xdr:rowOff>88900</xdr:rowOff>
        </xdr:from>
        <xdr:to>
          <xdr:col>18</xdr:col>
          <xdr:colOff>241300</xdr:colOff>
          <xdr:row>13</xdr:row>
          <xdr:rowOff>311150</xdr:rowOff>
        </xdr:to>
        <xdr:sp macro="" textlink="">
          <xdr:nvSpPr>
            <xdr:cNvPr id="73841" name="Check Box 113" hidden="1">
              <a:extLst>
                <a:ext uri="{63B3BB69-23CF-44E3-9099-C40C66FF867C}">
                  <a14:compatExt spid="_x0000_s73841"/>
                </a:ext>
                <a:ext uri="{FF2B5EF4-FFF2-40B4-BE49-F238E27FC236}">
                  <a16:creationId xmlns:a16="http://schemas.microsoft.com/office/drawing/2014/main" id="{00000000-0008-0000-2D00-000071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260350</xdr:colOff>
          <xdr:row>14</xdr:row>
          <xdr:rowOff>88900</xdr:rowOff>
        </xdr:from>
        <xdr:to>
          <xdr:col>18</xdr:col>
          <xdr:colOff>241300</xdr:colOff>
          <xdr:row>14</xdr:row>
          <xdr:rowOff>311150</xdr:rowOff>
        </xdr:to>
        <xdr:sp macro="" textlink="">
          <xdr:nvSpPr>
            <xdr:cNvPr id="73842" name="Check Box 114" hidden="1">
              <a:extLst>
                <a:ext uri="{63B3BB69-23CF-44E3-9099-C40C66FF867C}">
                  <a14:compatExt spid="_x0000_s73842"/>
                </a:ext>
                <a:ext uri="{FF2B5EF4-FFF2-40B4-BE49-F238E27FC236}">
                  <a16:creationId xmlns:a16="http://schemas.microsoft.com/office/drawing/2014/main" id="{00000000-0008-0000-2D00-000072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260350</xdr:colOff>
          <xdr:row>15</xdr:row>
          <xdr:rowOff>88900</xdr:rowOff>
        </xdr:from>
        <xdr:to>
          <xdr:col>18</xdr:col>
          <xdr:colOff>241300</xdr:colOff>
          <xdr:row>15</xdr:row>
          <xdr:rowOff>311150</xdr:rowOff>
        </xdr:to>
        <xdr:sp macro="" textlink="">
          <xdr:nvSpPr>
            <xdr:cNvPr id="73843" name="Check Box 115" hidden="1">
              <a:extLst>
                <a:ext uri="{63B3BB69-23CF-44E3-9099-C40C66FF867C}">
                  <a14:compatExt spid="_x0000_s73843"/>
                </a:ext>
                <a:ext uri="{FF2B5EF4-FFF2-40B4-BE49-F238E27FC236}">
                  <a16:creationId xmlns:a16="http://schemas.microsoft.com/office/drawing/2014/main" id="{00000000-0008-0000-2D00-000073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260350</xdr:colOff>
          <xdr:row>16</xdr:row>
          <xdr:rowOff>88900</xdr:rowOff>
        </xdr:from>
        <xdr:to>
          <xdr:col>18</xdr:col>
          <xdr:colOff>241300</xdr:colOff>
          <xdr:row>16</xdr:row>
          <xdr:rowOff>311150</xdr:rowOff>
        </xdr:to>
        <xdr:sp macro="" textlink="">
          <xdr:nvSpPr>
            <xdr:cNvPr id="73844" name="Check Box 116" hidden="1">
              <a:extLst>
                <a:ext uri="{63B3BB69-23CF-44E3-9099-C40C66FF867C}">
                  <a14:compatExt spid="_x0000_s73844"/>
                </a:ext>
                <a:ext uri="{FF2B5EF4-FFF2-40B4-BE49-F238E27FC236}">
                  <a16:creationId xmlns:a16="http://schemas.microsoft.com/office/drawing/2014/main" id="{00000000-0008-0000-2D00-000074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260350</xdr:colOff>
          <xdr:row>17</xdr:row>
          <xdr:rowOff>88900</xdr:rowOff>
        </xdr:from>
        <xdr:to>
          <xdr:col>18</xdr:col>
          <xdr:colOff>241300</xdr:colOff>
          <xdr:row>17</xdr:row>
          <xdr:rowOff>311150</xdr:rowOff>
        </xdr:to>
        <xdr:sp macro="" textlink="">
          <xdr:nvSpPr>
            <xdr:cNvPr id="73845" name="Check Box 117" hidden="1">
              <a:extLst>
                <a:ext uri="{63B3BB69-23CF-44E3-9099-C40C66FF867C}">
                  <a14:compatExt spid="_x0000_s73845"/>
                </a:ext>
                <a:ext uri="{FF2B5EF4-FFF2-40B4-BE49-F238E27FC236}">
                  <a16:creationId xmlns:a16="http://schemas.microsoft.com/office/drawing/2014/main" id="{00000000-0008-0000-2D00-000075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260350</xdr:colOff>
          <xdr:row>18</xdr:row>
          <xdr:rowOff>88900</xdr:rowOff>
        </xdr:from>
        <xdr:to>
          <xdr:col>18</xdr:col>
          <xdr:colOff>241300</xdr:colOff>
          <xdr:row>18</xdr:row>
          <xdr:rowOff>311150</xdr:rowOff>
        </xdr:to>
        <xdr:sp macro="" textlink="">
          <xdr:nvSpPr>
            <xdr:cNvPr id="73846" name="Check Box 118" hidden="1">
              <a:extLst>
                <a:ext uri="{63B3BB69-23CF-44E3-9099-C40C66FF867C}">
                  <a14:compatExt spid="_x0000_s73846"/>
                </a:ext>
                <a:ext uri="{FF2B5EF4-FFF2-40B4-BE49-F238E27FC236}">
                  <a16:creationId xmlns:a16="http://schemas.microsoft.com/office/drawing/2014/main" id="{00000000-0008-0000-2D00-000076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25400</xdr:colOff>
          <xdr:row>9</xdr:row>
          <xdr:rowOff>6350</xdr:rowOff>
        </xdr:from>
        <xdr:to>
          <xdr:col>4</xdr:col>
          <xdr:colOff>266700</xdr:colOff>
          <xdr:row>9</xdr:row>
          <xdr:rowOff>228600</xdr:rowOff>
        </xdr:to>
        <xdr:sp macro="" textlink="">
          <xdr:nvSpPr>
            <xdr:cNvPr id="79873" name="Check Box 1" hidden="1">
              <a:extLst>
                <a:ext uri="{63B3BB69-23CF-44E3-9099-C40C66FF867C}">
                  <a14:compatExt spid="_x0000_s79873"/>
                </a:ext>
                <a:ext uri="{FF2B5EF4-FFF2-40B4-BE49-F238E27FC236}">
                  <a16:creationId xmlns:a16="http://schemas.microsoft.com/office/drawing/2014/main" id="{00000000-0008-0000-3300-000001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10</xdr:row>
          <xdr:rowOff>6350</xdr:rowOff>
        </xdr:from>
        <xdr:to>
          <xdr:col>4</xdr:col>
          <xdr:colOff>266700</xdr:colOff>
          <xdr:row>10</xdr:row>
          <xdr:rowOff>228600</xdr:rowOff>
        </xdr:to>
        <xdr:sp macro="" textlink="">
          <xdr:nvSpPr>
            <xdr:cNvPr id="79874" name="Check Box 2" hidden="1">
              <a:extLst>
                <a:ext uri="{63B3BB69-23CF-44E3-9099-C40C66FF867C}">
                  <a14:compatExt spid="_x0000_s79874"/>
                </a:ext>
                <a:ext uri="{FF2B5EF4-FFF2-40B4-BE49-F238E27FC236}">
                  <a16:creationId xmlns:a16="http://schemas.microsoft.com/office/drawing/2014/main" id="{00000000-0008-0000-3300-000002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11</xdr:row>
          <xdr:rowOff>6350</xdr:rowOff>
        </xdr:from>
        <xdr:to>
          <xdr:col>4</xdr:col>
          <xdr:colOff>266700</xdr:colOff>
          <xdr:row>11</xdr:row>
          <xdr:rowOff>228600</xdr:rowOff>
        </xdr:to>
        <xdr:sp macro="" textlink="">
          <xdr:nvSpPr>
            <xdr:cNvPr id="79875" name="Check Box 3" hidden="1">
              <a:extLst>
                <a:ext uri="{63B3BB69-23CF-44E3-9099-C40C66FF867C}">
                  <a14:compatExt spid="_x0000_s79875"/>
                </a:ext>
                <a:ext uri="{FF2B5EF4-FFF2-40B4-BE49-F238E27FC236}">
                  <a16:creationId xmlns:a16="http://schemas.microsoft.com/office/drawing/2014/main" id="{00000000-0008-0000-3300-000003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12</xdr:row>
          <xdr:rowOff>6350</xdr:rowOff>
        </xdr:from>
        <xdr:to>
          <xdr:col>4</xdr:col>
          <xdr:colOff>266700</xdr:colOff>
          <xdr:row>12</xdr:row>
          <xdr:rowOff>228600</xdr:rowOff>
        </xdr:to>
        <xdr:sp macro="" textlink="">
          <xdr:nvSpPr>
            <xdr:cNvPr id="79876" name="Check Box 4" hidden="1">
              <a:extLst>
                <a:ext uri="{63B3BB69-23CF-44E3-9099-C40C66FF867C}">
                  <a14:compatExt spid="_x0000_s79876"/>
                </a:ext>
                <a:ext uri="{FF2B5EF4-FFF2-40B4-BE49-F238E27FC236}">
                  <a16:creationId xmlns:a16="http://schemas.microsoft.com/office/drawing/2014/main" id="{00000000-0008-0000-3300-000004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13</xdr:row>
          <xdr:rowOff>6350</xdr:rowOff>
        </xdr:from>
        <xdr:to>
          <xdr:col>4</xdr:col>
          <xdr:colOff>266700</xdr:colOff>
          <xdr:row>13</xdr:row>
          <xdr:rowOff>228600</xdr:rowOff>
        </xdr:to>
        <xdr:sp macro="" textlink="">
          <xdr:nvSpPr>
            <xdr:cNvPr id="79877" name="Check Box 5" hidden="1">
              <a:extLst>
                <a:ext uri="{63B3BB69-23CF-44E3-9099-C40C66FF867C}">
                  <a14:compatExt spid="_x0000_s79877"/>
                </a:ext>
                <a:ext uri="{FF2B5EF4-FFF2-40B4-BE49-F238E27FC236}">
                  <a16:creationId xmlns:a16="http://schemas.microsoft.com/office/drawing/2014/main" id="{00000000-0008-0000-3300-000005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14</xdr:row>
          <xdr:rowOff>6350</xdr:rowOff>
        </xdr:from>
        <xdr:to>
          <xdr:col>4</xdr:col>
          <xdr:colOff>266700</xdr:colOff>
          <xdr:row>14</xdr:row>
          <xdr:rowOff>228600</xdr:rowOff>
        </xdr:to>
        <xdr:sp macro="" textlink="">
          <xdr:nvSpPr>
            <xdr:cNvPr id="79878" name="Check Box 6" hidden="1">
              <a:extLst>
                <a:ext uri="{63B3BB69-23CF-44E3-9099-C40C66FF867C}">
                  <a14:compatExt spid="_x0000_s79878"/>
                </a:ext>
                <a:ext uri="{FF2B5EF4-FFF2-40B4-BE49-F238E27FC236}">
                  <a16:creationId xmlns:a16="http://schemas.microsoft.com/office/drawing/2014/main" id="{00000000-0008-0000-3300-000006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15</xdr:row>
          <xdr:rowOff>6350</xdr:rowOff>
        </xdr:from>
        <xdr:to>
          <xdr:col>4</xdr:col>
          <xdr:colOff>266700</xdr:colOff>
          <xdr:row>15</xdr:row>
          <xdr:rowOff>228600</xdr:rowOff>
        </xdr:to>
        <xdr:sp macro="" textlink="">
          <xdr:nvSpPr>
            <xdr:cNvPr id="79879" name="Check Box 7" hidden="1">
              <a:extLst>
                <a:ext uri="{63B3BB69-23CF-44E3-9099-C40C66FF867C}">
                  <a14:compatExt spid="_x0000_s79879"/>
                </a:ext>
                <a:ext uri="{FF2B5EF4-FFF2-40B4-BE49-F238E27FC236}">
                  <a16:creationId xmlns:a16="http://schemas.microsoft.com/office/drawing/2014/main" id="{00000000-0008-0000-3300-000007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16</xdr:row>
          <xdr:rowOff>6350</xdr:rowOff>
        </xdr:from>
        <xdr:to>
          <xdr:col>4</xdr:col>
          <xdr:colOff>266700</xdr:colOff>
          <xdr:row>16</xdr:row>
          <xdr:rowOff>228600</xdr:rowOff>
        </xdr:to>
        <xdr:sp macro="" textlink="">
          <xdr:nvSpPr>
            <xdr:cNvPr id="79880" name="Check Box 8" hidden="1">
              <a:extLst>
                <a:ext uri="{63B3BB69-23CF-44E3-9099-C40C66FF867C}">
                  <a14:compatExt spid="_x0000_s79880"/>
                </a:ext>
                <a:ext uri="{FF2B5EF4-FFF2-40B4-BE49-F238E27FC236}">
                  <a16:creationId xmlns:a16="http://schemas.microsoft.com/office/drawing/2014/main" id="{00000000-0008-0000-3300-000008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17</xdr:row>
          <xdr:rowOff>88900</xdr:rowOff>
        </xdr:from>
        <xdr:to>
          <xdr:col>4</xdr:col>
          <xdr:colOff>266700</xdr:colOff>
          <xdr:row>17</xdr:row>
          <xdr:rowOff>311150</xdr:rowOff>
        </xdr:to>
        <xdr:sp macro="" textlink="">
          <xdr:nvSpPr>
            <xdr:cNvPr id="79881" name="Check Box 9" hidden="1">
              <a:extLst>
                <a:ext uri="{63B3BB69-23CF-44E3-9099-C40C66FF867C}">
                  <a14:compatExt spid="_x0000_s79881"/>
                </a:ext>
                <a:ext uri="{FF2B5EF4-FFF2-40B4-BE49-F238E27FC236}">
                  <a16:creationId xmlns:a16="http://schemas.microsoft.com/office/drawing/2014/main" id="{00000000-0008-0000-3300-000009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18</xdr:row>
          <xdr:rowOff>177800</xdr:rowOff>
        </xdr:from>
        <xdr:to>
          <xdr:col>5</xdr:col>
          <xdr:colOff>0</xdr:colOff>
          <xdr:row>18</xdr:row>
          <xdr:rowOff>393700</xdr:rowOff>
        </xdr:to>
        <xdr:sp macro="" textlink="">
          <xdr:nvSpPr>
            <xdr:cNvPr id="79882" name="Check Box 10" hidden="1">
              <a:extLst>
                <a:ext uri="{63B3BB69-23CF-44E3-9099-C40C66FF867C}">
                  <a14:compatExt spid="_x0000_s79882"/>
                </a:ext>
                <a:ext uri="{FF2B5EF4-FFF2-40B4-BE49-F238E27FC236}">
                  <a16:creationId xmlns:a16="http://schemas.microsoft.com/office/drawing/2014/main" id="{00000000-0008-0000-3300-00000A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19</xdr:row>
          <xdr:rowOff>6350</xdr:rowOff>
        </xdr:from>
        <xdr:to>
          <xdr:col>4</xdr:col>
          <xdr:colOff>266700</xdr:colOff>
          <xdr:row>19</xdr:row>
          <xdr:rowOff>228600</xdr:rowOff>
        </xdr:to>
        <xdr:sp macro="" textlink="">
          <xdr:nvSpPr>
            <xdr:cNvPr id="79883" name="Check Box 11" hidden="1">
              <a:extLst>
                <a:ext uri="{63B3BB69-23CF-44E3-9099-C40C66FF867C}">
                  <a14:compatExt spid="_x0000_s79883"/>
                </a:ext>
                <a:ext uri="{FF2B5EF4-FFF2-40B4-BE49-F238E27FC236}">
                  <a16:creationId xmlns:a16="http://schemas.microsoft.com/office/drawing/2014/main" id="{00000000-0008-0000-3300-00000B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21</xdr:row>
          <xdr:rowOff>6350</xdr:rowOff>
        </xdr:from>
        <xdr:to>
          <xdr:col>4</xdr:col>
          <xdr:colOff>266700</xdr:colOff>
          <xdr:row>21</xdr:row>
          <xdr:rowOff>228600</xdr:rowOff>
        </xdr:to>
        <xdr:sp macro="" textlink="">
          <xdr:nvSpPr>
            <xdr:cNvPr id="79884" name="Check Box 12" hidden="1">
              <a:extLst>
                <a:ext uri="{63B3BB69-23CF-44E3-9099-C40C66FF867C}">
                  <a14:compatExt spid="_x0000_s79884"/>
                </a:ext>
                <a:ext uri="{FF2B5EF4-FFF2-40B4-BE49-F238E27FC236}">
                  <a16:creationId xmlns:a16="http://schemas.microsoft.com/office/drawing/2014/main" id="{00000000-0008-0000-3300-00000C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22</xdr:row>
          <xdr:rowOff>6350</xdr:rowOff>
        </xdr:from>
        <xdr:to>
          <xdr:col>4</xdr:col>
          <xdr:colOff>266700</xdr:colOff>
          <xdr:row>22</xdr:row>
          <xdr:rowOff>228600</xdr:rowOff>
        </xdr:to>
        <xdr:sp macro="" textlink="">
          <xdr:nvSpPr>
            <xdr:cNvPr id="79885" name="Check Box 13" hidden="1">
              <a:extLst>
                <a:ext uri="{63B3BB69-23CF-44E3-9099-C40C66FF867C}">
                  <a14:compatExt spid="_x0000_s79885"/>
                </a:ext>
                <a:ext uri="{FF2B5EF4-FFF2-40B4-BE49-F238E27FC236}">
                  <a16:creationId xmlns:a16="http://schemas.microsoft.com/office/drawing/2014/main" id="{00000000-0008-0000-3300-00000D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23</xdr:row>
          <xdr:rowOff>6350</xdr:rowOff>
        </xdr:from>
        <xdr:to>
          <xdr:col>4</xdr:col>
          <xdr:colOff>266700</xdr:colOff>
          <xdr:row>23</xdr:row>
          <xdr:rowOff>228600</xdr:rowOff>
        </xdr:to>
        <xdr:sp macro="" textlink="">
          <xdr:nvSpPr>
            <xdr:cNvPr id="79886" name="Check Box 14" hidden="1">
              <a:extLst>
                <a:ext uri="{63B3BB69-23CF-44E3-9099-C40C66FF867C}">
                  <a14:compatExt spid="_x0000_s79886"/>
                </a:ext>
                <a:ext uri="{FF2B5EF4-FFF2-40B4-BE49-F238E27FC236}">
                  <a16:creationId xmlns:a16="http://schemas.microsoft.com/office/drawing/2014/main" id="{00000000-0008-0000-3300-00000E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24</xdr:row>
          <xdr:rowOff>6350</xdr:rowOff>
        </xdr:from>
        <xdr:to>
          <xdr:col>4</xdr:col>
          <xdr:colOff>266700</xdr:colOff>
          <xdr:row>24</xdr:row>
          <xdr:rowOff>228600</xdr:rowOff>
        </xdr:to>
        <xdr:sp macro="" textlink="">
          <xdr:nvSpPr>
            <xdr:cNvPr id="79887" name="Check Box 15" hidden="1">
              <a:extLst>
                <a:ext uri="{63B3BB69-23CF-44E3-9099-C40C66FF867C}">
                  <a14:compatExt spid="_x0000_s79887"/>
                </a:ext>
                <a:ext uri="{FF2B5EF4-FFF2-40B4-BE49-F238E27FC236}">
                  <a16:creationId xmlns:a16="http://schemas.microsoft.com/office/drawing/2014/main" id="{00000000-0008-0000-3300-00000F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25</xdr:row>
          <xdr:rowOff>6350</xdr:rowOff>
        </xdr:from>
        <xdr:to>
          <xdr:col>4</xdr:col>
          <xdr:colOff>266700</xdr:colOff>
          <xdr:row>25</xdr:row>
          <xdr:rowOff>228600</xdr:rowOff>
        </xdr:to>
        <xdr:sp macro="" textlink="">
          <xdr:nvSpPr>
            <xdr:cNvPr id="79888" name="Check Box 16" hidden="1">
              <a:extLst>
                <a:ext uri="{63B3BB69-23CF-44E3-9099-C40C66FF867C}">
                  <a14:compatExt spid="_x0000_s79888"/>
                </a:ext>
                <a:ext uri="{FF2B5EF4-FFF2-40B4-BE49-F238E27FC236}">
                  <a16:creationId xmlns:a16="http://schemas.microsoft.com/office/drawing/2014/main" id="{00000000-0008-0000-3300-000010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25400</xdr:colOff>
          <xdr:row>3</xdr:row>
          <xdr:rowOff>31750</xdr:rowOff>
        </xdr:from>
        <xdr:to>
          <xdr:col>3</xdr:col>
          <xdr:colOff>254000</xdr:colOff>
          <xdr:row>3</xdr:row>
          <xdr:rowOff>254000</xdr:rowOff>
        </xdr:to>
        <xdr:sp macro="" textlink="">
          <xdr:nvSpPr>
            <xdr:cNvPr id="80897" name="Check Box 1" hidden="1">
              <a:extLst>
                <a:ext uri="{63B3BB69-23CF-44E3-9099-C40C66FF867C}">
                  <a14:compatExt spid="_x0000_s80897"/>
                </a:ext>
                <a:ext uri="{FF2B5EF4-FFF2-40B4-BE49-F238E27FC236}">
                  <a16:creationId xmlns:a16="http://schemas.microsoft.com/office/drawing/2014/main" id="{00000000-0008-0000-3400-000001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31750</xdr:colOff>
          <xdr:row>5</xdr:row>
          <xdr:rowOff>0</xdr:rowOff>
        </xdr:from>
        <xdr:to>
          <xdr:col>6</xdr:col>
          <xdr:colOff>254000</xdr:colOff>
          <xdr:row>6</xdr:row>
          <xdr:rowOff>25400</xdr:rowOff>
        </xdr:to>
        <xdr:sp macro="" textlink="">
          <xdr:nvSpPr>
            <xdr:cNvPr id="80898" name="Check Box 2" hidden="1">
              <a:extLst>
                <a:ext uri="{63B3BB69-23CF-44E3-9099-C40C66FF867C}">
                  <a14:compatExt spid="_x0000_s80898"/>
                </a:ext>
                <a:ext uri="{FF2B5EF4-FFF2-40B4-BE49-F238E27FC236}">
                  <a16:creationId xmlns:a16="http://schemas.microsoft.com/office/drawing/2014/main" id="{00000000-0008-0000-3400-000002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xdr:row>
          <xdr:rowOff>6350</xdr:rowOff>
        </xdr:from>
        <xdr:to>
          <xdr:col>13</xdr:col>
          <xdr:colOff>254000</xdr:colOff>
          <xdr:row>6</xdr:row>
          <xdr:rowOff>31750</xdr:rowOff>
        </xdr:to>
        <xdr:sp macro="" textlink="">
          <xdr:nvSpPr>
            <xdr:cNvPr id="80899" name="Check Box 3" hidden="1">
              <a:extLst>
                <a:ext uri="{63B3BB69-23CF-44E3-9099-C40C66FF867C}">
                  <a14:compatExt spid="_x0000_s80899"/>
                </a:ext>
                <a:ext uri="{FF2B5EF4-FFF2-40B4-BE49-F238E27FC236}">
                  <a16:creationId xmlns:a16="http://schemas.microsoft.com/office/drawing/2014/main" id="{00000000-0008-0000-3400-000003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xdr:row>
          <xdr:rowOff>0</xdr:rowOff>
        </xdr:from>
        <xdr:to>
          <xdr:col>18</xdr:col>
          <xdr:colOff>254000</xdr:colOff>
          <xdr:row>6</xdr:row>
          <xdr:rowOff>25400</xdr:rowOff>
        </xdr:to>
        <xdr:sp macro="" textlink="">
          <xdr:nvSpPr>
            <xdr:cNvPr id="80900" name="Check Box 4" hidden="1">
              <a:extLst>
                <a:ext uri="{63B3BB69-23CF-44E3-9099-C40C66FF867C}">
                  <a14:compatExt spid="_x0000_s80900"/>
                </a:ext>
                <a:ext uri="{FF2B5EF4-FFF2-40B4-BE49-F238E27FC236}">
                  <a16:creationId xmlns:a16="http://schemas.microsoft.com/office/drawing/2014/main" id="{00000000-0008-0000-3400-000004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xdr:row>
          <xdr:rowOff>12700</xdr:rowOff>
        </xdr:from>
        <xdr:to>
          <xdr:col>22</xdr:col>
          <xdr:colOff>254000</xdr:colOff>
          <xdr:row>6</xdr:row>
          <xdr:rowOff>38100</xdr:rowOff>
        </xdr:to>
        <xdr:sp macro="" textlink="">
          <xdr:nvSpPr>
            <xdr:cNvPr id="80901" name="Check Box 5" hidden="1">
              <a:extLst>
                <a:ext uri="{63B3BB69-23CF-44E3-9099-C40C66FF867C}">
                  <a14:compatExt spid="_x0000_s80901"/>
                </a:ext>
                <a:ext uri="{FF2B5EF4-FFF2-40B4-BE49-F238E27FC236}">
                  <a16:creationId xmlns:a16="http://schemas.microsoft.com/office/drawing/2014/main" id="{00000000-0008-0000-3400-000005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6</xdr:row>
          <xdr:rowOff>31750</xdr:rowOff>
        </xdr:from>
        <xdr:to>
          <xdr:col>3</xdr:col>
          <xdr:colOff>254000</xdr:colOff>
          <xdr:row>6</xdr:row>
          <xdr:rowOff>254000</xdr:rowOff>
        </xdr:to>
        <xdr:sp macro="" textlink="">
          <xdr:nvSpPr>
            <xdr:cNvPr id="80902" name="Check Box 6" hidden="1">
              <a:extLst>
                <a:ext uri="{63B3BB69-23CF-44E3-9099-C40C66FF867C}">
                  <a14:compatExt spid="_x0000_s80902"/>
                </a:ext>
                <a:ext uri="{FF2B5EF4-FFF2-40B4-BE49-F238E27FC236}">
                  <a16:creationId xmlns:a16="http://schemas.microsoft.com/office/drawing/2014/main" id="{00000000-0008-0000-3400-000006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7</xdr:row>
          <xdr:rowOff>31750</xdr:rowOff>
        </xdr:from>
        <xdr:to>
          <xdr:col>3</xdr:col>
          <xdr:colOff>254000</xdr:colOff>
          <xdr:row>7</xdr:row>
          <xdr:rowOff>254000</xdr:rowOff>
        </xdr:to>
        <xdr:sp macro="" textlink="">
          <xdr:nvSpPr>
            <xdr:cNvPr id="80903" name="Check Box 7" hidden="1">
              <a:extLst>
                <a:ext uri="{63B3BB69-23CF-44E3-9099-C40C66FF867C}">
                  <a14:compatExt spid="_x0000_s80903"/>
                </a:ext>
                <a:ext uri="{FF2B5EF4-FFF2-40B4-BE49-F238E27FC236}">
                  <a16:creationId xmlns:a16="http://schemas.microsoft.com/office/drawing/2014/main" id="{00000000-0008-0000-3400-000007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8</xdr:row>
          <xdr:rowOff>31750</xdr:rowOff>
        </xdr:from>
        <xdr:to>
          <xdr:col>3</xdr:col>
          <xdr:colOff>254000</xdr:colOff>
          <xdr:row>8</xdr:row>
          <xdr:rowOff>254000</xdr:rowOff>
        </xdr:to>
        <xdr:sp macro="" textlink="">
          <xdr:nvSpPr>
            <xdr:cNvPr id="80904" name="Check Box 8" hidden="1">
              <a:extLst>
                <a:ext uri="{63B3BB69-23CF-44E3-9099-C40C66FF867C}">
                  <a14:compatExt spid="_x0000_s80904"/>
                </a:ext>
                <a:ext uri="{FF2B5EF4-FFF2-40B4-BE49-F238E27FC236}">
                  <a16:creationId xmlns:a16="http://schemas.microsoft.com/office/drawing/2014/main" id="{00000000-0008-0000-3400-000008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9</xdr:row>
          <xdr:rowOff>31750</xdr:rowOff>
        </xdr:from>
        <xdr:to>
          <xdr:col>3</xdr:col>
          <xdr:colOff>254000</xdr:colOff>
          <xdr:row>9</xdr:row>
          <xdr:rowOff>254000</xdr:rowOff>
        </xdr:to>
        <xdr:sp macro="" textlink="">
          <xdr:nvSpPr>
            <xdr:cNvPr id="80905" name="Check Box 9" hidden="1">
              <a:extLst>
                <a:ext uri="{63B3BB69-23CF-44E3-9099-C40C66FF867C}">
                  <a14:compatExt spid="_x0000_s80905"/>
                </a:ext>
                <a:ext uri="{FF2B5EF4-FFF2-40B4-BE49-F238E27FC236}">
                  <a16:creationId xmlns:a16="http://schemas.microsoft.com/office/drawing/2014/main" id="{00000000-0008-0000-3400-000009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21</xdr:row>
          <xdr:rowOff>31750</xdr:rowOff>
        </xdr:from>
        <xdr:to>
          <xdr:col>3</xdr:col>
          <xdr:colOff>254000</xdr:colOff>
          <xdr:row>21</xdr:row>
          <xdr:rowOff>254000</xdr:rowOff>
        </xdr:to>
        <xdr:sp macro="" textlink="">
          <xdr:nvSpPr>
            <xdr:cNvPr id="80906" name="Check Box 10" hidden="1">
              <a:extLst>
                <a:ext uri="{63B3BB69-23CF-44E3-9099-C40C66FF867C}">
                  <a14:compatExt spid="_x0000_s80906"/>
                </a:ext>
                <a:ext uri="{FF2B5EF4-FFF2-40B4-BE49-F238E27FC236}">
                  <a16:creationId xmlns:a16="http://schemas.microsoft.com/office/drawing/2014/main" id="{00000000-0008-0000-3400-00000A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22</xdr:row>
          <xdr:rowOff>31750</xdr:rowOff>
        </xdr:from>
        <xdr:to>
          <xdr:col>3</xdr:col>
          <xdr:colOff>254000</xdr:colOff>
          <xdr:row>22</xdr:row>
          <xdr:rowOff>254000</xdr:rowOff>
        </xdr:to>
        <xdr:sp macro="" textlink="">
          <xdr:nvSpPr>
            <xdr:cNvPr id="80907" name="Check Box 11" hidden="1">
              <a:extLst>
                <a:ext uri="{63B3BB69-23CF-44E3-9099-C40C66FF867C}">
                  <a14:compatExt spid="_x0000_s80907"/>
                </a:ext>
                <a:ext uri="{FF2B5EF4-FFF2-40B4-BE49-F238E27FC236}">
                  <a16:creationId xmlns:a16="http://schemas.microsoft.com/office/drawing/2014/main" id="{00000000-0008-0000-3400-00000B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42</xdr:row>
          <xdr:rowOff>44450</xdr:rowOff>
        </xdr:from>
        <xdr:to>
          <xdr:col>3</xdr:col>
          <xdr:colOff>254000</xdr:colOff>
          <xdr:row>44</xdr:row>
          <xdr:rowOff>0</xdr:rowOff>
        </xdr:to>
        <xdr:sp macro="" textlink="">
          <xdr:nvSpPr>
            <xdr:cNvPr id="80908" name="Check Box 12" hidden="1">
              <a:extLst>
                <a:ext uri="{63B3BB69-23CF-44E3-9099-C40C66FF867C}">
                  <a14:compatExt spid="_x0000_s80908"/>
                </a:ext>
                <a:ext uri="{FF2B5EF4-FFF2-40B4-BE49-F238E27FC236}">
                  <a16:creationId xmlns:a16="http://schemas.microsoft.com/office/drawing/2014/main" id="{00000000-0008-0000-3400-00000C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25400</xdr:colOff>
          <xdr:row>2</xdr:row>
          <xdr:rowOff>50800</xdr:rowOff>
        </xdr:from>
        <xdr:to>
          <xdr:col>4</xdr:col>
          <xdr:colOff>177800</xdr:colOff>
          <xdr:row>4</xdr:row>
          <xdr:rowOff>6350</xdr:rowOff>
        </xdr:to>
        <xdr:sp macro="" textlink="">
          <xdr:nvSpPr>
            <xdr:cNvPr id="81921" name="Check Box 1" hidden="1">
              <a:extLst>
                <a:ext uri="{63B3BB69-23CF-44E3-9099-C40C66FF867C}">
                  <a14:compatExt spid="_x0000_s81921"/>
                </a:ext>
                <a:ext uri="{FF2B5EF4-FFF2-40B4-BE49-F238E27FC236}">
                  <a16:creationId xmlns:a16="http://schemas.microsoft.com/office/drawing/2014/main" id="{00000000-0008-0000-3500-0000014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4</xdr:row>
          <xdr:rowOff>190500</xdr:rowOff>
        </xdr:from>
        <xdr:to>
          <xdr:col>4</xdr:col>
          <xdr:colOff>177800</xdr:colOff>
          <xdr:row>6</xdr:row>
          <xdr:rowOff>6350</xdr:rowOff>
        </xdr:to>
        <xdr:sp macro="" textlink="">
          <xdr:nvSpPr>
            <xdr:cNvPr id="81922" name="Check Box 2" hidden="1">
              <a:extLst>
                <a:ext uri="{63B3BB69-23CF-44E3-9099-C40C66FF867C}">
                  <a14:compatExt spid="_x0000_s81922"/>
                </a:ext>
                <a:ext uri="{FF2B5EF4-FFF2-40B4-BE49-F238E27FC236}">
                  <a16:creationId xmlns:a16="http://schemas.microsoft.com/office/drawing/2014/main" id="{00000000-0008-0000-3500-0000024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25400</xdr:colOff>
          <xdr:row>21</xdr:row>
          <xdr:rowOff>6350</xdr:rowOff>
        </xdr:from>
        <xdr:to>
          <xdr:col>7</xdr:col>
          <xdr:colOff>152400</xdr:colOff>
          <xdr:row>21</xdr:row>
          <xdr:rowOff>228600</xdr:rowOff>
        </xdr:to>
        <xdr:sp macro="" textlink="">
          <xdr:nvSpPr>
            <xdr:cNvPr id="82945" name="Check Box 1" hidden="1">
              <a:extLst>
                <a:ext uri="{63B3BB69-23CF-44E3-9099-C40C66FF867C}">
                  <a14:compatExt spid="_x0000_s82945"/>
                </a:ext>
                <a:ext uri="{FF2B5EF4-FFF2-40B4-BE49-F238E27FC236}">
                  <a16:creationId xmlns:a16="http://schemas.microsoft.com/office/drawing/2014/main" id="{00000000-0008-0000-3600-000001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25400</xdr:colOff>
          <xdr:row>22</xdr:row>
          <xdr:rowOff>12700</xdr:rowOff>
        </xdr:from>
        <xdr:to>
          <xdr:col>7</xdr:col>
          <xdr:colOff>152400</xdr:colOff>
          <xdr:row>22</xdr:row>
          <xdr:rowOff>234950</xdr:rowOff>
        </xdr:to>
        <xdr:sp macro="" textlink="">
          <xdr:nvSpPr>
            <xdr:cNvPr id="82946" name="Check Box 2" hidden="1">
              <a:extLst>
                <a:ext uri="{63B3BB69-23CF-44E3-9099-C40C66FF867C}">
                  <a14:compatExt spid="_x0000_s82946"/>
                </a:ext>
                <a:ext uri="{FF2B5EF4-FFF2-40B4-BE49-F238E27FC236}">
                  <a16:creationId xmlns:a16="http://schemas.microsoft.com/office/drawing/2014/main" id="{00000000-0008-0000-3600-000002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25400</xdr:colOff>
          <xdr:row>23</xdr:row>
          <xdr:rowOff>6350</xdr:rowOff>
        </xdr:from>
        <xdr:to>
          <xdr:col>7</xdr:col>
          <xdr:colOff>152400</xdr:colOff>
          <xdr:row>23</xdr:row>
          <xdr:rowOff>228600</xdr:rowOff>
        </xdr:to>
        <xdr:sp macro="" textlink="">
          <xdr:nvSpPr>
            <xdr:cNvPr id="82947" name="Check Box 3" hidden="1">
              <a:extLst>
                <a:ext uri="{63B3BB69-23CF-44E3-9099-C40C66FF867C}">
                  <a14:compatExt spid="_x0000_s82947"/>
                </a:ext>
                <a:ext uri="{FF2B5EF4-FFF2-40B4-BE49-F238E27FC236}">
                  <a16:creationId xmlns:a16="http://schemas.microsoft.com/office/drawing/2014/main" id="{00000000-0008-0000-3600-000003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21</xdr:row>
          <xdr:rowOff>6350</xdr:rowOff>
        </xdr:from>
        <xdr:to>
          <xdr:col>19</xdr:col>
          <xdr:colOff>152400</xdr:colOff>
          <xdr:row>21</xdr:row>
          <xdr:rowOff>228600</xdr:rowOff>
        </xdr:to>
        <xdr:sp macro="" textlink="">
          <xdr:nvSpPr>
            <xdr:cNvPr id="82948" name="Check Box 4" hidden="1">
              <a:extLst>
                <a:ext uri="{63B3BB69-23CF-44E3-9099-C40C66FF867C}">
                  <a14:compatExt spid="_x0000_s82948"/>
                </a:ext>
                <a:ext uri="{FF2B5EF4-FFF2-40B4-BE49-F238E27FC236}">
                  <a16:creationId xmlns:a16="http://schemas.microsoft.com/office/drawing/2014/main" id="{00000000-0008-0000-3600-000004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22</xdr:row>
          <xdr:rowOff>6350</xdr:rowOff>
        </xdr:from>
        <xdr:to>
          <xdr:col>19</xdr:col>
          <xdr:colOff>152400</xdr:colOff>
          <xdr:row>22</xdr:row>
          <xdr:rowOff>228600</xdr:rowOff>
        </xdr:to>
        <xdr:sp macro="" textlink="">
          <xdr:nvSpPr>
            <xdr:cNvPr id="82949" name="Check Box 5" hidden="1">
              <a:extLst>
                <a:ext uri="{63B3BB69-23CF-44E3-9099-C40C66FF867C}">
                  <a14:compatExt spid="_x0000_s82949"/>
                </a:ext>
                <a:ext uri="{FF2B5EF4-FFF2-40B4-BE49-F238E27FC236}">
                  <a16:creationId xmlns:a16="http://schemas.microsoft.com/office/drawing/2014/main" id="{00000000-0008-0000-3600-000005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25400</xdr:colOff>
          <xdr:row>25</xdr:row>
          <xdr:rowOff>6350</xdr:rowOff>
        </xdr:from>
        <xdr:to>
          <xdr:col>7</xdr:col>
          <xdr:colOff>152400</xdr:colOff>
          <xdr:row>25</xdr:row>
          <xdr:rowOff>228600</xdr:rowOff>
        </xdr:to>
        <xdr:sp macro="" textlink="">
          <xdr:nvSpPr>
            <xdr:cNvPr id="82950" name="Check Box 6" hidden="1">
              <a:extLst>
                <a:ext uri="{63B3BB69-23CF-44E3-9099-C40C66FF867C}">
                  <a14:compatExt spid="_x0000_s82950"/>
                </a:ext>
                <a:ext uri="{FF2B5EF4-FFF2-40B4-BE49-F238E27FC236}">
                  <a16:creationId xmlns:a16="http://schemas.microsoft.com/office/drawing/2014/main" id="{00000000-0008-0000-3600-000006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25400</xdr:colOff>
          <xdr:row>26</xdr:row>
          <xdr:rowOff>6350</xdr:rowOff>
        </xdr:from>
        <xdr:to>
          <xdr:col>7</xdr:col>
          <xdr:colOff>152400</xdr:colOff>
          <xdr:row>26</xdr:row>
          <xdr:rowOff>228600</xdr:rowOff>
        </xdr:to>
        <xdr:sp macro="" textlink="">
          <xdr:nvSpPr>
            <xdr:cNvPr id="82951" name="Check Box 7" hidden="1">
              <a:extLst>
                <a:ext uri="{63B3BB69-23CF-44E3-9099-C40C66FF867C}">
                  <a14:compatExt spid="_x0000_s82951"/>
                </a:ext>
                <a:ext uri="{FF2B5EF4-FFF2-40B4-BE49-F238E27FC236}">
                  <a16:creationId xmlns:a16="http://schemas.microsoft.com/office/drawing/2014/main" id="{00000000-0008-0000-3600-000007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25400</xdr:colOff>
          <xdr:row>27</xdr:row>
          <xdr:rowOff>6350</xdr:rowOff>
        </xdr:from>
        <xdr:to>
          <xdr:col>7</xdr:col>
          <xdr:colOff>152400</xdr:colOff>
          <xdr:row>27</xdr:row>
          <xdr:rowOff>228600</xdr:rowOff>
        </xdr:to>
        <xdr:sp macro="" textlink="">
          <xdr:nvSpPr>
            <xdr:cNvPr id="82952" name="Check Box 8" hidden="1">
              <a:extLst>
                <a:ext uri="{63B3BB69-23CF-44E3-9099-C40C66FF867C}">
                  <a14:compatExt spid="_x0000_s82952"/>
                </a:ext>
                <a:ext uri="{FF2B5EF4-FFF2-40B4-BE49-F238E27FC236}">
                  <a16:creationId xmlns:a16="http://schemas.microsoft.com/office/drawing/2014/main" id="{00000000-0008-0000-3600-000008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25</xdr:row>
          <xdr:rowOff>6350</xdr:rowOff>
        </xdr:from>
        <xdr:to>
          <xdr:col>19</xdr:col>
          <xdr:colOff>152400</xdr:colOff>
          <xdr:row>25</xdr:row>
          <xdr:rowOff>228600</xdr:rowOff>
        </xdr:to>
        <xdr:sp macro="" textlink="">
          <xdr:nvSpPr>
            <xdr:cNvPr id="82953" name="Check Box 9" hidden="1">
              <a:extLst>
                <a:ext uri="{63B3BB69-23CF-44E3-9099-C40C66FF867C}">
                  <a14:compatExt spid="_x0000_s82953"/>
                </a:ext>
                <a:ext uri="{FF2B5EF4-FFF2-40B4-BE49-F238E27FC236}">
                  <a16:creationId xmlns:a16="http://schemas.microsoft.com/office/drawing/2014/main" id="{00000000-0008-0000-3600-000009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26</xdr:row>
          <xdr:rowOff>6350</xdr:rowOff>
        </xdr:from>
        <xdr:to>
          <xdr:col>19</xdr:col>
          <xdr:colOff>152400</xdr:colOff>
          <xdr:row>26</xdr:row>
          <xdr:rowOff>228600</xdr:rowOff>
        </xdr:to>
        <xdr:sp macro="" textlink="">
          <xdr:nvSpPr>
            <xdr:cNvPr id="82954" name="Check Box 10" hidden="1">
              <a:extLst>
                <a:ext uri="{63B3BB69-23CF-44E3-9099-C40C66FF867C}">
                  <a14:compatExt spid="_x0000_s82954"/>
                </a:ext>
                <a:ext uri="{FF2B5EF4-FFF2-40B4-BE49-F238E27FC236}">
                  <a16:creationId xmlns:a16="http://schemas.microsoft.com/office/drawing/2014/main" id="{00000000-0008-0000-3600-00000A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28</xdr:row>
          <xdr:rowOff>44450</xdr:rowOff>
        </xdr:from>
        <xdr:to>
          <xdr:col>4</xdr:col>
          <xdr:colOff>158750</xdr:colOff>
          <xdr:row>28</xdr:row>
          <xdr:rowOff>266700</xdr:rowOff>
        </xdr:to>
        <xdr:sp macro="" textlink="">
          <xdr:nvSpPr>
            <xdr:cNvPr id="82955" name="Check Box 11" hidden="1">
              <a:extLst>
                <a:ext uri="{63B3BB69-23CF-44E3-9099-C40C66FF867C}">
                  <a14:compatExt spid="_x0000_s82955"/>
                </a:ext>
                <a:ext uri="{FF2B5EF4-FFF2-40B4-BE49-F238E27FC236}">
                  <a16:creationId xmlns:a16="http://schemas.microsoft.com/office/drawing/2014/main" id="{00000000-0008-0000-3600-00000B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29</xdr:row>
          <xdr:rowOff>38100</xdr:rowOff>
        </xdr:from>
        <xdr:to>
          <xdr:col>4</xdr:col>
          <xdr:colOff>158750</xdr:colOff>
          <xdr:row>29</xdr:row>
          <xdr:rowOff>260350</xdr:rowOff>
        </xdr:to>
        <xdr:sp macro="" textlink="">
          <xdr:nvSpPr>
            <xdr:cNvPr id="82956" name="Check Box 12" hidden="1">
              <a:extLst>
                <a:ext uri="{63B3BB69-23CF-44E3-9099-C40C66FF867C}">
                  <a14:compatExt spid="_x0000_s82956"/>
                </a:ext>
                <a:ext uri="{FF2B5EF4-FFF2-40B4-BE49-F238E27FC236}">
                  <a16:creationId xmlns:a16="http://schemas.microsoft.com/office/drawing/2014/main" id="{00000000-0008-0000-3600-00000C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30</xdr:row>
          <xdr:rowOff>38100</xdr:rowOff>
        </xdr:from>
        <xdr:to>
          <xdr:col>4</xdr:col>
          <xdr:colOff>158750</xdr:colOff>
          <xdr:row>30</xdr:row>
          <xdr:rowOff>260350</xdr:rowOff>
        </xdr:to>
        <xdr:sp macro="" textlink="">
          <xdr:nvSpPr>
            <xdr:cNvPr id="82957" name="Check Box 13" hidden="1">
              <a:extLst>
                <a:ext uri="{63B3BB69-23CF-44E3-9099-C40C66FF867C}">
                  <a14:compatExt spid="_x0000_s82957"/>
                </a:ext>
                <a:ext uri="{FF2B5EF4-FFF2-40B4-BE49-F238E27FC236}">
                  <a16:creationId xmlns:a16="http://schemas.microsoft.com/office/drawing/2014/main" id="{00000000-0008-0000-3600-00000D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35</xdr:row>
          <xdr:rowOff>12700</xdr:rowOff>
        </xdr:from>
        <xdr:to>
          <xdr:col>14</xdr:col>
          <xdr:colOff>152400</xdr:colOff>
          <xdr:row>35</xdr:row>
          <xdr:rowOff>234950</xdr:rowOff>
        </xdr:to>
        <xdr:sp macro="" textlink="">
          <xdr:nvSpPr>
            <xdr:cNvPr id="82958" name="Check Box 14" hidden="1">
              <a:extLst>
                <a:ext uri="{63B3BB69-23CF-44E3-9099-C40C66FF867C}">
                  <a14:compatExt spid="_x0000_s82958"/>
                </a:ext>
                <a:ext uri="{FF2B5EF4-FFF2-40B4-BE49-F238E27FC236}">
                  <a16:creationId xmlns:a16="http://schemas.microsoft.com/office/drawing/2014/main" id="{00000000-0008-0000-3600-00000E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31750</xdr:colOff>
          <xdr:row>37</xdr:row>
          <xdr:rowOff>12700</xdr:rowOff>
        </xdr:from>
        <xdr:to>
          <xdr:col>14</xdr:col>
          <xdr:colOff>158750</xdr:colOff>
          <xdr:row>37</xdr:row>
          <xdr:rowOff>234950</xdr:rowOff>
        </xdr:to>
        <xdr:sp macro="" textlink="">
          <xdr:nvSpPr>
            <xdr:cNvPr id="82959" name="Check Box 15" hidden="1">
              <a:extLst>
                <a:ext uri="{63B3BB69-23CF-44E3-9099-C40C66FF867C}">
                  <a14:compatExt spid="_x0000_s82959"/>
                </a:ext>
                <a:ext uri="{FF2B5EF4-FFF2-40B4-BE49-F238E27FC236}">
                  <a16:creationId xmlns:a16="http://schemas.microsoft.com/office/drawing/2014/main" id="{00000000-0008-0000-3600-00000F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31750</xdr:colOff>
          <xdr:row>35</xdr:row>
          <xdr:rowOff>12700</xdr:rowOff>
        </xdr:from>
        <xdr:to>
          <xdr:col>17</xdr:col>
          <xdr:colOff>158750</xdr:colOff>
          <xdr:row>35</xdr:row>
          <xdr:rowOff>234950</xdr:rowOff>
        </xdr:to>
        <xdr:sp macro="" textlink="">
          <xdr:nvSpPr>
            <xdr:cNvPr id="82960" name="Check Box 16" hidden="1">
              <a:extLst>
                <a:ext uri="{63B3BB69-23CF-44E3-9099-C40C66FF867C}">
                  <a14:compatExt spid="_x0000_s82960"/>
                </a:ext>
                <a:ext uri="{FF2B5EF4-FFF2-40B4-BE49-F238E27FC236}">
                  <a16:creationId xmlns:a16="http://schemas.microsoft.com/office/drawing/2014/main" id="{00000000-0008-0000-3600-000010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35</xdr:row>
          <xdr:rowOff>6350</xdr:rowOff>
        </xdr:from>
        <xdr:to>
          <xdr:col>20</xdr:col>
          <xdr:colOff>152400</xdr:colOff>
          <xdr:row>35</xdr:row>
          <xdr:rowOff>228600</xdr:rowOff>
        </xdr:to>
        <xdr:sp macro="" textlink="">
          <xdr:nvSpPr>
            <xdr:cNvPr id="82961" name="Check Box 17" hidden="1">
              <a:extLst>
                <a:ext uri="{63B3BB69-23CF-44E3-9099-C40C66FF867C}">
                  <a14:compatExt spid="_x0000_s82961"/>
                </a:ext>
                <a:ext uri="{FF2B5EF4-FFF2-40B4-BE49-F238E27FC236}">
                  <a16:creationId xmlns:a16="http://schemas.microsoft.com/office/drawing/2014/main" id="{00000000-0008-0000-3600-000011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31750</xdr:colOff>
          <xdr:row>37</xdr:row>
          <xdr:rowOff>6350</xdr:rowOff>
        </xdr:from>
        <xdr:to>
          <xdr:col>20</xdr:col>
          <xdr:colOff>158750</xdr:colOff>
          <xdr:row>37</xdr:row>
          <xdr:rowOff>228600</xdr:rowOff>
        </xdr:to>
        <xdr:sp macro="" textlink="">
          <xdr:nvSpPr>
            <xdr:cNvPr id="82962" name="Check Box 18" hidden="1">
              <a:extLst>
                <a:ext uri="{63B3BB69-23CF-44E3-9099-C40C66FF867C}">
                  <a14:compatExt spid="_x0000_s82962"/>
                </a:ext>
                <a:ext uri="{FF2B5EF4-FFF2-40B4-BE49-F238E27FC236}">
                  <a16:creationId xmlns:a16="http://schemas.microsoft.com/office/drawing/2014/main" id="{00000000-0008-0000-3600-000012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37</xdr:row>
          <xdr:rowOff>6350</xdr:rowOff>
        </xdr:from>
        <xdr:to>
          <xdr:col>17</xdr:col>
          <xdr:colOff>146050</xdr:colOff>
          <xdr:row>37</xdr:row>
          <xdr:rowOff>228600</xdr:rowOff>
        </xdr:to>
        <xdr:sp macro="" textlink="">
          <xdr:nvSpPr>
            <xdr:cNvPr id="82963" name="Check Box 19" hidden="1">
              <a:extLst>
                <a:ext uri="{63B3BB69-23CF-44E3-9099-C40C66FF867C}">
                  <a14:compatExt spid="_x0000_s82963"/>
                </a:ext>
                <a:ext uri="{FF2B5EF4-FFF2-40B4-BE49-F238E27FC236}">
                  <a16:creationId xmlns:a16="http://schemas.microsoft.com/office/drawing/2014/main" id="{00000000-0008-0000-3600-000013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31750</xdr:colOff>
          <xdr:row>35</xdr:row>
          <xdr:rowOff>25400</xdr:rowOff>
        </xdr:from>
        <xdr:to>
          <xdr:col>23</xdr:col>
          <xdr:colOff>158750</xdr:colOff>
          <xdr:row>35</xdr:row>
          <xdr:rowOff>241300</xdr:rowOff>
        </xdr:to>
        <xdr:sp macro="" textlink="">
          <xdr:nvSpPr>
            <xdr:cNvPr id="82964" name="Check Box 20" hidden="1">
              <a:extLst>
                <a:ext uri="{63B3BB69-23CF-44E3-9099-C40C66FF867C}">
                  <a14:compatExt spid="_x0000_s82964"/>
                </a:ext>
                <a:ext uri="{FF2B5EF4-FFF2-40B4-BE49-F238E27FC236}">
                  <a16:creationId xmlns:a16="http://schemas.microsoft.com/office/drawing/2014/main" id="{00000000-0008-0000-3600-000014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37</xdr:row>
          <xdr:rowOff>6350</xdr:rowOff>
        </xdr:from>
        <xdr:to>
          <xdr:col>23</xdr:col>
          <xdr:colOff>146050</xdr:colOff>
          <xdr:row>37</xdr:row>
          <xdr:rowOff>228600</xdr:rowOff>
        </xdr:to>
        <xdr:sp macro="" textlink="">
          <xdr:nvSpPr>
            <xdr:cNvPr id="82965" name="Check Box 21" hidden="1">
              <a:extLst>
                <a:ext uri="{63B3BB69-23CF-44E3-9099-C40C66FF867C}">
                  <a14:compatExt spid="_x0000_s82965"/>
                </a:ext>
                <a:ext uri="{FF2B5EF4-FFF2-40B4-BE49-F238E27FC236}">
                  <a16:creationId xmlns:a16="http://schemas.microsoft.com/office/drawing/2014/main" id="{00000000-0008-0000-3600-000015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35</xdr:row>
          <xdr:rowOff>6350</xdr:rowOff>
        </xdr:from>
        <xdr:to>
          <xdr:col>26</xdr:col>
          <xdr:colOff>152400</xdr:colOff>
          <xdr:row>35</xdr:row>
          <xdr:rowOff>228600</xdr:rowOff>
        </xdr:to>
        <xdr:sp macro="" textlink="">
          <xdr:nvSpPr>
            <xdr:cNvPr id="82966" name="Check Box 22" hidden="1">
              <a:extLst>
                <a:ext uri="{63B3BB69-23CF-44E3-9099-C40C66FF867C}">
                  <a14:compatExt spid="_x0000_s82966"/>
                </a:ext>
                <a:ext uri="{FF2B5EF4-FFF2-40B4-BE49-F238E27FC236}">
                  <a16:creationId xmlns:a16="http://schemas.microsoft.com/office/drawing/2014/main" id="{00000000-0008-0000-3600-000016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37</xdr:row>
          <xdr:rowOff>6350</xdr:rowOff>
        </xdr:from>
        <xdr:to>
          <xdr:col>26</xdr:col>
          <xdr:colOff>146050</xdr:colOff>
          <xdr:row>37</xdr:row>
          <xdr:rowOff>228600</xdr:rowOff>
        </xdr:to>
        <xdr:sp macro="" textlink="">
          <xdr:nvSpPr>
            <xdr:cNvPr id="82967" name="Check Box 23" hidden="1">
              <a:extLst>
                <a:ext uri="{63B3BB69-23CF-44E3-9099-C40C66FF867C}">
                  <a14:compatExt spid="_x0000_s82967"/>
                </a:ext>
                <a:ext uri="{FF2B5EF4-FFF2-40B4-BE49-F238E27FC236}">
                  <a16:creationId xmlns:a16="http://schemas.microsoft.com/office/drawing/2014/main" id="{00000000-0008-0000-3600-000017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31750</xdr:colOff>
          <xdr:row>35</xdr:row>
          <xdr:rowOff>6350</xdr:rowOff>
        </xdr:from>
        <xdr:to>
          <xdr:col>29</xdr:col>
          <xdr:colOff>158750</xdr:colOff>
          <xdr:row>35</xdr:row>
          <xdr:rowOff>228600</xdr:rowOff>
        </xdr:to>
        <xdr:sp macro="" textlink="">
          <xdr:nvSpPr>
            <xdr:cNvPr id="82968" name="Check Box 24" hidden="1">
              <a:extLst>
                <a:ext uri="{63B3BB69-23CF-44E3-9099-C40C66FF867C}">
                  <a14:compatExt spid="_x0000_s82968"/>
                </a:ext>
                <a:ext uri="{FF2B5EF4-FFF2-40B4-BE49-F238E27FC236}">
                  <a16:creationId xmlns:a16="http://schemas.microsoft.com/office/drawing/2014/main" id="{00000000-0008-0000-3600-000018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38100</xdr:colOff>
          <xdr:row>37</xdr:row>
          <xdr:rowOff>6350</xdr:rowOff>
        </xdr:from>
        <xdr:to>
          <xdr:col>29</xdr:col>
          <xdr:colOff>165100</xdr:colOff>
          <xdr:row>37</xdr:row>
          <xdr:rowOff>228600</xdr:rowOff>
        </xdr:to>
        <xdr:sp macro="" textlink="">
          <xdr:nvSpPr>
            <xdr:cNvPr id="82969" name="Check Box 25" hidden="1">
              <a:extLst>
                <a:ext uri="{63B3BB69-23CF-44E3-9099-C40C66FF867C}">
                  <a14:compatExt spid="_x0000_s82969"/>
                </a:ext>
                <a:ext uri="{FF2B5EF4-FFF2-40B4-BE49-F238E27FC236}">
                  <a16:creationId xmlns:a16="http://schemas.microsoft.com/office/drawing/2014/main" id="{00000000-0008-0000-3600-0000194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31750</xdr:colOff>
          <xdr:row>3</xdr:row>
          <xdr:rowOff>38100</xdr:rowOff>
        </xdr:from>
        <xdr:to>
          <xdr:col>4</xdr:col>
          <xdr:colOff>190500</xdr:colOff>
          <xdr:row>3</xdr:row>
          <xdr:rowOff>260350</xdr:rowOff>
        </xdr:to>
        <xdr:sp macro="" textlink="">
          <xdr:nvSpPr>
            <xdr:cNvPr id="83969" name="Check Box 1" hidden="1">
              <a:extLst>
                <a:ext uri="{63B3BB69-23CF-44E3-9099-C40C66FF867C}">
                  <a14:compatExt spid="_x0000_s83969"/>
                </a:ext>
                <a:ext uri="{FF2B5EF4-FFF2-40B4-BE49-F238E27FC236}">
                  <a16:creationId xmlns:a16="http://schemas.microsoft.com/office/drawing/2014/main" id="{00000000-0008-0000-3700-0000014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25400</xdr:colOff>
          <xdr:row>6</xdr:row>
          <xdr:rowOff>38100</xdr:rowOff>
        </xdr:from>
        <xdr:to>
          <xdr:col>4</xdr:col>
          <xdr:colOff>222250</xdr:colOff>
          <xdr:row>6</xdr:row>
          <xdr:rowOff>260350</xdr:rowOff>
        </xdr:to>
        <xdr:sp macro="" textlink="">
          <xdr:nvSpPr>
            <xdr:cNvPr id="84993" name="Check Box 1" hidden="1">
              <a:extLst>
                <a:ext uri="{63B3BB69-23CF-44E3-9099-C40C66FF867C}">
                  <a14:compatExt spid="_x0000_s84993"/>
                </a:ext>
                <a:ext uri="{FF2B5EF4-FFF2-40B4-BE49-F238E27FC236}">
                  <a16:creationId xmlns:a16="http://schemas.microsoft.com/office/drawing/2014/main" id="{00000000-0008-0000-3800-000001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6</xdr:row>
          <xdr:rowOff>298450</xdr:rowOff>
        </xdr:from>
        <xdr:to>
          <xdr:col>4</xdr:col>
          <xdr:colOff>228600</xdr:colOff>
          <xdr:row>8</xdr:row>
          <xdr:rowOff>6350</xdr:rowOff>
        </xdr:to>
        <xdr:sp macro="" textlink="">
          <xdr:nvSpPr>
            <xdr:cNvPr id="84994" name="Check Box 2" hidden="1">
              <a:extLst>
                <a:ext uri="{63B3BB69-23CF-44E3-9099-C40C66FF867C}">
                  <a14:compatExt spid="_x0000_s84994"/>
                </a:ext>
                <a:ext uri="{FF2B5EF4-FFF2-40B4-BE49-F238E27FC236}">
                  <a16:creationId xmlns:a16="http://schemas.microsoft.com/office/drawing/2014/main" id="{00000000-0008-0000-3800-000002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8</xdr:row>
          <xdr:rowOff>177800</xdr:rowOff>
        </xdr:from>
        <xdr:to>
          <xdr:col>4</xdr:col>
          <xdr:colOff>222250</xdr:colOff>
          <xdr:row>9</xdr:row>
          <xdr:rowOff>196850</xdr:rowOff>
        </xdr:to>
        <xdr:sp macro="" textlink="">
          <xdr:nvSpPr>
            <xdr:cNvPr id="84995" name="Check Box 3" hidden="1">
              <a:extLst>
                <a:ext uri="{63B3BB69-23CF-44E3-9099-C40C66FF867C}">
                  <a14:compatExt spid="_x0000_s84995"/>
                </a:ext>
                <a:ext uri="{FF2B5EF4-FFF2-40B4-BE49-F238E27FC236}">
                  <a16:creationId xmlns:a16="http://schemas.microsoft.com/office/drawing/2014/main" id="{00000000-0008-0000-3800-000003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10</xdr:row>
          <xdr:rowOff>190500</xdr:rowOff>
        </xdr:from>
        <xdr:to>
          <xdr:col>4</xdr:col>
          <xdr:colOff>215900</xdr:colOff>
          <xdr:row>12</xdr:row>
          <xdr:rowOff>6350</xdr:rowOff>
        </xdr:to>
        <xdr:sp macro="" textlink="">
          <xdr:nvSpPr>
            <xdr:cNvPr id="84996" name="Check Box 4" hidden="1">
              <a:extLst>
                <a:ext uri="{63B3BB69-23CF-44E3-9099-C40C66FF867C}">
                  <a14:compatExt spid="_x0000_s84996"/>
                </a:ext>
                <a:ext uri="{FF2B5EF4-FFF2-40B4-BE49-F238E27FC236}">
                  <a16:creationId xmlns:a16="http://schemas.microsoft.com/office/drawing/2014/main" id="{00000000-0008-0000-3800-000004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12</xdr:row>
          <xdr:rowOff>196850</xdr:rowOff>
        </xdr:from>
        <xdr:to>
          <xdr:col>4</xdr:col>
          <xdr:colOff>228600</xdr:colOff>
          <xdr:row>14</xdr:row>
          <xdr:rowOff>12700</xdr:rowOff>
        </xdr:to>
        <xdr:sp macro="" textlink="">
          <xdr:nvSpPr>
            <xdr:cNvPr id="84997" name="Check Box 5" hidden="1">
              <a:extLst>
                <a:ext uri="{63B3BB69-23CF-44E3-9099-C40C66FF867C}">
                  <a14:compatExt spid="_x0000_s84997"/>
                </a:ext>
                <a:ext uri="{FF2B5EF4-FFF2-40B4-BE49-F238E27FC236}">
                  <a16:creationId xmlns:a16="http://schemas.microsoft.com/office/drawing/2014/main" id="{00000000-0008-0000-3800-000005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17</xdr:row>
          <xdr:rowOff>0</xdr:rowOff>
        </xdr:from>
        <xdr:to>
          <xdr:col>4</xdr:col>
          <xdr:colOff>215900</xdr:colOff>
          <xdr:row>17</xdr:row>
          <xdr:rowOff>222250</xdr:rowOff>
        </xdr:to>
        <xdr:sp macro="" textlink="">
          <xdr:nvSpPr>
            <xdr:cNvPr id="84998" name="Check Box 6" hidden="1">
              <a:extLst>
                <a:ext uri="{63B3BB69-23CF-44E3-9099-C40C66FF867C}">
                  <a14:compatExt spid="_x0000_s84998"/>
                </a:ext>
                <a:ext uri="{FF2B5EF4-FFF2-40B4-BE49-F238E27FC236}">
                  <a16:creationId xmlns:a16="http://schemas.microsoft.com/office/drawing/2014/main" id="{00000000-0008-0000-3800-000006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18</xdr:row>
          <xdr:rowOff>0</xdr:rowOff>
        </xdr:from>
        <xdr:to>
          <xdr:col>4</xdr:col>
          <xdr:colOff>215900</xdr:colOff>
          <xdr:row>18</xdr:row>
          <xdr:rowOff>222250</xdr:rowOff>
        </xdr:to>
        <xdr:sp macro="" textlink="">
          <xdr:nvSpPr>
            <xdr:cNvPr id="84999" name="Check Box 7" hidden="1">
              <a:extLst>
                <a:ext uri="{63B3BB69-23CF-44E3-9099-C40C66FF867C}">
                  <a14:compatExt spid="_x0000_s84999"/>
                </a:ext>
                <a:ext uri="{FF2B5EF4-FFF2-40B4-BE49-F238E27FC236}">
                  <a16:creationId xmlns:a16="http://schemas.microsoft.com/office/drawing/2014/main" id="{00000000-0008-0000-3800-000007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18</xdr:row>
          <xdr:rowOff>241300</xdr:rowOff>
        </xdr:from>
        <xdr:to>
          <xdr:col>4</xdr:col>
          <xdr:colOff>228600</xdr:colOff>
          <xdr:row>19</xdr:row>
          <xdr:rowOff>215900</xdr:rowOff>
        </xdr:to>
        <xdr:sp macro="" textlink="">
          <xdr:nvSpPr>
            <xdr:cNvPr id="85000" name="Check Box 8" hidden="1">
              <a:extLst>
                <a:ext uri="{63B3BB69-23CF-44E3-9099-C40C66FF867C}">
                  <a14:compatExt spid="_x0000_s85000"/>
                </a:ext>
                <a:ext uri="{FF2B5EF4-FFF2-40B4-BE49-F238E27FC236}">
                  <a16:creationId xmlns:a16="http://schemas.microsoft.com/office/drawing/2014/main" id="{00000000-0008-0000-3800-000008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19</xdr:row>
          <xdr:rowOff>241300</xdr:rowOff>
        </xdr:from>
        <xdr:to>
          <xdr:col>4</xdr:col>
          <xdr:colOff>228600</xdr:colOff>
          <xdr:row>20</xdr:row>
          <xdr:rowOff>215900</xdr:rowOff>
        </xdr:to>
        <xdr:sp macro="" textlink="">
          <xdr:nvSpPr>
            <xdr:cNvPr id="85001" name="Check Box 9" hidden="1">
              <a:extLst>
                <a:ext uri="{63B3BB69-23CF-44E3-9099-C40C66FF867C}">
                  <a14:compatExt spid="_x0000_s85001"/>
                </a:ext>
                <a:ext uri="{FF2B5EF4-FFF2-40B4-BE49-F238E27FC236}">
                  <a16:creationId xmlns:a16="http://schemas.microsoft.com/office/drawing/2014/main" id="{00000000-0008-0000-3800-000009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21</xdr:row>
          <xdr:rowOff>0</xdr:rowOff>
        </xdr:from>
        <xdr:to>
          <xdr:col>4</xdr:col>
          <xdr:colOff>222250</xdr:colOff>
          <xdr:row>21</xdr:row>
          <xdr:rowOff>222250</xdr:rowOff>
        </xdr:to>
        <xdr:sp macro="" textlink="">
          <xdr:nvSpPr>
            <xdr:cNvPr id="85002" name="Check Box 10" hidden="1">
              <a:extLst>
                <a:ext uri="{63B3BB69-23CF-44E3-9099-C40C66FF867C}">
                  <a14:compatExt spid="_x0000_s85002"/>
                </a:ext>
                <a:ext uri="{FF2B5EF4-FFF2-40B4-BE49-F238E27FC236}">
                  <a16:creationId xmlns:a16="http://schemas.microsoft.com/office/drawing/2014/main" id="{00000000-0008-0000-3800-00000A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25400</xdr:colOff>
          <xdr:row>17</xdr:row>
          <xdr:rowOff>0</xdr:rowOff>
        </xdr:from>
        <xdr:to>
          <xdr:col>10</xdr:col>
          <xdr:colOff>222250</xdr:colOff>
          <xdr:row>17</xdr:row>
          <xdr:rowOff>222250</xdr:rowOff>
        </xdr:to>
        <xdr:sp macro="" textlink="">
          <xdr:nvSpPr>
            <xdr:cNvPr id="85003" name="Check Box 11" hidden="1">
              <a:extLst>
                <a:ext uri="{63B3BB69-23CF-44E3-9099-C40C66FF867C}">
                  <a14:compatExt spid="_x0000_s85003"/>
                </a:ext>
                <a:ext uri="{FF2B5EF4-FFF2-40B4-BE49-F238E27FC236}">
                  <a16:creationId xmlns:a16="http://schemas.microsoft.com/office/drawing/2014/main" id="{00000000-0008-0000-3800-00000B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18</xdr:row>
          <xdr:rowOff>12700</xdr:rowOff>
        </xdr:from>
        <xdr:to>
          <xdr:col>10</xdr:col>
          <xdr:colOff>228600</xdr:colOff>
          <xdr:row>18</xdr:row>
          <xdr:rowOff>234950</xdr:rowOff>
        </xdr:to>
        <xdr:sp macro="" textlink="">
          <xdr:nvSpPr>
            <xdr:cNvPr id="85004" name="Check Box 12" hidden="1">
              <a:extLst>
                <a:ext uri="{63B3BB69-23CF-44E3-9099-C40C66FF867C}">
                  <a14:compatExt spid="_x0000_s85004"/>
                </a:ext>
                <a:ext uri="{FF2B5EF4-FFF2-40B4-BE49-F238E27FC236}">
                  <a16:creationId xmlns:a16="http://schemas.microsoft.com/office/drawing/2014/main" id="{00000000-0008-0000-3800-00000C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25400</xdr:colOff>
          <xdr:row>19</xdr:row>
          <xdr:rowOff>6350</xdr:rowOff>
        </xdr:from>
        <xdr:to>
          <xdr:col>10</xdr:col>
          <xdr:colOff>222250</xdr:colOff>
          <xdr:row>19</xdr:row>
          <xdr:rowOff>228600</xdr:rowOff>
        </xdr:to>
        <xdr:sp macro="" textlink="">
          <xdr:nvSpPr>
            <xdr:cNvPr id="85005" name="Check Box 13" hidden="1">
              <a:extLst>
                <a:ext uri="{63B3BB69-23CF-44E3-9099-C40C66FF867C}">
                  <a14:compatExt spid="_x0000_s85005"/>
                </a:ext>
                <a:ext uri="{FF2B5EF4-FFF2-40B4-BE49-F238E27FC236}">
                  <a16:creationId xmlns:a16="http://schemas.microsoft.com/office/drawing/2014/main" id="{00000000-0008-0000-3800-00000D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19</xdr:row>
          <xdr:rowOff>241300</xdr:rowOff>
        </xdr:from>
        <xdr:to>
          <xdr:col>10</xdr:col>
          <xdr:colOff>228600</xdr:colOff>
          <xdr:row>20</xdr:row>
          <xdr:rowOff>215900</xdr:rowOff>
        </xdr:to>
        <xdr:sp macro="" textlink="">
          <xdr:nvSpPr>
            <xdr:cNvPr id="85006" name="Check Box 14" hidden="1">
              <a:extLst>
                <a:ext uri="{63B3BB69-23CF-44E3-9099-C40C66FF867C}">
                  <a14:compatExt spid="_x0000_s85006"/>
                </a:ext>
                <a:ext uri="{FF2B5EF4-FFF2-40B4-BE49-F238E27FC236}">
                  <a16:creationId xmlns:a16="http://schemas.microsoft.com/office/drawing/2014/main" id="{00000000-0008-0000-3800-00000E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20</xdr:row>
          <xdr:rowOff>241300</xdr:rowOff>
        </xdr:from>
        <xdr:to>
          <xdr:col>10</xdr:col>
          <xdr:colOff>228600</xdr:colOff>
          <xdr:row>21</xdr:row>
          <xdr:rowOff>215900</xdr:rowOff>
        </xdr:to>
        <xdr:sp macro="" textlink="">
          <xdr:nvSpPr>
            <xdr:cNvPr id="85007" name="Check Box 15" hidden="1">
              <a:extLst>
                <a:ext uri="{63B3BB69-23CF-44E3-9099-C40C66FF867C}">
                  <a14:compatExt spid="_x0000_s85007"/>
                </a:ext>
                <a:ext uri="{FF2B5EF4-FFF2-40B4-BE49-F238E27FC236}">
                  <a16:creationId xmlns:a16="http://schemas.microsoft.com/office/drawing/2014/main" id="{00000000-0008-0000-3800-00000F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17</xdr:row>
          <xdr:rowOff>0</xdr:rowOff>
        </xdr:from>
        <xdr:to>
          <xdr:col>22</xdr:col>
          <xdr:colOff>222250</xdr:colOff>
          <xdr:row>17</xdr:row>
          <xdr:rowOff>222250</xdr:rowOff>
        </xdr:to>
        <xdr:sp macro="" textlink="">
          <xdr:nvSpPr>
            <xdr:cNvPr id="85008" name="Check Box 16" hidden="1">
              <a:extLst>
                <a:ext uri="{63B3BB69-23CF-44E3-9099-C40C66FF867C}">
                  <a14:compatExt spid="_x0000_s85008"/>
                </a:ext>
                <a:ext uri="{FF2B5EF4-FFF2-40B4-BE49-F238E27FC236}">
                  <a16:creationId xmlns:a16="http://schemas.microsoft.com/office/drawing/2014/main" id="{00000000-0008-0000-3800-000010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18</xdr:row>
          <xdr:rowOff>6350</xdr:rowOff>
        </xdr:from>
        <xdr:to>
          <xdr:col>22</xdr:col>
          <xdr:colOff>215900</xdr:colOff>
          <xdr:row>18</xdr:row>
          <xdr:rowOff>228600</xdr:rowOff>
        </xdr:to>
        <xdr:sp macro="" textlink="">
          <xdr:nvSpPr>
            <xdr:cNvPr id="85009" name="Check Box 17" hidden="1">
              <a:extLst>
                <a:ext uri="{63B3BB69-23CF-44E3-9099-C40C66FF867C}">
                  <a14:compatExt spid="_x0000_s85009"/>
                </a:ext>
                <a:ext uri="{FF2B5EF4-FFF2-40B4-BE49-F238E27FC236}">
                  <a16:creationId xmlns:a16="http://schemas.microsoft.com/office/drawing/2014/main" id="{00000000-0008-0000-3800-000011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31750</xdr:colOff>
          <xdr:row>19</xdr:row>
          <xdr:rowOff>12700</xdr:rowOff>
        </xdr:from>
        <xdr:to>
          <xdr:col>22</xdr:col>
          <xdr:colOff>228600</xdr:colOff>
          <xdr:row>19</xdr:row>
          <xdr:rowOff>234950</xdr:rowOff>
        </xdr:to>
        <xdr:sp macro="" textlink="">
          <xdr:nvSpPr>
            <xdr:cNvPr id="85010" name="Check Box 18" hidden="1">
              <a:extLst>
                <a:ext uri="{63B3BB69-23CF-44E3-9099-C40C66FF867C}">
                  <a14:compatExt spid="_x0000_s85010"/>
                </a:ext>
                <a:ext uri="{FF2B5EF4-FFF2-40B4-BE49-F238E27FC236}">
                  <a16:creationId xmlns:a16="http://schemas.microsoft.com/office/drawing/2014/main" id="{00000000-0008-0000-3800-000012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20</xdr:row>
          <xdr:rowOff>12700</xdr:rowOff>
        </xdr:from>
        <xdr:to>
          <xdr:col>22</xdr:col>
          <xdr:colOff>222250</xdr:colOff>
          <xdr:row>20</xdr:row>
          <xdr:rowOff>234950</xdr:rowOff>
        </xdr:to>
        <xdr:sp macro="" textlink="">
          <xdr:nvSpPr>
            <xdr:cNvPr id="85011" name="Check Box 19" hidden="1">
              <a:extLst>
                <a:ext uri="{63B3BB69-23CF-44E3-9099-C40C66FF867C}">
                  <a14:compatExt spid="_x0000_s85011"/>
                </a:ext>
                <a:ext uri="{FF2B5EF4-FFF2-40B4-BE49-F238E27FC236}">
                  <a16:creationId xmlns:a16="http://schemas.microsoft.com/office/drawing/2014/main" id="{00000000-0008-0000-3800-000013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21</xdr:row>
          <xdr:rowOff>12700</xdr:rowOff>
        </xdr:from>
        <xdr:to>
          <xdr:col>22</xdr:col>
          <xdr:colOff>222250</xdr:colOff>
          <xdr:row>21</xdr:row>
          <xdr:rowOff>234950</xdr:rowOff>
        </xdr:to>
        <xdr:sp macro="" textlink="">
          <xdr:nvSpPr>
            <xdr:cNvPr id="85012" name="Check Box 20" hidden="1">
              <a:extLst>
                <a:ext uri="{63B3BB69-23CF-44E3-9099-C40C66FF867C}">
                  <a14:compatExt spid="_x0000_s85012"/>
                </a:ext>
                <a:ext uri="{FF2B5EF4-FFF2-40B4-BE49-F238E27FC236}">
                  <a16:creationId xmlns:a16="http://schemas.microsoft.com/office/drawing/2014/main" id="{00000000-0008-0000-3800-000014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24</xdr:row>
          <xdr:rowOff>241300</xdr:rowOff>
        </xdr:from>
        <xdr:to>
          <xdr:col>4</xdr:col>
          <xdr:colOff>222250</xdr:colOff>
          <xdr:row>26</xdr:row>
          <xdr:rowOff>0</xdr:rowOff>
        </xdr:to>
        <xdr:sp macro="" textlink="">
          <xdr:nvSpPr>
            <xdr:cNvPr id="85013" name="Check Box 21" hidden="1">
              <a:extLst>
                <a:ext uri="{63B3BB69-23CF-44E3-9099-C40C66FF867C}">
                  <a14:compatExt spid="_x0000_s85013"/>
                </a:ext>
                <a:ext uri="{FF2B5EF4-FFF2-40B4-BE49-F238E27FC236}">
                  <a16:creationId xmlns:a16="http://schemas.microsoft.com/office/drawing/2014/main" id="{00000000-0008-0000-3800-000015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26</xdr:row>
          <xdr:rowOff>203200</xdr:rowOff>
        </xdr:from>
        <xdr:to>
          <xdr:col>4</xdr:col>
          <xdr:colOff>215900</xdr:colOff>
          <xdr:row>28</xdr:row>
          <xdr:rowOff>0</xdr:rowOff>
        </xdr:to>
        <xdr:sp macro="" textlink="">
          <xdr:nvSpPr>
            <xdr:cNvPr id="85014" name="Check Box 22" hidden="1">
              <a:extLst>
                <a:ext uri="{63B3BB69-23CF-44E3-9099-C40C66FF867C}">
                  <a14:compatExt spid="_x0000_s85014"/>
                </a:ext>
                <a:ext uri="{FF2B5EF4-FFF2-40B4-BE49-F238E27FC236}">
                  <a16:creationId xmlns:a16="http://schemas.microsoft.com/office/drawing/2014/main" id="{00000000-0008-0000-3800-000016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28</xdr:row>
          <xdr:rowOff>0</xdr:rowOff>
        </xdr:from>
        <xdr:to>
          <xdr:col>4</xdr:col>
          <xdr:colOff>215900</xdr:colOff>
          <xdr:row>29</xdr:row>
          <xdr:rowOff>6350</xdr:rowOff>
        </xdr:to>
        <xdr:sp macro="" textlink="">
          <xdr:nvSpPr>
            <xdr:cNvPr id="85015" name="Check Box 23" hidden="1">
              <a:extLst>
                <a:ext uri="{63B3BB69-23CF-44E3-9099-C40C66FF867C}">
                  <a14:compatExt spid="_x0000_s85015"/>
                </a:ext>
                <a:ext uri="{FF2B5EF4-FFF2-40B4-BE49-F238E27FC236}">
                  <a16:creationId xmlns:a16="http://schemas.microsoft.com/office/drawing/2014/main" id="{00000000-0008-0000-3800-000017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30</xdr:row>
          <xdr:rowOff>0</xdr:rowOff>
        </xdr:from>
        <xdr:to>
          <xdr:col>4</xdr:col>
          <xdr:colOff>222250</xdr:colOff>
          <xdr:row>31</xdr:row>
          <xdr:rowOff>6350</xdr:rowOff>
        </xdr:to>
        <xdr:sp macro="" textlink="">
          <xdr:nvSpPr>
            <xdr:cNvPr id="85016" name="Check Box 24" hidden="1">
              <a:extLst>
                <a:ext uri="{63B3BB69-23CF-44E3-9099-C40C66FF867C}">
                  <a14:compatExt spid="_x0000_s85016"/>
                </a:ext>
                <a:ext uri="{FF2B5EF4-FFF2-40B4-BE49-F238E27FC236}">
                  <a16:creationId xmlns:a16="http://schemas.microsoft.com/office/drawing/2014/main" id="{00000000-0008-0000-3800-000018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31</xdr:row>
          <xdr:rowOff>203200</xdr:rowOff>
        </xdr:from>
        <xdr:to>
          <xdr:col>4</xdr:col>
          <xdr:colOff>215900</xdr:colOff>
          <xdr:row>33</xdr:row>
          <xdr:rowOff>0</xdr:rowOff>
        </xdr:to>
        <xdr:sp macro="" textlink="">
          <xdr:nvSpPr>
            <xdr:cNvPr id="85017" name="Check Box 25" hidden="1">
              <a:extLst>
                <a:ext uri="{63B3BB69-23CF-44E3-9099-C40C66FF867C}">
                  <a14:compatExt spid="_x0000_s85017"/>
                </a:ext>
                <a:ext uri="{FF2B5EF4-FFF2-40B4-BE49-F238E27FC236}">
                  <a16:creationId xmlns:a16="http://schemas.microsoft.com/office/drawing/2014/main" id="{00000000-0008-0000-3800-000019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32</xdr:row>
          <xdr:rowOff>203200</xdr:rowOff>
        </xdr:from>
        <xdr:to>
          <xdr:col>4</xdr:col>
          <xdr:colOff>222250</xdr:colOff>
          <xdr:row>34</xdr:row>
          <xdr:rowOff>0</xdr:rowOff>
        </xdr:to>
        <xdr:sp macro="" textlink="">
          <xdr:nvSpPr>
            <xdr:cNvPr id="85018" name="Check Box 26" hidden="1">
              <a:extLst>
                <a:ext uri="{63B3BB69-23CF-44E3-9099-C40C66FF867C}">
                  <a14:compatExt spid="_x0000_s85018"/>
                </a:ext>
                <a:ext uri="{FF2B5EF4-FFF2-40B4-BE49-F238E27FC236}">
                  <a16:creationId xmlns:a16="http://schemas.microsoft.com/office/drawing/2014/main" id="{00000000-0008-0000-3800-00001A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24</xdr:row>
          <xdr:rowOff>241300</xdr:rowOff>
        </xdr:from>
        <xdr:to>
          <xdr:col>20</xdr:col>
          <xdr:colOff>215900</xdr:colOff>
          <xdr:row>26</xdr:row>
          <xdr:rowOff>0</xdr:rowOff>
        </xdr:to>
        <xdr:sp macro="" textlink="">
          <xdr:nvSpPr>
            <xdr:cNvPr id="85019" name="Check Box 27" hidden="1">
              <a:extLst>
                <a:ext uri="{63B3BB69-23CF-44E3-9099-C40C66FF867C}">
                  <a14:compatExt spid="_x0000_s85019"/>
                </a:ext>
                <a:ext uri="{FF2B5EF4-FFF2-40B4-BE49-F238E27FC236}">
                  <a16:creationId xmlns:a16="http://schemas.microsoft.com/office/drawing/2014/main" id="{00000000-0008-0000-3800-00001B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27</xdr:row>
          <xdr:rowOff>203200</xdr:rowOff>
        </xdr:from>
        <xdr:to>
          <xdr:col>20</xdr:col>
          <xdr:colOff>222250</xdr:colOff>
          <xdr:row>29</xdr:row>
          <xdr:rowOff>0</xdr:rowOff>
        </xdr:to>
        <xdr:sp macro="" textlink="">
          <xdr:nvSpPr>
            <xdr:cNvPr id="85020" name="Check Box 28" hidden="1">
              <a:extLst>
                <a:ext uri="{63B3BB69-23CF-44E3-9099-C40C66FF867C}">
                  <a14:compatExt spid="_x0000_s85020"/>
                </a:ext>
                <a:ext uri="{FF2B5EF4-FFF2-40B4-BE49-F238E27FC236}">
                  <a16:creationId xmlns:a16="http://schemas.microsoft.com/office/drawing/2014/main" id="{00000000-0008-0000-3800-00001C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28</xdr:row>
          <xdr:rowOff>215900</xdr:rowOff>
        </xdr:from>
        <xdr:to>
          <xdr:col>20</xdr:col>
          <xdr:colOff>222250</xdr:colOff>
          <xdr:row>30</xdr:row>
          <xdr:rowOff>0</xdr:rowOff>
        </xdr:to>
        <xdr:sp macro="" textlink="">
          <xdr:nvSpPr>
            <xdr:cNvPr id="85021" name="Check Box 29" hidden="1">
              <a:extLst>
                <a:ext uri="{63B3BB69-23CF-44E3-9099-C40C66FF867C}">
                  <a14:compatExt spid="_x0000_s85021"/>
                </a:ext>
                <a:ext uri="{FF2B5EF4-FFF2-40B4-BE49-F238E27FC236}">
                  <a16:creationId xmlns:a16="http://schemas.microsoft.com/office/drawing/2014/main" id="{00000000-0008-0000-3800-00001D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30</xdr:row>
          <xdr:rowOff>203200</xdr:rowOff>
        </xdr:from>
        <xdr:to>
          <xdr:col>20</xdr:col>
          <xdr:colOff>215900</xdr:colOff>
          <xdr:row>32</xdr:row>
          <xdr:rowOff>0</xdr:rowOff>
        </xdr:to>
        <xdr:sp macro="" textlink="">
          <xdr:nvSpPr>
            <xdr:cNvPr id="85022" name="Check Box 30" hidden="1">
              <a:extLst>
                <a:ext uri="{63B3BB69-23CF-44E3-9099-C40C66FF867C}">
                  <a14:compatExt spid="_x0000_s85022"/>
                </a:ext>
                <a:ext uri="{FF2B5EF4-FFF2-40B4-BE49-F238E27FC236}">
                  <a16:creationId xmlns:a16="http://schemas.microsoft.com/office/drawing/2014/main" id="{00000000-0008-0000-3800-00001E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32</xdr:row>
          <xdr:rowOff>196850</xdr:rowOff>
        </xdr:from>
        <xdr:to>
          <xdr:col>20</xdr:col>
          <xdr:colOff>222250</xdr:colOff>
          <xdr:row>33</xdr:row>
          <xdr:rowOff>203200</xdr:rowOff>
        </xdr:to>
        <xdr:sp macro="" textlink="">
          <xdr:nvSpPr>
            <xdr:cNvPr id="85023" name="Check Box 31" hidden="1">
              <a:extLst>
                <a:ext uri="{63B3BB69-23CF-44E3-9099-C40C66FF867C}">
                  <a14:compatExt spid="_x0000_s85023"/>
                </a:ext>
                <a:ext uri="{FF2B5EF4-FFF2-40B4-BE49-F238E27FC236}">
                  <a16:creationId xmlns:a16="http://schemas.microsoft.com/office/drawing/2014/main" id="{00000000-0008-0000-3800-00001F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34</xdr:row>
          <xdr:rowOff>196850</xdr:rowOff>
        </xdr:from>
        <xdr:to>
          <xdr:col>20</xdr:col>
          <xdr:colOff>222250</xdr:colOff>
          <xdr:row>35</xdr:row>
          <xdr:rowOff>203200</xdr:rowOff>
        </xdr:to>
        <xdr:sp macro="" textlink="">
          <xdr:nvSpPr>
            <xdr:cNvPr id="85024" name="Check Box 32" hidden="1">
              <a:extLst>
                <a:ext uri="{63B3BB69-23CF-44E3-9099-C40C66FF867C}">
                  <a14:compatExt spid="_x0000_s85024"/>
                </a:ext>
                <a:ext uri="{FF2B5EF4-FFF2-40B4-BE49-F238E27FC236}">
                  <a16:creationId xmlns:a16="http://schemas.microsoft.com/office/drawing/2014/main" id="{00000000-0008-0000-3800-000020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34</xdr:row>
          <xdr:rowOff>215900</xdr:rowOff>
        </xdr:from>
        <xdr:to>
          <xdr:col>4</xdr:col>
          <xdr:colOff>215900</xdr:colOff>
          <xdr:row>36</xdr:row>
          <xdr:rowOff>0</xdr:rowOff>
        </xdr:to>
        <xdr:sp macro="" textlink="">
          <xdr:nvSpPr>
            <xdr:cNvPr id="85025" name="Check Box 33" hidden="1">
              <a:extLst>
                <a:ext uri="{63B3BB69-23CF-44E3-9099-C40C66FF867C}">
                  <a14:compatExt spid="_x0000_s85025"/>
                </a:ext>
                <a:ext uri="{FF2B5EF4-FFF2-40B4-BE49-F238E27FC236}">
                  <a16:creationId xmlns:a16="http://schemas.microsoft.com/office/drawing/2014/main" id="{00000000-0008-0000-3800-000021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37</xdr:row>
          <xdr:rowOff>228600</xdr:rowOff>
        </xdr:from>
        <xdr:to>
          <xdr:col>4</xdr:col>
          <xdr:colOff>228600</xdr:colOff>
          <xdr:row>38</xdr:row>
          <xdr:rowOff>203200</xdr:rowOff>
        </xdr:to>
        <xdr:sp macro="" textlink="">
          <xdr:nvSpPr>
            <xdr:cNvPr id="85026" name="Check Box 34" hidden="1">
              <a:extLst>
                <a:ext uri="{63B3BB69-23CF-44E3-9099-C40C66FF867C}">
                  <a14:compatExt spid="_x0000_s85026"/>
                </a:ext>
                <a:ext uri="{FF2B5EF4-FFF2-40B4-BE49-F238E27FC236}">
                  <a16:creationId xmlns:a16="http://schemas.microsoft.com/office/drawing/2014/main" id="{00000000-0008-0000-3800-000022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37</xdr:row>
          <xdr:rowOff>241300</xdr:rowOff>
        </xdr:from>
        <xdr:to>
          <xdr:col>20</xdr:col>
          <xdr:colOff>222250</xdr:colOff>
          <xdr:row>39</xdr:row>
          <xdr:rowOff>0</xdr:rowOff>
        </xdr:to>
        <xdr:sp macro="" textlink="">
          <xdr:nvSpPr>
            <xdr:cNvPr id="85027" name="Check Box 35" hidden="1">
              <a:extLst>
                <a:ext uri="{63B3BB69-23CF-44E3-9099-C40C66FF867C}">
                  <a14:compatExt spid="_x0000_s85027"/>
                </a:ext>
                <a:ext uri="{FF2B5EF4-FFF2-40B4-BE49-F238E27FC236}">
                  <a16:creationId xmlns:a16="http://schemas.microsoft.com/office/drawing/2014/main" id="{00000000-0008-0000-3800-000023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39</xdr:row>
          <xdr:rowOff>196850</xdr:rowOff>
        </xdr:from>
        <xdr:to>
          <xdr:col>20</xdr:col>
          <xdr:colOff>215900</xdr:colOff>
          <xdr:row>40</xdr:row>
          <xdr:rowOff>203200</xdr:rowOff>
        </xdr:to>
        <xdr:sp macro="" textlink="">
          <xdr:nvSpPr>
            <xdr:cNvPr id="85028" name="Check Box 36" hidden="1">
              <a:extLst>
                <a:ext uri="{63B3BB69-23CF-44E3-9099-C40C66FF867C}">
                  <a14:compatExt spid="_x0000_s85028"/>
                </a:ext>
                <a:ext uri="{FF2B5EF4-FFF2-40B4-BE49-F238E27FC236}">
                  <a16:creationId xmlns:a16="http://schemas.microsoft.com/office/drawing/2014/main" id="{00000000-0008-0000-3800-000024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40</xdr:row>
          <xdr:rowOff>215900</xdr:rowOff>
        </xdr:from>
        <xdr:to>
          <xdr:col>4</xdr:col>
          <xdr:colOff>222250</xdr:colOff>
          <xdr:row>42</xdr:row>
          <xdr:rowOff>0</xdr:rowOff>
        </xdr:to>
        <xdr:sp macro="" textlink="">
          <xdr:nvSpPr>
            <xdr:cNvPr id="85029" name="Check Box 37" hidden="1">
              <a:extLst>
                <a:ext uri="{63B3BB69-23CF-44E3-9099-C40C66FF867C}">
                  <a14:compatExt spid="_x0000_s85029"/>
                </a:ext>
                <a:ext uri="{FF2B5EF4-FFF2-40B4-BE49-F238E27FC236}">
                  <a16:creationId xmlns:a16="http://schemas.microsoft.com/office/drawing/2014/main" id="{00000000-0008-0000-3800-000025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31750</xdr:colOff>
          <xdr:row>44</xdr:row>
          <xdr:rowOff>12700</xdr:rowOff>
        </xdr:from>
        <xdr:to>
          <xdr:col>7</xdr:col>
          <xdr:colOff>228600</xdr:colOff>
          <xdr:row>45</xdr:row>
          <xdr:rowOff>25400</xdr:rowOff>
        </xdr:to>
        <xdr:sp macro="" textlink="">
          <xdr:nvSpPr>
            <xdr:cNvPr id="85030" name="Check Box 38" hidden="1">
              <a:extLst>
                <a:ext uri="{63B3BB69-23CF-44E3-9099-C40C66FF867C}">
                  <a14:compatExt spid="_x0000_s85030"/>
                </a:ext>
                <a:ext uri="{FF2B5EF4-FFF2-40B4-BE49-F238E27FC236}">
                  <a16:creationId xmlns:a16="http://schemas.microsoft.com/office/drawing/2014/main" id="{00000000-0008-0000-3800-000026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31750</xdr:colOff>
          <xdr:row>44</xdr:row>
          <xdr:rowOff>12700</xdr:rowOff>
        </xdr:from>
        <xdr:to>
          <xdr:col>12</xdr:col>
          <xdr:colOff>228600</xdr:colOff>
          <xdr:row>45</xdr:row>
          <xdr:rowOff>25400</xdr:rowOff>
        </xdr:to>
        <xdr:sp macro="" textlink="">
          <xdr:nvSpPr>
            <xdr:cNvPr id="85031" name="Check Box 39" hidden="1">
              <a:extLst>
                <a:ext uri="{63B3BB69-23CF-44E3-9099-C40C66FF867C}">
                  <a14:compatExt spid="_x0000_s85031"/>
                </a:ext>
                <a:ext uri="{FF2B5EF4-FFF2-40B4-BE49-F238E27FC236}">
                  <a16:creationId xmlns:a16="http://schemas.microsoft.com/office/drawing/2014/main" id="{00000000-0008-0000-3800-000027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31750</xdr:colOff>
          <xdr:row>44</xdr:row>
          <xdr:rowOff>12700</xdr:rowOff>
        </xdr:from>
        <xdr:to>
          <xdr:col>18</xdr:col>
          <xdr:colOff>228600</xdr:colOff>
          <xdr:row>45</xdr:row>
          <xdr:rowOff>25400</xdr:rowOff>
        </xdr:to>
        <xdr:sp macro="" textlink="">
          <xdr:nvSpPr>
            <xdr:cNvPr id="85032" name="Check Box 40" hidden="1">
              <a:extLst>
                <a:ext uri="{63B3BB69-23CF-44E3-9099-C40C66FF867C}">
                  <a14:compatExt spid="_x0000_s85032"/>
                </a:ext>
                <a:ext uri="{FF2B5EF4-FFF2-40B4-BE49-F238E27FC236}">
                  <a16:creationId xmlns:a16="http://schemas.microsoft.com/office/drawing/2014/main" id="{00000000-0008-0000-3800-000028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31750</xdr:colOff>
          <xdr:row>44</xdr:row>
          <xdr:rowOff>12700</xdr:rowOff>
        </xdr:from>
        <xdr:to>
          <xdr:col>23</xdr:col>
          <xdr:colOff>228600</xdr:colOff>
          <xdr:row>45</xdr:row>
          <xdr:rowOff>25400</xdr:rowOff>
        </xdr:to>
        <xdr:sp macro="" textlink="">
          <xdr:nvSpPr>
            <xdr:cNvPr id="85033" name="Check Box 41" hidden="1">
              <a:extLst>
                <a:ext uri="{63B3BB69-23CF-44E3-9099-C40C66FF867C}">
                  <a14:compatExt spid="_x0000_s85033"/>
                </a:ext>
                <a:ext uri="{FF2B5EF4-FFF2-40B4-BE49-F238E27FC236}">
                  <a16:creationId xmlns:a16="http://schemas.microsoft.com/office/drawing/2014/main" id="{00000000-0008-0000-3800-000029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44</xdr:row>
          <xdr:rowOff>12700</xdr:rowOff>
        </xdr:from>
        <xdr:to>
          <xdr:col>28</xdr:col>
          <xdr:colOff>228600</xdr:colOff>
          <xdr:row>45</xdr:row>
          <xdr:rowOff>25400</xdr:rowOff>
        </xdr:to>
        <xdr:sp macro="" textlink="">
          <xdr:nvSpPr>
            <xdr:cNvPr id="85034" name="Check Box 42" hidden="1">
              <a:extLst>
                <a:ext uri="{63B3BB69-23CF-44E3-9099-C40C66FF867C}">
                  <a14:compatExt spid="_x0000_s85034"/>
                </a:ext>
                <a:ext uri="{FF2B5EF4-FFF2-40B4-BE49-F238E27FC236}">
                  <a16:creationId xmlns:a16="http://schemas.microsoft.com/office/drawing/2014/main" id="{00000000-0008-0000-3800-00002A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44</xdr:row>
          <xdr:rowOff>254000</xdr:rowOff>
        </xdr:from>
        <xdr:to>
          <xdr:col>4</xdr:col>
          <xdr:colOff>215900</xdr:colOff>
          <xdr:row>46</xdr:row>
          <xdr:rowOff>25400</xdr:rowOff>
        </xdr:to>
        <xdr:sp macro="" textlink="">
          <xdr:nvSpPr>
            <xdr:cNvPr id="85035" name="Check Box 43" hidden="1">
              <a:extLst>
                <a:ext uri="{63B3BB69-23CF-44E3-9099-C40C66FF867C}">
                  <a14:compatExt spid="_x0000_s85035"/>
                </a:ext>
                <a:ext uri="{FF2B5EF4-FFF2-40B4-BE49-F238E27FC236}">
                  <a16:creationId xmlns:a16="http://schemas.microsoft.com/office/drawing/2014/main" id="{00000000-0008-0000-3800-00002B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46</xdr:row>
          <xdr:rowOff>190500</xdr:rowOff>
        </xdr:from>
        <xdr:to>
          <xdr:col>4</xdr:col>
          <xdr:colOff>222250</xdr:colOff>
          <xdr:row>48</xdr:row>
          <xdr:rowOff>6350</xdr:rowOff>
        </xdr:to>
        <xdr:sp macro="" textlink="">
          <xdr:nvSpPr>
            <xdr:cNvPr id="85036" name="Check Box 44" hidden="1">
              <a:extLst>
                <a:ext uri="{63B3BB69-23CF-44E3-9099-C40C66FF867C}">
                  <a14:compatExt spid="_x0000_s85036"/>
                </a:ext>
                <a:ext uri="{FF2B5EF4-FFF2-40B4-BE49-F238E27FC236}">
                  <a16:creationId xmlns:a16="http://schemas.microsoft.com/office/drawing/2014/main" id="{00000000-0008-0000-3800-00002C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49</xdr:row>
          <xdr:rowOff>0</xdr:rowOff>
        </xdr:from>
        <xdr:to>
          <xdr:col>4</xdr:col>
          <xdr:colOff>228600</xdr:colOff>
          <xdr:row>50</xdr:row>
          <xdr:rowOff>6350</xdr:rowOff>
        </xdr:to>
        <xdr:sp macro="" textlink="">
          <xdr:nvSpPr>
            <xdr:cNvPr id="85037" name="Check Box 45" hidden="1">
              <a:extLst>
                <a:ext uri="{63B3BB69-23CF-44E3-9099-C40C66FF867C}">
                  <a14:compatExt spid="_x0000_s85037"/>
                </a:ext>
                <a:ext uri="{FF2B5EF4-FFF2-40B4-BE49-F238E27FC236}">
                  <a16:creationId xmlns:a16="http://schemas.microsoft.com/office/drawing/2014/main" id="{00000000-0008-0000-3800-00002D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50</xdr:row>
          <xdr:rowOff>0</xdr:rowOff>
        </xdr:from>
        <xdr:to>
          <xdr:col>4</xdr:col>
          <xdr:colOff>228600</xdr:colOff>
          <xdr:row>51</xdr:row>
          <xdr:rowOff>6350</xdr:rowOff>
        </xdr:to>
        <xdr:sp macro="" textlink="">
          <xdr:nvSpPr>
            <xdr:cNvPr id="85038" name="Check Box 46" hidden="1">
              <a:extLst>
                <a:ext uri="{63B3BB69-23CF-44E3-9099-C40C66FF867C}">
                  <a14:compatExt spid="_x0000_s85038"/>
                </a:ext>
                <a:ext uri="{FF2B5EF4-FFF2-40B4-BE49-F238E27FC236}">
                  <a16:creationId xmlns:a16="http://schemas.microsoft.com/office/drawing/2014/main" id="{00000000-0008-0000-3800-00002E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51</xdr:row>
          <xdr:rowOff>0</xdr:rowOff>
        </xdr:from>
        <xdr:to>
          <xdr:col>4</xdr:col>
          <xdr:colOff>228600</xdr:colOff>
          <xdr:row>52</xdr:row>
          <xdr:rowOff>6350</xdr:rowOff>
        </xdr:to>
        <xdr:sp macro="" textlink="">
          <xdr:nvSpPr>
            <xdr:cNvPr id="85039" name="Check Box 47" hidden="1">
              <a:extLst>
                <a:ext uri="{63B3BB69-23CF-44E3-9099-C40C66FF867C}">
                  <a14:compatExt spid="_x0000_s85039"/>
                </a:ext>
                <a:ext uri="{FF2B5EF4-FFF2-40B4-BE49-F238E27FC236}">
                  <a16:creationId xmlns:a16="http://schemas.microsoft.com/office/drawing/2014/main" id="{00000000-0008-0000-3800-00002F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52</xdr:row>
          <xdr:rowOff>0</xdr:rowOff>
        </xdr:from>
        <xdr:to>
          <xdr:col>4</xdr:col>
          <xdr:colOff>228600</xdr:colOff>
          <xdr:row>53</xdr:row>
          <xdr:rowOff>6350</xdr:rowOff>
        </xdr:to>
        <xdr:sp macro="" textlink="">
          <xdr:nvSpPr>
            <xdr:cNvPr id="85040" name="Check Box 48" hidden="1">
              <a:extLst>
                <a:ext uri="{63B3BB69-23CF-44E3-9099-C40C66FF867C}">
                  <a14:compatExt spid="_x0000_s85040"/>
                </a:ext>
                <a:ext uri="{FF2B5EF4-FFF2-40B4-BE49-F238E27FC236}">
                  <a16:creationId xmlns:a16="http://schemas.microsoft.com/office/drawing/2014/main" id="{00000000-0008-0000-3800-000030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53</xdr:row>
          <xdr:rowOff>0</xdr:rowOff>
        </xdr:from>
        <xdr:to>
          <xdr:col>4</xdr:col>
          <xdr:colOff>228600</xdr:colOff>
          <xdr:row>54</xdr:row>
          <xdr:rowOff>6350</xdr:rowOff>
        </xdr:to>
        <xdr:sp macro="" textlink="">
          <xdr:nvSpPr>
            <xdr:cNvPr id="85041" name="Check Box 49" hidden="1">
              <a:extLst>
                <a:ext uri="{63B3BB69-23CF-44E3-9099-C40C66FF867C}">
                  <a14:compatExt spid="_x0000_s85041"/>
                </a:ext>
                <a:ext uri="{FF2B5EF4-FFF2-40B4-BE49-F238E27FC236}">
                  <a16:creationId xmlns:a16="http://schemas.microsoft.com/office/drawing/2014/main" id="{00000000-0008-0000-3800-0000314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31750</xdr:colOff>
          <xdr:row>3</xdr:row>
          <xdr:rowOff>63500</xdr:rowOff>
        </xdr:from>
        <xdr:to>
          <xdr:col>6</xdr:col>
          <xdr:colOff>31750</xdr:colOff>
          <xdr:row>3</xdr:row>
          <xdr:rowOff>254000</xdr:rowOff>
        </xdr:to>
        <xdr:sp macro="" textlink="">
          <xdr:nvSpPr>
            <xdr:cNvPr id="86017" name="Check Box 1" hidden="1">
              <a:extLst>
                <a:ext uri="{63B3BB69-23CF-44E3-9099-C40C66FF867C}">
                  <a14:compatExt spid="_x0000_s86017"/>
                </a:ext>
                <a:ext uri="{FF2B5EF4-FFF2-40B4-BE49-F238E27FC236}">
                  <a16:creationId xmlns:a16="http://schemas.microsoft.com/office/drawing/2014/main" id="{00000000-0008-0000-3900-000001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25400</xdr:colOff>
          <xdr:row>4</xdr:row>
          <xdr:rowOff>0</xdr:rowOff>
        </xdr:from>
        <xdr:to>
          <xdr:col>6</xdr:col>
          <xdr:colOff>25400</xdr:colOff>
          <xdr:row>4</xdr:row>
          <xdr:rowOff>196850</xdr:rowOff>
        </xdr:to>
        <xdr:sp macro="" textlink="">
          <xdr:nvSpPr>
            <xdr:cNvPr id="86018" name="Check Box 2" hidden="1">
              <a:extLst>
                <a:ext uri="{63B3BB69-23CF-44E3-9099-C40C66FF867C}">
                  <a14:compatExt spid="_x0000_s86018"/>
                </a:ext>
                <a:ext uri="{FF2B5EF4-FFF2-40B4-BE49-F238E27FC236}">
                  <a16:creationId xmlns:a16="http://schemas.microsoft.com/office/drawing/2014/main" id="{00000000-0008-0000-3900-000002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25400</xdr:colOff>
          <xdr:row>6</xdr:row>
          <xdr:rowOff>82550</xdr:rowOff>
        </xdr:from>
        <xdr:to>
          <xdr:col>6</xdr:col>
          <xdr:colOff>6350</xdr:colOff>
          <xdr:row>6</xdr:row>
          <xdr:rowOff>222250</xdr:rowOff>
        </xdr:to>
        <xdr:sp macro="" textlink="">
          <xdr:nvSpPr>
            <xdr:cNvPr id="86019" name="Check Box 3" hidden="1">
              <a:extLst>
                <a:ext uri="{63B3BB69-23CF-44E3-9099-C40C66FF867C}">
                  <a14:compatExt spid="_x0000_s86019"/>
                </a:ext>
                <a:ext uri="{FF2B5EF4-FFF2-40B4-BE49-F238E27FC236}">
                  <a16:creationId xmlns:a16="http://schemas.microsoft.com/office/drawing/2014/main" id="{00000000-0008-0000-3900-000003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25400</xdr:colOff>
          <xdr:row>32</xdr:row>
          <xdr:rowOff>114300</xdr:rowOff>
        </xdr:from>
        <xdr:to>
          <xdr:col>5</xdr:col>
          <xdr:colOff>101600</xdr:colOff>
          <xdr:row>34</xdr:row>
          <xdr:rowOff>6350</xdr:rowOff>
        </xdr:to>
        <xdr:sp macro="" textlink="">
          <xdr:nvSpPr>
            <xdr:cNvPr id="87041" name="Check Box 1" hidden="1">
              <a:extLst>
                <a:ext uri="{63B3BB69-23CF-44E3-9099-C40C66FF867C}">
                  <a14:compatExt spid="_x0000_s87041"/>
                </a:ext>
                <a:ext uri="{FF2B5EF4-FFF2-40B4-BE49-F238E27FC236}">
                  <a16:creationId xmlns:a16="http://schemas.microsoft.com/office/drawing/2014/main" id="{00000000-0008-0000-3A00-000001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25400</xdr:colOff>
          <xdr:row>34</xdr:row>
          <xdr:rowOff>196850</xdr:rowOff>
        </xdr:from>
        <xdr:to>
          <xdr:col>5</xdr:col>
          <xdr:colOff>101600</xdr:colOff>
          <xdr:row>36</xdr:row>
          <xdr:rowOff>12700</xdr:rowOff>
        </xdr:to>
        <xdr:sp macro="" textlink="">
          <xdr:nvSpPr>
            <xdr:cNvPr id="87042" name="Check Box 2" hidden="1">
              <a:extLst>
                <a:ext uri="{63B3BB69-23CF-44E3-9099-C40C66FF867C}">
                  <a14:compatExt spid="_x0000_s87042"/>
                </a:ext>
                <a:ext uri="{FF2B5EF4-FFF2-40B4-BE49-F238E27FC236}">
                  <a16:creationId xmlns:a16="http://schemas.microsoft.com/office/drawing/2014/main" id="{00000000-0008-0000-3A00-000002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31750</xdr:colOff>
          <xdr:row>40</xdr:row>
          <xdr:rowOff>12700</xdr:rowOff>
        </xdr:from>
        <xdr:to>
          <xdr:col>5</xdr:col>
          <xdr:colOff>107950</xdr:colOff>
          <xdr:row>40</xdr:row>
          <xdr:rowOff>234950</xdr:rowOff>
        </xdr:to>
        <xdr:sp macro="" textlink="">
          <xdr:nvSpPr>
            <xdr:cNvPr id="87043" name="Check Box 3" hidden="1">
              <a:extLst>
                <a:ext uri="{63B3BB69-23CF-44E3-9099-C40C66FF867C}">
                  <a14:compatExt spid="_x0000_s87043"/>
                </a:ext>
                <a:ext uri="{FF2B5EF4-FFF2-40B4-BE49-F238E27FC236}">
                  <a16:creationId xmlns:a16="http://schemas.microsoft.com/office/drawing/2014/main" id="{00000000-0008-0000-3A00-000003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31750</xdr:colOff>
          <xdr:row>41</xdr:row>
          <xdr:rowOff>12700</xdr:rowOff>
        </xdr:from>
        <xdr:to>
          <xdr:col>5</xdr:col>
          <xdr:colOff>107950</xdr:colOff>
          <xdr:row>41</xdr:row>
          <xdr:rowOff>234950</xdr:rowOff>
        </xdr:to>
        <xdr:sp macro="" textlink="">
          <xdr:nvSpPr>
            <xdr:cNvPr id="87044" name="Check Box 4" hidden="1">
              <a:extLst>
                <a:ext uri="{63B3BB69-23CF-44E3-9099-C40C66FF867C}">
                  <a14:compatExt spid="_x0000_s87044"/>
                </a:ext>
                <a:ext uri="{FF2B5EF4-FFF2-40B4-BE49-F238E27FC236}">
                  <a16:creationId xmlns:a16="http://schemas.microsoft.com/office/drawing/2014/main" id="{00000000-0008-0000-3A00-000004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31750</xdr:colOff>
          <xdr:row>42</xdr:row>
          <xdr:rowOff>12700</xdr:rowOff>
        </xdr:from>
        <xdr:to>
          <xdr:col>5</xdr:col>
          <xdr:colOff>107950</xdr:colOff>
          <xdr:row>42</xdr:row>
          <xdr:rowOff>234950</xdr:rowOff>
        </xdr:to>
        <xdr:sp macro="" textlink="">
          <xdr:nvSpPr>
            <xdr:cNvPr id="87045" name="Check Box 5" hidden="1">
              <a:extLst>
                <a:ext uri="{63B3BB69-23CF-44E3-9099-C40C66FF867C}">
                  <a14:compatExt spid="_x0000_s87045"/>
                </a:ext>
                <a:ext uri="{FF2B5EF4-FFF2-40B4-BE49-F238E27FC236}">
                  <a16:creationId xmlns:a16="http://schemas.microsoft.com/office/drawing/2014/main" id="{00000000-0008-0000-3A00-000005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31750</xdr:colOff>
          <xdr:row>43</xdr:row>
          <xdr:rowOff>12700</xdr:rowOff>
        </xdr:from>
        <xdr:to>
          <xdr:col>5</xdr:col>
          <xdr:colOff>107950</xdr:colOff>
          <xdr:row>43</xdr:row>
          <xdr:rowOff>234950</xdr:rowOff>
        </xdr:to>
        <xdr:sp macro="" textlink="">
          <xdr:nvSpPr>
            <xdr:cNvPr id="87046" name="Check Box 6" hidden="1">
              <a:extLst>
                <a:ext uri="{63B3BB69-23CF-44E3-9099-C40C66FF867C}">
                  <a14:compatExt spid="_x0000_s87046"/>
                </a:ext>
                <a:ext uri="{FF2B5EF4-FFF2-40B4-BE49-F238E27FC236}">
                  <a16:creationId xmlns:a16="http://schemas.microsoft.com/office/drawing/2014/main" id="{00000000-0008-0000-3A00-000006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31750</xdr:colOff>
          <xdr:row>44</xdr:row>
          <xdr:rowOff>12700</xdr:rowOff>
        </xdr:from>
        <xdr:to>
          <xdr:col>5</xdr:col>
          <xdr:colOff>107950</xdr:colOff>
          <xdr:row>44</xdr:row>
          <xdr:rowOff>234950</xdr:rowOff>
        </xdr:to>
        <xdr:sp macro="" textlink="">
          <xdr:nvSpPr>
            <xdr:cNvPr id="87047" name="Check Box 7" hidden="1">
              <a:extLst>
                <a:ext uri="{63B3BB69-23CF-44E3-9099-C40C66FF867C}">
                  <a14:compatExt spid="_x0000_s87047"/>
                </a:ext>
                <a:ext uri="{FF2B5EF4-FFF2-40B4-BE49-F238E27FC236}">
                  <a16:creationId xmlns:a16="http://schemas.microsoft.com/office/drawing/2014/main" id="{00000000-0008-0000-3A00-000007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31750</xdr:colOff>
          <xdr:row>45</xdr:row>
          <xdr:rowOff>12700</xdr:rowOff>
        </xdr:from>
        <xdr:to>
          <xdr:col>5</xdr:col>
          <xdr:colOff>107950</xdr:colOff>
          <xdr:row>45</xdr:row>
          <xdr:rowOff>234950</xdr:rowOff>
        </xdr:to>
        <xdr:sp macro="" textlink="">
          <xdr:nvSpPr>
            <xdr:cNvPr id="87048" name="Check Box 8" hidden="1">
              <a:extLst>
                <a:ext uri="{63B3BB69-23CF-44E3-9099-C40C66FF867C}">
                  <a14:compatExt spid="_x0000_s87048"/>
                </a:ext>
                <a:ext uri="{FF2B5EF4-FFF2-40B4-BE49-F238E27FC236}">
                  <a16:creationId xmlns:a16="http://schemas.microsoft.com/office/drawing/2014/main" id="{00000000-0008-0000-3A00-000008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31750</xdr:colOff>
          <xdr:row>40</xdr:row>
          <xdr:rowOff>12700</xdr:rowOff>
        </xdr:from>
        <xdr:to>
          <xdr:col>26</xdr:col>
          <xdr:colOff>107950</xdr:colOff>
          <xdr:row>40</xdr:row>
          <xdr:rowOff>234950</xdr:rowOff>
        </xdr:to>
        <xdr:sp macro="" textlink="">
          <xdr:nvSpPr>
            <xdr:cNvPr id="87049" name="Check Box 9" hidden="1">
              <a:extLst>
                <a:ext uri="{63B3BB69-23CF-44E3-9099-C40C66FF867C}">
                  <a14:compatExt spid="_x0000_s87049"/>
                </a:ext>
                <a:ext uri="{FF2B5EF4-FFF2-40B4-BE49-F238E27FC236}">
                  <a16:creationId xmlns:a16="http://schemas.microsoft.com/office/drawing/2014/main" id="{00000000-0008-0000-3A00-000009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31750</xdr:colOff>
          <xdr:row>41</xdr:row>
          <xdr:rowOff>12700</xdr:rowOff>
        </xdr:from>
        <xdr:to>
          <xdr:col>26</xdr:col>
          <xdr:colOff>107950</xdr:colOff>
          <xdr:row>41</xdr:row>
          <xdr:rowOff>234950</xdr:rowOff>
        </xdr:to>
        <xdr:sp macro="" textlink="">
          <xdr:nvSpPr>
            <xdr:cNvPr id="87050" name="Check Box 10" hidden="1">
              <a:extLst>
                <a:ext uri="{63B3BB69-23CF-44E3-9099-C40C66FF867C}">
                  <a14:compatExt spid="_x0000_s87050"/>
                </a:ext>
                <a:ext uri="{FF2B5EF4-FFF2-40B4-BE49-F238E27FC236}">
                  <a16:creationId xmlns:a16="http://schemas.microsoft.com/office/drawing/2014/main" id="{00000000-0008-0000-3A00-00000A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31750</xdr:colOff>
          <xdr:row>42</xdr:row>
          <xdr:rowOff>12700</xdr:rowOff>
        </xdr:from>
        <xdr:to>
          <xdr:col>26</xdr:col>
          <xdr:colOff>107950</xdr:colOff>
          <xdr:row>42</xdr:row>
          <xdr:rowOff>234950</xdr:rowOff>
        </xdr:to>
        <xdr:sp macro="" textlink="">
          <xdr:nvSpPr>
            <xdr:cNvPr id="87051" name="Check Box 11" hidden="1">
              <a:extLst>
                <a:ext uri="{63B3BB69-23CF-44E3-9099-C40C66FF867C}">
                  <a14:compatExt spid="_x0000_s87051"/>
                </a:ext>
                <a:ext uri="{FF2B5EF4-FFF2-40B4-BE49-F238E27FC236}">
                  <a16:creationId xmlns:a16="http://schemas.microsoft.com/office/drawing/2014/main" id="{00000000-0008-0000-3A00-00000B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31750</xdr:colOff>
          <xdr:row>43</xdr:row>
          <xdr:rowOff>12700</xdr:rowOff>
        </xdr:from>
        <xdr:to>
          <xdr:col>26</xdr:col>
          <xdr:colOff>107950</xdr:colOff>
          <xdr:row>43</xdr:row>
          <xdr:rowOff>234950</xdr:rowOff>
        </xdr:to>
        <xdr:sp macro="" textlink="">
          <xdr:nvSpPr>
            <xdr:cNvPr id="87052" name="Check Box 12" hidden="1">
              <a:extLst>
                <a:ext uri="{63B3BB69-23CF-44E3-9099-C40C66FF867C}">
                  <a14:compatExt spid="_x0000_s87052"/>
                </a:ext>
                <a:ext uri="{FF2B5EF4-FFF2-40B4-BE49-F238E27FC236}">
                  <a16:creationId xmlns:a16="http://schemas.microsoft.com/office/drawing/2014/main" id="{00000000-0008-0000-3A00-00000C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31750</xdr:colOff>
          <xdr:row>44</xdr:row>
          <xdr:rowOff>12700</xdr:rowOff>
        </xdr:from>
        <xdr:to>
          <xdr:col>26</xdr:col>
          <xdr:colOff>107950</xdr:colOff>
          <xdr:row>44</xdr:row>
          <xdr:rowOff>234950</xdr:rowOff>
        </xdr:to>
        <xdr:sp macro="" textlink="">
          <xdr:nvSpPr>
            <xdr:cNvPr id="87053" name="Check Box 13" hidden="1">
              <a:extLst>
                <a:ext uri="{63B3BB69-23CF-44E3-9099-C40C66FF867C}">
                  <a14:compatExt spid="_x0000_s87053"/>
                </a:ext>
                <a:ext uri="{FF2B5EF4-FFF2-40B4-BE49-F238E27FC236}">
                  <a16:creationId xmlns:a16="http://schemas.microsoft.com/office/drawing/2014/main" id="{00000000-0008-0000-3A00-00000D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31750</xdr:colOff>
          <xdr:row>3</xdr:row>
          <xdr:rowOff>12700</xdr:rowOff>
        </xdr:from>
        <xdr:to>
          <xdr:col>5</xdr:col>
          <xdr:colOff>107950</xdr:colOff>
          <xdr:row>3</xdr:row>
          <xdr:rowOff>234950</xdr:rowOff>
        </xdr:to>
        <xdr:sp macro="" textlink="">
          <xdr:nvSpPr>
            <xdr:cNvPr id="87054" name="Check Box 14" hidden="1">
              <a:extLst>
                <a:ext uri="{63B3BB69-23CF-44E3-9099-C40C66FF867C}">
                  <a14:compatExt spid="_x0000_s87054"/>
                </a:ext>
                <a:ext uri="{FF2B5EF4-FFF2-40B4-BE49-F238E27FC236}">
                  <a16:creationId xmlns:a16="http://schemas.microsoft.com/office/drawing/2014/main" id="{00000000-0008-0000-3A00-00000E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31750</xdr:colOff>
          <xdr:row>6</xdr:row>
          <xdr:rowOff>12700</xdr:rowOff>
        </xdr:from>
        <xdr:to>
          <xdr:col>5</xdr:col>
          <xdr:colOff>107950</xdr:colOff>
          <xdr:row>7</xdr:row>
          <xdr:rowOff>31750</xdr:rowOff>
        </xdr:to>
        <xdr:sp macro="" textlink="">
          <xdr:nvSpPr>
            <xdr:cNvPr id="87055" name="Check Box 15" hidden="1">
              <a:extLst>
                <a:ext uri="{63B3BB69-23CF-44E3-9099-C40C66FF867C}">
                  <a14:compatExt spid="_x0000_s87055"/>
                </a:ext>
                <a:ext uri="{FF2B5EF4-FFF2-40B4-BE49-F238E27FC236}">
                  <a16:creationId xmlns:a16="http://schemas.microsoft.com/office/drawing/2014/main" id="{00000000-0008-0000-3A00-00000F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31</xdr:col>
          <xdr:colOff>25400</xdr:colOff>
          <xdr:row>8</xdr:row>
          <xdr:rowOff>25400</xdr:rowOff>
        </xdr:from>
        <xdr:to>
          <xdr:col>32</xdr:col>
          <xdr:colOff>25400</xdr:colOff>
          <xdr:row>10</xdr:row>
          <xdr:rowOff>38100</xdr:rowOff>
        </xdr:to>
        <xdr:sp macro="" textlink="">
          <xdr:nvSpPr>
            <xdr:cNvPr id="88065" name="Check Box 1" hidden="1">
              <a:extLst>
                <a:ext uri="{63B3BB69-23CF-44E3-9099-C40C66FF867C}">
                  <a14:compatExt spid="_x0000_s88065"/>
                </a:ext>
                <a:ext uri="{FF2B5EF4-FFF2-40B4-BE49-F238E27FC236}">
                  <a16:creationId xmlns:a16="http://schemas.microsoft.com/office/drawing/2014/main" id="{00000000-0008-0000-3B00-0000015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10</xdr:row>
          <xdr:rowOff>177800</xdr:rowOff>
        </xdr:from>
        <xdr:to>
          <xdr:col>32</xdr:col>
          <xdr:colOff>25400</xdr:colOff>
          <xdr:row>12</xdr:row>
          <xdr:rowOff>44450</xdr:rowOff>
        </xdr:to>
        <xdr:sp macro="" textlink="">
          <xdr:nvSpPr>
            <xdr:cNvPr id="88066" name="Check Box 2" hidden="1">
              <a:extLst>
                <a:ext uri="{63B3BB69-23CF-44E3-9099-C40C66FF867C}">
                  <a14:compatExt spid="_x0000_s88066"/>
                </a:ext>
                <a:ext uri="{FF2B5EF4-FFF2-40B4-BE49-F238E27FC236}">
                  <a16:creationId xmlns:a16="http://schemas.microsoft.com/office/drawing/2014/main" id="{00000000-0008-0000-3B00-0000025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31750</xdr:colOff>
          <xdr:row>12</xdr:row>
          <xdr:rowOff>152400</xdr:rowOff>
        </xdr:from>
        <xdr:to>
          <xdr:col>32</xdr:col>
          <xdr:colOff>31750</xdr:colOff>
          <xdr:row>14</xdr:row>
          <xdr:rowOff>25400</xdr:rowOff>
        </xdr:to>
        <xdr:sp macro="" textlink="">
          <xdr:nvSpPr>
            <xdr:cNvPr id="88067" name="Check Box 3" hidden="1">
              <a:extLst>
                <a:ext uri="{63B3BB69-23CF-44E3-9099-C40C66FF867C}">
                  <a14:compatExt spid="_x0000_s88067"/>
                </a:ext>
                <a:ext uri="{FF2B5EF4-FFF2-40B4-BE49-F238E27FC236}">
                  <a16:creationId xmlns:a16="http://schemas.microsoft.com/office/drawing/2014/main" id="{00000000-0008-0000-3B00-0000035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14</xdr:row>
          <xdr:rowOff>152400</xdr:rowOff>
        </xdr:from>
        <xdr:to>
          <xdr:col>32</xdr:col>
          <xdr:colOff>25400</xdr:colOff>
          <xdr:row>16</xdr:row>
          <xdr:rowOff>25400</xdr:rowOff>
        </xdr:to>
        <xdr:sp macro="" textlink="">
          <xdr:nvSpPr>
            <xdr:cNvPr id="88068" name="Check Box 4" hidden="1">
              <a:extLst>
                <a:ext uri="{63B3BB69-23CF-44E3-9099-C40C66FF867C}">
                  <a14:compatExt spid="_x0000_s88068"/>
                </a:ext>
                <a:ext uri="{FF2B5EF4-FFF2-40B4-BE49-F238E27FC236}">
                  <a16:creationId xmlns:a16="http://schemas.microsoft.com/office/drawing/2014/main" id="{00000000-0008-0000-3B00-0000045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25400</xdr:colOff>
          <xdr:row>10</xdr:row>
          <xdr:rowOff>63500</xdr:rowOff>
        </xdr:from>
        <xdr:to>
          <xdr:col>19</xdr:col>
          <xdr:colOff>38100</xdr:colOff>
          <xdr:row>10</xdr:row>
          <xdr:rowOff>241300</xdr:rowOff>
        </xdr:to>
        <xdr:sp macro="" textlink="">
          <xdr:nvSpPr>
            <xdr:cNvPr id="90113" name="Check Box 1" hidden="1">
              <a:extLst>
                <a:ext uri="{63B3BB69-23CF-44E3-9099-C40C66FF867C}">
                  <a14:compatExt spid="_x0000_s90113"/>
                </a:ext>
                <a:ext uri="{FF2B5EF4-FFF2-40B4-BE49-F238E27FC236}">
                  <a16:creationId xmlns:a16="http://schemas.microsoft.com/office/drawing/2014/main" id="{00000000-0008-0000-3D00-000001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31750</xdr:colOff>
          <xdr:row>10</xdr:row>
          <xdr:rowOff>63500</xdr:rowOff>
        </xdr:from>
        <xdr:to>
          <xdr:col>22</xdr:col>
          <xdr:colOff>88900</xdr:colOff>
          <xdr:row>10</xdr:row>
          <xdr:rowOff>254000</xdr:rowOff>
        </xdr:to>
        <xdr:sp macro="" textlink="">
          <xdr:nvSpPr>
            <xdr:cNvPr id="90114" name="Check Box 2" hidden="1">
              <a:extLst>
                <a:ext uri="{63B3BB69-23CF-44E3-9099-C40C66FF867C}">
                  <a14:compatExt spid="_x0000_s90114"/>
                </a:ext>
                <a:ext uri="{FF2B5EF4-FFF2-40B4-BE49-F238E27FC236}">
                  <a16:creationId xmlns:a16="http://schemas.microsoft.com/office/drawing/2014/main" id="{00000000-0008-0000-3D00-000002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31750</xdr:colOff>
          <xdr:row>10</xdr:row>
          <xdr:rowOff>50800</xdr:rowOff>
        </xdr:from>
        <xdr:to>
          <xdr:col>25</xdr:col>
          <xdr:colOff>88900</xdr:colOff>
          <xdr:row>10</xdr:row>
          <xdr:rowOff>234950</xdr:rowOff>
        </xdr:to>
        <xdr:sp macro="" textlink="">
          <xdr:nvSpPr>
            <xdr:cNvPr id="90115" name="Check Box 3" hidden="1">
              <a:extLst>
                <a:ext uri="{63B3BB69-23CF-44E3-9099-C40C66FF867C}">
                  <a14:compatExt spid="_x0000_s90115"/>
                </a:ext>
                <a:ext uri="{FF2B5EF4-FFF2-40B4-BE49-F238E27FC236}">
                  <a16:creationId xmlns:a16="http://schemas.microsoft.com/office/drawing/2014/main" id="{00000000-0008-0000-3D00-000003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10</xdr:row>
          <xdr:rowOff>50800</xdr:rowOff>
        </xdr:from>
        <xdr:to>
          <xdr:col>28</xdr:col>
          <xdr:colOff>88900</xdr:colOff>
          <xdr:row>10</xdr:row>
          <xdr:rowOff>234950</xdr:rowOff>
        </xdr:to>
        <xdr:sp macro="" textlink="">
          <xdr:nvSpPr>
            <xdr:cNvPr id="90116" name="Check Box 4" hidden="1">
              <a:extLst>
                <a:ext uri="{63B3BB69-23CF-44E3-9099-C40C66FF867C}">
                  <a14:compatExt spid="_x0000_s90116"/>
                </a:ext>
                <a:ext uri="{FF2B5EF4-FFF2-40B4-BE49-F238E27FC236}">
                  <a16:creationId xmlns:a16="http://schemas.microsoft.com/office/drawing/2014/main" id="{00000000-0008-0000-3D00-000004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10</xdr:row>
          <xdr:rowOff>44450</xdr:rowOff>
        </xdr:from>
        <xdr:to>
          <xdr:col>31</xdr:col>
          <xdr:colOff>82550</xdr:colOff>
          <xdr:row>10</xdr:row>
          <xdr:rowOff>228600</xdr:rowOff>
        </xdr:to>
        <xdr:sp macro="" textlink="">
          <xdr:nvSpPr>
            <xdr:cNvPr id="90117" name="Check Box 5" hidden="1">
              <a:extLst>
                <a:ext uri="{63B3BB69-23CF-44E3-9099-C40C66FF867C}">
                  <a14:compatExt spid="_x0000_s90117"/>
                </a:ext>
                <a:ext uri="{FF2B5EF4-FFF2-40B4-BE49-F238E27FC236}">
                  <a16:creationId xmlns:a16="http://schemas.microsoft.com/office/drawing/2014/main" id="{00000000-0008-0000-3D00-000005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25400</xdr:colOff>
          <xdr:row>10</xdr:row>
          <xdr:rowOff>50800</xdr:rowOff>
        </xdr:from>
        <xdr:to>
          <xdr:col>34</xdr:col>
          <xdr:colOff>76200</xdr:colOff>
          <xdr:row>10</xdr:row>
          <xdr:rowOff>234950</xdr:rowOff>
        </xdr:to>
        <xdr:sp macro="" textlink="">
          <xdr:nvSpPr>
            <xdr:cNvPr id="90118" name="Check Box 6" hidden="1">
              <a:extLst>
                <a:ext uri="{63B3BB69-23CF-44E3-9099-C40C66FF867C}">
                  <a14:compatExt spid="_x0000_s90118"/>
                </a:ext>
                <a:ext uri="{FF2B5EF4-FFF2-40B4-BE49-F238E27FC236}">
                  <a16:creationId xmlns:a16="http://schemas.microsoft.com/office/drawing/2014/main" id="{00000000-0008-0000-3D00-000006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31750</xdr:colOff>
          <xdr:row>10</xdr:row>
          <xdr:rowOff>50800</xdr:rowOff>
        </xdr:from>
        <xdr:to>
          <xdr:col>37</xdr:col>
          <xdr:colOff>88900</xdr:colOff>
          <xdr:row>10</xdr:row>
          <xdr:rowOff>234950</xdr:rowOff>
        </xdr:to>
        <xdr:sp macro="" textlink="">
          <xdr:nvSpPr>
            <xdr:cNvPr id="90119" name="Check Box 7" hidden="1">
              <a:extLst>
                <a:ext uri="{63B3BB69-23CF-44E3-9099-C40C66FF867C}">
                  <a14:compatExt spid="_x0000_s90119"/>
                </a:ext>
                <a:ext uri="{FF2B5EF4-FFF2-40B4-BE49-F238E27FC236}">
                  <a16:creationId xmlns:a16="http://schemas.microsoft.com/office/drawing/2014/main" id="{00000000-0008-0000-3D00-000007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39</xdr:col>
          <xdr:colOff>31750</xdr:colOff>
          <xdr:row>10</xdr:row>
          <xdr:rowOff>63500</xdr:rowOff>
        </xdr:from>
        <xdr:to>
          <xdr:col>40</xdr:col>
          <xdr:colOff>88900</xdr:colOff>
          <xdr:row>10</xdr:row>
          <xdr:rowOff>254000</xdr:rowOff>
        </xdr:to>
        <xdr:sp macro="" textlink="">
          <xdr:nvSpPr>
            <xdr:cNvPr id="90120" name="Check Box 8" hidden="1">
              <a:extLst>
                <a:ext uri="{63B3BB69-23CF-44E3-9099-C40C66FF867C}">
                  <a14:compatExt spid="_x0000_s90120"/>
                </a:ext>
                <a:ext uri="{FF2B5EF4-FFF2-40B4-BE49-F238E27FC236}">
                  <a16:creationId xmlns:a16="http://schemas.microsoft.com/office/drawing/2014/main" id="{00000000-0008-0000-3D00-000008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42</xdr:col>
          <xdr:colOff>25400</xdr:colOff>
          <xdr:row>10</xdr:row>
          <xdr:rowOff>63500</xdr:rowOff>
        </xdr:from>
        <xdr:to>
          <xdr:col>43</xdr:col>
          <xdr:colOff>76200</xdr:colOff>
          <xdr:row>10</xdr:row>
          <xdr:rowOff>241300</xdr:rowOff>
        </xdr:to>
        <xdr:sp macro="" textlink="">
          <xdr:nvSpPr>
            <xdr:cNvPr id="90121" name="Check Box 9" hidden="1">
              <a:extLst>
                <a:ext uri="{63B3BB69-23CF-44E3-9099-C40C66FF867C}">
                  <a14:compatExt spid="_x0000_s90121"/>
                </a:ext>
                <a:ext uri="{FF2B5EF4-FFF2-40B4-BE49-F238E27FC236}">
                  <a16:creationId xmlns:a16="http://schemas.microsoft.com/office/drawing/2014/main" id="{00000000-0008-0000-3D00-000009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idden="1">
              <a:extLst>
                <a:ext uri="{63B3BB69-23CF-44E3-9099-C40C66FF867C}">
                  <a14:compatExt spid="_x0000_s90122"/>
                </a:ext>
                <a:ext uri="{FF2B5EF4-FFF2-40B4-BE49-F238E27FC236}">
                  <a16:creationId xmlns:a16="http://schemas.microsoft.com/office/drawing/2014/main" id="{00000000-0008-0000-3D00-00000A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31750</xdr:colOff>
          <xdr:row>10</xdr:row>
          <xdr:rowOff>50800</xdr:rowOff>
        </xdr:from>
        <xdr:to>
          <xdr:col>49</xdr:col>
          <xdr:colOff>88900</xdr:colOff>
          <xdr:row>10</xdr:row>
          <xdr:rowOff>234950</xdr:rowOff>
        </xdr:to>
        <xdr:sp macro="" textlink="">
          <xdr:nvSpPr>
            <xdr:cNvPr id="90123" name="Check Box 11" hidden="1">
              <a:extLst>
                <a:ext uri="{63B3BB69-23CF-44E3-9099-C40C66FF867C}">
                  <a14:compatExt spid="_x0000_s90123"/>
                </a:ext>
                <a:ext uri="{FF2B5EF4-FFF2-40B4-BE49-F238E27FC236}">
                  <a16:creationId xmlns:a16="http://schemas.microsoft.com/office/drawing/2014/main" id="{00000000-0008-0000-3D00-00000B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25400</xdr:colOff>
          <xdr:row>10</xdr:row>
          <xdr:rowOff>50800</xdr:rowOff>
        </xdr:from>
        <xdr:to>
          <xdr:col>52</xdr:col>
          <xdr:colOff>82550</xdr:colOff>
          <xdr:row>10</xdr:row>
          <xdr:rowOff>234950</xdr:rowOff>
        </xdr:to>
        <xdr:sp macro="" textlink="">
          <xdr:nvSpPr>
            <xdr:cNvPr id="90124" name="Check Box 12" hidden="1">
              <a:extLst>
                <a:ext uri="{63B3BB69-23CF-44E3-9099-C40C66FF867C}">
                  <a14:compatExt spid="_x0000_s90124"/>
                </a:ext>
                <a:ext uri="{FF2B5EF4-FFF2-40B4-BE49-F238E27FC236}">
                  <a16:creationId xmlns:a16="http://schemas.microsoft.com/office/drawing/2014/main" id="{00000000-0008-0000-3D00-00000C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11</xdr:row>
          <xdr:rowOff>63500</xdr:rowOff>
        </xdr:from>
        <xdr:to>
          <xdr:col>19</xdr:col>
          <xdr:colOff>82550</xdr:colOff>
          <xdr:row>11</xdr:row>
          <xdr:rowOff>254000</xdr:rowOff>
        </xdr:to>
        <xdr:sp macro="" textlink="">
          <xdr:nvSpPr>
            <xdr:cNvPr id="90125" name="Check Box 13" hidden="1">
              <a:extLst>
                <a:ext uri="{63B3BB69-23CF-44E3-9099-C40C66FF867C}">
                  <a14:compatExt spid="_x0000_s90125"/>
                </a:ext>
                <a:ext uri="{FF2B5EF4-FFF2-40B4-BE49-F238E27FC236}">
                  <a16:creationId xmlns:a16="http://schemas.microsoft.com/office/drawing/2014/main" id="{00000000-0008-0000-3D00-00000D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11</xdr:row>
          <xdr:rowOff>50800</xdr:rowOff>
        </xdr:from>
        <xdr:to>
          <xdr:col>22</xdr:col>
          <xdr:colOff>76200</xdr:colOff>
          <xdr:row>11</xdr:row>
          <xdr:rowOff>234950</xdr:rowOff>
        </xdr:to>
        <xdr:sp macro="" textlink="">
          <xdr:nvSpPr>
            <xdr:cNvPr id="90126" name="Check Box 14" hidden="1">
              <a:extLst>
                <a:ext uri="{63B3BB69-23CF-44E3-9099-C40C66FF867C}">
                  <a14:compatExt spid="_x0000_s90126"/>
                </a:ext>
                <a:ext uri="{FF2B5EF4-FFF2-40B4-BE49-F238E27FC236}">
                  <a16:creationId xmlns:a16="http://schemas.microsoft.com/office/drawing/2014/main" id="{00000000-0008-0000-3D00-00000E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31750</xdr:colOff>
          <xdr:row>11</xdr:row>
          <xdr:rowOff>44450</xdr:rowOff>
        </xdr:from>
        <xdr:to>
          <xdr:col>25</xdr:col>
          <xdr:colOff>88900</xdr:colOff>
          <xdr:row>11</xdr:row>
          <xdr:rowOff>228600</xdr:rowOff>
        </xdr:to>
        <xdr:sp macro="" textlink="">
          <xdr:nvSpPr>
            <xdr:cNvPr id="90127" name="Check Box 15" hidden="1">
              <a:extLst>
                <a:ext uri="{63B3BB69-23CF-44E3-9099-C40C66FF867C}">
                  <a14:compatExt spid="_x0000_s90127"/>
                </a:ext>
                <a:ext uri="{FF2B5EF4-FFF2-40B4-BE49-F238E27FC236}">
                  <a16:creationId xmlns:a16="http://schemas.microsoft.com/office/drawing/2014/main" id="{00000000-0008-0000-3D00-00000F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11</xdr:row>
          <xdr:rowOff>44450</xdr:rowOff>
        </xdr:from>
        <xdr:to>
          <xdr:col>28</xdr:col>
          <xdr:colOff>82550</xdr:colOff>
          <xdr:row>11</xdr:row>
          <xdr:rowOff>228600</xdr:rowOff>
        </xdr:to>
        <xdr:sp macro="" textlink="">
          <xdr:nvSpPr>
            <xdr:cNvPr id="90128" name="Check Box 16" hidden="1">
              <a:extLst>
                <a:ext uri="{63B3BB69-23CF-44E3-9099-C40C66FF867C}">
                  <a14:compatExt spid="_x0000_s90128"/>
                </a:ext>
                <a:ext uri="{FF2B5EF4-FFF2-40B4-BE49-F238E27FC236}">
                  <a16:creationId xmlns:a16="http://schemas.microsoft.com/office/drawing/2014/main" id="{00000000-0008-0000-3D00-000010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11</xdr:row>
          <xdr:rowOff>50800</xdr:rowOff>
        </xdr:from>
        <xdr:to>
          <xdr:col>31</xdr:col>
          <xdr:colOff>82550</xdr:colOff>
          <xdr:row>11</xdr:row>
          <xdr:rowOff>234950</xdr:rowOff>
        </xdr:to>
        <xdr:sp macro="" textlink="">
          <xdr:nvSpPr>
            <xdr:cNvPr id="90129" name="Check Box 17" hidden="1">
              <a:extLst>
                <a:ext uri="{63B3BB69-23CF-44E3-9099-C40C66FF867C}">
                  <a14:compatExt spid="_x0000_s90129"/>
                </a:ext>
                <a:ext uri="{FF2B5EF4-FFF2-40B4-BE49-F238E27FC236}">
                  <a16:creationId xmlns:a16="http://schemas.microsoft.com/office/drawing/2014/main" id="{00000000-0008-0000-3D00-000011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31750</xdr:colOff>
          <xdr:row>11</xdr:row>
          <xdr:rowOff>50800</xdr:rowOff>
        </xdr:from>
        <xdr:to>
          <xdr:col>34</xdr:col>
          <xdr:colOff>88900</xdr:colOff>
          <xdr:row>11</xdr:row>
          <xdr:rowOff>234950</xdr:rowOff>
        </xdr:to>
        <xdr:sp macro="" textlink="">
          <xdr:nvSpPr>
            <xdr:cNvPr id="90130" name="Check Box 18" hidden="1">
              <a:extLst>
                <a:ext uri="{63B3BB69-23CF-44E3-9099-C40C66FF867C}">
                  <a14:compatExt spid="_x0000_s90130"/>
                </a:ext>
                <a:ext uri="{FF2B5EF4-FFF2-40B4-BE49-F238E27FC236}">
                  <a16:creationId xmlns:a16="http://schemas.microsoft.com/office/drawing/2014/main" id="{00000000-0008-0000-3D00-000012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25400</xdr:colOff>
          <xdr:row>11</xdr:row>
          <xdr:rowOff>63500</xdr:rowOff>
        </xdr:from>
        <xdr:to>
          <xdr:col>37</xdr:col>
          <xdr:colOff>82550</xdr:colOff>
          <xdr:row>11</xdr:row>
          <xdr:rowOff>241300</xdr:rowOff>
        </xdr:to>
        <xdr:sp macro="" textlink="">
          <xdr:nvSpPr>
            <xdr:cNvPr id="90131" name="Check Box 19" hidden="1">
              <a:extLst>
                <a:ext uri="{63B3BB69-23CF-44E3-9099-C40C66FF867C}">
                  <a14:compatExt spid="_x0000_s90131"/>
                </a:ext>
                <a:ext uri="{FF2B5EF4-FFF2-40B4-BE49-F238E27FC236}">
                  <a16:creationId xmlns:a16="http://schemas.microsoft.com/office/drawing/2014/main" id="{00000000-0008-0000-3D00-000013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39</xdr:col>
          <xdr:colOff>25400</xdr:colOff>
          <xdr:row>11</xdr:row>
          <xdr:rowOff>50800</xdr:rowOff>
        </xdr:from>
        <xdr:to>
          <xdr:col>40</xdr:col>
          <xdr:colOff>82550</xdr:colOff>
          <xdr:row>11</xdr:row>
          <xdr:rowOff>234950</xdr:rowOff>
        </xdr:to>
        <xdr:sp macro="" textlink="">
          <xdr:nvSpPr>
            <xdr:cNvPr id="90132" name="Check Box 20" hidden="1">
              <a:extLst>
                <a:ext uri="{63B3BB69-23CF-44E3-9099-C40C66FF867C}">
                  <a14:compatExt spid="_x0000_s90132"/>
                </a:ext>
                <a:ext uri="{FF2B5EF4-FFF2-40B4-BE49-F238E27FC236}">
                  <a16:creationId xmlns:a16="http://schemas.microsoft.com/office/drawing/2014/main" id="{00000000-0008-0000-3D00-000014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42</xdr:col>
          <xdr:colOff>31750</xdr:colOff>
          <xdr:row>11</xdr:row>
          <xdr:rowOff>63500</xdr:rowOff>
        </xdr:from>
        <xdr:to>
          <xdr:col>43</xdr:col>
          <xdr:colOff>88900</xdr:colOff>
          <xdr:row>11</xdr:row>
          <xdr:rowOff>254000</xdr:rowOff>
        </xdr:to>
        <xdr:sp macro="" textlink="">
          <xdr:nvSpPr>
            <xdr:cNvPr id="90133" name="Check Box 21" hidden="1">
              <a:extLst>
                <a:ext uri="{63B3BB69-23CF-44E3-9099-C40C66FF867C}">
                  <a14:compatExt spid="_x0000_s90133"/>
                </a:ext>
                <a:ext uri="{FF2B5EF4-FFF2-40B4-BE49-F238E27FC236}">
                  <a16:creationId xmlns:a16="http://schemas.microsoft.com/office/drawing/2014/main" id="{00000000-0008-0000-3D00-000015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31750</xdr:colOff>
          <xdr:row>11</xdr:row>
          <xdr:rowOff>63500</xdr:rowOff>
        </xdr:from>
        <xdr:to>
          <xdr:col>46</xdr:col>
          <xdr:colOff>88900</xdr:colOff>
          <xdr:row>11</xdr:row>
          <xdr:rowOff>241300</xdr:rowOff>
        </xdr:to>
        <xdr:sp macro="" textlink="">
          <xdr:nvSpPr>
            <xdr:cNvPr id="90134" name="Check Box 22" hidden="1">
              <a:extLst>
                <a:ext uri="{63B3BB69-23CF-44E3-9099-C40C66FF867C}">
                  <a14:compatExt spid="_x0000_s90134"/>
                </a:ext>
                <a:ext uri="{FF2B5EF4-FFF2-40B4-BE49-F238E27FC236}">
                  <a16:creationId xmlns:a16="http://schemas.microsoft.com/office/drawing/2014/main" id="{00000000-0008-0000-3D00-000016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25400</xdr:colOff>
          <xdr:row>11</xdr:row>
          <xdr:rowOff>50800</xdr:rowOff>
        </xdr:from>
        <xdr:to>
          <xdr:col>49</xdr:col>
          <xdr:colOff>76200</xdr:colOff>
          <xdr:row>11</xdr:row>
          <xdr:rowOff>234950</xdr:rowOff>
        </xdr:to>
        <xdr:sp macro="" textlink="">
          <xdr:nvSpPr>
            <xdr:cNvPr id="90135" name="Check Box 23" hidden="1">
              <a:extLst>
                <a:ext uri="{63B3BB69-23CF-44E3-9099-C40C66FF867C}">
                  <a14:compatExt spid="_x0000_s90135"/>
                </a:ext>
                <a:ext uri="{FF2B5EF4-FFF2-40B4-BE49-F238E27FC236}">
                  <a16:creationId xmlns:a16="http://schemas.microsoft.com/office/drawing/2014/main" id="{00000000-0008-0000-3D00-000017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31750</xdr:colOff>
          <xdr:row>11</xdr:row>
          <xdr:rowOff>63500</xdr:rowOff>
        </xdr:from>
        <xdr:to>
          <xdr:col>52</xdr:col>
          <xdr:colOff>88900</xdr:colOff>
          <xdr:row>11</xdr:row>
          <xdr:rowOff>241300</xdr:rowOff>
        </xdr:to>
        <xdr:sp macro="" textlink="">
          <xdr:nvSpPr>
            <xdr:cNvPr id="90136" name="Check Box 24" hidden="1">
              <a:extLst>
                <a:ext uri="{63B3BB69-23CF-44E3-9099-C40C66FF867C}">
                  <a14:compatExt spid="_x0000_s90136"/>
                </a:ext>
                <a:ext uri="{FF2B5EF4-FFF2-40B4-BE49-F238E27FC236}">
                  <a16:creationId xmlns:a16="http://schemas.microsoft.com/office/drawing/2014/main" id="{00000000-0008-0000-3D00-000018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12</xdr:row>
          <xdr:rowOff>63500</xdr:rowOff>
        </xdr:from>
        <xdr:to>
          <xdr:col>19</xdr:col>
          <xdr:colOff>82550</xdr:colOff>
          <xdr:row>12</xdr:row>
          <xdr:rowOff>241300</xdr:rowOff>
        </xdr:to>
        <xdr:sp macro="" textlink="">
          <xdr:nvSpPr>
            <xdr:cNvPr id="90137" name="Check Box 25" hidden="1">
              <a:extLst>
                <a:ext uri="{63B3BB69-23CF-44E3-9099-C40C66FF867C}">
                  <a14:compatExt spid="_x0000_s90137"/>
                </a:ext>
                <a:ext uri="{FF2B5EF4-FFF2-40B4-BE49-F238E27FC236}">
                  <a16:creationId xmlns:a16="http://schemas.microsoft.com/office/drawing/2014/main" id="{00000000-0008-0000-3D00-000019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31750</xdr:colOff>
          <xdr:row>12</xdr:row>
          <xdr:rowOff>44450</xdr:rowOff>
        </xdr:from>
        <xdr:to>
          <xdr:col>22</xdr:col>
          <xdr:colOff>88900</xdr:colOff>
          <xdr:row>12</xdr:row>
          <xdr:rowOff>228600</xdr:rowOff>
        </xdr:to>
        <xdr:sp macro="" textlink="">
          <xdr:nvSpPr>
            <xdr:cNvPr id="90138" name="Check Box 26" hidden="1">
              <a:extLst>
                <a:ext uri="{63B3BB69-23CF-44E3-9099-C40C66FF867C}">
                  <a14:compatExt spid="_x0000_s90138"/>
                </a:ext>
                <a:ext uri="{FF2B5EF4-FFF2-40B4-BE49-F238E27FC236}">
                  <a16:creationId xmlns:a16="http://schemas.microsoft.com/office/drawing/2014/main" id="{00000000-0008-0000-3D00-00001A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31750</xdr:colOff>
          <xdr:row>12</xdr:row>
          <xdr:rowOff>44450</xdr:rowOff>
        </xdr:from>
        <xdr:to>
          <xdr:col>25</xdr:col>
          <xdr:colOff>88900</xdr:colOff>
          <xdr:row>12</xdr:row>
          <xdr:rowOff>228600</xdr:rowOff>
        </xdr:to>
        <xdr:sp macro="" textlink="">
          <xdr:nvSpPr>
            <xdr:cNvPr id="90139" name="Check Box 27" hidden="1">
              <a:extLst>
                <a:ext uri="{63B3BB69-23CF-44E3-9099-C40C66FF867C}">
                  <a14:compatExt spid="_x0000_s90139"/>
                </a:ext>
                <a:ext uri="{FF2B5EF4-FFF2-40B4-BE49-F238E27FC236}">
                  <a16:creationId xmlns:a16="http://schemas.microsoft.com/office/drawing/2014/main" id="{00000000-0008-0000-3D00-00001B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12</xdr:row>
          <xdr:rowOff>63500</xdr:rowOff>
        </xdr:from>
        <xdr:to>
          <xdr:col>28</xdr:col>
          <xdr:colOff>76200</xdr:colOff>
          <xdr:row>12</xdr:row>
          <xdr:rowOff>241300</xdr:rowOff>
        </xdr:to>
        <xdr:sp macro="" textlink="">
          <xdr:nvSpPr>
            <xdr:cNvPr id="90140" name="Check Box 28" hidden="1">
              <a:extLst>
                <a:ext uri="{63B3BB69-23CF-44E3-9099-C40C66FF867C}">
                  <a14:compatExt spid="_x0000_s90140"/>
                </a:ext>
                <a:ext uri="{FF2B5EF4-FFF2-40B4-BE49-F238E27FC236}">
                  <a16:creationId xmlns:a16="http://schemas.microsoft.com/office/drawing/2014/main" id="{00000000-0008-0000-3D00-00001C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12</xdr:row>
          <xdr:rowOff>50800</xdr:rowOff>
        </xdr:from>
        <xdr:to>
          <xdr:col>31</xdr:col>
          <xdr:colOff>76200</xdr:colOff>
          <xdr:row>12</xdr:row>
          <xdr:rowOff>234950</xdr:rowOff>
        </xdr:to>
        <xdr:sp macro="" textlink="">
          <xdr:nvSpPr>
            <xdr:cNvPr id="90141" name="Check Box 29" hidden="1">
              <a:extLst>
                <a:ext uri="{63B3BB69-23CF-44E3-9099-C40C66FF867C}">
                  <a14:compatExt spid="_x0000_s90141"/>
                </a:ext>
                <a:ext uri="{FF2B5EF4-FFF2-40B4-BE49-F238E27FC236}">
                  <a16:creationId xmlns:a16="http://schemas.microsoft.com/office/drawing/2014/main" id="{00000000-0008-0000-3D00-00001D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38100</xdr:colOff>
          <xdr:row>12</xdr:row>
          <xdr:rowOff>63500</xdr:rowOff>
        </xdr:from>
        <xdr:to>
          <xdr:col>34</xdr:col>
          <xdr:colOff>101600</xdr:colOff>
          <xdr:row>12</xdr:row>
          <xdr:rowOff>241300</xdr:rowOff>
        </xdr:to>
        <xdr:sp macro="" textlink="">
          <xdr:nvSpPr>
            <xdr:cNvPr id="90142" name="Check Box 30" hidden="1">
              <a:extLst>
                <a:ext uri="{63B3BB69-23CF-44E3-9099-C40C66FF867C}">
                  <a14:compatExt spid="_x0000_s90142"/>
                </a:ext>
                <a:ext uri="{FF2B5EF4-FFF2-40B4-BE49-F238E27FC236}">
                  <a16:creationId xmlns:a16="http://schemas.microsoft.com/office/drawing/2014/main" id="{00000000-0008-0000-3D00-00001E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31750</xdr:colOff>
          <xdr:row>12</xdr:row>
          <xdr:rowOff>44450</xdr:rowOff>
        </xdr:from>
        <xdr:to>
          <xdr:col>37</xdr:col>
          <xdr:colOff>88900</xdr:colOff>
          <xdr:row>12</xdr:row>
          <xdr:rowOff>228600</xdr:rowOff>
        </xdr:to>
        <xdr:sp macro="" textlink="">
          <xdr:nvSpPr>
            <xdr:cNvPr id="90143" name="Check Box 31" hidden="1">
              <a:extLst>
                <a:ext uri="{63B3BB69-23CF-44E3-9099-C40C66FF867C}">
                  <a14:compatExt spid="_x0000_s90143"/>
                </a:ext>
                <a:ext uri="{FF2B5EF4-FFF2-40B4-BE49-F238E27FC236}">
                  <a16:creationId xmlns:a16="http://schemas.microsoft.com/office/drawing/2014/main" id="{00000000-0008-0000-3D00-00001F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39</xdr:col>
          <xdr:colOff>25400</xdr:colOff>
          <xdr:row>12</xdr:row>
          <xdr:rowOff>63500</xdr:rowOff>
        </xdr:from>
        <xdr:to>
          <xdr:col>40</xdr:col>
          <xdr:colOff>82550</xdr:colOff>
          <xdr:row>12</xdr:row>
          <xdr:rowOff>254000</xdr:rowOff>
        </xdr:to>
        <xdr:sp macro="" textlink="">
          <xdr:nvSpPr>
            <xdr:cNvPr id="90144" name="Check Box 32" hidden="1">
              <a:extLst>
                <a:ext uri="{63B3BB69-23CF-44E3-9099-C40C66FF867C}">
                  <a14:compatExt spid="_x0000_s90144"/>
                </a:ext>
                <a:ext uri="{FF2B5EF4-FFF2-40B4-BE49-F238E27FC236}">
                  <a16:creationId xmlns:a16="http://schemas.microsoft.com/office/drawing/2014/main" id="{00000000-0008-0000-3D00-000020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42</xdr:col>
          <xdr:colOff>25400</xdr:colOff>
          <xdr:row>12</xdr:row>
          <xdr:rowOff>50800</xdr:rowOff>
        </xdr:from>
        <xdr:to>
          <xdr:col>43</xdr:col>
          <xdr:colOff>82550</xdr:colOff>
          <xdr:row>12</xdr:row>
          <xdr:rowOff>234950</xdr:rowOff>
        </xdr:to>
        <xdr:sp macro="" textlink="">
          <xdr:nvSpPr>
            <xdr:cNvPr id="90145" name="Check Box 33" hidden="1">
              <a:extLst>
                <a:ext uri="{63B3BB69-23CF-44E3-9099-C40C66FF867C}">
                  <a14:compatExt spid="_x0000_s90145"/>
                </a:ext>
                <a:ext uri="{FF2B5EF4-FFF2-40B4-BE49-F238E27FC236}">
                  <a16:creationId xmlns:a16="http://schemas.microsoft.com/office/drawing/2014/main" id="{00000000-0008-0000-3D00-000021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25400</xdr:colOff>
          <xdr:row>12</xdr:row>
          <xdr:rowOff>63500</xdr:rowOff>
        </xdr:from>
        <xdr:to>
          <xdr:col>46</xdr:col>
          <xdr:colOff>76200</xdr:colOff>
          <xdr:row>12</xdr:row>
          <xdr:rowOff>241300</xdr:rowOff>
        </xdr:to>
        <xdr:sp macro="" textlink="">
          <xdr:nvSpPr>
            <xdr:cNvPr id="90146" name="Check Box 34" hidden="1">
              <a:extLst>
                <a:ext uri="{63B3BB69-23CF-44E3-9099-C40C66FF867C}">
                  <a14:compatExt spid="_x0000_s90146"/>
                </a:ext>
                <a:ext uri="{FF2B5EF4-FFF2-40B4-BE49-F238E27FC236}">
                  <a16:creationId xmlns:a16="http://schemas.microsoft.com/office/drawing/2014/main" id="{00000000-0008-0000-3D00-000022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31750</xdr:colOff>
          <xdr:row>12</xdr:row>
          <xdr:rowOff>50800</xdr:rowOff>
        </xdr:from>
        <xdr:to>
          <xdr:col>49</xdr:col>
          <xdr:colOff>88900</xdr:colOff>
          <xdr:row>12</xdr:row>
          <xdr:rowOff>234950</xdr:rowOff>
        </xdr:to>
        <xdr:sp macro="" textlink="">
          <xdr:nvSpPr>
            <xdr:cNvPr id="90147" name="Check Box 35" hidden="1">
              <a:extLst>
                <a:ext uri="{63B3BB69-23CF-44E3-9099-C40C66FF867C}">
                  <a14:compatExt spid="_x0000_s90147"/>
                </a:ext>
                <a:ext uri="{FF2B5EF4-FFF2-40B4-BE49-F238E27FC236}">
                  <a16:creationId xmlns:a16="http://schemas.microsoft.com/office/drawing/2014/main" id="{00000000-0008-0000-3D00-000023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25400</xdr:colOff>
          <xdr:row>12</xdr:row>
          <xdr:rowOff>63500</xdr:rowOff>
        </xdr:from>
        <xdr:to>
          <xdr:col>52</xdr:col>
          <xdr:colOff>82550</xdr:colOff>
          <xdr:row>12</xdr:row>
          <xdr:rowOff>241300</xdr:rowOff>
        </xdr:to>
        <xdr:sp macro="" textlink="">
          <xdr:nvSpPr>
            <xdr:cNvPr id="90148" name="Check Box 36" hidden="1">
              <a:extLst>
                <a:ext uri="{63B3BB69-23CF-44E3-9099-C40C66FF867C}">
                  <a14:compatExt spid="_x0000_s90148"/>
                </a:ext>
                <a:ext uri="{FF2B5EF4-FFF2-40B4-BE49-F238E27FC236}">
                  <a16:creationId xmlns:a16="http://schemas.microsoft.com/office/drawing/2014/main" id="{00000000-0008-0000-3D00-000024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13</xdr:row>
          <xdr:rowOff>50800</xdr:rowOff>
        </xdr:from>
        <xdr:to>
          <xdr:col>19</xdr:col>
          <xdr:colOff>82550</xdr:colOff>
          <xdr:row>13</xdr:row>
          <xdr:rowOff>234950</xdr:rowOff>
        </xdr:to>
        <xdr:sp macro="" textlink="">
          <xdr:nvSpPr>
            <xdr:cNvPr id="90149" name="Check Box 37" hidden="1">
              <a:extLst>
                <a:ext uri="{63B3BB69-23CF-44E3-9099-C40C66FF867C}">
                  <a14:compatExt spid="_x0000_s90149"/>
                </a:ext>
                <a:ext uri="{FF2B5EF4-FFF2-40B4-BE49-F238E27FC236}">
                  <a16:creationId xmlns:a16="http://schemas.microsoft.com/office/drawing/2014/main" id="{00000000-0008-0000-3D00-000025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13</xdr:row>
          <xdr:rowOff>63500</xdr:rowOff>
        </xdr:from>
        <xdr:to>
          <xdr:col>22</xdr:col>
          <xdr:colOff>76200</xdr:colOff>
          <xdr:row>13</xdr:row>
          <xdr:rowOff>254000</xdr:rowOff>
        </xdr:to>
        <xdr:sp macro="" textlink="">
          <xdr:nvSpPr>
            <xdr:cNvPr id="90150" name="Check Box 38" hidden="1">
              <a:extLst>
                <a:ext uri="{63B3BB69-23CF-44E3-9099-C40C66FF867C}">
                  <a14:compatExt spid="_x0000_s90150"/>
                </a:ext>
                <a:ext uri="{FF2B5EF4-FFF2-40B4-BE49-F238E27FC236}">
                  <a16:creationId xmlns:a16="http://schemas.microsoft.com/office/drawing/2014/main" id="{00000000-0008-0000-3D00-000026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13</xdr:row>
          <xdr:rowOff>50800</xdr:rowOff>
        </xdr:from>
        <xdr:to>
          <xdr:col>25</xdr:col>
          <xdr:colOff>82550</xdr:colOff>
          <xdr:row>13</xdr:row>
          <xdr:rowOff>234950</xdr:rowOff>
        </xdr:to>
        <xdr:sp macro="" textlink="">
          <xdr:nvSpPr>
            <xdr:cNvPr id="90151" name="Check Box 39" hidden="1">
              <a:extLst>
                <a:ext uri="{63B3BB69-23CF-44E3-9099-C40C66FF867C}">
                  <a14:compatExt spid="_x0000_s90151"/>
                </a:ext>
                <a:ext uri="{FF2B5EF4-FFF2-40B4-BE49-F238E27FC236}">
                  <a16:creationId xmlns:a16="http://schemas.microsoft.com/office/drawing/2014/main" id="{00000000-0008-0000-3D00-000027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13</xdr:row>
          <xdr:rowOff>63500</xdr:rowOff>
        </xdr:from>
        <xdr:to>
          <xdr:col>28</xdr:col>
          <xdr:colOff>76200</xdr:colOff>
          <xdr:row>13</xdr:row>
          <xdr:rowOff>241300</xdr:rowOff>
        </xdr:to>
        <xdr:sp macro="" textlink="">
          <xdr:nvSpPr>
            <xdr:cNvPr id="90152" name="Check Box 40" hidden="1">
              <a:extLst>
                <a:ext uri="{63B3BB69-23CF-44E3-9099-C40C66FF867C}">
                  <a14:compatExt spid="_x0000_s90152"/>
                </a:ext>
                <a:ext uri="{FF2B5EF4-FFF2-40B4-BE49-F238E27FC236}">
                  <a16:creationId xmlns:a16="http://schemas.microsoft.com/office/drawing/2014/main" id="{00000000-0008-0000-3D00-000028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31750</xdr:colOff>
          <xdr:row>13</xdr:row>
          <xdr:rowOff>50800</xdr:rowOff>
        </xdr:from>
        <xdr:to>
          <xdr:col>31</xdr:col>
          <xdr:colOff>88900</xdr:colOff>
          <xdr:row>13</xdr:row>
          <xdr:rowOff>234950</xdr:rowOff>
        </xdr:to>
        <xdr:sp macro="" textlink="">
          <xdr:nvSpPr>
            <xdr:cNvPr id="90153" name="Check Box 41" hidden="1">
              <a:extLst>
                <a:ext uri="{63B3BB69-23CF-44E3-9099-C40C66FF867C}">
                  <a14:compatExt spid="_x0000_s90153"/>
                </a:ext>
                <a:ext uri="{FF2B5EF4-FFF2-40B4-BE49-F238E27FC236}">
                  <a16:creationId xmlns:a16="http://schemas.microsoft.com/office/drawing/2014/main" id="{00000000-0008-0000-3D00-000029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25400</xdr:colOff>
          <xdr:row>13</xdr:row>
          <xdr:rowOff>63500</xdr:rowOff>
        </xdr:from>
        <xdr:to>
          <xdr:col>34</xdr:col>
          <xdr:colOff>76200</xdr:colOff>
          <xdr:row>13</xdr:row>
          <xdr:rowOff>241300</xdr:rowOff>
        </xdr:to>
        <xdr:sp macro="" textlink="">
          <xdr:nvSpPr>
            <xdr:cNvPr id="90154" name="Check Box 42" hidden="1">
              <a:extLst>
                <a:ext uri="{63B3BB69-23CF-44E3-9099-C40C66FF867C}">
                  <a14:compatExt spid="_x0000_s90154"/>
                </a:ext>
                <a:ext uri="{FF2B5EF4-FFF2-40B4-BE49-F238E27FC236}">
                  <a16:creationId xmlns:a16="http://schemas.microsoft.com/office/drawing/2014/main" id="{00000000-0008-0000-3D00-00002A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25400</xdr:colOff>
          <xdr:row>13</xdr:row>
          <xdr:rowOff>44450</xdr:rowOff>
        </xdr:from>
        <xdr:to>
          <xdr:col>37</xdr:col>
          <xdr:colOff>82550</xdr:colOff>
          <xdr:row>13</xdr:row>
          <xdr:rowOff>228600</xdr:rowOff>
        </xdr:to>
        <xdr:sp macro="" textlink="">
          <xdr:nvSpPr>
            <xdr:cNvPr id="90155" name="Check Box 43" hidden="1">
              <a:extLst>
                <a:ext uri="{63B3BB69-23CF-44E3-9099-C40C66FF867C}">
                  <a14:compatExt spid="_x0000_s90155"/>
                </a:ext>
                <a:ext uri="{FF2B5EF4-FFF2-40B4-BE49-F238E27FC236}">
                  <a16:creationId xmlns:a16="http://schemas.microsoft.com/office/drawing/2014/main" id="{00000000-0008-0000-3D00-00002B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39</xdr:col>
          <xdr:colOff>38100</xdr:colOff>
          <xdr:row>13</xdr:row>
          <xdr:rowOff>63500</xdr:rowOff>
        </xdr:from>
        <xdr:to>
          <xdr:col>40</xdr:col>
          <xdr:colOff>101600</xdr:colOff>
          <xdr:row>13</xdr:row>
          <xdr:rowOff>254000</xdr:rowOff>
        </xdr:to>
        <xdr:sp macro="" textlink="">
          <xdr:nvSpPr>
            <xdr:cNvPr id="90156" name="Check Box 44" hidden="1">
              <a:extLst>
                <a:ext uri="{63B3BB69-23CF-44E3-9099-C40C66FF867C}">
                  <a14:compatExt spid="_x0000_s90156"/>
                </a:ext>
                <a:ext uri="{FF2B5EF4-FFF2-40B4-BE49-F238E27FC236}">
                  <a16:creationId xmlns:a16="http://schemas.microsoft.com/office/drawing/2014/main" id="{00000000-0008-0000-3D00-00002C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42</xdr:col>
          <xdr:colOff>25400</xdr:colOff>
          <xdr:row>13</xdr:row>
          <xdr:rowOff>63500</xdr:rowOff>
        </xdr:from>
        <xdr:to>
          <xdr:col>43</xdr:col>
          <xdr:colOff>82550</xdr:colOff>
          <xdr:row>13</xdr:row>
          <xdr:rowOff>241300</xdr:rowOff>
        </xdr:to>
        <xdr:sp macro="" textlink="">
          <xdr:nvSpPr>
            <xdr:cNvPr id="90157" name="Check Box 45" hidden="1">
              <a:extLst>
                <a:ext uri="{63B3BB69-23CF-44E3-9099-C40C66FF867C}">
                  <a14:compatExt spid="_x0000_s90157"/>
                </a:ext>
                <a:ext uri="{FF2B5EF4-FFF2-40B4-BE49-F238E27FC236}">
                  <a16:creationId xmlns:a16="http://schemas.microsoft.com/office/drawing/2014/main" id="{00000000-0008-0000-3D00-00002D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31750</xdr:colOff>
          <xdr:row>13</xdr:row>
          <xdr:rowOff>50800</xdr:rowOff>
        </xdr:from>
        <xdr:to>
          <xdr:col>46</xdr:col>
          <xdr:colOff>88900</xdr:colOff>
          <xdr:row>13</xdr:row>
          <xdr:rowOff>234950</xdr:rowOff>
        </xdr:to>
        <xdr:sp macro="" textlink="">
          <xdr:nvSpPr>
            <xdr:cNvPr id="90158" name="Check Box 46" hidden="1">
              <a:extLst>
                <a:ext uri="{63B3BB69-23CF-44E3-9099-C40C66FF867C}">
                  <a14:compatExt spid="_x0000_s90158"/>
                </a:ext>
                <a:ext uri="{FF2B5EF4-FFF2-40B4-BE49-F238E27FC236}">
                  <a16:creationId xmlns:a16="http://schemas.microsoft.com/office/drawing/2014/main" id="{00000000-0008-0000-3D00-00002E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31750</xdr:colOff>
          <xdr:row>13</xdr:row>
          <xdr:rowOff>50800</xdr:rowOff>
        </xdr:from>
        <xdr:to>
          <xdr:col>49</xdr:col>
          <xdr:colOff>88900</xdr:colOff>
          <xdr:row>13</xdr:row>
          <xdr:rowOff>234950</xdr:rowOff>
        </xdr:to>
        <xdr:sp macro="" textlink="">
          <xdr:nvSpPr>
            <xdr:cNvPr id="90159" name="Check Box 47" hidden="1">
              <a:extLst>
                <a:ext uri="{63B3BB69-23CF-44E3-9099-C40C66FF867C}">
                  <a14:compatExt spid="_x0000_s90159"/>
                </a:ext>
                <a:ext uri="{FF2B5EF4-FFF2-40B4-BE49-F238E27FC236}">
                  <a16:creationId xmlns:a16="http://schemas.microsoft.com/office/drawing/2014/main" id="{00000000-0008-0000-3D00-00002F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25400</xdr:colOff>
          <xdr:row>13</xdr:row>
          <xdr:rowOff>63500</xdr:rowOff>
        </xdr:from>
        <xdr:to>
          <xdr:col>52</xdr:col>
          <xdr:colOff>82550</xdr:colOff>
          <xdr:row>13</xdr:row>
          <xdr:rowOff>241300</xdr:rowOff>
        </xdr:to>
        <xdr:sp macro="" textlink="">
          <xdr:nvSpPr>
            <xdr:cNvPr id="90160" name="Check Box 48" hidden="1">
              <a:extLst>
                <a:ext uri="{63B3BB69-23CF-44E3-9099-C40C66FF867C}">
                  <a14:compatExt spid="_x0000_s90160"/>
                </a:ext>
                <a:ext uri="{FF2B5EF4-FFF2-40B4-BE49-F238E27FC236}">
                  <a16:creationId xmlns:a16="http://schemas.microsoft.com/office/drawing/2014/main" id="{00000000-0008-0000-3D00-000030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31750</xdr:colOff>
          <xdr:row>14</xdr:row>
          <xdr:rowOff>44450</xdr:rowOff>
        </xdr:from>
        <xdr:to>
          <xdr:col>19</xdr:col>
          <xdr:colOff>88900</xdr:colOff>
          <xdr:row>14</xdr:row>
          <xdr:rowOff>228600</xdr:rowOff>
        </xdr:to>
        <xdr:sp macro="" textlink="">
          <xdr:nvSpPr>
            <xdr:cNvPr id="90161" name="Check Box 49" hidden="1">
              <a:extLst>
                <a:ext uri="{63B3BB69-23CF-44E3-9099-C40C66FF867C}">
                  <a14:compatExt spid="_x0000_s90161"/>
                </a:ext>
                <a:ext uri="{FF2B5EF4-FFF2-40B4-BE49-F238E27FC236}">
                  <a16:creationId xmlns:a16="http://schemas.microsoft.com/office/drawing/2014/main" id="{00000000-0008-0000-3D00-000031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31750</xdr:colOff>
          <xdr:row>15</xdr:row>
          <xdr:rowOff>63500</xdr:rowOff>
        </xdr:from>
        <xdr:to>
          <xdr:col>19</xdr:col>
          <xdr:colOff>88900</xdr:colOff>
          <xdr:row>15</xdr:row>
          <xdr:rowOff>241300</xdr:rowOff>
        </xdr:to>
        <xdr:sp macro="" textlink="">
          <xdr:nvSpPr>
            <xdr:cNvPr id="90162" name="Check Box 50" hidden="1">
              <a:extLst>
                <a:ext uri="{63B3BB69-23CF-44E3-9099-C40C66FF867C}">
                  <a14:compatExt spid="_x0000_s90162"/>
                </a:ext>
                <a:ext uri="{FF2B5EF4-FFF2-40B4-BE49-F238E27FC236}">
                  <a16:creationId xmlns:a16="http://schemas.microsoft.com/office/drawing/2014/main" id="{00000000-0008-0000-3D00-000032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16</xdr:row>
          <xdr:rowOff>44450</xdr:rowOff>
        </xdr:from>
        <xdr:to>
          <xdr:col>19</xdr:col>
          <xdr:colOff>82550</xdr:colOff>
          <xdr:row>16</xdr:row>
          <xdr:rowOff>228600</xdr:rowOff>
        </xdr:to>
        <xdr:sp macro="" textlink="">
          <xdr:nvSpPr>
            <xdr:cNvPr id="90163" name="Check Box 51" hidden="1">
              <a:extLst>
                <a:ext uri="{63B3BB69-23CF-44E3-9099-C40C66FF867C}">
                  <a14:compatExt spid="_x0000_s90163"/>
                </a:ext>
                <a:ext uri="{FF2B5EF4-FFF2-40B4-BE49-F238E27FC236}">
                  <a16:creationId xmlns:a16="http://schemas.microsoft.com/office/drawing/2014/main" id="{00000000-0008-0000-3D00-000033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14</xdr:row>
          <xdr:rowOff>50800</xdr:rowOff>
        </xdr:from>
        <xdr:to>
          <xdr:col>22</xdr:col>
          <xdr:colOff>76200</xdr:colOff>
          <xdr:row>14</xdr:row>
          <xdr:rowOff>234950</xdr:rowOff>
        </xdr:to>
        <xdr:sp macro="" textlink="">
          <xdr:nvSpPr>
            <xdr:cNvPr id="90164" name="Check Box 52" hidden="1">
              <a:extLst>
                <a:ext uri="{63B3BB69-23CF-44E3-9099-C40C66FF867C}">
                  <a14:compatExt spid="_x0000_s90164"/>
                </a:ext>
                <a:ext uri="{FF2B5EF4-FFF2-40B4-BE49-F238E27FC236}">
                  <a16:creationId xmlns:a16="http://schemas.microsoft.com/office/drawing/2014/main" id="{00000000-0008-0000-3D00-000034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31750</xdr:colOff>
          <xdr:row>15</xdr:row>
          <xdr:rowOff>50800</xdr:rowOff>
        </xdr:from>
        <xdr:to>
          <xdr:col>22</xdr:col>
          <xdr:colOff>88900</xdr:colOff>
          <xdr:row>15</xdr:row>
          <xdr:rowOff>234950</xdr:rowOff>
        </xdr:to>
        <xdr:sp macro="" textlink="">
          <xdr:nvSpPr>
            <xdr:cNvPr id="90165" name="Check Box 53" hidden="1">
              <a:extLst>
                <a:ext uri="{63B3BB69-23CF-44E3-9099-C40C66FF867C}">
                  <a14:compatExt spid="_x0000_s90165"/>
                </a:ext>
                <a:ext uri="{FF2B5EF4-FFF2-40B4-BE49-F238E27FC236}">
                  <a16:creationId xmlns:a16="http://schemas.microsoft.com/office/drawing/2014/main" id="{00000000-0008-0000-3D00-000035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16</xdr:row>
          <xdr:rowOff>50800</xdr:rowOff>
        </xdr:from>
        <xdr:to>
          <xdr:col>22</xdr:col>
          <xdr:colOff>101600</xdr:colOff>
          <xdr:row>16</xdr:row>
          <xdr:rowOff>234950</xdr:rowOff>
        </xdr:to>
        <xdr:sp macro="" textlink="">
          <xdr:nvSpPr>
            <xdr:cNvPr id="90166" name="Check Box 54" hidden="1">
              <a:extLst>
                <a:ext uri="{63B3BB69-23CF-44E3-9099-C40C66FF867C}">
                  <a14:compatExt spid="_x0000_s90166"/>
                </a:ext>
                <a:ext uri="{FF2B5EF4-FFF2-40B4-BE49-F238E27FC236}">
                  <a16:creationId xmlns:a16="http://schemas.microsoft.com/office/drawing/2014/main" id="{00000000-0008-0000-3D00-000036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14</xdr:row>
          <xdr:rowOff>44450</xdr:rowOff>
        </xdr:from>
        <xdr:to>
          <xdr:col>25</xdr:col>
          <xdr:colOff>82550</xdr:colOff>
          <xdr:row>14</xdr:row>
          <xdr:rowOff>228600</xdr:rowOff>
        </xdr:to>
        <xdr:sp macro="" textlink="">
          <xdr:nvSpPr>
            <xdr:cNvPr id="90167" name="Check Box 55" hidden="1">
              <a:extLst>
                <a:ext uri="{63B3BB69-23CF-44E3-9099-C40C66FF867C}">
                  <a14:compatExt spid="_x0000_s90167"/>
                </a:ext>
                <a:ext uri="{FF2B5EF4-FFF2-40B4-BE49-F238E27FC236}">
                  <a16:creationId xmlns:a16="http://schemas.microsoft.com/office/drawing/2014/main" id="{00000000-0008-0000-3D00-000037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31750</xdr:colOff>
          <xdr:row>15</xdr:row>
          <xdr:rowOff>63500</xdr:rowOff>
        </xdr:from>
        <xdr:to>
          <xdr:col>25</xdr:col>
          <xdr:colOff>88900</xdr:colOff>
          <xdr:row>15</xdr:row>
          <xdr:rowOff>241300</xdr:rowOff>
        </xdr:to>
        <xdr:sp macro="" textlink="">
          <xdr:nvSpPr>
            <xdr:cNvPr id="90168" name="Check Box 56" hidden="1">
              <a:extLst>
                <a:ext uri="{63B3BB69-23CF-44E3-9099-C40C66FF867C}">
                  <a14:compatExt spid="_x0000_s90168"/>
                </a:ext>
                <a:ext uri="{FF2B5EF4-FFF2-40B4-BE49-F238E27FC236}">
                  <a16:creationId xmlns:a16="http://schemas.microsoft.com/office/drawing/2014/main" id="{00000000-0008-0000-3D00-000038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31750</xdr:colOff>
          <xdr:row>16</xdr:row>
          <xdr:rowOff>38100</xdr:rowOff>
        </xdr:from>
        <xdr:to>
          <xdr:col>25</xdr:col>
          <xdr:colOff>88900</xdr:colOff>
          <xdr:row>16</xdr:row>
          <xdr:rowOff>222250</xdr:rowOff>
        </xdr:to>
        <xdr:sp macro="" textlink="">
          <xdr:nvSpPr>
            <xdr:cNvPr id="90169" name="Check Box 57" hidden="1">
              <a:extLst>
                <a:ext uri="{63B3BB69-23CF-44E3-9099-C40C66FF867C}">
                  <a14:compatExt spid="_x0000_s90169"/>
                </a:ext>
                <a:ext uri="{FF2B5EF4-FFF2-40B4-BE49-F238E27FC236}">
                  <a16:creationId xmlns:a16="http://schemas.microsoft.com/office/drawing/2014/main" id="{00000000-0008-0000-3D00-000039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14</xdr:row>
          <xdr:rowOff>50800</xdr:rowOff>
        </xdr:from>
        <xdr:to>
          <xdr:col>28</xdr:col>
          <xdr:colOff>88900</xdr:colOff>
          <xdr:row>14</xdr:row>
          <xdr:rowOff>234950</xdr:rowOff>
        </xdr:to>
        <xdr:sp macro="" textlink="">
          <xdr:nvSpPr>
            <xdr:cNvPr id="90170" name="Check Box 58" hidden="1">
              <a:extLst>
                <a:ext uri="{63B3BB69-23CF-44E3-9099-C40C66FF867C}">
                  <a14:compatExt spid="_x0000_s90170"/>
                </a:ext>
                <a:ext uri="{FF2B5EF4-FFF2-40B4-BE49-F238E27FC236}">
                  <a16:creationId xmlns:a16="http://schemas.microsoft.com/office/drawing/2014/main" id="{00000000-0008-0000-3D00-00003A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15</xdr:row>
          <xdr:rowOff>50800</xdr:rowOff>
        </xdr:from>
        <xdr:to>
          <xdr:col>28</xdr:col>
          <xdr:colOff>76200</xdr:colOff>
          <xdr:row>15</xdr:row>
          <xdr:rowOff>234950</xdr:rowOff>
        </xdr:to>
        <xdr:sp macro="" textlink="">
          <xdr:nvSpPr>
            <xdr:cNvPr id="90171" name="Check Box 59" hidden="1">
              <a:extLst>
                <a:ext uri="{63B3BB69-23CF-44E3-9099-C40C66FF867C}">
                  <a14:compatExt spid="_x0000_s90171"/>
                </a:ext>
                <a:ext uri="{FF2B5EF4-FFF2-40B4-BE49-F238E27FC236}">
                  <a16:creationId xmlns:a16="http://schemas.microsoft.com/office/drawing/2014/main" id="{00000000-0008-0000-3D00-00003B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0</xdr:colOff>
          <xdr:row>16</xdr:row>
          <xdr:rowOff>50800</xdr:rowOff>
        </xdr:from>
        <xdr:to>
          <xdr:col>28</xdr:col>
          <xdr:colOff>63500</xdr:colOff>
          <xdr:row>16</xdr:row>
          <xdr:rowOff>234950</xdr:rowOff>
        </xdr:to>
        <xdr:sp macro="" textlink="">
          <xdr:nvSpPr>
            <xdr:cNvPr id="90172" name="Check Box 60" hidden="1">
              <a:extLst>
                <a:ext uri="{63B3BB69-23CF-44E3-9099-C40C66FF867C}">
                  <a14:compatExt spid="_x0000_s90172"/>
                </a:ext>
                <a:ext uri="{FF2B5EF4-FFF2-40B4-BE49-F238E27FC236}">
                  <a16:creationId xmlns:a16="http://schemas.microsoft.com/office/drawing/2014/main" id="{00000000-0008-0000-3D00-00003C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31750</xdr:colOff>
          <xdr:row>14</xdr:row>
          <xdr:rowOff>44450</xdr:rowOff>
        </xdr:from>
        <xdr:to>
          <xdr:col>31</xdr:col>
          <xdr:colOff>88900</xdr:colOff>
          <xdr:row>14</xdr:row>
          <xdr:rowOff>228600</xdr:rowOff>
        </xdr:to>
        <xdr:sp macro="" textlink="">
          <xdr:nvSpPr>
            <xdr:cNvPr id="90173" name="Check Box 61" hidden="1">
              <a:extLst>
                <a:ext uri="{63B3BB69-23CF-44E3-9099-C40C66FF867C}">
                  <a14:compatExt spid="_x0000_s90173"/>
                </a:ext>
                <a:ext uri="{FF2B5EF4-FFF2-40B4-BE49-F238E27FC236}">
                  <a16:creationId xmlns:a16="http://schemas.microsoft.com/office/drawing/2014/main" id="{00000000-0008-0000-3D00-00003D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38100</xdr:colOff>
          <xdr:row>15</xdr:row>
          <xdr:rowOff>50800</xdr:rowOff>
        </xdr:from>
        <xdr:to>
          <xdr:col>31</xdr:col>
          <xdr:colOff>101600</xdr:colOff>
          <xdr:row>15</xdr:row>
          <xdr:rowOff>234950</xdr:rowOff>
        </xdr:to>
        <xdr:sp macro="" textlink="">
          <xdr:nvSpPr>
            <xdr:cNvPr id="90174" name="Check Box 62" hidden="1">
              <a:extLst>
                <a:ext uri="{63B3BB69-23CF-44E3-9099-C40C66FF867C}">
                  <a14:compatExt spid="_x0000_s90174"/>
                </a:ext>
                <a:ext uri="{FF2B5EF4-FFF2-40B4-BE49-F238E27FC236}">
                  <a16:creationId xmlns:a16="http://schemas.microsoft.com/office/drawing/2014/main" id="{00000000-0008-0000-3D00-00003E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31750</xdr:colOff>
          <xdr:row>16</xdr:row>
          <xdr:rowOff>50800</xdr:rowOff>
        </xdr:from>
        <xdr:to>
          <xdr:col>31</xdr:col>
          <xdr:colOff>88900</xdr:colOff>
          <xdr:row>16</xdr:row>
          <xdr:rowOff>234950</xdr:rowOff>
        </xdr:to>
        <xdr:sp macro="" textlink="">
          <xdr:nvSpPr>
            <xdr:cNvPr id="90175" name="Check Box 63" hidden="1">
              <a:extLst>
                <a:ext uri="{63B3BB69-23CF-44E3-9099-C40C66FF867C}">
                  <a14:compatExt spid="_x0000_s90175"/>
                </a:ext>
                <a:ext uri="{FF2B5EF4-FFF2-40B4-BE49-F238E27FC236}">
                  <a16:creationId xmlns:a16="http://schemas.microsoft.com/office/drawing/2014/main" id="{00000000-0008-0000-3D00-00003F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44450</xdr:colOff>
          <xdr:row>14</xdr:row>
          <xdr:rowOff>50800</xdr:rowOff>
        </xdr:from>
        <xdr:to>
          <xdr:col>34</xdr:col>
          <xdr:colOff>101600</xdr:colOff>
          <xdr:row>14</xdr:row>
          <xdr:rowOff>234950</xdr:rowOff>
        </xdr:to>
        <xdr:sp macro="" textlink="">
          <xdr:nvSpPr>
            <xdr:cNvPr id="90176" name="Check Box 64" hidden="1">
              <a:extLst>
                <a:ext uri="{63B3BB69-23CF-44E3-9099-C40C66FF867C}">
                  <a14:compatExt spid="_x0000_s90176"/>
                </a:ext>
                <a:ext uri="{FF2B5EF4-FFF2-40B4-BE49-F238E27FC236}">
                  <a16:creationId xmlns:a16="http://schemas.microsoft.com/office/drawing/2014/main" id="{00000000-0008-0000-3D00-000040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25400</xdr:colOff>
          <xdr:row>15</xdr:row>
          <xdr:rowOff>50800</xdr:rowOff>
        </xdr:from>
        <xdr:to>
          <xdr:col>34</xdr:col>
          <xdr:colOff>82550</xdr:colOff>
          <xdr:row>15</xdr:row>
          <xdr:rowOff>234950</xdr:rowOff>
        </xdr:to>
        <xdr:sp macro="" textlink="">
          <xdr:nvSpPr>
            <xdr:cNvPr id="90177" name="Check Box 65" hidden="1">
              <a:extLst>
                <a:ext uri="{63B3BB69-23CF-44E3-9099-C40C66FF867C}">
                  <a14:compatExt spid="_x0000_s90177"/>
                </a:ext>
                <a:ext uri="{FF2B5EF4-FFF2-40B4-BE49-F238E27FC236}">
                  <a16:creationId xmlns:a16="http://schemas.microsoft.com/office/drawing/2014/main" id="{00000000-0008-0000-3D00-000041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31750</xdr:colOff>
          <xdr:row>16</xdr:row>
          <xdr:rowOff>44450</xdr:rowOff>
        </xdr:from>
        <xdr:to>
          <xdr:col>34</xdr:col>
          <xdr:colOff>88900</xdr:colOff>
          <xdr:row>16</xdr:row>
          <xdr:rowOff>228600</xdr:rowOff>
        </xdr:to>
        <xdr:sp macro="" textlink="">
          <xdr:nvSpPr>
            <xdr:cNvPr id="90178" name="Check Box 66" hidden="1">
              <a:extLst>
                <a:ext uri="{63B3BB69-23CF-44E3-9099-C40C66FF867C}">
                  <a14:compatExt spid="_x0000_s90178"/>
                </a:ext>
                <a:ext uri="{FF2B5EF4-FFF2-40B4-BE49-F238E27FC236}">
                  <a16:creationId xmlns:a16="http://schemas.microsoft.com/office/drawing/2014/main" id="{00000000-0008-0000-3D00-000042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25400</xdr:colOff>
          <xdr:row>14</xdr:row>
          <xdr:rowOff>50800</xdr:rowOff>
        </xdr:from>
        <xdr:to>
          <xdr:col>37</xdr:col>
          <xdr:colOff>82550</xdr:colOff>
          <xdr:row>14</xdr:row>
          <xdr:rowOff>234950</xdr:rowOff>
        </xdr:to>
        <xdr:sp macro="" textlink="">
          <xdr:nvSpPr>
            <xdr:cNvPr id="90179" name="Check Box 67" hidden="1">
              <a:extLst>
                <a:ext uri="{63B3BB69-23CF-44E3-9099-C40C66FF867C}">
                  <a14:compatExt spid="_x0000_s90179"/>
                </a:ext>
                <a:ext uri="{FF2B5EF4-FFF2-40B4-BE49-F238E27FC236}">
                  <a16:creationId xmlns:a16="http://schemas.microsoft.com/office/drawing/2014/main" id="{00000000-0008-0000-3D00-000043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31750</xdr:colOff>
          <xdr:row>15</xdr:row>
          <xdr:rowOff>63500</xdr:rowOff>
        </xdr:from>
        <xdr:to>
          <xdr:col>37</xdr:col>
          <xdr:colOff>88900</xdr:colOff>
          <xdr:row>15</xdr:row>
          <xdr:rowOff>241300</xdr:rowOff>
        </xdr:to>
        <xdr:sp macro="" textlink="">
          <xdr:nvSpPr>
            <xdr:cNvPr id="90180" name="Check Box 68" hidden="1">
              <a:extLst>
                <a:ext uri="{63B3BB69-23CF-44E3-9099-C40C66FF867C}">
                  <a14:compatExt spid="_x0000_s90180"/>
                </a:ext>
                <a:ext uri="{FF2B5EF4-FFF2-40B4-BE49-F238E27FC236}">
                  <a16:creationId xmlns:a16="http://schemas.microsoft.com/office/drawing/2014/main" id="{00000000-0008-0000-3D00-000044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31750</xdr:colOff>
          <xdr:row>16</xdr:row>
          <xdr:rowOff>50800</xdr:rowOff>
        </xdr:from>
        <xdr:to>
          <xdr:col>37</xdr:col>
          <xdr:colOff>88900</xdr:colOff>
          <xdr:row>16</xdr:row>
          <xdr:rowOff>234950</xdr:rowOff>
        </xdr:to>
        <xdr:sp macro="" textlink="">
          <xdr:nvSpPr>
            <xdr:cNvPr id="90181" name="Check Box 69" hidden="1">
              <a:extLst>
                <a:ext uri="{63B3BB69-23CF-44E3-9099-C40C66FF867C}">
                  <a14:compatExt spid="_x0000_s90181"/>
                </a:ext>
                <a:ext uri="{FF2B5EF4-FFF2-40B4-BE49-F238E27FC236}">
                  <a16:creationId xmlns:a16="http://schemas.microsoft.com/office/drawing/2014/main" id="{00000000-0008-0000-3D00-000045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39</xdr:col>
          <xdr:colOff>31750</xdr:colOff>
          <xdr:row>14</xdr:row>
          <xdr:rowOff>50800</xdr:rowOff>
        </xdr:from>
        <xdr:to>
          <xdr:col>40</xdr:col>
          <xdr:colOff>88900</xdr:colOff>
          <xdr:row>14</xdr:row>
          <xdr:rowOff>234950</xdr:rowOff>
        </xdr:to>
        <xdr:sp macro="" textlink="">
          <xdr:nvSpPr>
            <xdr:cNvPr id="90182" name="Check Box 70" hidden="1">
              <a:extLst>
                <a:ext uri="{63B3BB69-23CF-44E3-9099-C40C66FF867C}">
                  <a14:compatExt spid="_x0000_s90182"/>
                </a:ext>
                <a:ext uri="{FF2B5EF4-FFF2-40B4-BE49-F238E27FC236}">
                  <a16:creationId xmlns:a16="http://schemas.microsoft.com/office/drawing/2014/main" id="{00000000-0008-0000-3D00-000046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39</xdr:col>
          <xdr:colOff>25400</xdr:colOff>
          <xdr:row>15</xdr:row>
          <xdr:rowOff>44450</xdr:rowOff>
        </xdr:from>
        <xdr:to>
          <xdr:col>40</xdr:col>
          <xdr:colOff>76200</xdr:colOff>
          <xdr:row>15</xdr:row>
          <xdr:rowOff>228600</xdr:rowOff>
        </xdr:to>
        <xdr:sp macro="" textlink="">
          <xdr:nvSpPr>
            <xdr:cNvPr id="90183" name="Check Box 71" hidden="1">
              <a:extLst>
                <a:ext uri="{63B3BB69-23CF-44E3-9099-C40C66FF867C}">
                  <a14:compatExt spid="_x0000_s90183"/>
                </a:ext>
                <a:ext uri="{FF2B5EF4-FFF2-40B4-BE49-F238E27FC236}">
                  <a16:creationId xmlns:a16="http://schemas.microsoft.com/office/drawing/2014/main" id="{00000000-0008-0000-3D00-000047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39</xdr:col>
          <xdr:colOff>44450</xdr:colOff>
          <xdr:row>16</xdr:row>
          <xdr:rowOff>44450</xdr:rowOff>
        </xdr:from>
        <xdr:to>
          <xdr:col>40</xdr:col>
          <xdr:colOff>101600</xdr:colOff>
          <xdr:row>16</xdr:row>
          <xdr:rowOff>228600</xdr:rowOff>
        </xdr:to>
        <xdr:sp macro="" textlink="">
          <xdr:nvSpPr>
            <xdr:cNvPr id="90184" name="Check Box 72" hidden="1">
              <a:extLst>
                <a:ext uri="{63B3BB69-23CF-44E3-9099-C40C66FF867C}">
                  <a14:compatExt spid="_x0000_s90184"/>
                </a:ext>
                <a:ext uri="{FF2B5EF4-FFF2-40B4-BE49-F238E27FC236}">
                  <a16:creationId xmlns:a16="http://schemas.microsoft.com/office/drawing/2014/main" id="{00000000-0008-0000-3D00-000048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42</xdr:col>
          <xdr:colOff>25400</xdr:colOff>
          <xdr:row>14</xdr:row>
          <xdr:rowOff>63500</xdr:rowOff>
        </xdr:from>
        <xdr:to>
          <xdr:col>43</xdr:col>
          <xdr:colOff>82550</xdr:colOff>
          <xdr:row>14</xdr:row>
          <xdr:rowOff>241300</xdr:rowOff>
        </xdr:to>
        <xdr:sp macro="" textlink="">
          <xdr:nvSpPr>
            <xdr:cNvPr id="90185" name="Check Box 73" hidden="1">
              <a:extLst>
                <a:ext uri="{63B3BB69-23CF-44E3-9099-C40C66FF867C}">
                  <a14:compatExt spid="_x0000_s90185"/>
                </a:ext>
                <a:ext uri="{FF2B5EF4-FFF2-40B4-BE49-F238E27FC236}">
                  <a16:creationId xmlns:a16="http://schemas.microsoft.com/office/drawing/2014/main" id="{00000000-0008-0000-3D00-000049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42</xdr:col>
          <xdr:colOff>12700</xdr:colOff>
          <xdr:row>15</xdr:row>
          <xdr:rowOff>50800</xdr:rowOff>
        </xdr:from>
        <xdr:to>
          <xdr:col>43</xdr:col>
          <xdr:colOff>69850</xdr:colOff>
          <xdr:row>15</xdr:row>
          <xdr:rowOff>234950</xdr:rowOff>
        </xdr:to>
        <xdr:sp macro="" textlink="">
          <xdr:nvSpPr>
            <xdr:cNvPr id="90186" name="Check Box 74" hidden="1">
              <a:extLst>
                <a:ext uri="{63B3BB69-23CF-44E3-9099-C40C66FF867C}">
                  <a14:compatExt spid="_x0000_s90186"/>
                </a:ext>
                <a:ext uri="{FF2B5EF4-FFF2-40B4-BE49-F238E27FC236}">
                  <a16:creationId xmlns:a16="http://schemas.microsoft.com/office/drawing/2014/main" id="{00000000-0008-0000-3D00-00004A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42</xdr:col>
          <xdr:colOff>44450</xdr:colOff>
          <xdr:row>16</xdr:row>
          <xdr:rowOff>50800</xdr:rowOff>
        </xdr:from>
        <xdr:to>
          <xdr:col>43</xdr:col>
          <xdr:colOff>101600</xdr:colOff>
          <xdr:row>16</xdr:row>
          <xdr:rowOff>234950</xdr:rowOff>
        </xdr:to>
        <xdr:sp macro="" textlink="">
          <xdr:nvSpPr>
            <xdr:cNvPr id="90187" name="Check Box 75" hidden="1">
              <a:extLst>
                <a:ext uri="{63B3BB69-23CF-44E3-9099-C40C66FF867C}">
                  <a14:compatExt spid="_x0000_s90187"/>
                </a:ext>
                <a:ext uri="{FF2B5EF4-FFF2-40B4-BE49-F238E27FC236}">
                  <a16:creationId xmlns:a16="http://schemas.microsoft.com/office/drawing/2014/main" id="{00000000-0008-0000-3D00-00004B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31750</xdr:colOff>
          <xdr:row>14</xdr:row>
          <xdr:rowOff>50800</xdr:rowOff>
        </xdr:from>
        <xdr:to>
          <xdr:col>46</xdr:col>
          <xdr:colOff>88900</xdr:colOff>
          <xdr:row>14</xdr:row>
          <xdr:rowOff>234950</xdr:rowOff>
        </xdr:to>
        <xdr:sp macro="" textlink="">
          <xdr:nvSpPr>
            <xdr:cNvPr id="90188" name="Check Box 76" hidden="1">
              <a:extLst>
                <a:ext uri="{63B3BB69-23CF-44E3-9099-C40C66FF867C}">
                  <a14:compatExt spid="_x0000_s90188"/>
                </a:ext>
                <a:ext uri="{FF2B5EF4-FFF2-40B4-BE49-F238E27FC236}">
                  <a16:creationId xmlns:a16="http://schemas.microsoft.com/office/drawing/2014/main" id="{00000000-0008-0000-3D00-00004C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31750</xdr:colOff>
          <xdr:row>15</xdr:row>
          <xdr:rowOff>50800</xdr:rowOff>
        </xdr:from>
        <xdr:to>
          <xdr:col>46</xdr:col>
          <xdr:colOff>88900</xdr:colOff>
          <xdr:row>15</xdr:row>
          <xdr:rowOff>234950</xdr:rowOff>
        </xdr:to>
        <xdr:sp macro="" textlink="">
          <xdr:nvSpPr>
            <xdr:cNvPr id="90189" name="Check Box 77" hidden="1">
              <a:extLst>
                <a:ext uri="{63B3BB69-23CF-44E3-9099-C40C66FF867C}">
                  <a14:compatExt spid="_x0000_s90189"/>
                </a:ext>
                <a:ext uri="{FF2B5EF4-FFF2-40B4-BE49-F238E27FC236}">
                  <a16:creationId xmlns:a16="http://schemas.microsoft.com/office/drawing/2014/main" id="{00000000-0008-0000-3D00-00004D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31750</xdr:colOff>
          <xdr:row>16</xdr:row>
          <xdr:rowOff>50800</xdr:rowOff>
        </xdr:from>
        <xdr:to>
          <xdr:col>46</xdr:col>
          <xdr:colOff>88900</xdr:colOff>
          <xdr:row>16</xdr:row>
          <xdr:rowOff>234950</xdr:rowOff>
        </xdr:to>
        <xdr:sp macro="" textlink="">
          <xdr:nvSpPr>
            <xdr:cNvPr id="90190" name="Check Box 78" hidden="1">
              <a:extLst>
                <a:ext uri="{63B3BB69-23CF-44E3-9099-C40C66FF867C}">
                  <a14:compatExt spid="_x0000_s90190"/>
                </a:ext>
                <a:ext uri="{FF2B5EF4-FFF2-40B4-BE49-F238E27FC236}">
                  <a16:creationId xmlns:a16="http://schemas.microsoft.com/office/drawing/2014/main" id="{00000000-0008-0000-3D00-00004E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31750</xdr:colOff>
          <xdr:row>14</xdr:row>
          <xdr:rowOff>63500</xdr:rowOff>
        </xdr:from>
        <xdr:to>
          <xdr:col>49</xdr:col>
          <xdr:colOff>88900</xdr:colOff>
          <xdr:row>14</xdr:row>
          <xdr:rowOff>254000</xdr:rowOff>
        </xdr:to>
        <xdr:sp macro="" textlink="">
          <xdr:nvSpPr>
            <xdr:cNvPr id="90191" name="Check Box 79" hidden="1">
              <a:extLst>
                <a:ext uri="{63B3BB69-23CF-44E3-9099-C40C66FF867C}">
                  <a14:compatExt spid="_x0000_s90191"/>
                </a:ext>
                <a:ext uri="{FF2B5EF4-FFF2-40B4-BE49-F238E27FC236}">
                  <a16:creationId xmlns:a16="http://schemas.microsoft.com/office/drawing/2014/main" id="{00000000-0008-0000-3D00-00004F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25400</xdr:colOff>
          <xdr:row>15</xdr:row>
          <xdr:rowOff>50800</xdr:rowOff>
        </xdr:from>
        <xdr:to>
          <xdr:col>49</xdr:col>
          <xdr:colOff>76200</xdr:colOff>
          <xdr:row>15</xdr:row>
          <xdr:rowOff>234950</xdr:rowOff>
        </xdr:to>
        <xdr:sp macro="" textlink="">
          <xdr:nvSpPr>
            <xdr:cNvPr id="90192" name="Check Box 80" hidden="1">
              <a:extLst>
                <a:ext uri="{63B3BB69-23CF-44E3-9099-C40C66FF867C}">
                  <a14:compatExt spid="_x0000_s90192"/>
                </a:ext>
                <a:ext uri="{FF2B5EF4-FFF2-40B4-BE49-F238E27FC236}">
                  <a16:creationId xmlns:a16="http://schemas.microsoft.com/office/drawing/2014/main" id="{00000000-0008-0000-3D00-000050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25400</xdr:colOff>
          <xdr:row>16</xdr:row>
          <xdr:rowOff>63500</xdr:rowOff>
        </xdr:from>
        <xdr:to>
          <xdr:col>49</xdr:col>
          <xdr:colOff>82550</xdr:colOff>
          <xdr:row>16</xdr:row>
          <xdr:rowOff>254000</xdr:rowOff>
        </xdr:to>
        <xdr:sp macro="" textlink="">
          <xdr:nvSpPr>
            <xdr:cNvPr id="90193" name="Check Box 81" hidden="1">
              <a:extLst>
                <a:ext uri="{63B3BB69-23CF-44E3-9099-C40C66FF867C}">
                  <a14:compatExt spid="_x0000_s90193"/>
                </a:ext>
                <a:ext uri="{FF2B5EF4-FFF2-40B4-BE49-F238E27FC236}">
                  <a16:creationId xmlns:a16="http://schemas.microsoft.com/office/drawing/2014/main" id="{00000000-0008-0000-3D00-000051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25400</xdr:colOff>
          <xdr:row>14</xdr:row>
          <xdr:rowOff>50800</xdr:rowOff>
        </xdr:from>
        <xdr:to>
          <xdr:col>52</xdr:col>
          <xdr:colOff>76200</xdr:colOff>
          <xdr:row>14</xdr:row>
          <xdr:rowOff>234950</xdr:rowOff>
        </xdr:to>
        <xdr:sp macro="" textlink="">
          <xdr:nvSpPr>
            <xdr:cNvPr id="90194" name="Check Box 82" hidden="1">
              <a:extLst>
                <a:ext uri="{63B3BB69-23CF-44E3-9099-C40C66FF867C}">
                  <a14:compatExt spid="_x0000_s90194"/>
                </a:ext>
                <a:ext uri="{FF2B5EF4-FFF2-40B4-BE49-F238E27FC236}">
                  <a16:creationId xmlns:a16="http://schemas.microsoft.com/office/drawing/2014/main" id="{00000000-0008-0000-3D00-000052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25400</xdr:colOff>
          <xdr:row>15</xdr:row>
          <xdr:rowOff>63500</xdr:rowOff>
        </xdr:from>
        <xdr:to>
          <xdr:col>52</xdr:col>
          <xdr:colOff>82550</xdr:colOff>
          <xdr:row>15</xdr:row>
          <xdr:rowOff>254000</xdr:rowOff>
        </xdr:to>
        <xdr:sp macro="" textlink="">
          <xdr:nvSpPr>
            <xdr:cNvPr id="90195" name="Check Box 83" hidden="1">
              <a:extLst>
                <a:ext uri="{63B3BB69-23CF-44E3-9099-C40C66FF867C}">
                  <a14:compatExt spid="_x0000_s90195"/>
                </a:ext>
                <a:ext uri="{FF2B5EF4-FFF2-40B4-BE49-F238E27FC236}">
                  <a16:creationId xmlns:a16="http://schemas.microsoft.com/office/drawing/2014/main" id="{00000000-0008-0000-3D00-000053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xdr:col>
          <xdr:colOff>25400</xdr:colOff>
          <xdr:row>16</xdr:row>
          <xdr:rowOff>44450</xdr:rowOff>
        </xdr:from>
        <xdr:to>
          <xdr:col>52</xdr:col>
          <xdr:colOff>76200</xdr:colOff>
          <xdr:row>16</xdr:row>
          <xdr:rowOff>228600</xdr:rowOff>
        </xdr:to>
        <xdr:sp macro="" textlink="">
          <xdr:nvSpPr>
            <xdr:cNvPr id="90196" name="Check Box 84" hidden="1">
              <a:extLst>
                <a:ext uri="{63B3BB69-23CF-44E3-9099-C40C66FF867C}">
                  <a14:compatExt spid="_x0000_s90196"/>
                </a:ext>
                <a:ext uri="{FF2B5EF4-FFF2-40B4-BE49-F238E27FC236}">
                  <a16:creationId xmlns:a16="http://schemas.microsoft.com/office/drawing/2014/main" id="{00000000-0008-0000-3D00-000054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26</xdr:row>
          <xdr:rowOff>25400</xdr:rowOff>
        </xdr:from>
        <xdr:to>
          <xdr:col>3</xdr:col>
          <xdr:colOff>215900</xdr:colOff>
          <xdr:row>26</xdr:row>
          <xdr:rowOff>254000</xdr:rowOff>
        </xdr:to>
        <xdr:sp macro="" textlink="">
          <xdr:nvSpPr>
            <xdr:cNvPr id="90197" name="Check Box 85" hidden="1">
              <a:extLst>
                <a:ext uri="{63B3BB69-23CF-44E3-9099-C40C66FF867C}">
                  <a14:compatExt spid="_x0000_s90197"/>
                </a:ext>
                <a:ext uri="{FF2B5EF4-FFF2-40B4-BE49-F238E27FC236}">
                  <a16:creationId xmlns:a16="http://schemas.microsoft.com/office/drawing/2014/main" id="{00000000-0008-0000-3D00-000055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30</xdr:row>
          <xdr:rowOff>82550</xdr:rowOff>
        </xdr:from>
        <xdr:to>
          <xdr:col>3</xdr:col>
          <xdr:colOff>203200</xdr:colOff>
          <xdr:row>32</xdr:row>
          <xdr:rowOff>0</xdr:rowOff>
        </xdr:to>
        <xdr:sp macro="" textlink="">
          <xdr:nvSpPr>
            <xdr:cNvPr id="90198" name="Check Box 86" hidden="1">
              <a:extLst>
                <a:ext uri="{63B3BB69-23CF-44E3-9099-C40C66FF867C}">
                  <a14:compatExt spid="_x0000_s90198"/>
                </a:ext>
                <a:ext uri="{FF2B5EF4-FFF2-40B4-BE49-F238E27FC236}">
                  <a16:creationId xmlns:a16="http://schemas.microsoft.com/office/drawing/2014/main" id="{00000000-0008-0000-3D00-000056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25400</xdr:colOff>
          <xdr:row>34</xdr:row>
          <xdr:rowOff>38100</xdr:rowOff>
        </xdr:from>
        <xdr:to>
          <xdr:col>3</xdr:col>
          <xdr:colOff>203200</xdr:colOff>
          <xdr:row>36</xdr:row>
          <xdr:rowOff>6350</xdr:rowOff>
        </xdr:to>
        <xdr:sp macro="" textlink="">
          <xdr:nvSpPr>
            <xdr:cNvPr id="90199" name="Check Box 87" hidden="1">
              <a:extLst>
                <a:ext uri="{63B3BB69-23CF-44E3-9099-C40C66FF867C}">
                  <a14:compatExt spid="_x0000_s90199"/>
                </a:ext>
                <a:ext uri="{FF2B5EF4-FFF2-40B4-BE49-F238E27FC236}">
                  <a16:creationId xmlns:a16="http://schemas.microsoft.com/office/drawing/2014/main" id="{00000000-0008-0000-3D00-000057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25400</xdr:colOff>
          <xdr:row>46</xdr:row>
          <xdr:rowOff>31750</xdr:rowOff>
        </xdr:from>
        <xdr:to>
          <xdr:col>3</xdr:col>
          <xdr:colOff>254000</xdr:colOff>
          <xdr:row>46</xdr:row>
          <xdr:rowOff>254000</xdr:rowOff>
        </xdr:to>
        <xdr:sp macro="" textlink="">
          <xdr:nvSpPr>
            <xdr:cNvPr id="92161" name="Check Box 1" hidden="1">
              <a:extLst>
                <a:ext uri="{63B3BB69-23CF-44E3-9099-C40C66FF867C}">
                  <a14:compatExt spid="_x0000_s92161"/>
                </a:ext>
                <a:ext uri="{FF2B5EF4-FFF2-40B4-BE49-F238E27FC236}">
                  <a16:creationId xmlns:a16="http://schemas.microsoft.com/office/drawing/2014/main" id="{00000000-0008-0000-3F00-0000016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25400</xdr:colOff>
          <xdr:row>21</xdr:row>
          <xdr:rowOff>38100</xdr:rowOff>
        </xdr:from>
        <xdr:to>
          <xdr:col>5</xdr:col>
          <xdr:colOff>190500</xdr:colOff>
          <xdr:row>21</xdr:row>
          <xdr:rowOff>260350</xdr:rowOff>
        </xdr:to>
        <xdr:sp macro="" textlink="">
          <xdr:nvSpPr>
            <xdr:cNvPr id="93185" name="Check Box 1" hidden="1">
              <a:extLst>
                <a:ext uri="{63B3BB69-23CF-44E3-9099-C40C66FF867C}">
                  <a14:compatExt spid="_x0000_s93185"/>
                </a:ext>
                <a:ext uri="{FF2B5EF4-FFF2-40B4-BE49-F238E27FC236}">
                  <a16:creationId xmlns:a16="http://schemas.microsoft.com/office/drawing/2014/main" id="{00000000-0008-0000-4000-0000016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31750</xdr:colOff>
          <xdr:row>11</xdr:row>
          <xdr:rowOff>31750</xdr:rowOff>
        </xdr:from>
        <xdr:to>
          <xdr:col>4</xdr:col>
          <xdr:colOff>158750</xdr:colOff>
          <xdr:row>11</xdr:row>
          <xdr:rowOff>254000</xdr:rowOff>
        </xdr:to>
        <xdr:sp macro="" textlink="">
          <xdr:nvSpPr>
            <xdr:cNvPr id="94209" name="Check Box 1" hidden="1">
              <a:extLst>
                <a:ext uri="{63B3BB69-23CF-44E3-9099-C40C66FF867C}">
                  <a14:compatExt spid="_x0000_s94209"/>
                </a:ext>
                <a:ext uri="{FF2B5EF4-FFF2-40B4-BE49-F238E27FC236}">
                  <a16:creationId xmlns:a16="http://schemas.microsoft.com/office/drawing/2014/main" id="{00000000-0008-0000-4100-0000017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50800</xdr:colOff>
          <xdr:row>6</xdr:row>
          <xdr:rowOff>6350</xdr:rowOff>
        </xdr:from>
        <xdr:to>
          <xdr:col>4</xdr:col>
          <xdr:colOff>254000</xdr:colOff>
          <xdr:row>7</xdr:row>
          <xdr:rowOff>12700</xdr:rowOff>
        </xdr:to>
        <xdr:sp macro="" textlink="">
          <xdr:nvSpPr>
            <xdr:cNvPr id="95233" name="Check Box 1" hidden="1">
              <a:extLst>
                <a:ext uri="{63B3BB69-23CF-44E3-9099-C40C66FF867C}">
                  <a14:compatExt spid="_x0000_s95233"/>
                </a:ext>
                <a:ext uri="{FF2B5EF4-FFF2-40B4-BE49-F238E27FC236}">
                  <a16:creationId xmlns:a16="http://schemas.microsoft.com/office/drawing/2014/main" id="{00000000-0008-0000-4200-0000017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8</xdr:row>
          <xdr:rowOff>25400</xdr:rowOff>
        </xdr:from>
        <xdr:to>
          <xdr:col>4</xdr:col>
          <xdr:colOff>254000</xdr:colOff>
          <xdr:row>9</xdr:row>
          <xdr:rowOff>25400</xdr:rowOff>
        </xdr:to>
        <xdr:sp macro="" textlink="">
          <xdr:nvSpPr>
            <xdr:cNvPr id="95234" name="Check Box 2" hidden="1">
              <a:extLst>
                <a:ext uri="{63B3BB69-23CF-44E3-9099-C40C66FF867C}">
                  <a14:compatExt spid="_x0000_s95234"/>
                </a:ext>
                <a:ext uri="{FF2B5EF4-FFF2-40B4-BE49-F238E27FC236}">
                  <a16:creationId xmlns:a16="http://schemas.microsoft.com/office/drawing/2014/main" id="{00000000-0008-0000-4200-0000027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44450</xdr:colOff>
          <xdr:row>10</xdr:row>
          <xdr:rowOff>0</xdr:rowOff>
        </xdr:from>
        <xdr:to>
          <xdr:col>4</xdr:col>
          <xdr:colOff>241300</xdr:colOff>
          <xdr:row>11</xdr:row>
          <xdr:rowOff>6350</xdr:rowOff>
        </xdr:to>
        <xdr:sp macro="" textlink="">
          <xdr:nvSpPr>
            <xdr:cNvPr id="95235" name="Check Box 3" hidden="1">
              <a:extLst>
                <a:ext uri="{63B3BB69-23CF-44E3-9099-C40C66FF867C}">
                  <a14:compatExt spid="_x0000_s95235"/>
                </a:ext>
                <a:ext uri="{FF2B5EF4-FFF2-40B4-BE49-F238E27FC236}">
                  <a16:creationId xmlns:a16="http://schemas.microsoft.com/office/drawing/2014/main" id="{00000000-0008-0000-4200-0000037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44450</xdr:colOff>
          <xdr:row>27</xdr:row>
          <xdr:rowOff>0</xdr:rowOff>
        </xdr:from>
        <xdr:to>
          <xdr:col>15</xdr:col>
          <xdr:colOff>241300</xdr:colOff>
          <xdr:row>27</xdr:row>
          <xdr:rowOff>222250</xdr:rowOff>
        </xdr:to>
        <xdr:sp macro="" textlink="">
          <xdr:nvSpPr>
            <xdr:cNvPr id="95236" name="Check Box 4" hidden="1">
              <a:extLst>
                <a:ext uri="{63B3BB69-23CF-44E3-9099-C40C66FF867C}">
                  <a14:compatExt spid="_x0000_s95236"/>
                </a:ext>
                <a:ext uri="{FF2B5EF4-FFF2-40B4-BE49-F238E27FC236}">
                  <a16:creationId xmlns:a16="http://schemas.microsoft.com/office/drawing/2014/main" id="{00000000-0008-0000-4200-0000047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44450</xdr:colOff>
          <xdr:row>29</xdr:row>
          <xdr:rowOff>0</xdr:rowOff>
        </xdr:from>
        <xdr:to>
          <xdr:col>15</xdr:col>
          <xdr:colOff>241300</xdr:colOff>
          <xdr:row>29</xdr:row>
          <xdr:rowOff>222250</xdr:rowOff>
        </xdr:to>
        <xdr:sp macro="" textlink="">
          <xdr:nvSpPr>
            <xdr:cNvPr id="95237" name="Check Box 5" hidden="1">
              <a:extLst>
                <a:ext uri="{63B3BB69-23CF-44E3-9099-C40C66FF867C}">
                  <a14:compatExt spid="_x0000_s95237"/>
                </a:ext>
                <a:ext uri="{FF2B5EF4-FFF2-40B4-BE49-F238E27FC236}">
                  <a16:creationId xmlns:a16="http://schemas.microsoft.com/office/drawing/2014/main" id="{00000000-0008-0000-4200-0000057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50800</xdr:colOff>
          <xdr:row>27</xdr:row>
          <xdr:rowOff>25400</xdr:rowOff>
        </xdr:from>
        <xdr:to>
          <xdr:col>20</xdr:col>
          <xdr:colOff>254000</xdr:colOff>
          <xdr:row>27</xdr:row>
          <xdr:rowOff>241300</xdr:rowOff>
        </xdr:to>
        <xdr:sp macro="" textlink="">
          <xdr:nvSpPr>
            <xdr:cNvPr id="95238" name="Check Box 6" hidden="1">
              <a:extLst>
                <a:ext uri="{63B3BB69-23CF-44E3-9099-C40C66FF867C}">
                  <a14:compatExt spid="_x0000_s95238"/>
                </a:ext>
                <a:ext uri="{FF2B5EF4-FFF2-40B4-BE49-F238E27FC236}">
                  <a16:creationId xmlns:a16="http://schemas.microsoft.com/office/drawing/2014/main" id="{00000000-0008-0000-4200-0000067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63500</xdr:colOff>
          <xdr:row>29</xdr:row>
          <xdr:rowOff>12700</xdr:rowOff>
        </xdr:from>
        <xdr:to>
          <xdr:col>20</xdr:col>
          <xdr:colOff>254000</xdr:colOff>
          <xdr:row>29</xdr:row>
          <xdr:rowOff>234950</xdr:rowOff>
        </xdr:to>
        <xdr:sp macro="" textlink="">
          <xdr:nvSpPr>
            <xdr:cNvPr id="95239" name="Check Box 7" hidden="1">
              <a:extLst>
                <a:ext uri="{63B3BB69-23CF-44E3-9099-C40C66FF867C}">
                  <a14:compatExt spid="_x0000_s95239"/>
                </a:ext>
                <a:ext uri="{FF2B5EF4-FFF2-40B4-BE49-F238E27FC236}">
                  <a16:creationId xmlns:a16="http://schemas.microsoft.com/office/drawing/2014/main" id="{00000000-0008-0000-4200-0000077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50800</xdr:colOff>
          <xdr:row>24</xdr:row>
          <xdr:rowOff>127000</xdr:rowOff>
        </xdr:from>
        <xdr:to>
          <xdr:col>37</xdr:col>
          <xdr:colOff>254000</xdr:colOff>
          <xdr:row>25</xdr:row>
          <xdr:rowOff>101600</xdr:rowOff>
        </xdr:to>
        <xdr:sp macro="" textlink="">
          <xdr:nvSpPr>
            <xdr:cNvPr id="95240" name="Check Box 8" hidden="1">
              <a:extLst>
                <a:ext uri="{63B3BB69-23CF-44E3-9099-C40C66FF867C}">
                  <a14:compatExt spid="_x0000_s95240"/>
                </a:ext>
                <a:ext uri="{FF2B5EF4-FFF2-40B4-BE49-F238E27FC236}">
                  <a16:creationId xmlns:a16="http://schemas.microsoft.com/office/drawing/2014/main" id="{00000000-0008-0000-4200-0000087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50800</xdr:colOff>
          <xdr:row>27</xdr:row>
          <xdr:rowOff>6350</xdr:rowOff>
        </xdr:from>
        <xdr:to>
          <xdr:col>37</xdr:col>
          <xdr:colOff>254000</xdr:colOff>
          <xdr:row>27</xdr:row>
          <xdr:rowOff>228600</xdr:rowOff>
        </xdr:to>
        <xdr:sp macro="" textlink="">
          <xdr:nvSpPr>
            <xdr:cNvPr id="95241" name="Check Box 9" hidden="1">
              <a:extLst>
                <a:ext uri="{63B3BB69-23CF-44E3-9099-C40C66FF867C}">
                  <a14:compatExt spid="_x0000_s95241"/>
                </a:ext>
                <a:ext uri="{FF2B5EF4-FFF2-40B4-BE49-F238E27FC236}">
                  <a16:creationId xmlns:a16="http://schemas.microsoft.com/office/drawing/2014/main" id="{00000000-0008-0000-4200-0000097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50800</xdr:colOff>
          <xdr:row>29</xdr:row>
          <xdr:rowOff>139700</xdr:rowOff>
        </xdr:from>
        <xdr:to>
          <xdr:col>37</xdr:col>
          <xdr:colOff>254000</xdr:colOff>
          <xdr:row>30</xdr:row>
          <xdr:rowOff>101600</xdr:rowOff>
        </xdr:to>
        <xdr:sp macro="" textlink="">
          <xdr:nvSpPr>
            <xdr:cNvPr id="95242" name="Check Box 10" hidden="1">
              <a:extLst>
                <a:ext uri="{63B3BB69-23CF-44E3-9099-C40C66FF867C}">
                  <a14:compatExt spid="_x0000_s95242"/>
                </a:ext>
                <a:ext uri="{FF2B5EF4-FFF2-40B4-BE49-F238E27FC236}">
                  <a16:creationId xmlns:a16="http://schemas.microsoft.com/office/drawing/2014/main" id="{00000000-0008-0000-4200-00000A7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xdr:col>
          <xdr:colOff>44450</xdr:colOff>
          <xdr:row>24</xdr:row>
          <xdr:rowOff>127000</xdr:rowOff>
        </xdr:from>
        <xdr:to>
          <xdr:col>42</xdr:col>
          <xdr:colOff>241300</xdr:colOff>
          <xdr:row>25</xdr:row>
          <xdr:rowOff>101600</xdr:rowOff>
        </xdr:to>
        <xdr:sp macro="" textlink="">
          <xdr:nvSpPr>
            <xdr:cNvPr id="95243" name="Check Box 11" hidden="1">
              <a:extLst>
                <a:ext uri="{63B3BB69-23CF-44E3-9099-C40C66FF867C}">
                  <a14:compatExt spid="_x0000_s95243"/>
                </a:ext>
                <a:ext uri="{FF2B5EF4-FFF2-40B4-BE49-F238E27FC236}">
                  <a16:creationId xmlns:a16="http://schemas.microsoft.com/office/drawing/2014/main" id="{00000000-0008-0000-4200-00000B7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xdr:col>
          <xdr:colOff>44450</xdr:colOff>
          <xdr:row>27</xdr:row>
          <xdr:rowOff>6350</xdr:rowOff>
        </xdr:from>
        <xdr:to>
          <xdr:col>42</xdr:col>
          <xdr:colOff>241300</xdr:colOff>
          <xdr:row>27</xdr:row>
          <xdr:rowOff>228600</xdr:rowOff>
        </xdr:to>
        <xdr:sp macro="" textlink="">
          <xdr:nvSpPr>
            <xdr:cNvPr id="95244" name="Check Box 12" hidden="1">
              <a:extLst>
                <a:ext uri="{63B3BB69-23CF-44E3-9099-C40C66FF867C}">
                  <a14:compatExt spid="_x0000_s95244"/>
                </a:ext>
                <a:ext uri="{FF2B5EF4-FFF2-40B4-BE49-F238E27FC236}">
                  <a16:creationId xmlns:a16="http://schemas.microsoft.com/office/drawing/2014/main" id="{00000000-0008-0000-4200-00000C7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xdr:col>
          <xdr:colOff>63500</xdr:colOff>
          <xdr:row>29</xdr:row>
          <xdr:rowOff>139700</xdr:rowOff>
        </xdr:from>
        <xdr:to>
          <xdr:col>42</xdr:col>
          <xdr:colOff>254000</xdr:colOff>
          <xdr:row>30</xdr:row>
          <xdr:rowOff>101600</xdr:rowOff>
        </xdr:to>
        <xdr:sp macro="" textlink="">
          <xdr:nvSpPr>
            <xdr:cNvPr id="95245" name="Check Box 13" hidden="1">
              <a:extLst>
                <a:ext uri="{63B3BB69-23CF-44E3-9099-C40C66FF867C}">
                  <a14:compatExt spid="_x0000_s95245"/>
                </a:ext>
                <a:ext uri="{FF2B5EF4-FFF2-40B4-BE49-F238E27FC236}">
                  <a16:creationId xmlns:a16="http://schemas.microsoft.com/office/drawing/2014/main" id="{00000000-0008-0000-4200-00000D7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63500</xdr:colOff>
          <xdr:row>43</xdr:row>
          <xdr:rowOff>127000</xdr:rowOff>
        </xdr:from>
        <xdr:to>
          <xdr:col>37</xdr:col>
          <xdr:colOff>254000</xdr:colOff>
          <xdr:row>44</xdr:row>
          <xdr:rowOff>101600</xdr:rowOff>
        </xdr:to>
        <xdr:sp macro="" textlink="">
          <xdr:nvSpPr>
            <xdr:cNvPr id="95246" name="Check Box 14" hidden="1">
              <a:extLst>
                <a:ext uri="{63B3BB69-23CF-44E3-9099-C40C66FF867C}">
                  <a14:compatExt spid="_x0000_s95246"/>
                </a:ext>
                <a:ext uri="{FF2B5EF4-FFF2-40B4-BE49-F238E27FC236}">
                  <a16:creationId xmlns:a16="http://schemas.microsoft.com/office/drawing/2014/main" id="{00000000-0008-0000-4200-00000E7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xdr:col>
          <xdr:colOff>44450</xdr:colOff>
          <xdr:row>43</xdr:row>
          <xdr:rowOff>139700</xdr:rowOff>
        </xdr:from>
        <xdr:to>
          <xdr:col>42</xdr:col>
          <xdr:colOff>241300</xdr:colOff>
          <xdr:row>44</xdr:row>
          <xdr:rowOff>101600</xdr:rowOff>
        </xdr:to>
        <xdr:sp macro="" textlink="">
          <xdr:nvSpPr>
            <xdr:cNvPr id="95247" name="Check Box 15" hidden="1">
              <a:extLst>
                <a:ext uri="{63B3BB69-23CF-44E3-9099-C40C66FF867C}">
                  <a14:compatExt spid="_x0000_s95247"/>
                </a:ext>
                <a:ext uri="{FF2B5EF4-FFF2-40B4-BE49-F238E27FC236}">
                  <a16:creationId xmlns:a16="http://schemas.microsoft.com/office/drawing/2014/main" id="{00000000-0008-0000-4200-00000F7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ctrlProp" Target="../ctrlProps/ctrlProp10.xml"/><Relationship Id="rId2" Type="http://schemas.openxmlformats.org/officeDocument/2006/relationships/drawing" Target="../drawings/drawing3.xml"/><Relationship Id="rId1" Type="http://schemas.openxmlformats.org/officeDocument/2006/relationships/printerSettings" Target="../printerSettings/printerSettings18.bin"/><Relationship Id="rId6" Type="http://schemas.openxmlformats.org/officeDocument/2006/relationships/ctrlProp" Target="../ctrlProps/ctrlProp9.xml"/><Relationship Id="rId5" Type="http://schemas.openxmlformats.org/officeDocument/2006/relationships/ctrlProp" Target="../ctrlProps/ctrlProp8.xml"/><Relationship Id="rId4" Type="http://schemas.openxmlformats.org/officeDocument/2006/relationships/ctrlProp" Target="../ctrlProps/ctrlProp7.xml"/></Relationships>
</file>

<file path=xl/worksheets/_rels/sheet21.xml.rels><?xml version="1.0" encoding="UTF-8" standalone="yes"?>
<Relationships xmlns="http://schemas.openxmlformats.org/package/2006/relationships"><Relationship Id="rId8" Type="http://schemas.openxmlformats.org/officeDocument/2006/relationships/ctrlProp" Target="../ctrlProps/ctrlProp15.xml"/><Relationship Id="rId13" Type="http://schemas.openxmlformats.org/officeDocument/2006/relationships/ctrlProp" Target="../ctrlProps/ctrlProp20.xml"/><Relationship Id="rId3" Type="http://schemas.openxmlformats.org/officeDocument/2006/relationships/vmlDrawing" Target="../drawings/vmlDrawing3.vml"/><Relationship Id="rId7" Type="http://schemas.openxmlformats.org/officeDocument/2006/relationships/ctrlProp" Target="../ctrlProps/ctrlProp14.xml"/><Relationship Id="rId12" Type="http://schemas.openxmlformats.org/officeDocument/2006/relationships/ctrlProp" Target="../ctrlProps/ctrlProp19.xml"/><Relationship Id="rId2" Type="http://schemas.openxmlformats.org/officeDocument/2006/relationships/drawing" Target="../drawings/drawing4.xml"/><Relationship Id="rId16" Type="http://schemas.openxmlformats.org/officeDocument/2006/relationships/ctrlProp" Target="../ctrlProps/ctrlProp23.xml"/><Relationship Id="rId1" Type="http://schemas.openxmlformats.org/officeDocument/2006/relationships/printerSettings" Target="../printerSettings/printerSettings19.bin"/><Relationship Id="rId6" Type="http://schemas.openxmlformats.org/officeDocument/2006/relationships/ctrlProp" Target="../ctrlProps/ctrlProp13.xml"/><Relationship Id="rId11" Type="http://schemas.openxmlformats.org/officeDocument/2006/relationships/ctrlProp" Target="../ctrlProps/ctrlProp18.xml"/><Relationship Id="rId5" Type="http://schemas.openxmlformats.org/officeDocument/2006/relationships/ctrlProp" Target="../ctrlProps/ctrlProp12.xml"/><Relationship Id="rId15" Type="http://schemas.openxmlformats.org/officeDocument/2006/relationships/ctrlProp" Target="../ctrlProps/ctrlProp22.xml"/><Relationship Id="rId10" Type="http://schemas.openxmlformats.org/officeDocument/2006/relationships/ctrlProp" Target="../ctrlProps/ctrlProp17.xml"/><Relationship Id="rId4" Type="http://schemas.openxmlformats.org/officeDocument/2006/relationships/ctrlProp" Target="../ctrlProps/ctrlProp11.xml"/><Relationship Id="rId9" Type="http://schemas.openxmlformats.org/officeDocument/2006/relationships/ctrlProp" Target="../ctrlProps/ctrlProp16.xml"/><Relationship Id="rId14" Type="http://schemas.openxmlformats.org/officeDocument/2006/relationships/ctrlProp" Target="../ctrlProps/ctrlProp21.xml"/></Relationships>
</file>

<file path=xl/worksheets/_rels/sheet22.xml.rels><?xml version="1.0" encoding="UTF-8" standalone="yes"?>
<Relationships xmlns="http://schemas.openxmlformats.org/package/2006/relationships"><Relationship Id="rId13" Type="http://schemas.openxmlformats.org/officeDocument/2006/relationships/ctrlProp" Target="../ctrlProps/ctrlProp33.xml"/><Relationship Id="rId18" Type="http://schemas.openxmlformats.org/officeDocument/2006/relationships/ctrlProp" Target="../ctrlProps/ctrlProp38.xml"/><Relationship Id="rId26" Type="http://schemas.openxmlformats.org/officeDocument/2006/relationships/ctrlProp" Target="../ctrlProps/ctrlProp46.xml"/><Relationship Id="rId39" Type="http://schemas.openxmlformats.org/officeDocument/2006/relationships/ctrlProp" Target="../ctrlProps/ctrlProp59.xml"/><Relationship Id="rId21" Type="http://schemas.openxmlformats.org/officeDocument/2006/relationships/ctrlProp" Target="../ctrlProps/ctrlProp41.xml"/><Relationship Id="rId34" Type="http://schemas.openxmlformats.org/officeDocument/2006/relationships/ctrlProp" Target="../ctrlProps/ctrlProp54.xml"/><Relationship Id="rId42" Type="http://schemas.openxmlformats.org/officeDocument/2006/relationships/ctrlProp" Target="../ctrlProps/ctrlProp62.xml"/><Relationship Id="rId47" Type="http://schemas.openxmlformats.org/officeDocument/2006/relationships/ctrlProp" Target="../ctrlProps/ctrlProp67.xml"/><Relationship Id="rId50" Type="http://schemas.openxmlformats.org/officeDocument/2006/relationships/ctrlProp" Target="../ctrlProps/ctrlProp70.xml"/><Relationship Id="rId55" Type="http://schemas.openxmlformats.org/officeDocument/2006/relationships/ctrlProp" Target="../ctrlProps/ctrlProp75.xml"/><Relationship Id="rId7" Type="http://schemas.openxmlformats.org/officeDocument/2006/relationships/ctrlProp" Target="../ctrlProps/ctrlProp27.xml"/><Relationship Id="rId2" Type="http://schemas.openxmlformats.org/officeDocument/2006/relationships/drawing" Target="../drawings/drawing5.xml"/><Relationship Id="rId16" Type="http://schemas.openxmlformats.org/officeDocument/2006/relationships/ctrlProp" Target="../ctrlProps/ctrlProp36.xml"/><Relationship Id="rId29" Type="http://schemas.openxmlformats.org/officeDocument/2006/relationships/ctrlProp" Target="../ctrlProps/ctrlProp49.xml"/><Relationship Id="rId11" Type="http://schemas.openxmlformats.org/officeDocument/2006/relationships/ctrlProp" Target="../ctrlProps/ctrlProp31.xml"/><Relationship Id="rId24" Type="http://schemas.openxmlformats.org/officeDocument/2006/relationships/ctrlProp" Target="../ctrlProps/ctrlProp44.xml"/><Relationship Id="rId32" Type="http://schemas.openxmlformats.org/officeDocument/2006/relationships/ctrlProp" Target="../ctrlProps/ctrlProp52.xml"/><Relationship Id="rId37" Type="http://schemas.openxmlformats.org/officeDocument/2006/relationships/ctrlProp" Target="../ctrlProps/ctrlProp57.xml"/><Relationship Id="rId40" Type="http://schemas.openxmlformats.org/officeDocument/2006/relationships/ctrlProp" Target="../ctrlProps/ctrlProp60.xml"/><Relationship Id="rId45" Type="http://schemas.openxmlformats.org/officeDocument/2006/relationships/ctrlProp" Target="../ctrlProps/ctrlProp65.xml"/><Relationship Id="rId53" Type="http://schemas.openxmlformats.org/officeDocument/2006/relationships/ctrlProp" Target="../ctrlProps/ctrlProp73.xml"/><Relationship Id="rId5" Type="http://schemas.openxmlformats.org/officeDocument/2006/relationships/ctrlProp" Target="../ctrlProps/ctrlProp25.xml"/><Relationship Id="rId19" Type="http://schemas.openxmlformats.org/officeDocument/2006/relationships/ctrlProp" Target="../ctrlProps/ctrlProp39.xml"/><Relationship Id="rId4" Type="http://schemas.openxmlformats.org/officeDocument/2006/relationships/ctrlProp" Target="../ctrlProps/ctrlProp24.xml"/><Relationship Id="rId9" Type="http://schemas.openxmlformats.org/officeDocument/2006/relationships/ctrlProp" Target="../ctrlProps/ctrlProp29.xml"/><Relationship Id="rId14" Type="http://schemas.openxmlformats.org/officeDocument/2006/relationships/ctrlProp" Target="../ctrlProps/ctrlProp34.xml"/><Relationship Id="rId22" Type="http://schemas.openxmlformats.org/officeDocument/2006/relationships/ctrlProp" Target="../ctrlProps/ctrlProp42.xml"/><Relationship Id="rId27" Type="http://schemas.openxmlformats.org/officeDocument/2006/relationships/ctrlProp" Target="../ctrlProps/ctrlProp47.xml"/><Relationship Id="rId30" Type="http://schemas.openxmlformats.org/officeDocument/2006/relationships/ctrlProp" Target="../ctrlProps/ctrlProp50.xml"/><Relationship Id="rId35" Type="http://schemas.openxmlformats.org/officeDocument/2006/relationships/ctrlProp" Target="../ctrlProps/ctrlProp55.xml"/><Relationship Id="rId43" Type="http://schemas.openxmlformats.org/officeDocument/2006/relationships/ctrlProp" Target="../ctrlProps/ctrlProp63.xml"/><Relationship Id="rId48" Type="http://schemas.openxmlformats.org/officeDocument/2006/relationships/ctrlProp" Target="../ctrlProps/ctrlProp68.xml"/><Relationship Id="rId56" Type="http://schemas.openxmlformats.org/officeDocument/2006/relationships/ctrlProp" Target="../ctrlProps/ctrlProp76.xml"/><Relationship Id="rId8" Type="http://schemas.openxmlformats.org/officeDocument/2006/relationships/ctrlProp" Target="../ctrlProps/ctrlProp28.xml"/><Relationship Id="rId51" Type="http://schemas.openxmlformats.org/officeDocument/2006/relationships/ctrlProp" Target="../ctrlProps/ctrlProp71.xml"/><Relationship Id="rId3" Type="http://schemas.openxmlformats.org/officeDocument/2006/relationships/vmlDrawing" Target="../drawings/vmlDrawing4.vml"/><Relationship Id="rId12" Type="http://schemas.openxmlformats.org/officeDocument/2006/relationships/ctrlProp" Target="../ctrlProps/ctrlProp32.xml"/><Relationship Id="rId17" Type="http://schemas.openxmlformats.org/officeDocument/2006/relationships/ctrlProp" Target="../ctrlProps/ctrlProp37.xml"/><Relationship Id="rId25" Type="http://schemas.openxmlformats.org/officeDocument/2006/relationships/ctrlProp" Target="../ctrlProps/ctrlProp45.xml"/><Relationship Id="rId33" Type="http://schemas.openxmlformats.org/officeDocument/2006/relationships/ctrlProp" Target="../ctrlProps/ctrlProp53.xml"/><Relationship Id="rId38" Type="http://schemas.openxmlformats.org/officeDocument/2006/relationships/ctrlProp" Target="../ctrlProps/ctrlProp58.xml"/><Relationship Id="rId46" Type="http://schemas.openxmlformats.org/officeDocument/2006/relationships/ctrlProp" Target="../ctrlProps/ctrlProp66.xml"/><Relationship Id="rId20" Type="http://schemas.openxmlformats.org/officeDocument/2006/relationships/ctrlProp" Target="../ctrlProps/ctrlProp40.xml"/><Relationship Id="rId41" Type="http://schemas.openxmlformats.org/officeDocument/2006/relationships/ctrlProp" Target="../ctrlProps/ctrlProp61.xml"/><Relationship Id="rId54" Type="http://schemas.openxmlformats.org/officeDocument/2006/relationships/ctrlProp" Target="../ctrlProps/ctrlProp74.xml"/><Relationship Id="rId1" Type="http://schemas.openxmlformats.org/officeDocument/2006/relationships/printerSettings" Target="../printerSettings/printerSettings20.bin"/><Relationship Id="rId6" Type="http://schemas.openxmlformats.org/officeDocument/2006/relationships/ctrlProp" Target="../ctrlProps/ctrlProp26.xml"/><Relationship Id="rId15" Type="http://schemas.openxmlformats.org/officeDocument/2006/relationships/ctrlProp" Target="../ctrlProps/ctrlProp35.xml"/><Relationship Id="rId23" Type="http://schemas.openxmlformats.org/officeDocument/2006/relationships/ctrlProp" Target="../ctrlProps/ctrlProp43.xml"/><Relationship Id="rId28" Type="http://schemas.openxmlformats.org/officeDocument/2006/relationships/ctrlProp" Target="../ctrlProps/ctrlProp48.xml"/><Relationship Id="rId36" Type="http://schemas.openxmlformats.org/officeDocument/2006/relationships/ctrlProp" Target="../ctrlProps/ctrlProp56.xml"/><Relationship Id="rId49" Type="http://schemas.openxmlformats.org/officeDocument/2006/relationships/ctrlProp" Target="../ctrlProps/ctrlProp69.xml"/><Relationship Id="rId57" Type="http://schemas.openxmlformats.org/officeDocument/2006/relationships/ctrlProp" Target="../ctrlProps/ctrlProp77.xml"/><Relationship Id="rId10" Type="http://schemas.openxmlformats.org/officeDocument/2006/relationships/ctrlProp" Target="../ctrlProps/ctrlProp30.xml"/><Relationship Id="rId31" Type="http://schemas.openxmlformats.org/officeDocument/2006/relationships/ctrlProp" Target="../ctrlProps/ctrlProp51.xml"/><Relationship Id="rId44" Type="http://schemas.openxmlformats.org/officeDocument/2006/relationships/ctrlProp" Target="../ctrlProps/ctrlProp64.xml"/><Relationship Id="rId52" Type="http://schemas.openxmlformats.org/officeDocument/2006/relationships/ctrlProp" Target="../ctrlProps/ctrlProp7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8" Type="http://schemas.openxmlformats.org/officeDocument/2006/relationships/ctrlProp" Target="../ctrlProps/ctrlProp82.xml"/><Relationship Id="rId13" Type="http://schemas.openxmlformats.org/officeDocument/2006/relationships/ctrlProp" Target="../ctrlProps/ctrlProp87.xml"/><Relationship Id="rId3" Type="http://schemas.openxmlformats.org/officeDocument/2006/relationships/vmlDrawing" Target="../drawings/vmlDrawing5.vml"/><Relationship Id="rId7" Type="http://schemas.openxmlformats.org/officeDocument/2006/relationships/ctrlProp" Target="../ctrlProps/ctrlProp81.xml"/><Relationship Id="rId12" Type="http://schemas.openxmlformats.org/officeDocument/2006/relationships/ctrlProp" Target="../ctrlProps/ctrlProp86.xml"/><Relationship Id="rId17" Type="http://schemas.openxmlformats.org/officeDocument/2006/relationships/ctrlProp" Target="../ctrlProps/ctrlProp91.xml"/><Relationship Id="rId2" Type="http://schemas.openxmlformats.org/officeDocument/2006/relationships/drawing" Target="../drawings/drawing7.xml"/><Relationship Id="rId16" Type="http://schemas.openxmlformats.org/officeDocument/2006/relationships/ctrlProp" Target="../ctrlProps/ctrlProp90.xml"/><Relationship Id="rId1" Type="http://schemas.openxmlformats.org/officeDocument/2006/relationships/printerSettings" Target="../printerSettings/printerSettings23.bin"/><Relationship Id="rId6" Type="http://schemas.openxmlformats.org/officeDocument/2006/relationships/ctrlProp" Target="../ctrlProps/ctrlProp80.xml"/><Relationship Id="rId11" Type="http://schemas.openxmlformats.org/officeDocument/2006/relationships/ctrlProp" Target="../ctrlProps/ctrlProp85.xml"/><Relationship Id="rId5" Type="http://schemas.openxmlformats.org/officeDocument/2006/relationships/ctrlProp" Target="../ctrlProps/ctrlProp79.xml"/><Relationship Id="rId15" Type="http://schemas.openxmlformats.org/officeDocument/2006/relationships/ctrlProp" Target="../ctrlProps/ctrlProp89.xml"/><Relationship Id="rId10" Type="http://schemas.openxmlformats.org/officeDocument/2006/relationships/ctrlProp" Target="../ctrlProps/ctrlProp84.xml"/><Relationship Id="rId4" Type="http://schemas.openxmlformats.org/officeDocument/2006/relationships/ctrlProp" Target="../ctrlProps/ctrlProp78.xml"/><Relationship Id="rId9" Type="http://schemas.openxmlformats.org/officeDocument/2006/relationships/ctrlProp" Target="../ctrlProps/ctrlProp83.xml"/><Relationship Id="rId14" Type="http://schemas.openxmlformats.org/officeDocument/2006/relationships/ctrlProp" Target="../ctrlProps/ctrlProp88.xml"/></Relationships>
</file>

<file path=xl/worksheets/_rels/sheet26.xml.rels><?xml version="1.0" encoding="UTF-8" standalone="yes"?>
<Relationships xmlns="http://schemas.openxmlformats.org/package/2006/relationships"><Relationship Id="rId8" Type="http://schemas.openxmlformats.org/officeDocument/2006/relationships/ctrlProp" Target="../ctrlProps/ctrlProp96.xml"/><Relationship Id="rId13" Type="http://schemas.openxmlformats.org/officeDocument/2006/relationships/ctrlProp" Target="../ctrlProps/ctrlProp101.xml"/><Relationship Id="rId18" Type="http://schemas.openxmlformats.org/officeDocument/2006/relationships/ctrlProp" Target="../ctrlProps/ctrlProp106.xml"/><Relationship Id="rId26" Type="http://schemas.openxmlformats.org/officeDocument/2006/relationships/ctrlProp" Target="../ctrlProps/ctrlProp114.xml"/><Relationship Id="rId3" Type="http://schemas.openxmlformats.org/officeDocument/2006/relationships/vmlDrawing" Target="../drawings/vmlDrawing6.vml"/><Relationship Id="rId21" Type="http://schemas.openxmlformats.org/officeDocument/2006/relationships/ctrlProp" Target="../ctrlProps/ctrlProp109.xml"/><Relationship Id="rId7" Type="http://schemas.openxmlformats.org/officeDocument/2006/relationships/ctrlProp" Target="../ctrlProps/ctrlProp95.xml"/><Relationship Id="rId12" Type="http://schemas.openxmlformats.org/officeDocument/2006/relationships/ctrlProp" Target="../ctrlProps/ctrlProp100.xml"/><Relationship Id="rId17" Type="http://schemas.openxmlformats.org/officeDocument/2006/relationships/ctrlProp" Target="../ctrlProps/ctrlProp105.xml"/><Relationship Id="rId25" Type="http://schemas.openxmlformats.org/officeDocument/2006/relationships/ctrlProp" Target="../ctrlProps/ctrlProp113.xml"/><Relationship Id="rId2" Type="http://schemas.openxmlformats.org/officeDocument/2006/relationships/drawing" Target="../drawings/drawing8.xml"/><Relationship Id="rId16" Type="http://schemas.openxmlformats.org/officeDocument/2006/relationships/ctrlProp" Target="../ctrlProps/ctrlProp104.xml"/><Relationship Id="rId20" Type="http://schemas.openxmlformats.org/officeDocument/2006/relationships/ctrlProp" Target="../ctrlProps/ctrlProp108.xml"/><Relationship Id="rId1" Type="http://schemas.openxmlformats.org/officeDocument/2006/relationships/printerSettings" Target="../printerSettings/printerSettings24.bin"/><Relationship Id="rId6" Type="http://schemas.openxmlformats.org/officeDocument/2006/relationships/ctrlProp" Target="../ctrlProps/ctrlProp94.xml"/><Relationship Id="rId11" Type="http://schemas.openxmlformats.org/officeDocument/2006/relationships/ctrlProp" Target="../ctrlProps/ctrlProp99.xml"/><Relationship Id="rId24" Type="http://schemas.openxmlformats.org/officeDocument/2006/relationships/ctrlProp" Target="../ctrlProps/ctrlProp112.xml"/><Relationship Id="rId5" Type="http://schemas.openxmlformats.org/officeDocument/2006/relationships/ctrlProp" Target="../ctrlProps/ctrlProp93.xml"/><Relationship Id="rId15" Type="http://schemas.openxmlformats.org/officeDocument/2006/relationships/ctrlProp" Target="../ctrlProps/ctrlProp103.xml"/><Relationship Id="rId23" Type="http://schemas.openxmlformats.org/officeDocument/2006/relationships/ctrlProp" Target="../ctrlProps/ctrlProp111.xml"/><Relationship Id="rId28" Type="http://schemas.openxmlformats.org/officeDocument/2006/relationships/ctrlProp" Target="../ctrlProps/ctrlProp116.xml"/><Relationship Id="rId10" Type="http://schemas.openxmlformats.org/officeDocument/2006/relationships/ctrlProp" Target="../ctrlProps/ctrlProp98.xml"/><Relationship Id="rId19" Type="http://schemas.openxmlformats.org/officeDocument/2006/relationships/ctrlProp" Target="../ctrlProps/ctrlProp107.xml"/><Relationship Id="rId4" Type="http://schemas.openxmlformats.org/officeDocument/2006/relationships/ctrlProp" Target="../ctrlProps/ctrlProp92.xml"/><Relationship Id="rId9" Type="http://schemas.openxmlformats.org/officeDocument/2006/relationships/ctrlProp" Target="../ctrlProps/ctrlProp97.xml"/><Relationship Id="rId14" Type="http://schemas.openxmlformats.org/officeDocument/2006/relationships/ctrlProp" Target="../ctrlProps/ctrlProp102.xml"/><Relationship Id="rId22" Type="http://schemas.openxmlformats.org/officeDocument/2006/relationships/ctrlProp" Target="../ctrlProps/ctrlProp110.xml"/><Relationship Id="rId27" Type="http://schemas.openxmlformats.org/officeDocument/2006/relationships/ctrlProp" Target="../ctrlProps/ctrlProp115.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8" Type="http://schemas.openxmlformats.org/officeDocument/2006/relationships/ctrlProp" Target="../ctrlProps/ctrlProp121.xml"/><Relationship Id="rId13" Type="http://schemas.openxmlformats.org/officeDocument/2006/relationships/ctrlProp" Target="../ctrlProps/ctrlProp126.xml"/><Relationship Id="rId3" Type="http://schemas.openxmlformats.org/officeDocument/2006/relationships/vmlDrawing" Target="../drawings/vmlDrawing7.vml"/><Relationship Id="rId7" Type="http://schemas.openxmlformats.org/officeDocument/2006/relationships/ctrlProp" Target="../ctrlProps/ctrlProp120.xml"/><Relationship Id="rId12" Type="http://schemas.openxmlformats.org/officeDocument/2006/relationships/ctrlProp" Target="../ctrlProps/ctrlProp125.xml"/><Relationship Id="rId2" Type="http://schemas.openxmlformats.org/officeDocument/2006/relationships/drawing" Target="../drawings/drawing12.xml"/><Relationship Id="rId1" Type="http://schemas.openxmlformats.org/officeDocument/2006/relationships/printerSettings" Target="../printerSettings/printerSettings28.bin"/><Relationship Id="rId6" Type="http://schemas.openxmlformats.org/officeDocument/2006/relationships/ctrlProp" Target="../ctrlProps/ctrlProp119.xml"/><Relationship Id="rId11" Type="http://schemas.openxmlformats.org/officeDocument/2006/relationships/ctrlProp" Target="../ctrlProps/ctrlProp124.xml"/><Relationship Id="rId5" Type="http://schemas.openxmlformats.org/officeDocument/2006/relationships/ctrlProp" Target="../ctrlProps/ctrlProp118.xml"/><Relationship Id="rId15" Type="http://schemas.openxmlformats.org/officeDocument/2006/relationships/ctrlProp" Target="../ctrlProps/ctrlProp128.xml"/><Relationship Id="rId10" Type="http://schemas.openxmlformats.org/officeDocument/2006/relationships/ctrlProp" Target="../ctrlProps/ctrlProp123.xml"/><Relationship Id="rId4" Type="http://schemas.openxmlformats.org/officeDocument/2006/relationships/ctrlProp" Target="../ctrlProps/ctrlProp117.xml"/><Relationship Id="rId9" Type="http://schemas.openxmlformats.org/officeDocument/2006/relationships/ctrlProp" Target="../ctrlProps/ctrlProp122.xml"/><Relationship Id="rId14" Type="http://schemas.openxmlformats.org/officeDocument/2006/relationships/ctrlProp" Target="../ctrlProps/ctrlProp127.xml"/></Relationships>
</file>

<file path=xl/worksheets/_rels/sheet31.xml.rels><?xml version="1.0" encoding="UTF-8" standalone="yes"?>
<Relationships xmlns="http://schemas.openxmlformats.org/package/2006/relationships"><Relationship Id="rId13" Type="http://schemas.openxmlformats.org/officeDocument/2006/relationships/ctrlProp" Target="../ctrlProps/ctrlProp138.xml"/><Relationship Id="rId18" Type="http://schemas.openxmlformats.org/officeDocument/2006/relationships/ctrlProp" Target="../ctrlProps/ctrlProp143.xml"/><Relationship Id="rId26" Type="http://schemas.openxmlformats.org/officeDocument/2006/relationships/ctrlProp" Target="../ctrlProps/ctrlProp151.xml"/><Relationship Id="rId39" Type="http://schemas.openxmlformats.org/officeDocument/2006/relationships/ctrlProp" Target="../ctrlProps/ctrlProp164.xml"/><Relationship Id="rId21" Type="http://schemas.openxmlformats.org/officeDocument/2006/relationships/ctrlProp" Target="../ctrlProps/ctrlProp146.xml"/><Relationship Id="rId34" Type="http://schemas.openxmlformats.org/officeDocument/2006/relationships/ctrlProp" Target="../ctrlProps/ctrlProp159.xml"/><Relationship Id="rId42" Type="http://schemas.openxmlformats.org/officeDocument/2006/relationships/ctrlProp" Target="../ctrlProps/ctrlProp167.xml"/><Relationship Id="rId47" Type="http://schemas.openxmlformats.org/officeDocument/2006/relationships/ctrlProp" Target="../ctrlProps/ctrlProp172.xml"/><Relationship Id="rId7" Type="http://schemas.openxmlformats.org/officeDocument/2006/relationships/ctrlProp" Target="../ctrlProps/ctrlProp132.xml"/><Relationship Id="rId2" Type="http://schemas.openxmlformats.org/officeDocument/2006/relationships/drawing" Target="../drawings/drawing13.xml"/><Relationship Id="rId16" Type="http://schemas.openxmlformats.org/officeDocument/2006/relationships/ctrlProp" Target="../ctrlProps/ctrlProp141.xml"/><Relationship Id="rId29" Type="http://schemas.openxmlformats.org/officeDocument/2006/relationships/ctrlProp" Target="../ctrlProps/ctrlProp154.xml"/><Relationship Id="rId1" Type="http://schemas.openxmlformats.org/officeDocument/2006/relationships/printerSettings" Target="../printerSettings/printerSettings29.bin"/><Relationship Id="rId6" Type="http://schemas.openxmlformats.org/officeDocument/2006/relationships/ctrlProp" Target="../ctrlProps/ctrlProp131.xml"/><Relationship Id="rId11" Type="http://schemas.openxmlformats.org/officeDocument/2006/relationships/ctrlProp" Target="../ctrlProps/ctrlProp136.xml"/><Relationship Id="rId24" Type="http://schemas.openxmlformats.org/officeDocument/2006/relationships/ctrlProp" Target="../ctrlProps/ctrlProp149.xml"/><Relationship Id="rId32" Type="http://schemas.openxmlformats.org/officeDocument/2006/relationships/ctrlProp" Target="../ctrlProps/ctrlProp157.xml"/><Relationship Id="rId37" Type="http://schemas.openxmlformats.org/officeDocument/2006/relationships/ctrlProp" Target="../ctrlProps/ctrlProp162.xml"/><Relationship Id="rId40" Type="http://schemas.openxmlformats.org/officeDocument/2006/relationships/ctrlProp" Target="../ctrlProps/ctrlProp165.xml"/><Relationship Id="rId45" Type="http://schemas.openxmlformats.org/officeDocument/2006/relationships/ctrlProp" Target="../ctrlProps/ctrlProp170.xml"/><Relationship Id="rId5" Type="http://schemas.openxmlformats.org/officeDocument/2006/relationships/ctrlProp" Target="../ctrlProps/ctrlProp130.xml"/><Relationship Id="rId15" Type="http://schemas.openxmlformats.org/officeDocument/2006/relationships/ctrlProp" Target="../ctrlProps/ctrlProp140.xml"/><Relationship Id="rId23" Type="http://schemas.openxmlformats.org/officeDocument/2006/relationships/ctrlProp" Target="../ctrlProps/ctrlProp148.xml"/><Relationship Id="rId28" Type="http://schemas.openxmlformats.org/officeDocument/2006/relationships/ctrlProp" Target="../ctrlProps/ctrlProp153.xml"/><Relationship Id="rId36" Type="http://schemas.openxmlformats.org/officeDocument/2006/relationships/ctrlProp" Target="../ctrlProps/ctrlProp161.xml"/><Relationship Id="rId10" Type="http://schemas.openxmlformats.org/officeDocument/2006/relationships/ctrlProp" Target="../ctrlProps/ctrlProp135.xml"/><Relationship Id="rId19" Type="http://schemas.openxmlformats.org/officeDocument/2006/relationships/ctrlProp" Target="../ctrlProps/ctrlProp144.xml"/><Relationship Id="rId31" Type="http://schemas.openxmlformats.org/officeDocument/2006/relationships/ctrlProp" Target="../ctrlProps/ctrlProp156.xml"/><Relationship Id="rId44" Type="http://schemas.openxmlformats.org/officeDocument/2006/relationships/ctrlProp" Target="../ctrlProps/ctrlProp169.xml"/><Relationship Id="rId4" Type="http://schemas.openxmlformats.org/officeDocument/2006/relationships/ctrlProp" Target="../ctrlProps/ctrlProp129.xml"/><Relationship Id="rId9" Type="http://schemas.openxmlformats.org/officeDocument/2006/relationships/ctrlProp" Target="../ctrlProps/ctrlProp134.xml"/><Relationship Id="rId14" Type="http://schemas.openxmlformats.org/officeDocument/2006/relationships/ctrlProp" Target="../ctrlProps/ctrlProp139.xml"/><Relationship Id="rId22" Type="http://schemas.openxmlformats.org/officeDocument/2006/relationships/ctrlProp" Target="../ctrlProps/ctrlProp147.xml"/><Relationship Id="rId27" Type="http://schemas.openxmlformats.org/officeDocument/2006/relationships/ctrlProp" Target="../ctrlProps/ctrlProp152.xml"/><Relationship Id="rId30" Type="http://schemas.openxmlformats.org/officeDocument/2006/relationships/ctrlProp" Target="../ctrlProps/ctrlProp155.xml"/><Relationship Id="rId35" Type="http://schemas.openxmlformats.org/officeDocument/2006/relationships/ctrlProp" Target="../ctrlProps/ctrlProp160.xml"/><Relationship Id="rId43" Type="http://schemas.openxmlformats.org/officeDocument/2006/relationships/ctrlProp" Target="../ctrlProps/ctrlProp168.xml"/><Relationship Id="rId48" Type="http://schemas.openxmlformats.org/officeDocument/2006/relationships/ctrlProp" Target="../ctrlProps/ctrlProp173.xml"/><Relationship Id="rId8" Type="http://schemas.openxmlformats.org/officeDocument/2006/relationships/ctrlProp" Target="../ctrlProps/ctrlProp133.xml"/><Relationship Id="rId3" Type="http://schemas.openxmlformats.org/officeDocument/2006/relationships/vmlDrawing" Target="../drawings/vmlDrawing8.vml"/><Relationship Id="rId12" Type="http://schemas.openxmlformats.org/officeDocument/2006/relationships/ctrlProp" Target="../ctrlProps/ctrlProp137.xml"/><Relationship Id="rId17" Type="http://schemas.openxmlformats.org/officeDocument/2006/relationships/ctrlProp" Target="../ctrlProps/ctrlProp142.xml"/><Relationship Id="rId25" Type="http://schemas.openxmlformats.org/officeDocument/2006/relationships/ctrlProp" Target="../ctrlProps/ctrlProp150.xml"/><Relationship Id="rId33" Type="http://schemas.openxmlformats.org/officeDocument/2006/relationships/ctrlProp" Target="../ctrlProps/ctrlProp158.xml"/><Relationship Id="rId38" Type="http://schemas.openxmlformats.org/officeDocument/2006/relationships/ctrlProp" Target="../ctrlProps/ctrlProp163.xml"/><Relationship Id="rId46" Type="http://schemas.openxmlformats.org/officeDocument/2006/relationships/ctrlProp" Target="../ctrlProps/ctrlProp171.xml"/><Relationship Id="rId20" Type="http://schemas.openxmlformats.org/officeDocument/2006/relationships/ctrlProp" Target="../ctrlProps/ctrlProp145.xml"/><Relationship Id="rId41" Type="http://schemas.openxmlformats.org/officeDocument/2006/relationships/ctrlProp" Target="../ctrlProps/ctrlProp166.xml"/></Relationships>
</file>

<file path=xl/worksheets/_rels/sheet32.xml.rels><?xml version="1.0" encoding="UTF-8" standalone="yes"?>
<Relationships xmlns="http://schemas.openxmlformats.org/package/2006/relationships"><Relationship Id="rId8" Type="http://schemas.openxmlformats.org/officeDocument/2006/relationships/ctrlProp" Target="../ctrlProps/ctrlProp178.xml"/><Relationship Id="rId3" Type="http://schemas.openxmlformats.org/officeDocument/2006/relationships/vmlDrawing" Target="../drawings/vmlDrawing9.vml"/><Relationship Id="rId7" Type="http://schemas.openxmlformats.org/officeDocument/2006/relationships/ctrlProp" Target="../ctrlProps/ctrlProp177.xml"/><Relationship Id="rId2" Type="http://schemas.openxmlformats.org/officeDocument/2006/relationships/drawing" Target="../drawings/drawing14.xml"/><Relationship Id="rId1" Type="http://schemas.openxmlformats.org/officeDocument/2006/relationships/printerSettings" Target="../printerSettings/printerSettings30.bin"/><Relationship Id="rId6" Type="http://schemas.openxmlformats.org/officeDocument/2006/relationships/ctrlProp" Target="../ctrlProps/ctrlProp176.xml"/><Relationship Id="rId11" Type="http://schemas.openxmlformats.org/officeDocument/2006/relationships/ctrlProp" Target="../ctrlProps/ctrlProp181.xml"/><Relationship Id="rId5" Type="http://schemas.openxmlformats.org/officeDocument/2006/relationships/ctrlProp" Target="../ctrlProps/ctrlProp175.xml"/><Relationship Id="rId10" Type="http://schemas.openxmlformats.org/officeDocument/2006/relationships/ctrlProp" Target="../ctrlProps/ctrlProp180.xml"/><Relationship Id="rId4" Type="http://schemas.openxmlformats.org/officeDocument/2006/relationships/ctrlProp" Target="../ctrlProps/ctrlProp174.xml"/><Relationship Id="rId9" Type="http://schemas.openxmlformats.org/officeDocument/2006/relationships/ctrlProp" Target="../ctrlProps/ctrlProp179.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8" Type="http://schemas.openxmlformats.org/officeDocument/2006/relationships/ctrlProp" Target="../ctrlProps/ctrlProp186.xml"/><Relationship Id="rId3" Type="http://schemas.openxmlformats.org/officeDocument/2006/relationships/vmlDrawing" Target="../drawings/vmlDrawing10.vml"/><Relationship Id="rId7" Type="http://schemas.openxmlformats.org/officeDocument/2006/relationships/ctrlProp" Target="../ctrlProps/ctrlProp185.xml"/><Relationship Id="rId12" Type="http://schemas.openxmlformats.org/officeDocument/2006/relationships/ctrlProp" Target="../ctrlProps/ctrlProp190.xml"/><Relationship Id="rId2" Type="http://schemas.openxmlformats.org/officeDocument/2006/relationships/drawing" Target="../drawings/drawing15.xml"/><Relationship Id="rId1" Type="http://schemas.openxmlformats.org/officeDocument/2006/relationships/printerSettings" Target="../printerSettings/printerSettings32.bin"/><Relationship Id="rId6" Type="http://schemas.openxmlformats.org/officeDocument/2006/relationships/ctrlProp" Target="../ctrlProps/ctrlProp184.xml"/><Relationship Id="rId11" Type="http://schemas.openxmlformats.org/officeDocument/2006/relationships/ctrlProp" Target="../ctrlProps/ctrlProp189.xml"/><Relationship Id="rId5" Type="http://schemas.openxmlformats.org/officeDocument/2006/relationships/ctrlProp" Target="../ctrlProps/ctrlProp183.xml"/><Relationship Id="rId10" Type="http://schemas.openxmlformats.org/officeDocument/2006/relationships/ctrlProp" Target="../ctrlProps/ctrlProp188.xml"/><Relationship Id="rId4" Type="http://schemas.openxmlformats.org/officeDocument/2006/relationships/ctrlProp" Target="../ctrlProps/ctrlProp182.xml"/><Relationship Id="rId9" Type="http://schemas.openxmlformats.org/officeDocument/2006/relationships/ctrlProp" Target="../ctrlProps/ctrlProp187.xml"/></Relationships>
</file>

<file path=xl/worksheets/_rels/sheet35.xml.rels><?xml version="1.0" encoding="UTF-8" standalone="yes"?>
<Relationships xmlns="http://schemas.openxmlformats.org/package/2006/relationships"><Relationship Id="rId13" Type="http://schemas.openxmlformats.org/officeDocument/2006/relationships/ctrlProp" Target="../ctrlProps/ctrlProp200.xml"/><Relationship Id="rId18" Type="http://schemas.openxmlformats.org/officeDocument/2006/relationships/ctrlProp" Target="../ctrlProps/ctrlProp205.xml"/><Relationship Id="rId26" Type="http://schemas.openxmlformats.org/officeDocument/2006/relationships/ctrlProp" Target="../ctrlProps/ctrlProp213.xml"/><Relationship Id="rId3" Type="http://schemas.openxmlformats.org/officeDocument/2006/relationships/vmlDrawing" Target="../drawings/vmlDrawing11.vml"/><Relationship Id="rId21" Type="http://schemas.openxmlformats.org/officeDocument/2006/relationships/ctrlProp" Target="../ctrlProps/ctrlProp208.xml"/><Relationship Id="rId34" Type="http://schemas.openxmlformats.org/officeDocument/2006/relationships/ctrlProp" Target="../ctrlProps/ctrlProp221.xml"/><Relationship Id="rId7" Type="http://schemas.openxmlformats.org/officeDocument/2006/relationships/ctrlProp" Target="../ctrlProps/ctrlProp194.xml"/><Relationship Id="rId12" Type="http://schemas.openxmlformats.org/officeDocument/2006/relationships/ctrlProp" Target="../ctrlProps/ctrlProp199.xml"/><Relationship Id="rId17" Type="http://schemas.openxmlformats.org/officeDocument/2006/relationships/ctrlProp" Target="../ctrlProps/ctrlProp204.xml"/><Relationship Id="rId25" Type="http://schemas.openxmlformats.org/officeDocument/2006/relationships/ctrlProp" Target="../ctrlProps/ctrlProp212.xml"/><Relationship Id="rId33" Type="http://schemas.openxmlformats.org/officeDocument/2006/relationships/ctrlProp" Target="../ctrlProps/ctrlProp220.xml"/><Relationship Id="rId2" Type="http://schemas.openxmlformats.org/officeDocument/2006/relationships/drawing" Target="../drawings/drawing16.xml"/><Relationship Id="rId16" Type="http://schemas.openxmlformats.org/officeDocument/2006/relationships/ctrlProp" Target="../ctrlProps/ctrlProp203.xml"/><Relationship Id="rId20" Type="http://schemas.openxmlformats.org/officeDocument/2006/relationships/ctrlProp" Target="../ctrlProps/ctrlProp207.xml"/><Relationship Id="rId29" Type="http://schemas.openxmlformats.org/officeDocument/2006/relationships/ctrlProp" Target="../ctrlProps/ctrlProp216.xml"/><Relationship Id="rId1" Type="http://schemas.openxmlformats.org/officeDocument/2006/relationships/printerSettings" Target="../printerSettings/printerSettings33.bin"/><Relationship Id="rId6" Type="http://schemas.openxmlformats.org/officeDocument/2006/relationships/ctrlProp" Target="../ctrlProps/ctrlProp193.xml"/><Relationship Id="rId11" Type="http://schemas.openxmlformats.org/officeDocument/2006/relationships/ctrlProp" Target="../ctrlProps/ctrlProp198.xml"/><Relationship Id="rId24" Type="http://schemas.openxmlformats.org/officeDocument/2006/relationships/ctrlProp" Target="../ctrlProps/ctrlProp211.xml"/><Relationship Id="rId32" Type="http://schemas.openxmlformats.org/officeDocument/2006/relationships/ctrlProp" Target="../ctrlProps/ctrlProp219.xml"/><Relationship Id="rId5" Type="http://schemas.openxmlformats.org/officeDocument/2006/relationships/ctrlProp" Target="../ctrlProps/ctrlProp192.xml"/><Relationship Id="rId15" Type="http://schemas.openxmlformats.org/officeDocument/2006/relationships/ctrlProp" Target="../ctrlProps/ctrlProp202.xml"/><Relationship Id="rId23" Type="http://schemas.openxmlformats.org/officeDocument/2006/relationships/ctrlProp" Target="../ctrlProps/ctrlProp210.xml"/><Relationship Id="rId28" Type="http://schemas.openxmlformats.org/officeDocument/2006/relationships/ctrlProp" Target="../ctrlProps/ctrlProp215.xml"/><Relationship Id="rId10" Type="http://schemas.openxmlformats.org/officeDocument/2006/relationships/ctrlProp" Target="../ctrlProps/ctrlProp197.xml"/><Relationship Id="rId19" Type="http://schemas.openxmlformats.org/officeDocument/2006/relationships/ctrlProp" Target="../ctrlProps/ctrlProp206.xml"/><Relationship Id="rId31" Type="http://schemas.openxmlformats.org/officeDocument/2006/relationships/ctrlProp" Target="../ctrlProps/ctrlProp218.xml"/><Relationship Id="rId4" Type="http://schemas.openxmlformats.org/officeDocument/2006/relationships/ctrlProp" Target="../ctrlProps/ctrlProp191.xml"/><Relationship Id="rId9" Type="http://schemas.openxmlformats.org/officeDocument/2006/relationships/ctrlProp" Target="../ctrlProps/ctrlProp196.xml"/><Relationship Id="rId14" Type="http://schemas.openxmlformats.org/officeDocument/2006/relationships/ctrlProp" Target="../ctrlProps/ctrlProp201.xml"/><Relationship Id="rId22" Type="http://schemas.openxmlformats.org/officeDocument/2006/relationships/ctrlProp" Target="../ctrlProps/ctrlProp209.xml"/><Relationship Id="rId27" Type="http://schemas.openxmlformats.org/officeDocument/2006/relationships/ctrlProp" Target="../ctrlProps/ctrlProp214.xml"/><Relationship Id="rId30" Type="http://schemas.openxmlformats.org/officeDocument/2006/relationships/ctrlProp" Target="../ctrlProps/ctrlProp217.xml"/><Relationship Id="rId8" Type="http://schemas.openxmlformats.org/officeDocument/2006/relationships/ctrlProp" Target="../ctrlProps/ctrlProp195.xm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8" Type="http://schemas.openxmlformats.org/officeDocument/2006/relationships/ctrlProp" Target="../ctrlProps/ctrlProp226.xml"/><Relationship Id="rId13" Type="http://schemas.openxmlformats.org/officeDocument/2006/relationships/ctrlProp" Target="../ctrlProps/ctrlProp231.xml"/><Relationship Id="rId3" Type="http://schemas.openxmlformats.org/officeDocument/2006/relationships/vmlDrawing" Target="../drawings/vmlDrawing12.vml"/><Relationship Id="rId7" Type="http://schemas.openxmlformats.org/officeDocument/2006/relationships/ctrlProp" Target="../ctrlProps/ctrlProp225.xml"/><Relationship Id="rId12" Type="http://schemas.openxmlformats.org/officeDocument/2006/relationships/ctrlProp" Target="../ctrlProps/ctrlProp230.xml"/><Relationship Id="rId2" Type="http://schemas.openxmlformats.org/officeDocument/2006/relationships/drawing" Target="../drawings/drawing17.xml"/><Relationship Id="rId1" Type="http://schemas.openxmlformats.org/officeDocument/2006/relationships/printerSettings" Target="../printerSettings/printerSettings35.bin"/><Relationship Id="rId6" Type="http://schemas.openxmlformats.org/officeDocument/2006/relationships/ctrlProp" Target="../ctrlProps/ctrlProp224.xml"/><Relationship Id="rId11" Type="http://schemas.openxmlformats.org/officeDocument/2006/relationships/ctrlProp" Target="../ctrlProps/ctrlProp229.xml"/><Relationship Id="rId5" Type="http://schemas.openxmlformats.org/officeDocument/2006/relationships/ctrlProp" Target="../ctrlProps/ctrlProp223.xml"/><Relationship Id="rId15" Type="http://schemas.openxmlformats.org/officeDocument/2006/relationships/ctrlProp" Target="../ctrlProps/ctrlProp233.xml"/><Relationship Id="rId10" Type="http://schemas.openxmlformats.org/officeDocument/2006/relationships/ctrlProp" Target="../ctrlProps/ctrlProp228.xml"/><Relationship Id="rId4" Type="http://schemas.openxmlformats.org/officeDocument/2006/relationships/ctrlProp" Target="../ctrlProps/ctrlProp222.xml"/><Relationship Id="rId9" Type="http://schemas.openxmlformats.org/officeDocument/2006/relationships/ctrlProp" Target="../ctrlProps/ctrlProp227.xml"/><Relationship Id="rId14" Type="http://schemas.openxmlformats.org/officeDocument/2006/relationships/ctrlProp" Target="../ctrlProps/ctrlProp232.xm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8.xml"/><Relationship Id="rId1" Type="http://schemas.openxmlformats.org/officeDocument/2006/relationships/printerSettings" Target="../printerSettings/printerSettings37.bin"/><Relationship Id="rId5" Type="http://schemas.openxmlformats.org/officeDocument/2006/relationships/ctrlProp" Target="../ctrlProps/ctrlProp235.xml"/><Relationship Id="rId4" Type="http://schemas.openxmlformats.org/officeDocument/2006/relationships/ctrlProp" Target="../ctrlProps/ctrlProp234.xml"/></Relationships>
</file>

<file path=xl/worksheets/_rels/sheet40.xml.rels><?xml version="1.0" encoding="UTF-8" standalone="yes"?>
<Relationships xmlns="http://schemas.openxmlformats.org/package/2006/relationships"><Relationship Id="rId8" Type="http://schemas.openxmlformats.org/officeDocument/2006/relationships/ctrlProp" Target="../ctrlProps/ctrlProp240.xml"/><Relationship Id="rId13" Type="http://schemas.openxmlformats.org/officeDocument/2006/relationships/ctrlProp" Target="../ctrlProps/ctrlProp245.xml"/><Relationship Id="rId3" Type="http://schemas.openxmlformats.org/officeDocument/2006/relationships/vmlDrawing" Target="../drawings/vmlDrawing14.vml"/><Relationship Id="rId7" Type="http://schemas.openxmlformats.org/officeDocument/2006/relationships/ctrlProp" Target="../ctrlProps/ctrlProp239.xml"/><Relationship Id="rId12" Type="http://schemas.openxmlformats.org/officeDocument/2006/relationships/ctrlProp" Target="../ctrlProps/ctrlProp244.xml"/><Relationship Id="rId2" Type="http://schemas.openxmlformats.org/officeDocument/2006/relationships/drawing" Target="../drawings/drawing19.xml"/><Relationship Id="rId1" Type="http://schemas.openxmlformats.org/officeDocument/2006/relationships/printerSettings" Target="../printerSettings/printerSettings38.bin"/><Relationship Id="rId6" Type="http://schemas.openxmlformats.org/officeDocument/2006/relationships/ctrlProp" Target="../ctrlProps/ctrlProp238.xml"/><Relationship Id="rId11" Type="http://schemas.openxmlformats.org/officeDocument/2006/relationships/ctrlProp" Target="../ctrlProps/ctrlProp243.xml"/><Relationship Id="rId5" Type="http://schemas.openxmlformats.org/officeDocument/2006/relationships/ctrlProp" Target="../ctrlProps/ctrlProp237.xml"/><Relationship Id="rId15" Type="http://schemas.openxmlformats.org/officeDocument/2006/relationships/ctrlProp" Target="../ctrlProps/ctrlProp247.xml"/><Relationship Id="rId10" Type="http://schemas.openxmlformats.org/officeDocument/2006/relationships/ctrlProp" Target="../ctrlProps/ctrlProp242.xml"/><Relationship Id="rId4" Type="http://schemas.openxmlformats.org/officeDocument/2006/relationships/ctrlProp" Target="../ctrlProps/ctrlProp236.xml"/><Relationship Id="rId9" Type="http://schemas.openxmlformats.org/officeDocument/2006/relationships/ctrlProp" Target="../ctrlProps/ctrlProp241.xml"/><Relationship Id="rId14" Type="http://schemas.openxmlformats.org/officeDocument/2006/relationships/ctrlProp" Target="../ctrlProps/ctrlProp246.xml"/></Relationships>
</file>

<file path=xl/worksheets/_rels/sheet41.xml.rels><?xml version="1.0" encoding="UTF-8" standalone="yes"?>
<Relationships xmlns="http://schemas.openxmlformats.org/package/2006/relationships"><Relationship Id="rId8" Type="http://schemas.openxmlformats.org/officeDocument/2006/relationships/ctrlProp" Target="../ctrlProps/ctrlProp252.xml"/><Relationship Id="rId13" Type="http://schemas.openxmlformats.org/officeDocument/2006/relationships/ctrlProp" Target="../ctrlProps/ctrlProp257.xml"/><Relationship Id="rId18" Type="http://schemas.openxmlformats.org/officeDocument/2006/relationships/ctrlProp" Target="../ctrlProps/ctrlProp262.xml"/><Relationship Id="rId3" Type="http://schemas.openxmlformats.org/officeDocument/2006/relationships/vmlDrawing" Target="../drawings/vmlDrawing15.vml"/><Relationship Id="rId7" Type="http://schemas.openxmlformats.org/officeDocument/2006/relationships/ctrlProp" Target="../ctrlProps/ctrlProp251.xml"/><Relationship Id="rId12" Type="http://schemas.openxmlformats.org/officeDocument/2006/relationships/ctrlProp" Target="../ctrlProps/ctrlProp256.xml"/><Relationship Id="rId17" Type="http://schemas.openxmlformats.org/officeDocument/2006/relationships/ctrlProp" Target="../ctrlProps/ctrlProp261.xml"/><Relationship Id="rId2" Type="http://schemas.openxmlformats.org/officeDocument/2006/relationships/drawing" Target="../drawings/drawing20.xml"/><Relationship Id="rId16" Type="http://schemas.openxmlformats.org/officeDocument/2006/relationships/ctrlProp" Target="../ctrlProps/ctrlProp260.xml"/><Relationship Id="rId1" Type="http://schemas.openxmlformats.org/officeDocument/2006/relationships/printerSettings" Target="../printerSettings/printerSettings39.bin"/><Relationship Id="rId6" Type="http://schemas.openxmlformats.org/officeDocument/2006/relationships/ctrlProp" Target="../ctrlProps/ctrlProp250.xml"/><Relationship Id="rId11" Type="http://schemas.openxmlformats.org/officeDocument/2006/relationships/ctrlProp" Target="../ctrlProps/ctrlProp255.xml"/><Relationship Id="rId5" Type="http://schemas.openxmlformats.org/officeDocument/2006/relationships/ctrlProp" Target="../ctrlProps/ctrlProp249.xml"/><Relationship Id="rId15" Type="http://schemas.openxmlformats.org/officeDocument/2006/relationships/ctrlProp" Target="../ctrlProps/ctrlProp259.xml"/><Relationship Id="rId10" Type="http://schemas.openxmlformats.org/officeDocument/2006/relationships/ctrlProp" Target="../ctrlProps/ctrlProp254.xml"/><Relationship Id="rId19" Type="http://schemas.openxmlformats.org/officeDocument/2006/relationships/ctrlProp" Target="../ctrlProps/ctrlProp263.xml"/><Relationship Id="rId4" Type="http://schemas.openxmlformats.org/officeDocument/2006/relationships/ctrlProp" Target="../ctrlProps/ctrlProp248.xml"/><Relationship Id="rId9" Type="http://schemas.openxmlformats.org/officeDocument/2006/relationships/ctrlProp" Target="../ctrlProps/ctrlProp253.xml"/><Relationship Id="rId14" Type="http://schemas.openxmlformats.org/officeDocument/2006/relationships/ctrlProp" Target="../ctrlProps/ctrlProp258.xml"/></Relationships>
</file>

<file path=xl/worksheets/_rels/sheet42.xml.rels><?xml version="1.0" encoding="UTF-8" standalone="yes"?>
<Relationships xmlns="http://schemas.openxmlformats.org/package/2006/relationships"><Relationship Id="rId13" Type="http://schemas.openxmlformats.org/officeDocument/2006/relationships/ctrlProp" Target="../ctrlProps/ctrlProp273.xml"/><Relationship Id="rId18" Type="http://schemas.openxmlformats.org/officeDocument/2006/relationships/ctrlProp" Target="../ctrlProps/ctrlProp278.xml"/><Relationship Id="rId26" Type="http://schemas.openxmlformats.org/officeDocument/2006/relationships/ctrlProp" Target="../ctrlProps/ctrlProp286.xml"/><Relationship Id="rId39" Type="http://schemas.openxmlformats.org/officeDocument/2006/relationships/ctrlProp" Target="../ctrlProps/ctrlProp299.xml"/><Relationship Id="rId21" Type="http://schemas.openxmlformats.org/officeDocument/2006/relationships/ctrlProp" Target="../ctrlProps/ctrlProp281.xml"/><Relationship Id="rId34" Type="http://schemas.openxmlformats.org/officeDocument/2006/relationships/ctrlProp" Target="../ctrlProps/ctrlProp294.xml"/><Relationship Id="rId42" Type="http://schemas.openxmlformats.org/officeDocument/2006/relationships/ctrlProp" Target="../ctrlProps/ctrlProp302.xml"/><Relationship Id="rId7" Type="http://schemas.openxmlformats.org/officeDocument/2006/relationships/ctrlProp" Target="../ctrlProps/ctrlProp267.xml"/><Relationship Id="rId2" Type="http://schemas.openxmlformats.org/officeDocument/2006/relationships/drawing" Target="../drawings/drawing21.xml"/><Relationship Id="rId16" Type="http://schemas.openxmlformats.org/officeDocument/2006/relationships/ctrlProp" Target="../ctrlProps/ctrlProp276.xml"/><Relationship Id="rId20" Type="http://schemas.openxmlformats.org/officeDocument/2006/relationships/ctrlProp" Target="../ctrlProps/ctrlProp280.xml"/><Relationship Id="rId29" Type="http://schemas.openxmlformats.org/officeDocument/2006/relationships/ctrlProp" Target="../ctrlProps/ctrlProp289.xml"/><Relationship Id="rId41" Type="http://schemas.openxmlformats.org/officeDocument/2006/relationships/ctrlProp" Target="../ctrlProps/ctrlProp301.xml"/><Relationship Id="rId1" Type="http://schemas.openxmlformats.org/officeDocument/2006/relationships/printerSettings" Target="../printerSettings/printerSettings40.bin"/><Relationship Id="rId6" Type="http://schemas.openxmlformats.org/officeDocument/2006/relationships/ctrlProp" Target="../ctrlProps/ctrlProp266.xml"/><Relationship Id="rId11" Type="http://schemas.openxmlformats.org/officeDocument/2006/relationships/ctrlProp" Target="../ctrlProps/ctrlProp271.xml"/><Relationship Id="rId24" Type="http://schemas.openxmlformats.org/officeDocument/2006/relationships/ctrlProp" Target="../ctrlProps/ctrlProp284.xml"/><Relationship Id="rId32" Type="http://schemas.openxmlformats.org/officeDocument/2006/relationships/ctrlProp" Target="../ctrlProps/ctrlProp292.xml"/><Relationship Id="rId37" Type="http://schemas.openxmlformats.org/officeDocument/2006/relationships/ctrlProp" Target="../ctrlProps/ctrlProp297.xml"/><Relationship Id="rId40" Type="http://schemas.openxmlformats.org/officeDocument/2006/relationships/ctrlProp" Target="../ctrlProps/ctrlProp300.xml"/><Relationship Id="rId5" Type="http://schemas.openxmlformats.org/officeDocument/2006/relationships/ctrlProp" Target="../ctrlProps/ctrlProp265.xml"/><Relationship Id="rId15" Type="http://schemas.openxmlformats.org/officeDocument/2006/relationships/ctrlProp" Target="../ctrlProps/ctrlProp275.xml"/><Relationship Id="rId23" Type="http://schemas.openxmlformats.org/officeDocument/2006/relationships/ctrlProp" Target="../ctrlProps/ctrlProp283.xml"/><Relationship Id="rId28" Type="http://schemas.openxmlformats.org/officeDocument/2006/relationships/ctrlProp" Target="../ctrlProps/ctrlProp288.xml"/><Relationship Id="rId36" Type="http://schemas.openxmlformats.org/officeDocument/2006/relationships/ctrlProp" Target="../ctrlProps/ctrlProp296.xml"/><Relationship Id="rId10" Type="http://schemas.openxmlformats.org/officeDocument/2006/relationships/ctrlProp" Target="../ctrlProps/ctrlProp270.xml"/><Relationship Id="rId19" Type="http://schemas.openxmlformats.org/officeDocument/2006/relationships/ctrlProp" Target="../ctrlProps/ctrlProp279.xml"/><Relationship Id="rId31" Type="http://schemas.openxmlformats.org/officeDocument/2006/relationships/ctrlProp" Target="../ctrlProps/ctrlProp291.xml"/><Relationship Id="rId4" Type="http://schemas.openxmlformats.org/officeDocument/2006/relationships/ctrlProp" Target="../ctrlProps/ctrlProp264.xml"/><Relationship Id="rId9" Type="http://schemas.openxmlformats.org/officeDocument/2006/relationships/ctrlProp" Target="../ctrlProps/ctrlProp269.xml"/><Relationship Id="rId14" Type="http://schemas.openxmlformats.org/officeDocument/2006/relationships/ctrlProp" Target="../ctrlProps/ctrlProp274.xml"/><Relationship Id="rId22" Type="http://schemas.openxmlformats.org/officeDocument/2006/relationships/ctrlProp" Target="../ctrlProps/ctrlProp282.xml"/><Relationship Id="rId27" Type="http://schemas.openxmlformats.org/officeDocument/2006/relationships/ctrlProp" Target="../ctrlProps/ctrlProp287.xml"/><Relationship Id="rId30" Type="http://schemas.openxmlformats.org/officeDocument/2006/relationships/ctrlProp" Target="../ctrlProps/ctrlProp290.xml"/><Relationship Id="rId35" Type="http://schemas.openxmlformats.org/officeDocument/2006/relationships/ctrlProp" Target="../ctrlProps/ctrlProp295.xml"/><Relationship Id="rId43" Type="http://schemas.openxmlformats.org/officeDocument/2006/relationships/ctrlProp" Target="../ctrlProps/ctrlProp303.xml"/><Relationship Id="rId8" Type="http://schemas.openxmlformats.org/officeDocument/2006/relationships/ctrlProp" Target="../ctrlProps/ctrlProp268.xml"/><Relationship Id="rId3" Type="http://schemas.openxmlformats.org/officeDocument/2006/relationships/vmlDrawing" Target="../drawings/vmlDrawing16.vml"/><Relationship Id="rId12" Type="http://schemas.openxmlformats.org/officeDocument/2006/relationships/ctrlProp" Target="../ctrlProps/ctrlProp272.xml"/><Relationship Id="rId17" Type="http://schemas.openxmlformats.org/officeDocument/2006/relationships/ctrlProp" Target="../ctrlProps/ctrlProp277.xml"/><Relationship Id="rId25" Type="http://schemas.openxmlformats.org/officeDocument/2006/relationships/ctrlProp" Target="../ctrlProps/ctrlProp285.xml"/><Relationship Id="rId33" Type="http://schemas.openxmlformats.org/officeDocument/2006/relationships/ctrlProp" Target="../ctrlProps/ctrlProp293.xml"/><Relationship Id="rId38" Type="http://schemas.openxmlformats.org/officeDocument/2006/relationships/ctrlProp" Target="../ctrlProps/ctrlProp298.xml"/></Relationships>
</file>

<file path=xl/worksheets/_rels/sheet43.xml.rels><?xml version="1.0" encoding="UTF-8" standalone="yes"?>
<Relationships xmlns="http://schemas.openxmlformats.org/package/2006/relationships"><Relationship Id="rId13" Type="http://schemas.openxmlformats.org/officeDocument/2006/relationships/ctrlProp" Target="../ctrlProps/ctrlProp313.xml"/><Relationship Id="rId18" Type="http://schemas.openxmlformats.org/officeDocument/2006/relationships/ctrlProp" Target="../ctrlProps/ctrlProp318.xml"/><Relationship Id="rId26" Type="http://schemas.openxmlformats.org/officeDocument/2006/relationships/ctrlProp" Target="../ctrlProps/ctrlProp326.xml"/><Relationship Id="rId3" Type="http://schemas.openxmlformats.org/officeDocument/2006/relationships/vmlDrawing" Target="../drawings/vmlDrawing17.vml"/><Relationship Id="rId21" Type="http://schemas.openxmlformats.org/officeDocument/2006/relationships/ctrlProp" Target="../ctrlProps/ctrlProp321.xml"/><Relationship Id="rId34" Type="http://schemas.openxmlformats.org/officeDocument/2006/relationships/ctrlProp" Target="../ctrlProps/ctrlProp334.xml"/><Relationship Id="rId7" Type="http://schemas.openxmlformats.org/officeDocument/2006/relationships/ctrlProp" Target="../ctrlProps/ctrlProp307.xml"/><Relationship Id="rId12" Type="http://schemas.openxmlformats.org/officeDocument/2006/relationships/ctrlProp" Target="../ctrlProps/ctrlProp312.xml"/><Relationship Id="rId17" Type="http://schemas.openxmlformats.org/officeDocument/2006/relationships/ctrlProp" Target="../ctrlProps/ctrlProp317.xml"/><Relationship Id="rId25" Type="http://schemas.openxmlformats.org/officeDocument/2006/relationships/ctrlProp" Target="../ctrlProps/ctrlProp325.xml"/><Relationship Id="rId33" Type="http://schemas.openxmlformats.org/officeDocument/2006/relationships/ctrlProp" Target="../ctrlProps/ctrlProp333.xml"/><Relationship Id="rId2" Type="http://schemas.openxmlformats.org/officeDocument/2006/relationships/drawing" Target="../drawings/drawing22.xml"/><Relationship Id="rId16" Type="http://schemas.openxmlformats.org/officeDocument/2006/relationships/ctrlProp" Target="../ctrlProps/ctrlProp316.xml"/><Relationship Id="rId20" Type="http://schemas.openxmlformats.org/officeDocument/2006/relationships/ctrlProp" Target="../ctrlProps/ctrlProp320.xml"/><Relationship Id="rId29" Type="http://schemas.openxmlformats.org/officeDocument/2006/relationships/ctrlProp" Target="../ctrlProps/ctrlProp329.xml"/><Relationship Id="rId1" Type="http://schemas.openxmlformats.org/officeDocument/2006/relationships/printerSettings" Target="../printerSettings/printerSettings41.bin"/><Relationship Id="rId6" Type="http://schemas.openxmlformats.org/officeDocument/2006/relationships/ctrlProp" Target="../ctrlProps/ctrlProp306.xml"/><Relationship Id="rId11" Type="http://schemas.openxmlformats.org/officeDocument/2006/relationships/ctrlProp" Target="../ctrlProps/ctrlProp311.xml"/><Relationship Id="rId24" Type="http://schemas.openxmlformats.org/officeDocument/2006/relationships/ctrlProp" Target="../ctrlProps/ctrlProp324.xml"/><Relationship Id="rId32" Type="http://schemas.openxmlformats.org/officeDocument/2006/relationships/ctrlProp" Target="../ctrlProps/ctrlProp332.xml"/><Relationship Id="rId5" Type="http://schemas.openxmlformats.org/officeDocument/2006/relationships/ctrlProp" Target="../ctrlProps/ctrlProp305.xml"/><Relationship Id="rId15" Type="http://schemas.openxmlformats.org/officeDocument/2006/relationships/ctrlProp" Target="../ctrlProps/ctrlProp315.xml"/><Relationship Id="rId23" Type="http://schemas.openxmlformats.org/officeDocument/2006/relationships/ctrlProp" Target="../ctrlProps/ctrlProp323.xml"/><Relationship Id="rId28" Type="http://schemas.openxmlformats.org/officeDocument/2006/relationships/ctrlProp" Target="../ctrlProps/ctrlProp328.xml"/><Relationship Id="rId36" Type="http://schemas.openxmlformats.org/officeDocument/2006/relationships/ctrlProp" Target="../ctrlProps/ctrlProp336.xml"/><Relationship Id="rId10" Type="http://schemas.openxmlformats.org/officeDocument/2006/relationships/ctrlProp" Target="../ctrlProps/ctrlProp310.xml"/><Relationship Id="rId19" Type="http://schemas.openxmlformats.org/officeDocument/2006/relationships/ctrlProp" Target="../ctrlProps/ctrlProp319.xml"/><Relationship Id="rId31" Type="http://schemas.openxmlformats.org/officeDocument/2006/relationships/ctrlProp" Target="../ctrlProps/ctrlProp331.xml"/><Relationship Id="rId4" Type="http://schemas.openxmlformats.org/officeDocument/2006/relationships/ctrlProp" Target="../ctrlProps/ctrlProp304.xml"/><Relationship Id="rId9" Type="http://schemas.openxmlformats.org/officeDocument/2006/relationships/ctrlProp" Target="../ctrlProps/ctrlProp309.xml"/><Relationship Id="rId14" Type="http://schemas.openxmlformats.org/officeDocument/2006/relationships/ctrlProp" Target="../ctrlProps/ctrlProp314.xml"/><Relationship Id="rId22" Type="http://schemas.openxmlformats.org/officeDocument/2006/relationships/ctrlProp" Target="../ctrlProps/ctrlProp322.xml"/><Relationship Id="rId27" Type="http://schemas.openxmlformats.org/officeDocument/2006/relationships/ctrlProp" Target="../ctrlProps/ctrlProp327.xml"/><Relationship Id="rId30" Type="http://schemas.openxmlformats.org/officeDocument/2006/relationships/ctrlProp" Target="../ctrlProps/ctrlProp330.xml"/><Relationship Id="rId35" Type="http://schemas.openxmlformats.org/officeDocument/2006/relationships/ctrlProp" Target="../ctrlProps/ctrlProp335.xml"/><Relationship Id="rId8" Type="http://schemas.openxmlformats.org/officeDocument/2006/relationships/ctrlProp" Target="../ctrlProps/ctrlProp308.xml"/></Relationships>
</file>

<file path=xl/worksheets/_rels/sheet44.xml.rels><?xml version="1.0" encoding="UTF-8" standalone="yes"?>
<Relationships xmlns="http://schemas.openxmlformats.org/package/2006/relationships"><Relationship Id="rId8" Type="http://schemas.openxmlformats.org/officeDocument/2006/relationships/ctrlProp" Target="../ctrlProps/ctrlProp341.xml"/><Relationship Id="rId3" Type="http://schemas.openxmlformats.org/officeDocument/2006/relationships/vmlDrawing" Target="../drawings/vmlDrawing18.vml"/><Relationship Id="rId7" Type="http://schemas.openxmlformats.org/officeDocument/2006/relationships/ctrlProp" Target="../ctrlProps/ctrlProp340.xml"/><Relationship Id="rId2" Type="http://schemas.openxmlformats.org/officeDocument/2006/relationships/drawing" Target="../drawings/drawing23.xml"/><Relationship Id="rId1" Type="http://schemas.openxmlformats.org/officeDocument/2006/relationships/printerSettings" Target="../printerSettings/printerSettings42.bin"/><Relationship Id="rId6" Type="http://schemas.openxmlformats.org/officeDocument/2006/relationships/ctrlProp" Target="../ctrlProps/ctrlProp339.xml"/><Relationship Id="rId11" Type="http://schemas.openxmlformats.org/officeDocument/2006/relationships/ctrlProp" Target="../ctrlProps/ctrlProp344.xml"/><Relationship Id="rId5" Type="http://schemas.openxmlformats.org/officeDocument/2006/relationships/ctrlProp" Target="../ctrlProps/ctrlProp338.xml"/><Relationship Id="rId10" Type="http://schemas.openxmlformats.org/officeDocument/2006/relationships/ctrlProp" Target="../ctrlProps/ctrlProp343.xml"/><Relationship Id="rId4" Type="http://schemas.openxmlformats.org/officeDocument/2006/relationships/ctrlProp" Target="../ctrlProps/ctrlProp337.xml"/><Relationship Id="rId9" Type="http://schemas.openxmlformats.org/officeDocument/2006/relationships/ctrlProp" Target="../ctrlProps/ctrlProp342.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6" Type="http://schemas.openxmlformats.org/officeDocument/2006/relationships/ctrlProp" Target="../ctrlProps/ctrlProp367.xml"/><Relationship Id="rId21" Type="http://schemas.openxmlformats.org/officeDocument/2006/relationships/ctrlProp" Target="../ctrlProps/ctrlProp362.xml"/><Relationship Id="rId42" Type="http://schemas.openxmlformats.org/officeDocument/2006/relationships/ctrlProp" Target="../ctrlProps/ctrlProp383.xml"/><Relationship Id="rId47" Type="http://schemas.openxmlformats.org/officeDocument/2006/relationships/ctrlProp" Target="../ctrlProps/ctrlProp388.xml"/><Relationship Id="rId63" Type="http://schemas.openxmlformats.org/officeDocument/2006/relationships/ctrlProp" Target="../ctrlProps/ctrlProp404.xml"/><Relationship Id="rId68" Type="http://schemas.openxmlformats.org/officeDocument/2006/relationships/ctrlProp" Target="../ctrlProps/ctrlProp409.xml"/><Relationship Id="rId84" Type="http://schemas.openxmlformats.org/officeDocument/2006/relationships/ctrlProp" Target="../ctrlProps/ctrlProp425.xml"/><Relationship Id="rId89" Type="http://schemas.openxmlformats.org/officeDocument/2006/relationships/ctrlProp" Target="../ctrlProps/ctrlProp430.xml"/><Relationship Id="rId16" Type="http://schemas.openxmlformats.org/officeDocument/2006/relationships/ctrlProp" Target="../ctrlProps/ctrlProp357.xml"/><Relationship Id="rId11" Type="http://schemas.openxmlformats.org/officeDocument/2006/relationships/ctrlProp" Target="../ctrlProps/ctrlProp352.xml"/><Relationship Id="rId32" Type="http://schemas.openxmlformats.org/officeDocument/2006/relationships/ctrlProp" Target="../ctrlProps/ctrlProp373.xml"/><Relationship Id="rId37" Type="http://schemas.openxmlformats.org/officeDocument/2006/relationships/ctrlProp" Target="../ctrlProps/ctrlProp378.xml"/><Relationship Id="rId53" Type="http://schemas.openxmlformats.org/officeDocument/2006/relationships/ctrlProp" Target="../ctrlProps/ctrlProp394.xml"/><Relationship Id="rId58" Type="http://schemas.openxmlformats.org/officeDocument/2006/relationships/ctrlProp" Target="../ctrlProps/ctrlProp399.xml"/><Relationship Id="rId74" Type="http://schemas.openxmlformats.org/officeDocument/2006/relationships/ctrlProp" Target="../ctrlProps/ctrlProp415.xml"/><Relationship Id="rId79" Type="http://schemas.openxmlformats.org/officeDocument/2006/relationships/ctrlProp" Target="../ctrlProps/ctrlProp420.xml"/><Relationship Id="rId5" Type="http://schemas.openxmlformats.org/officeDocument/2006/relationships/ctrlProp" Target="../ctrlProps/ctrlProp346.xml"/><Relationship Id="rId90" Type="http://schemas.openxmlformats.org/officeDocument/2006/relationships/ctrlProp" Target="../ctrlProps/ctrlProp431.xml"/><Relationship Id="rId14" Type="http://schemas.openxmlformats.org/officeDocument/2006/relationships/ctrlProp" Target="../ctrlProps/ctrlProp355.xml"/><Relationship Id="rId22" Type="http://schemas.openxmlformats.org/officeDocument/2006/relationships/ctrlProp" Target="../ctrlProps/ctrlProp363.xml"/><Relationship Id="rId27" Type="http://schemas.openxmlformats.org/officeDocument/2006/relationships/ctrlProp" Target="../ctrlProps/ctrlProp368.xml"/><Relationship Id="rId30" Type="http://schemas.openxmlformats.org/officeDocument/2006/relationships/ctrlProp" Target="../ctrlProps/ctrlProp371.xml"/><Relationship Id="rId35" Type="http://schemas.openxmlformats.org/officeDocument/2006/relationships/ctrlProp" Target="../ctrlProps/ctrlProp376.xml"/><Relationship Id="rId43" Type="http://schemas.openxmlformats.org/officeDocument/2006/relationships/ctrlProp" Target="../ctrlProps/ctrlProp384.xml"/><Relationship Id="rId48" Type="http://schemas.openxmlformats.org/officeDocument/2006/relationships/ctrlProp" Target="../ctrlProps/ctrlProp389.xml"/><Relationship Id="rId56" Type="http://schemas.openxmlformats.org/officeDocument/2006/relationships/ctrlProp" Target="../ctrlProps/ctrlProp397.xml"/><Relationship Id="rId64" Type="http://schemas.openxmlformats.org/officeDocument/2006/relationships/ctrlProp" Target="../ctrlProps/ctrlProp405.xml"/><Relationship Id="rId69" Type="http://schemas.openxmlformats.org/officeDocument/2006/relationships/ctrlProp" Target="../ctrlProps/ctrlProp410.xml"/><Relationship Id="rId77" Type="http://schemas.openxmlformats.org/officeDocument/2006/relationships/ctrlProp" Target="../ctrlProps/ctrlProp418.xml"/><Relationship Id="rId8" Type="http://schemas.openxmlformats.org/officeDocument/2006/relationships/ctrlProp" Target="../ctrlProps/ctrlProp349.xml"/><Relationship Id="rId51" Type="http://schemas.openxmlformats.org/officeDocument/2006/relationships/ctrlProp" Target="../ctrlProps/ctrlProp392.xml"/><Relationship Id="rId72" Type="http://schemas.openxmlformats.org/officeDocument/2006/relationships/ctrlProp" Target="../ctrlProps/ctrlProp413.xml"/><Relationship Id="rId80" Type="http://schemas.openxmlformats.org/officeDocument/2006/relationships/ctrlProp" Target="../ctrlProps/ctrlProp421.xml"/><Relationship Id="rId85" Type="http://schemas.openxmlformats.org/officeDocument/2006/relationships/ctrlProp" Target="../ctrlProps/ctrlProp426.xml"/><Relationship Id="rId3" Type="http://schemas.openxmlformats.org/officeDocument/2006/relationships/vmlDrawing" Target="../drawings/vmlDrawing19.vml"/><Relationship Id="rId12" Type="http://schemas.openxmlformats.org/officeDocument/2006/relationships/ctrlProp" Target="../ctrlProps/ctrlProp353.xml"/><Relationship Id="rId17" Type="http://schemas.openxmlformats.org/officeDocument/2006/relationships/ctrlProp" Target="../ctrlProps/ctrlProp358.xml"/><Relationship Id="rId25" Type="http://schemas.openxmlformats.org/officeDocument/2006/relationships/ctrlProp" Target="../ctrlProps/ctrlProp366.xml"/><Relationship Id="rId33" Type="http://schemas.openxmlformats.org/officeDocument/2006/relationships/ctrlProp" Target="../ctrlProps/ctrlProp374.xml"/><Relationship Id="rId38" Type="http://schemas.openxmlformats.org/officeDocument/2006/relationships/ctrlProp" Target="../ctrlProps/ctrlProp379.xml"/><Relationship Id="rId46" Type="http://schemas.openxmlformats.org/officeDocument/2006/relationships/ctrlProp" Target="../ctrlProps/ctrlProp387.xml"/><Relationship Id="rId59" Type="http://schemas.openxmlformats.org/officeDocument/2006/relationships/ctrlProp" Target="../ctrlProps/ctrlProp400.xml"/><Relationship Id="rId67" Type="http://schemas.openxmlformats.org/officeDocument/2006/relationships/ctrlProp" Target="../ctrlProps/ctrlProp408.xml"/><Relationship Id="rId20" Type="http://schemas.openxmlformats.org/officeDocument/2006/relationships/ctrlProp" Target="../ctrlProps/ctrlProp361.xml"/><Relationship Id="rId41" Type="http://schemas.openxmlformats.org/officeDocument/2006/relationships/ctrlProp" Target="../ctrlProps/ctrlProp382.xml"/><Relationship Id="rId54" Type="http://schemas.openxmlformats.org/officeDocument/2006/relationships/ctrlProp" Target="../ctrlProps/ctrlProp395.xml"/><Relationship Id="rId62" Type="http://schemas.openxmlformats.org/officeDocument/2006/relationships/ctrlProp" Target="../ctrlProps/ctrlProp403.xml"/><Relationship Id="rId70" Type="http://schemas.openxmlformats.org/officeDocument/2006/relationships/ctrlProp" Target="../ctrlProps/ctrlProp411.xml"/><Relationship Id="rId75" Type="http://schemas.openxmlformats.org/officeDocument/2006/relationships/ctrlProp" Target="../ctrlProps/ctrlProp416.xml"/><Relationship Id="rId83" Type="http://schemas.openxmlformats.org/officeDocument/2006/relationships/ctrlProp" Target="../ctrlProps/ctrlProp424.xml"/><Relationship Id="rId88" Type="http://schemas.openxmlformats.org/officeDocument/2006/relationships/ctrlProp" Target="../ctrlProps/ctrlProp429.xml"/><Relationship Id="rId1" Type="http://schemas.openxmlformats.org/officeDocument/2006/relationships/printerSettings" Target="../printerSettings/printerSettings44.bin"/><Relationship Id="rId6" Type="http://schemas.openxmlformats.org/officeDocument/2006/relationships/ctrlProp" Target="../ctrlProps/ctrlProp347.xml"/><Relationship Id="rId15" Type="http://schemas.openxmlformats.org/officeDocument/2006/relationships/ctrlProp" Target="../ctrlProps/ctrlProp356.xml"/><Relationship Id="rId23" Type="http://schemas.openxmlformats.org/officeDocument/2006/relationships/ctrlProp" Target="../ctrlProps/ctrlProp364.xml"/><Relationship Id="rId28" Type="http://schemas.openxmlformats.org/officeDocument/2006/relationships/ctrlProp" Target="../ctrlProps/ctrlProp369.xml"/><Relationship Id="rId36" Type="http://schemas.openxmlformats.org/officeDocument/2006/relationships/ctrlProp" Target="../ctrlProps/ctrlProp377.xml"/><Relationship Id="rId49" Type="http://schemas.openxmlformats.org/officeDocument/2006/relationships/ctrlProp" Target="../ctrlProps/ctrlProp390.xml"/><Relationship Id="rId57" Type="http://schemas.openxmlformats.org/officeDocument/2006/relationships/ctrlProp" Target="../ctrlProps/ctrlProp398.xml"/><Relationship Id="rId10" Type="http://schemas.openxmlformats.org/officeDocument/2006/relationships/ctrlProp" Target="../ctrlProps/ctrlProp351.xml"/><Relationship Id="rId31" Type="http://schemas.openxmlformats.org/officeDocument/2006/relationships/ctrlProp" Target="../ctrlProps/ctrlProp372.xml"/><Relationship Id="rId44" Type="http://schemas.openxmlformats.org/officeDocument/2006/relationships/ctrlProp" Target="../ctrlProps/ctrlProp385.xml"/><Relationship Id="rId52" Type="http://schemas.openxmlformats.org/officeDocument/2006/relationships/ctrlProp" Target="../ctrlProps/ctrlProp393.xml"/><Relationship Id="rId60" Type="http://schemas.openxmlformats.org/officeDocument/2006/relationships/ctrlProp" Target="../ctrlProps/ctrlProp401.xml"/><Relationship Id="rId65" Type="http://schemas.openxmlformats.org/officeDocument/2006/relationships/ctrlProp" Target="../ctrlProps/ctrlProp406.xml"/><Relationship Id="rId73" Type="http://schemas.openxmlformats.org/officeDocument/2006/relationships/ctrlProp" Target="../ctrlProps/ctrlProp414.xml"/><Relationship Id="rId78" Type="http://schemas.openxmlformats.org/officeDocument/2006/relationships/ctrlProp" Target="../ctrlProps/ctrlProp419.xml"/><Relationship Id="rId81" Type="http://schemas.openxmlformats.org/officeDocument/2006/relationships/ctrlProp" Target="../ctrlProps/ctrlProp422.xml"/><Relationship Id="rId86" Type="http://schemas.openxmlformats.org/officeDocument/2006/relationships/ctrlProp" Target="../ctrlProps/ctrlProp427.xml"/><Relationship Id="rId4" Type="http://schemas.openxmlformats.org/officeDocument/2006/relationships/ctrlProp" Target="../ctrlProps/ctrlProp345.xml"/><Relationship Id="rId9" Type="http://schemas.openxmlformats.org/officeDocument/2006/relationships/ctrlProp" Target="../ctrlProps/ctrlProp350.xml"/><Relationship Id="rId13" Type="http://schemas.openxmlformats.org/officeDocument/2006/relationships/ctrlProp" Target="../ctrlProps/ctrlProp354.xml"/><Relationship Id="rId18" Type="http://schemas.openxmlformats.org/officeDocument/2006/relationships/ctrlProp" Target="../ctrlProps/ctrlProp359.xml"/><Relationship Id="rId39" Type="http://schemas.openxmlformats.org/officeDocument/2006/relationships/ctrlProp" Target="../ctrlProps/ctrlProp380.xml"/><Relationship Id="rId34" Type="http://schemas.openxmlformats.org/officeDocument/2006/relationships/ctrlProp" Target="../ctrlProps/ctrlProp375.xml"/><Relationship Id="rId50" Type="http://schemas.openxmlformats.org/officeDocument/2006/relationships/ctrlProp" Target="../ctrlProps/ctrlProp391.xml"/><Relationship Id="rId55" Type="http://schemas.openxmlformats.org/officeDocument/2006/relationships/ctrlProp" Target="../ctrlProps/ctrlProp396.xml"/><Relationship Id="rId76" Type="http://schemas.openxmlformats.org/officeDocument/2006/relationships/ctrlProp" Target="../ctrlProps/ctrlProp417.xml"/><Relationship Id="rId7" Type="http://schemas.openxmlformats.org/officeDocument/2006/relationships/ctrlProp" Target="../ctrlProps/ctrlProp348.xml"/><Relationship Id="rId71" Type="http://schemas.openxmlformats.org/officeDocument/2006/relationships/ctrlProp" Target="../ctrlProps/ctrlProp412.xml"/><Relationship Id="rId2" Type="http://schemas.openxmlformats.org/officeDocument/2006/relationships/drawing" Target="../drawings/drawing24.xml"/><Relationship Id="rId29" Type="http://schemas.openxmlformats.org/officeDocument/2006/relationships/ctrlProp" Target="../ctrlProps/ctrlProp370.xml"/><Relationship Id="rId24" Type="http://schemas.openxmlformats.org/officeDocument/2006/relationships/ctrlProp" Target="../ctrlProps/ctrlProp365.xml"/><Relationship Id="rId40" Type="http://schemas.openxmlformats.org/officeDocument/2006/relationships/ctrlProp" Target="../ctrlProps/ctrlProp381.xml"/><Relationship Id="rId45" Type="http://schemas.openxmlformats.org/officeDocument/2006/relationships/ctrlProp" Target="../ctrlProps/ctrlProp386.xml"/><Relationship Id="rId66" Type="http://schemas.openxmlformats.org/officeDocument/2006/relationships/ctrlProp" Target="../ctrlProps/ctrlProp407.xml"/><Relationship Id="rId87" Type="http://schemas.openxmlformats.org/officeDocument/2006/relationships/ctrlProp" Target="../ctrlProps/ctrlProp428.xml"/><Relationship Id="rId61" Type="http://schemas.openxmlformats.org/officeDocument/2006/relationships/ctrlProp" Target="../ctrlProps/ctrlProp402.xml"/><Relationship Id="rId82" Type="http://schemas.openxmlformats.org/officeDocument/2006/relationships/ctrlProp" Target="../ctrlProps/ctrlProp423.xml"/><Relationship Id="rId19" Type="http://schemas.openxmlformats.org/officeDocument/2006/relationships/ctrlProp" Target="../ctrlProps/ctrlProp360.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8" Type="http://schemas.openxmlformats.org/officeDocument/2006/relationships/ctrlProp" Target="../ctrlProps/ctrlProp436.xml"/><Relationship Id="rId13" Type="http://schemas.openxmlformats.org/officeDocument/2006/relationships/ctrlProp" Target="../ctrlProps/ctrlProp441.xml"/><Relationship Id="rId18" Type="http://schemas.openxmlformats.org/officeDocument/2006/relationships/ctrlProp" Target="../ctrlProps/ctrlProp446.xml"/><Relationship Id="rId3" Type="http://schemas.openxmlformats.org/officeDocument/2006/relationships/vmlDrawing" Target="../drawings/vmlDrawing20.vml"/><Relationship Id="rId7" Type="http://schemas.openxmlformats.org/officeDocument/2006/relationships/ctrlProp" Target="../ctrlProps/ctrlProp435.xml"/><Relationship Id="rId12" Type="http://schemas.openxmlformats.org/officeDocument/2006/relationships/ctrlProp" Target="../ctrlProps/ctrlProp440.xml"/><Relationship Id="rId17" Type="http://schemas.openxmlformats.org/officeDocument/2006/relationships/ctrlProp" Target="../ctrlProps/ctrlProp445.xml"/><Relationship Id="rId2" Type="http://schemas.openxmlformats.org/officeDocument/2006/relationships/drawing" Target="../drawings/drawing25.xml"/><Relationship Id="rId16" Type="http://schemas.openxmlformats.org/officeDocument/2006/relationships/ctrlProp" Target="../ctrlProps/ctrlProp444.xml"/><Relationship Id="rId1" Type="http://schemas.openxmlformats.org/officeDocument/2006/relationships/printerSettings" Target="../printerSettings/printerSettings50.bin"/><Relationship Id="rId6" Type="http://schemas.openxmlformats.org/officeDocument/2006/relationships/ctrlProp" Target="../ctrlProps/ctrlProp434.xml"/><Relationship Id="rId11" Type="http://schemas.openxmlformats.org/officeDocument/2006/relationships/ctrlProp" Target="../ctrlProps/ctrlProp439.xml"/><Relationship Id="rId5" Type="http://schemas.openxmlformats.org/officeDocument/2006/relationships/ctrlProp" Target="../ctrlProps/ctrlProp433.xml"/><Relationship Id="rId15" Type="http://schemas.openxmlformats.org/officeDocument/2006/relationships/ctrlProp" Target="../ctrlProps/ctrlProp443.xml"/><Relationship Id="rId10" Type="http://schemas.openxmlformats.org/officeDocument/2006/relationships/ctrlProp" Target="../ctrlProps/ctrlProp438.xml"/><Relationship Id="rId19" Type="http://schemas.openxmlformats.org/officeDocument/2006/relationships/ctrlProp" Target="../ctrlProps/ctrlProp447.xml"/><Relationship Id="rId4" Type="http://schemas.openxmlformats.org/officeDocument/2006/relationships/ctrlProp" Target="../ctrlProps/ctrlProp432.xml"/><Relationship Id="rId9" Type="http://schemas.openxmlformats.org/officeDocument/2006/relationships/ctrlProp" Target="../ctrlProps/ctrlProp437.xml"/><Relationship Id="rId14" Type="http://schemas.openxmlformats.org/officeDocument/2006/relationships/ctrlProp" Target="../ctrlProps/ctrlProp442.xml"/></Relationships>
</file>

<file path=xl/worksheets/_rels/sheet53.xml.rels><?xml version="1.0" encoding="UTF-8" standalone="yes"?>
<Relationships xmlns="http://schemas.openxmlformats.org/package/2006/relationships"><Relationship Id="rId8" Type="http://schemas.openxmlformats.org/officeDocument/2006/relationships/ctrlProp" Target="../ctrlProps/ctrlProp452.xml"/><Relationship Id="rId13" Type="http://schemas.openxmlformats.org/officeDocument/2006/relationships/ctrlProp" Target="../ctrlProps/ctrlProp457.xml"/><Relationship Id="rId3" Type="http://schemas.openxmlformats.org/officeDocument/2006/relationships/vmlDrawing" Target="../drawings/vmlDrawing21.vml"/><Relationship Id="rId7" Type="http://schemas.openxmlformats.org/officeDocument/2006/relationships/ctrlProp" Target="../ctrlProps/ctrlProp451.xml"/><Relationship Id="rId12" Type="http://schemas.openxmlformats.org/officeDocument/2006/relationships/ctrlProp" Target="../ctrlProps/ctrlProp456.xml"/><Relationship Id="rId2" Type="http://schemas.openxmlformats.org/officeDocument/2006/relationships/drawing" Target="../drawings/drawing26.xml"/><Relationship Id="rId1" Type="http://schemas.openxmlformats.org/officeDocument/2006/relationships/printerSettings" Target="../printerSettings/printerSettings51.bin"/><Relationship Id="rId6" Type="http://schemas.openxmlformats.org/officeDocument/2006/relationships/ctrlProp" Target="../ctrlProps/ctrlProp450.xml"/><Relationship Id="rId11" Type="http://schemas.openxmlformats.org/officeDocument/2006/relationships/ctrlProp" Target="../ctrlProps/ctrlProp455.xml"/><Relationship Id="rId5" Type="http://schemas.openxmlformats.org/officeDocument/2006/relationships/ctrlProp" Target="../ctrlProps/ctrlProp449.xml"/><Relationship Id="rId15" Type="http://schemas.openxmlformats.org/officeDocument/2006/relationships/ctrlProp" Target="../ctrlProps/ctrlProp459.xml"/><Relationship Id="rId10" Type="http://schemas.openxmlformats.org/officeDocument/2006/relationships/ctrlProp" Target="../ctrlProps/ctrlProp454.xml"/><Relationship Id="rId4" Type="http://schemas.openxmlformats.org/officeDocument/2006/relationships/ctrlProp" Target="../ctrlProps/ctrlProp448.xml"/><Relationship Id="rId9" Type="http://schemas.openxmlformats.org/officeDocument/2006/relationships/ctrlProp" Target="../ctrlProps/ctrlProp453.xml"/><Relationship Id="rId14" Type="http://schemas.openxmlformats.org/officeDocument/2006/relationships/ctrlProp" Target="../ctrlProps/ctrlProp458.xml"/></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7.xml"/><Relationship Id="rId1" Type="http://schemas.openxmlformats.org/officeDocument/2006/relationships/printerSettings" Target="../printerSettings/printerSettings52.bin"/><Relationship Id="rId5" Type="http://schemas.openxmlformats.org/officeDocument/2006/relationships/ctrlProp" Target="../ctrlProps/ctrlProp461.xml"/><Relationship Id="rId4" Type="http://schemas.openxmlformats.org/officeDocument/2006/relationships/ctrlProp" Target="../ctrlProps/ctrlProp460.xml"/></Relationships>
</file>

<file path=xl/worksheets/_rels/sheet55.xml.rels><?xml version="1.0" encoding="UTF-8" standalone="yes"?>
<Relationships xmlns="http://schemas.openxmlformats.org/package/2006/relationships"><Relationship Id="rId8" Type="http://schemas.openxmlformats.org/officeDocument/2006/relationships/ctrlProp" Target="../ctrlProps/ctrlProp466.xml"/><Relationship Id="rId13" Type="http://schemas.openxmlformats.org/officeDocument/2006/relationships/ctrlProp" Target="../ctrlProps/ctrlProp471.xml"/><Relationship Id="rId18" Type="http://schemas.openxmlformats.org/officeDocument/2006/relationships/ctrlProp" Target="../ctrlProps/ctrlProp476.xml"/><Relationship Id="rId26" Type="http://schemas.openxmlformats.org/officeDocument/2006/relationships/ctrlProp" Target="../ctrlProps/ctrlProp484.xml"/><Relationship Id="rId3" Type="http://schemas.openxmlformats.org/officeDocument/2006/relationships/vmlDrawing" Target="../drawings/vmlDrawing23.vml"/><Relationship Id="rId21" Type="http://schemas.openxmlformats.org/officeDocument/2006/relationships/ctrlProp" Target="../ctrlProps/ctrlProp479.xml"/><Relationship Id="rId7" Type="http://schemas.openxmlformats.org/officeDocument/2006/relationships/ctrlProp" Target="../ctrlProps/ctrlProp465.xml"/><Relationship Id="rId12" Type="http://schemas.openxmlformats.org/officeDocument/2006/relationships/ctrlProp" Target="../ctrlProps/ctrlProp470.xml"/><Relationship Id="rId17" Type="http://schemas.openxmlformats.org/officeDocument/2006/relationships/ctrlProp" Target="../ctrlProps/ctrlProp475.xml"/><Relationship Id="rId25" Type="http://schemas.openxmlformats.org/officeDocument/2006/relationships/ctrlProp" Target="../ctrlProps/ctrlProp483.xml"/><Relationship Id="rId2" Type="http://schemas.openxmlformats.org/officeDocument/2006/relationships/drawing" Target="../drawings/drawing28.xml"/><Relationship Id="rId16" Type="http://schemas.openxmlformats.org/officeDocument/2006/relationships/ctrlProp" Target="../ctrlProps/ctrlProp474.xml"/><Relationship Id="rId20" Type="http://schemas.openxmlformats.org/officeDocument/2006/relationships/ctrlProp" Target="../ctrlProps/ctrlProp478.xml"/><Relationship Id="rId1" Type="http://schemas.openxmlformats.org/officeDocument/2006/relationships/printerSettings" Target="../printerSettings/printerSettings53.bin"/><Relationship Id="rId6" Type="http://schemas.openxmlformats.org/officeDocument/2006/relationships/ctrlProp" Target="../ctrlProps/ctrlProp464.xml"/><Relationship Id="rId11" Type="http://schemas.openxmlformats.org/officeDocument/2006/relationships/ctrlProp" Target="../ctrlProps/ctrlProp469.xml"/><Relationship Id="rId24" Type="http://schemas.openxmlformats.org/officeDocument/2006/relationships/ctrlProp" Target="../ctrlProps/ctrlProp482.xml"/><Relationship Id="rId5" Type="http://schemas.openxmlformats.org/officeDocument/2006/relationships/ctrlProp" Target="../ctrlProps/ctrlProp463.xml"/><Relationship Id="rId15" Type="http://schemas.openxmlformats.org/officeDocument/2006/relationships/ctrlProp" Target="../ctrlProps/ctrlProp473.xml"/><Relationship Id="rId23" Type="http://schemas.openxmlformats.org/officeDocument/2006/relationships/ctrlProp" Target="../ctrlProps/ctrlProp481.xml"/><Relationship Id="rId28" Type="http://schemas.openxmlformats.org/officeDocument/2006/relationships/ctrlProp" Target="../ctrlProps/ctrlProp486.xml"/><Relationship Id="rId10" Type="http://schemas.openxmlformats.org/officeDocument/2006/relationships/ctrlProp" Target="../ctrlProps/ctrlProp468.xml"/><Relationship Id="rId19" Type="http://schemas.openxmlformats.org/officeDocument/2006/relationships/ctrlProp" Target="../ctrlProps/ctrlProp477.xml"/><Relationship Id="rId4" Type="http://schemas.openxmlformats.org/officeDocument/2006/relationships/ctrlProp" Target="../ctrlProps/ctrlProp462.xml"/><Relationship Id="rId9" Type="http://schemas.openxmlformats.org/officeDocument/2006/relationships/ctrlProp" Target="../ctrlProps/ctrlProp467.xml"/><Relationship Id="rId14" Type="http://schemas.openxmlformats.org/officeDocument/2006/relationships/ctrlProp" Target="../ctrlProps/ctrlProp472.xml"/><Relationship Id="rId22" Type="http://schemas.openxmlformats.org/officeDocument/2006/relationships/ctrlProp" Target="../ctrlProps/ctrlProp480.xml"/><Relationship Id="rId27" Type="http://schemas.openxmlformats.org/officeDocument/2006/relationships/ctrlProp" Target="../ctrlProps/ctrlProp485.xml"/></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9.xml"/><Relationship Id="rId1" Type="http://schemas.openxmlformats.org/officeDocument/2006/relationships/printerSettings" Target="../printerSettings/printerSettings54.bin"/><Relationship Id="rId4" Type="http://schemas.openxmlformats.org/officeDocument/2006/relationships/ctrlProp" Target="../ctrlProps/ctrlProp487.xml"/></Relationships>
</file>

<file path=xl/worksheets/_rels/sheet57.xml.rels><?xml version="1.0" encoding="UTF-8" standalone="yes"?>
<Relationships xmlns="http://schemas.openxmlformats.org/package/2006/relationships"><Relationship Id="rId13" Type="http://schemas.openxmlformats.org/officeDocument/2006/relationships/ctrlProp" Target="../ctrlProps/ctrlProp497.xml"/><Relationship Id="rId18" Type="http://schemas.openxmlformats.org/officeDocument/2006/relationships/ctrlProp" Target="../ctrlProps/ctrlProp502.xml"/><Relationship Id="rId26" Type="http://schemas.openxmlformats.org/officeDocument/2006/relationships/ctrlProp" Target="../ctrlProps/ctrlProp510.xml"/><Relationship Id="rId39" Type="http://schemas.openxmlformats.org/officeDocument/2006/relationships/ctrlProp" Target="../ctrlProps/ctrlProp523.xml"/><Relationship Id="rId21" Type="http://schemas.openxmlformats.org/officeDocument/2006/relationships/ctrlProp" Target="../ctrlProps/ctrlProp505.xml"/><Relationship Id="rId34" Type="http://schemas.openxmlformats.org/officeDocument/2006/relationships/ctrlProp" Target="../ctrlProps/ctrlProp518.xml"/><Relationship Id="rId42" Type="http://schemas.openxmlformats.org/officeDocument/2006/relationships/ctrlProp" Target="../ctrlProps/ctrlProp526.xml"/><Relationship Id="rId47" Type="http://schemas.openxmlformats.org/officeDocument/2006/relationships/ctrlProp" Target="../ctrlProps/ctrlProp531.xml"/><Relationship Id="rId50" Type="http://schemas.openxmlformats.org/officeDocument/2006/relationships/ctrlProp" Target="../ctrlProps/ctrlProp534.xml"/><Relationship Id="rId7" Type="http://schemas.openxmlformats.org/officeDocument/2006/relationships/ctrlProp" Target="../ctrlProps/ctrlProp491.xml"/><Relationship Id="rId2" Type="http://schemas.openxmlformats.org/officeDocument/2006/relationships/drawing" Target="../drawings/drawing30.xml"/><Relationship Id="rId16" Type="http://schemas.openxmlformats.org/officeDocument/2006/relationships/ctrlProp" Target="../ctrlProps/ctrlProp500.xml"/><Relationship Id="rId29" Type="http://schemas.openxmlformats.org/officeDocument/2006/relationships/ctrlProp" Target="../ctrlProps/ctrlProp513.xml"/><Relationship Id="rId11" Type="http://schemas.openxmlformats.org/officeDocument/2006/relationships/ctrlProp" Target="../ctrlProps/ctrlProp495.xml"/><Relationship Id="rId24" Type="http://schemas.openxmlformats.org/officeDocument/2006/relationships/ctrlProp" Target="../ctrlProps/ctrlProp508.xml"/><Relationship Id="rId32" Type="http://schemas.openxmlformats.org/officeDocument/2006/relationships/ctrlProp" Target="../ctrlProps/ctrlProp516.xml"/><Relationship Id="rId37" Type="http://schemas.openxmlformats.org/officeDocument/2006/relationships/ctrlProp" Target="../ctrlProps/ctrlProp521.xml"/><Relationship Id="rId40" Type="http://schemas.openxmlformats.org/officeDocument/2006/relationships/ctrlProp" Target="../ctrlProps/ctrlProp524.xml"/><Relationship Id="rId45" Type="http://schemas.openxmlformats.org/officeDocument/2006/relationships/ctrlProp" Target="../ctrlProps/ctrlProp529.xml"/><Relationship Id="rId5" Type="http://schemas.openxmlformats.org/officeDocument/2006/relationships/ctrlProp" Target="../ctrlProps/ctrlProp489.xml"/><Relationship Id="rId15" Type="http://schemas.openxmlformats.org/officeDocument/2006/relationships/ctrlProp" Target="../ctrlProps/ctrlProp499.xml"/><Relationship Id="rId23" Type="http://schemas.openxmlformats.org/officeDocument/2006/relationships/ctrlProp" Target="../ctrlProps/ctrlProp507.xml"/><Relationship Id="rId28" Type="http://schemas.openxmlformats.org/officeDocument/2006/relationships/ctrlProp" Target="../ctrlProps/ctrlProp512.xml"/><Relationship Id="rId36" Type="http://schemas.openxmlformats.org/officeDocument/2006/relationships/ctrlProp" Target="../ctrlProps/ctrlProp520.xml"/><Relationship Id="rId49" Type="http://schemas.openxmlformats.org/officeDocument/2006/relationships/ctrlProp" Target="../ctrlProps/ctrlProp533.xml"/><Relationship Id="rId10" Type="http://schemas.openxmlformats.org/officeDocument/2006/relationships/ctrlProp" Target="../ctrlProps/ctrlProp494.xml"/><Relationship Id="rId19" Type="http://schemas.openxmlformats.org/officeDocument/2006/relationships/ctrlProp" Target="../ctrlProps/ctrlProp503.xml"/><Relationship Id="rId31" Type="http://schemas.openxmlformats.org/officeDocument/2006/relationships/ctrlProp" Target="../ctrlProps/ctrlProp515.xml"/><Relationship Id="rId44" Type="http://schemas.openxmlformats.org/officeDocument/2006/relationships/ctrlProp" Target="../ctrlProps/ctrlProp528.xml"/><Relationship Id="rId52" Type="http://schemas.openxmlformats.org/officeDocument/2006/relationships/ctrlProp" Target="../ctrlProps/ctrlProp536.xml"/><Relationship Id="rId4" Type="http://schemas.openxmlformats.org/officeDocument/2006/relationships/ctrlProp" Target="../ctrlProps/ctrlProp488.xml"/><Relationship Id="rId9" Type="http://schemas.openxmlformats.org/officeDocument/2006/relationships/ctrlProp" Target="../ctrlProps/ctrlProp493.xml"/><Relationship Id="rId14" Type="http://schemas.openxmlformats.org/officeDocument/2006/relationships/ctrlProp" Target="../ctrlProps/ctrlProp498.xml"/><Relationship Id="rId22" Type="http://schemas.openxmlformats.org/officeDocument/2006/relationships/ctrlProp" Target="../ctrlProps/ctrlProp506.xml"/><Relationship Id="rId27" Type="http://schemas.openxmlformats.org/officeDocument/2006/relationships/ctrlProp" Target="../ctrlProps/ctrlProp511.xml"/><Relationship Id="rId30" Type="http://schemas.openxmlformats.org/officeDocument/2006/relationships/ctrlProp" Target="../ctrlProps/ctrlProp514.xml"/><Relationship Id="rId35" Type="http://schemas.openxmlformats.org/officeDocument/2006/relationships/ctrlProp" Target="../ctrlProps/ctrlProp519.xml"/><Relationship Id="rId43" Type="http://schemas.openxmlformats.org/officeDocument/2006/relationships/ctrlProp" Target="../ctrlProps/ctrlProp527.xml"/><Relationship Id="rId48" Type="http://schemas.openxmlformats.org/officeDocument/2006/relationships/ctrlProp" Target="../ctrlProps/ctrlProp532.xml"/><Relationship Id="rId8" Type="http://schemas.openxmlformats.org/officeDocument/2006/relationships/ctrlProp" Target="../ctrlProps/ctrlProp492.xml"/><Relationship Id="rId51" Type="http://schemas.openxmlformats.org/officeDocument/2006/relationships/ctrlProp" Target="../ctrlProps/ctrlProp535.xml"/><Relationship Id="rId3" Type="http://schemas.openxmlformats.org/officeDocument/2006/relationships/vmlDrawing" Target="../drawings/vmlDrawing25.vml"/><Relationship Id="rId12" Type="http://schemas.openxmlformats.org/officeDocument/2006/relationships/ctrlProp" Target="../ctrlProps/ctrlProp496.xml"/><Relationship Id="rId17" Type="http://schemas.openxmlformats.org/officeDocument/2006/relationships/ctrlProp" Target="../ctrlProps/ctrlProp501.xml"/><Relationship Id="rId25" Type="http://schemas.openxmlformats.org/officeDocument/2006/relationships/ctrlProp" Target="../ctrlProps/ctrlProp509.xml"/><Relationship Id="rId33" Type="http://schemas.openxmlformats.org/officeDocument/2006/relationships/ctrlProp" Target="../ctrlProps/ctrlProp517.xml"/><Relationship Id="rId38" Type="http://schemas.openxmlformats.org/officeDocument/2006/relationships/ctrlProp" Target="../ctrlProps/ctrlProp522.xml"/><Relationship Id="rId46" Type="http://schemas.openxmlformats.org/officeDocument/2006/relationships/ctrlProp" Target="../ctrlProps/ctrlProp530.xml"/><Relationship Id="rId20" Type="http://schemas.openxmlformats.org/officeDocument/2006/relationships/ctrlProp" Target="../ctrlProps/ctrlProp504.xml"/><Relationship Id="rId41" Type="http://schemas.openxmlformats.org/officeDocument/2006/relationships/ctrlProp" Target="../ctrlProps/ctrlProp525.xml"/><Relationship Id="rId1" Type="http://schemas.openxmlformats.org/officeDocument/2006/relationships/printerSettings" Target="../printerSettings/printerSettings55.bin"/><Relationship Id="rId6" Type="http://schemas.openxmlformats.org/officeDocument/2006/relationships/ctrlProp" Target="../ctrlProps/ctrlProp490.xml"/></Relationships>
</file>

<file path=xl/worksheets/_rels/sheet58.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31.xml"/><Relationship Id="rId1" Type="http://schemas.openxmlformats.org/officeDocument/2006/relationships/printerSettings" Target="../printerSettings/printerSettings56.bin"/><Relationship Id="rId6" Type="http://schemas.openxmlformats.org/officeDocument/2006/relationships/ctrlProp" Target="../ctrlProps/ctrlProp539.xml"/><Relationship Id="rId5" Type="http://schemas.openxmlformats.org/officeDocument/2006/relationships/ctrlProp" Target="../ctrlProps/ctrlProp538.xml"/><Relationship Id="rId4" Type="http://schemas.openxmlformats.org/officeDocument/2006/relationships/ctrlProp" Target="../ctrlProps/ctrlProp537.xml"/></Relationships>
</file>

<file path=xl/worksheets/_rels/sheet59.xml.rels><?xml version="1.0" encoding="UTF-8" standalone="yes"?>
<Relationships xmlns="http://schemas.openxmlformats.org/package/2006/relationships"><Relationship Id="rId8" Type="http://schemas.openxmlformats.org/officeDocument/2006/relationships/ctrlProp" Target="../ctrlProps/ctrlProp544.xml"/><Relationship Id="rId13" Type="http://schemas.openxmlformats.org/officeDocument/2006/relationships/ctrlProp" Target="../ctrlProps/ctrlProp549.xml"/><Relationship Id="rId18" Type="http://schemas.openxmlformats.org/officeDocument/2006/relationships/ctrlProp" Target="../ctrlProps/ctrlProp554.xml"/><Relationship Id="rId3" Type="http://schemas.openxmlformats.org/officeDocument/2006/relationships/vmlDrawing" Target="../drawings/vmlDrawing27.vml"/><Relationship Id="rId7" Type="http://schemas.openxmlformats.org/officeDocument/2006/relationships/ctrlProp" Target="../ctrlProps/ctrlProp543.xml"/><Relationship Id="rId12" Type="http://schemas.openxmlformats.org/officeDocument/2006/relationships/ctrlProp" Target="../ctrlProps/ctrlProp548.xml"/><Relationship Id="rId17" Type="http://schemas.openxmlformats.org/officeDocument/2006/relationships/ctrlProp" Target="../ctrlProps/ctrlProp553.xml"/><Relationship Id="rId2" Type="http://schemas.openxmlformats.org/officeDocument/2006/relationships/drawing" Target="../drawings/drawing32.xml"/><Relationship Id="rId16" Type="http://schemas.openxmlformats.org/officeDocument/2006/relationships/ctrlProp" Target="../ctrlProps/ctrlProp552.xml"/><Relationship Id="rId1" Type="http://schemas.openxmlformats.org/officeDocument/2006/relationships/printerSettings" Target="../printerSettings/printerSettings57.bin"/><Relationship Id="rId6" Type="http://schemas.openxmlformats.org/officeDocument/2006/relationships/ctrlProp" Target="../ctrlProps/ctrlProp542.xml"/><Relationship Id="rId11" Type="http://schemas.openxmlformats.org/officeDocument/2006/relationships/ctrlProp" Target="../ctrlProps/ctrlProp547.xml"/><Relationship Id="rId5" Type="http://schemas.openxmlformats.org/officeDocument/2006/relationships/ctrlProp" Target="../ctrlProps/ctrlProp541.xml"/><Relationship Id="rId15" Type="http://schemas.openxmlformats.org/officeDocument/2006/relationships/ctrlProp" Target="../ctrlProps/ctrlProp551.xml"/><Relationship Id="rId10" Type="http://schemas.openxmlformats.org/officeDocument/2006/relationships/ctrlProp" Target="../ctrlProps/ctrlProp546.xml"/><Relationship Id="rId4" Type="http://schemas.openxmlformats.org/officeDocument/2006/relationships/ctrlProp" Target="../ctrlProps/ctrlProp540.xml"/><Relationship Id="rId9" Type="http://schemas.openxmlformats.org/officeDocument/2006/relationships/ctrlProp" Target="../ctrlProps/ctrlProp545.xml"/><Relationship Id="rId14" Type="http://schemas.openxmlformats.org/officeDocument/2006/relationships/ctrlProp" Target="../ctrlProps/ctrlProp550.xml"/></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28.vml"/><Relationship Id="rId7" Type="http://schemas.openxmlformats.org/officeDocument/2006/relationships/ctrlProp" Target="../ctrlProps/ctrlProp558.xml"/><Relationship Id="rId2" Type="http://schemas.openxmlformats.org/officeDocument/2006/relationships/drawing" Target="../drawings/drawing33.xml"/><Relationship Id="rId1" Type="http://schemas.openxmlformats.org/officeDocument/2006/relationships/printerSettings" Target="../printerSettings/printerSettings58.bin"/><Relationship Id="rId6" Type="http://schemas.openxmlformats.org/officeDocument/2006/relationships/ctrlProp" Target="../ctrlProps/ctrlProp557.xml"/><Relationship Id="rId5" Type="http://schemas.openxmlformats.org/officeDocument/2006/relationships/ctrlProp" Target="../ctrlProps/ctrlProp556.xml"/><Relationship Id="rId4" Type="http://schemas.openxmlformats.org/officeDocument/2006/relationships/ctrlProp" Target="../ctrlProps/ctrlProp555.xml"/></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26" Type="http://schemas.openxmlformats.org/officeDocument/2006/relationships/ctrlProp" Target="../ctrlProps/ctrlProp581.xml"/><Relationship Id="rId21" Type="http://schemas.openxmlformats.org/officeDocument/2006/relationships/ctrlProp" Target="../ctrlProps/ctrlProp576.xml"/><Relationship Id="rId42" Type="http://schemas.openxmlformats.org/officeDocument/2006/relationships/ctrlProp" Target="../ctrlProps/ctrlProp597.xml"/><Relationship Id="rId47" Type="http://schemas.openxmlformats.org/officeDocument/2006/relationships/ctrlProp" Target="../ctrlProps/ctrlProp602.xml"/><Relationship Id="rId63" Type="http://schemas.openxmlformats.org/officeDocument/2006/relationships/ctrlProp" Target="../ctrlProps/ctrlProp618.xml"/><Relationship Id="rId68" Type="http://schemas.openxmlformats.org/officeDocument/2006/relationships/ctrlProp" Target="../ctrlProps/ctrlProp623.xml"/><Relationship Id="rId84" Type="http://schemas.openxmlformats.org/officeDocument/2006/relationships/ctrlProp" Target="../ctrlProps/ctrlProp639.xml"/><Relationship Id="rId89" Type="http://schemas.openxmlformats.org/officeDocument/2006/relationships/ctrlProp" Target="../ctrlProps/ctrlProp644.xml"/><Relationship Id="rId16" Type="http://schemas.openxmlformats.org/officeDocument/2006/relationships/ctrlProp" Target="../ctrlProps/ctrlProp571.xml"/><Relationship Id="rId11" Type="http://schemas.openxmlformats.org/officeDocument/2006/relationships/ctrlProp" Target="../ctrlProps/ctrlProp566.xml"/><Relationship Id="rId32" Type="http://schemas.openxmlformats.org/officeDocument/2006/relationships/ctrlProp" Target="../ctrlProps/ctrlProp587.xml"/><Relationship Id="rId37" Type="http://schemas.openxmlformats.org/officeDocument/2006/relationships/ctrlProp" Target="../ctrlProps/ctrlProp592.xml"/><Relationship Id="rId53" Type="http://schemas.openxmlformats.org/officeDocument/2006/relationships/ctrlProp" Target="../ctrlProps/ctrlProp608.xml"/><Relationship Id="rId58" Type="http://schemas.openxmlformats.org/officeDocument/2006/relationships/ctrlProp" Target="../ctrlProps/ctrlProp613.xml"/><Relationship Id="rId74" Type="http://schemas.openxmlformats.org/officeDocument/2006/relationships/ctrlProp" Target="../ctrlProps/ctrlProp629.xml"/><Relationship Id="rId79" Type="http://schemas.openxmlformats.org/officeDocument/2006/relationships/ctrlProp" Target="../ctrlProps/ctrlProp634.xml"/><Relationship Id="rId5" Type="http://schemas.openxmlformats.org/officeDocument/2006/relationships/ctrlProp" Target="../ctrlProps/ctrlProp560.xml"/><Relationship Id="rId90" Type="http://schemas.openxmlformats.org/officeDocument/2006/relationships/ctrlProp" Target="../ctrlProps/ctrlProp645.xml"/><Relationship Id="rId14" Type="http://schemas.openxmlformats.org/officeDocument/2006/relationships/ctrlProp" Target="../ctrlProps/ctrlProp569.xml"/><Relationship Id="rId22" Type="http://schemas.openxmlformats.org/officeDocument/2006/relationships/ctrlProp" Target="../ctrlProps/ctrlProp577.xml"/><Relationship Id="rId27" Type="http://schemas.openxmlformats.org/officeDocument/2006/relationships/ctrlProp" Target="../ctrlProps/ctrlProp582.xml"/><Relationship Id="rId30" Type="http://schemas.openxmlformats.org/officeDocument/2006/relationships/ctrlProp" Target="../ctrlProps/ctrlProp585.xml"/><Relationship Id="rId35" Type="http://schemas.openxmlformats.org/officeDocument/2006/relationships/ctrlProp" Target="../ctrlProps/ctrlProp590.xml"/><Relationship Id="rId43" Type="http://schemas.openxmlformats.org/officeDocument/2006/relationships/ctrlProp" Target="../ctrlProps/ctrlProp598.xml"/><Relationship Id="rId48" Type="http://schemas.openxmlformats.org/officeDocument/2006/relationships/ctrlProp" Target="../ctrlProps/ctrlProp603.xml"/><Relationship Id="rId56" Type="http://schemas.openxmlformats.org/officeDocument/2006/relationships/ctrlProp" Target="../ctrlProps/ctrlProp611.xml"/><Relationship Id="rId64" Type="http://schemas.openxmlformats.org/officeDocument/2006/relationships/ctrlProp" Target="../ctrlProps/ctrlProp619.xml"/><Relationship Id="rId69" Type="http://schemas.openxmlformats.org/officeDocument/2006/relationships/ctrlProp" Target="../ctrlProps/ctrlProp624.xml"/><Relationship Id="rId77" Type="http://schemas.openxmlformats.org/officeDocument/2006/relationships/ctrlProp" Target="../ctrlProps/ctrlProp632.xml"/><Relationship Id="rId8" Type="http://schemas.openxmlformats.org/officeDocument/2006/relationships/ctrlProp" Target="../ctrlProps/ctrlProp563.xml"/><Relationship Id="rId51" Type="http://schemas.openxmlformats.org/officeDocument/2006/relationships/ctrlProp" Target="../ctrlProps/ctrlProp606.xml"/><Relationship Id="rId72" Type="http://schemas.openxmlformats.org/officeDocument/2006/relationships/ctrlProp" Target="../ctrlProps/ctrlProp627.xml"/><Relationship Id="rId80" Type="http://schemas.openxmlformats.org/officeDocument/2006/relationships/ctrlProp" Target="../ctrlProps/ctrlProp635.xml"/><Relationship Id="rId85" Type="http://schemas.openxmlformats.org/officeDocument/2006/relationships/ctrlProp" Target="../ctrlProps/ctrlProp640.xml"/><Relationship Id="rId3" Type="http://schemas.openxmlformats.org/officeDocument/2006/relationships/vmlDrawing" Target="../drawings/vmlDrawing29.vml"/><Relationship Id="rId12" Type="http://schemas.openxmlformats.org/officeDocument/2006/relationships/ctrlProp" Target="../ctrlProps/ctrlProp567.xml"/><Relationship Id="rId17" Type="http://schemas.openxmlformats.org/officeDocument/2006/relationships/ctrlProp" Target="../ctrlProps/ctrlProp572.xml"/><Relationship Id="rId25" Type="http://schemas.openxmlformats.org/officeDocument/2006/relationships/ctrlProp" Target="../ctrlProps/ctrlProp580.xml"/><Relationship Id="rId33" Type="http://schemas.openxmlformats.org/officeDocument/2006/relationships/ctrlProp" Target="../ctrlProps/ctrlProp588.xml"/><Relationship Id="rId38" Type="http://schemas.openxmlformats.org/officeDocument/2006/relationships/ctrlProp" Target="../ctrlProps/ctrlProp593.xml"/><Relationship Id="rId46" Type="http://schemas.openxmlformats.org/officeDocument/2006/relationships/ctrlProp" Target="../ctrlProps/ctrlProp601.xml"/><Relationship Id="rId59" Type="http://schemas.openxmlformats.org/officeDocument/2006/relationships/ctrlProp" Target="../ctrlProps/ctrlProp614.xml"/><Relationship Id="rId67" Type="http://schemas.openxmlformats.org/officeDocument/2006/relationships/ctrlProp" Target="../ctrlProps/ctrlProp622.xml"/><Relationship Id="rId20" Type="http://schemas.openxmlformats.org/officeDocument/2006/relationships/ctrlProp" Target="../ctrlProps/ctrlProp575.xml"/><Relationship Id="rId41" Type="http://schemas.openxmlformats.org/officeDocument/2006/relationships/ctrlProp" Target="../ctrlProps/ctrlProp596.xml"/><Relationship Id="rId54" Type="http://schemas.openxmlformats.org/officeDocument/2006/relationships/ctrlProp" Target="../ctrlProps/ctrlProp609.xml"/><Relationship Id="rId62" Type="http://schemas.openxmlformats.org/officeDocument/2006/relationships/ctrlProp" Target="../ctrlProps/ctrlProp617.xml"/><Relationship Id="rId70" Type="http://schemas.openxmlformats.org/officeDocument/2006/relationships/ctrlProp" Target="../ctrlProps/ctrlProp625.xml"/><Relationship Id="rId75" Type="http://schemas.openxmlformats.org/officeDocument/2006/relationships/ctrlProp" Target="../ctrlProps/ctrlProp630.xml"/><Relationship Id="rId83" Type="http://schemas.openxmlformats.org/officeDocument/2006/relationships/ctrlProp" Target="../ctrlProps/ctrlProp638.xml"/><Relationship Id="rId88" Type="http://schemas.openxmlformats.org/officeDocument/2006/relationships/ctrlProp" Target="../ctrlProps/ctrlProp643.xml"/><Relationship Id="rId1" Type="http://schemas.openxmlformats.org/officeDocument/2006/relationships/printerSettings" Target="../printerSettings/printerSettings60.bin"/><Relationship Id="rId6" Type="http://schemas.openxmlformats.org/officeDocument/2006/relationships/ctrlProp" Target="../ctrlProps/ctrlProp561.xml"/><Relationship Id="rId15" Type="http://schemas.openxmlformats.org/officeDocument/2006/relationships/ctrlProp" Target="../ctrlProps/ctrlProp570.xml"/><Relationship Id="rId23" Type="http://schemas.openxmlformats.org/officeDocument/2006/relationships/ctrlProp" Target="../ctrlProps/ctrlProp578.xml"/><Relationship Id="rId28" Type="http://schemas.openxmlformats.org/officeDocument/2006/relationships/ctrlProp" Target="../ctrlProps/ctrlProp583.xml"/><Relationship Id="rId36" Type="http://schemas.openxmlformats.org/officeDocument/2006/relationships/ctrlProp" Target="../ctrlProps/ctrlProp591.xml"/><Relationship Id="rId49" Type="http://schemas.openxmlformats.org/officeDocument/2006/relationships/ctrlProp" Target="../ctrlProps/ctrlProp604.xml"/><Relationship Id="rId57" Type="http://schemas.openxmlformats.org/officeDocument/2006/relationships/ctrlProp" Target="../ctrlProps/ctrlProp612.xml"/><Relationship Id="rId10" Type="http://schemas.openxmlformats.org/officeDocument/2006/relationships/ctrlProp" Target="../ctrlProps/ctrlProp565.xml"/><Relationship Id="rId31" Type="http://schemas.openxmlformats.org/officeDocument/2006/relationships/ctrlProp" Target="../ctrlProps/ctrlProp586.xml"/><Relationship Id="rId44" Type="http://schemas.openxmlformats.org/officeDocument/2006/relationships/ctrlProp" Target="../ctrlProps/ctrlProp599.xml"/><Relationship Id="rId52" Type="http://schemas.openxmlformats.org/officeDocument/2006/relationships/ctrlProp" Target="../ctrlProps/ctrlProp607.xml"/><Relationship Id="rId60" Type="http://schemas.openxmlformats.org/officeDocument/2006/relationships/ctrlProp" Target="../ctrlProps/ctrlProp615.xml"/><Relationship Id="rId65" Type="http://schemas.openxmlformats.org/officeDocument/2006/relationships/ctrlProp" Target="../ctrlProps/ctrlProp620.xml"/><Relationship Id="rId73" Type="http://schemas.openxmlformats.org/officeDocument/2006/relationships/ctrlProp" Target="../ctrlProps/ctrlProp628.xml"/><Relationship Id="rId78" Type="http://schemas.openxmlformats.org/officeDocument/2006/relationships/ctrlProp" Target="../ctrlProps/ctrlProp633.xml"/><Relationship Id="rId81" Type="http://schemas.openxmlformats.org/officeDocument/2006/relationships/ctrlProp" Target="../ctrlProps/ctrlProp636.xml"/><Relationship Id="rId86" Type="http://schemas.openxmlformats.org/officeDocument/2006/relationships/ctrlProp" Target="../ctrlProps/ctrlProp641.xml"/><Relationship Id="rId4" Type="http://schemas.openxmlformats.org/officeDocument/2006/relationships/ctrlProp" Target="../ctrlProps/ctrlProp559.xml"/><Relationship Id="rId9" Type="http://schemas.openxmlformats.org/officeDocument/2006/relationships/ctrlProp" Target="../ctrlProps/ctrlProp564.xml"/><Relationship Id="rId13" Type="http://schemas.openxmlformats.org/officeDocument/2006/relationships/ctrlProp" Target="../ctrlProps/ctrlProp568.xml"/><Relationship Id="rId18" Type="http://schemas.openxmlformats.org/officeDocument/2006/relationships/ctrlProp" Target="../ctrlProps/ctrlProp573.xml"/><Relationship Id="rId39" Type="http://schemas.openxmlformats.org/officeDocument/2006/relationships/ctrlProp" Target="../ctrlProps/ctrlProp594.xml"/><Relationship Id="rId34" Type="http://schemas.openxmlformats.org/officeDocument/2006/relationships/ctrlProp" Target="../ctrlProps/ctrlProp589.xml"/><Relationship Id="rId50" Type="http://schemas.openxmlformats.org/officeDocument/2006/relationships/ctrlProp" Target="../ctrlProps/ctrlProp605.xml"/><Relationship Id="rId55" Type="http://schemas.openxmlformats.org/officeDocument/2006/relationships/ctrlProp" Target="../ctrlProps/ctrlProp610.xml"/><Relationship Id="rId76" Type="http://schemas.openxmlformats.org/officeDocument/2006/relationships/ctrlProp" Target="../ctrlProps/ctrlProp631.xml"/><Relationship Id="rId7" Type="http://schemas.openxmlformats.org/officeDocument/2006/relationships/ctrlProp" Target="../ctrlProps/ctrlProp562.xml"/><Relationship Id="rId71" Type="http://schemas.openxmlformats.org/officeDocument/2006/relationships/ctrlProp" Target="../ctrlProps/ctrlProp626.xml"/><Relationship Id="rId2" Type="http://schemas.openxmlformats.org/officeDocument/2006/relationships/drawing" Target="../drawings/drawing34.xml"/><Relationship Id="rId29" Type="http://schemas.openxmlformats.org/officeDocument/2006/relationships/ctrlProp" Target="../ctrlProps/ctrlProp584.xml"/><Relationship Id="rId24" Type="http://schemas.openxmlformats.org/officeDocument/2006/relationships/ctrlProp" Target="../ctrlProps/ctrlProp579.xml"/><Relationship Id="rId40" Type="http://schemas.openxmlformats.org/officeDocument/2006/relationships/ctrlProp" Target="../ctrlProps/ctrlProp595.xml"/><Relationship Id="rId45" Type="http://schemas.openxmlformats.org/officeDocument/2006/relationships/ctrlProp" Target="../ctrlProps/ctrlProp600.xml"/><Relationship Id="rId66" Type="http://schemas.openxmlformats.org/officeDocument/2006/relationships/ctrlProp" Target="../ctrlProps/ctrlProp621.xml"/><Relationship Id="rId87" Type="http://schemas.openxmlformats.org/officeDocument/2006/relationships/ctrlProp" Target="../ctrlProps/ctrlProp642.xml"/><Relationship Id="rId61" Type="http://schemas.openxmlformats.org/officeDocument/2006/relationships/ctrlProp" Target="../ctrlProps/ctrlProp616.xml"/><Relationship Id="rId82" Type="http://schemas.openxmlformats.org/officeDocument/2006/relationships/ctrlProp" Target="../ctrlProps/ctrlProp637.xml"/><Relationship Id="rId19" Type="http://schemas.openxmlformats.org/officeDocument/2006/relationships/ctrlProp" Target="../ctrlProps/ctrlProp574.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5.xml"/><Relationship Id="rId1" Type="http://schemas.openxmlformats.org/officeDocument/2006/relationships/printerSettings" Target="../printerSettings/printerSettings62.bin"/><Relationship Id="rId4" Type="http://schemas.openxmlformats.org/officeDocument/2006/relationships/ctrlProp" Target="../ctrlProps/ctrlProp646.xml"/></Relationships>
</file>

<file path=xl/worksheets/_rels/sheet65.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6.xml"/><Relationship Id="rId1" Type="http://schemas.openxmlformats.org/officeDocument/2006/relationships/printerSettings" Target="../printerSettings/printerSettings63.bin"/><Relationship Id="rId4" Type="http://schemas.openxmlformats.org/officeDocument/2006/relationships/ctrlProp" Target="../ctrlProps/ctrlProp647.xml"/></Relationships>
</file>

<file path=xl/worksheets/_rels/sheet66.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7.xml"/><Relationship Id="rId1" Type="http://schemas.openxmlformats.org/officeDocument/2006/relationships/printerSettings" Target="../printerSettings/printerSettings64.bin"/><Relationship Id="rId4" Type="http://schemas.openxmlformats.org/officeDocument/2006/relationships/ctrlProp" Target="../ctrlProps/ctrlProp648.xml"/></Relationships>
</file>

<file path=xl/worksheets/_rels/sheet67.xml.rels><?xml version="1.0" encoding="UTF-8" standalone="yes"?>
<Relationships xmlns="http://schemas.openxmlformats.org/package/2006/relationships"><Relationship Id="rId8" Type="http://schemas.openxmlformats.org/officeDocument/2006/relationships/ctrlProp" Target="../ctrlProps/ctrlProp653.xml"/><Relationship Id="rId13" Type="http://schemas.openxmlformats.org/officeDocument/2006/relationships/ctrlProp" Target="../ctrlProps/ctrlProp658.xml"/><Relationship Id="rId18" Type="http://schemas.openxmlformats.org/officeDocument/2006/relationships/ctrlProp" Target="../ctrlProps/ctrlProp663.xml"/><Relationship Id="rId3" Type="http://schemas.openxmlformats.org/officeDocument/2006/relationships/vmlDrawing" Target="../drawings/vmlDrawing33.vml"/><Relationship Id="rId7" Type="http://schemas.openxmlformats.org/officeDocument/2006/relationships/ctrlProp" Target="../ctrlProps/ctrlProp652.xml"/><Relationship Id="rId12" Type="http://schemas.openxmlformats.org/officeDocument/2006/relationships/ctrlProp" Target="../ctrlProps/ctrlProp657.xml"/><Relationship Id="rId17" Type="http://schemas.openxmlformats.org/officeDocument/2006/relationships/ctrlProp" Target="../ctrlProps/ctrlProp662.xml"/><Relationship Id="rId2" Type="http://schemas.openxmlformats.org/officeDocument/2006/relationships/drawing" Target="../drawings/drawing38.xml"/><Relationship Id="rId16" Type="http://schemas.openxmlformats.org/officeDocument/2006/relationships/ctrlProp" Target="../ctrlProps/ctrlProp661.xml"/><Relationship Id="rId1" Type="http://schemas.openxmlformats.org/officeDocument/2006/relationships/printerSettings" Target="../printerSettings/printerSettings65.bin"/><Relationship Id="rId6" Type="http://schemas.openxmlformats.org/officeDocument/2006/relationships/ctrlProp" Target="../ctrlProps/ctrlProp651.xml"/><Relationship Id="rId11" Type="http://schemas.openxmlformats.org/officeDocument/2006/relationships/ctrlProp" Target="../ctrlProps/ctrlProp656.xml"/><Relationship Id="rId5" Type="http://schemas.openxmlformats.org/officeDocument/2006/relationships/ctrlProp" Target="../ctrlProps/ctrlProp650.xml"/><Relationship Id="rId15" Type="http://schemas.openxmlformats.org/officeDocument/2006/relationships/ctrlProp" Target="../ctrlProps/ctrlProp660.xml"/><Relationship Id="rId10" Type="http://schemas.openxmlformats.org/officeDocument/2006/relationships/ctrlProp" Target="../ctrlProps/ctrlProp655.xml"/><Relationship Id="rId4" Type="http://schemas.openxmlformats.org/officeDocument/2006/relationships/ctrlProp" Target="../ctrlProps/ctrlProp649.xml"/><Relationship Id="rId9" Type="http://schemas.openxmlformats.org/officeDocument/2006/relationships/ctrlProp" Target="../ctrlProps/ctrlProp654.xml"/><Relationship Id="rId14" Type="http://schemas.openxmlformats.org/officeDocument/2006/relationships/ctrlProp" Target="../ctrlProps/ctrlProp65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A4770-E9A8-4278-827F-4C0DD688B5E5}">
  <dimension ref="A1:N27"/>
  <sheetViews>
    <sheetView workbookViewId="0"/>
  </sheetViews>
  <sheetFormatPr defaultColWidth="8.83203125" defaultRowHeight="15.5" x14ac:dyDescent="0.35"/>
  <sheetData>
    <row r="1" spans="1:14" x14ac:dyDescent="0.35">
      <c r="A1" s="1378"/>
      <c r="B1" s="1378">
        <v>0</v>
      </c>
      <c r="C1" s="1378"/>
      <c r="D1" s="1378"/>
      <c r="E1" s="1378">
        <v>0</v>
      </c>
      <c r="F1" s="1378"/>
      <c r="G1" s="1378"/>
      <c r="H1" s="1378">
        <v>0</v>
      </c>
      <c r="K1">
        <v>0</v>
      </c>
      <c r="N1">
        <v>0</v>
      </c>
    </row>
    <row r="2" spans="1:14" x14ac:dyDescent="0.35">
      <c r="A2" s="1378" t="s">
        <v>2193</v>
      </c>
      <c r="B2" s="1378">
        <v>2</v>
      </c>
      <c r="C2" s="1378"/>
      <c r="D2" s="1378" t="s">
        <v>2194</v>
      </c>
      <c r="E2" s="1378">
        <v>1</v>
      </c>
      <c r="F2" s="1378"/>
      <c r="G2" s="1378" t="s">
        <v>2195</v>
      </c>
      <c r="H2" s="1378">
        <v>1</v>
      </c>
      <c r="J2" t="s">
        <v>2202</v>
      </c>
      <c r="K2">
        <v>1</v>
      </c>
      <c r="M2" t="s">
        <v>9644</v>
      </c>
      <c r="N2">
        <v>1</v>
      </c>
    </row>
    <row r="3" spans="1:14" x14ac:dyDescent="0.35">
      <c r="A3" s="1378" t="s">
        <v>2196</v>
      </c>
      <c r="B3" s="1378">
        <v>3</v>
      </c>
      <c r="C3" s="1378"/>
      <c r="D3" s="1378" t="s">
        <v>2197</v>
      </c>
      <c r="E3" s="1378">
        <v>2</v>
      </c>
      <c r="F3" s="1378"/>
      <c r="G3" s="1378" t="s">
        <v>17</v>
      </c>
      <c r="H3" s="1378">
        <v>4</v>
      </c>
      <c r="J3" t="s">
        <v>2199</v>
      </c>
      <c r="K3">
        <v>2</v>
      </c>
      <c r="M3" t="s">
        <v>9645</v>
      </c>
      <c r="N3">
        <v>2</v>
      </c>
    </row>
    <row r="4" spans="1:14" x14ac:dyDescent="0.35">
      <c r="A4" s="1378" t="s">
        <v>2198</v>
      </c>
      <c r="B4" s="1378">
        <v>4</v>
      </c>
      <c r="C4" s="1378"/>
      <c r="D4" s="1378" t="s">
        <v>2199</v>
      </c>
      <c r="E4" s="1378">
        <v>3</v>
      </c>
      <c r="F4" s="1378"/>
      <c r="G4" s="1378" t="s">
        <v>236</v>
      </c>
      <c r="H4" s="1378">
        <v>2</v>
      </c>
      <c r="J4" t="s">
        <v>9641</v>
      </c>
      <c r="K4">
        <v>3</v>
      </c>
      <c r="M4" t="s">
        <v>9646</v>
      </c>
      <c r="N4">
        <v>3</v>
      </c>
    </row>
    <row r="5" spans="1:14" x14ac:dyDescent="0.35">
      <c r="A5" s="1378" t="s">
        <v>2200</v>
      </c>
      <c r="B5" s="1378">
        <v>1</v>
      </c>
      <c r="C5" s="1378"/>
      <c r="D5" s="1378" t="s">
        <v>18</v>
      </c>
      <c r="E5" s="1378">
        <v>8</v>
      </c>
      <c r="F5" s="1378"/>
      <c r="G5" s="1378" t="s">
        <v>2201</v>
      </c>
      <c r="H5" s="1378">
        <v>7</v>
      </c>
      <c r="J5" t="s">
        <v>2203</v>
      </c>
      <c r="K5">
        <v>4</v>
      </c>
      <c r="M5" t="s">
        <v>9647</v>
      </c>
      <c r="N5">
        <v>4</v>
      </c>
    </row>
    <row r="6" spans="1:14" x14ac:dyDescent="0.35">
      <c r="A6" s="1378">
        <v>0</v>
      </c>
      <c r="B6" s="1378">
        <v>0</v>
      </c>
      <c r="C6" s="1378"/>
      <c r="D6" s="1378" t="s">
        <v>1390</v>
      </c>
      <c r="E6" s="1378">
        <v>4</v>
      </c>
      <c r="F6" s="1378"/>
      <c r="G6" s="1378" t="s">
        <v>141</v>
      </c>
      <c r="H6" s="1378">
        <v>6</v>
      </c>
      <c r="J6" t="s">
        <v>9640</v>
      </c>
      <c r="K6">
        <v>5</v>
      </c>
      <c r="M6">
        <v>0</v>
      </c>
      <c r="N6">
        <v>0</v>
      </c>
    </row>
    <row r="7" spans="1:14" x14ac:dyDescent="0.35">
      <c r="A7" s="1378"/>
      <c r="B7" s="1378"/>
      <c r="C7" s="1378"/>
      <c r="D7" s="1378" t="s">
        <v>2202</v>
      </c>
      <c r="E7" s="1378">
        <v>5</v>
      </c>
      <c r="F7" s="1378"/>
      <c r="G7" s="1378" t="s">
        <v>59</v>
      </c>
      <c r="H7" s="1378">
        <v>5</v>
      </c>
      <c r="J7" t="s">
        <v>9642</v>
      </c>
      <c r="K7">
        <v>6</v>
      </c>
    </row>
    <row r="8" spans="1:14" x14ac:dyDescent="0.35">
      <c r="A8" s="1378"/>
      <c r="B8" s="1378"/>
      <c r="C8" s="1378"/>
      <c r="D8" s="1378" t="s">
        <v>2203</v>
      </c>
      <c r="E8" s="1378">
        <v>6</v>
      </c>
      <c r="F8" s="1378"/>
      <c r="G8" s="1378" t="s">
        <v>2204</v>
      </c>
      <c r="H8" s="1378">
        <v>3</v>
      </c>
      <c r="J8" t="s">
        <v>9643</v>
      </c>
      <c r="K8">
        <v>7</v>
      </c>
    </row>
    <row r="9" spans="1:14" x14ac:dyDescent="0.35">
      <c r="A9" s="1378"/>
      <c r="B9" s="1378"/>
      <c r="C9" s="1378"/>
      <c r="D9" s="1378" t="s">
        <v>748</v>
      </c>
      <c r="E9" s="1378">
        <v>7</v>
      </c>
      <c r="F9" s="1378"/>
      <c r="G9" s="1378" t="s">
        <v>18</v>
      </c>
      <c r="H9" s="1378">
        <v>8</v>
      </c>
      <c r="J9" t="s">
        <v>18</v>
      </c>
      <c r="K9">
        <v>8</v>
      </c>
    </row>
    <row r="10" spans="1:14" x14ac:dyDescent="0.35">
      <c r="A10" s="1378"/>
      <c r="B10" s="1378"/>
      <c r="C10" s="1378"/>
      <c r="D10" s="1378">
        <v>0</v>
      </c>
      <c r="E10" s="1378">
        <v>0</v>
      </c>
      <c r="F10" s="1378"/>
      <c r="G10" s="1378">
        <v>0</v>
      </c>
      <c r="H10" s="1378">
        <v>0</v>
      </c>
      <c r="J10">
        <v>0</v>
      </c>
      <c r="K10">
        <v>0</v>
      </c>
    </row>
    <row r="13" spans="1:14" x14ac:dyDescent="0.35">
      <c r="A13" t="s">
        <v>2205</v>
      </c>
      <c r="E13" s="1378">
        <v>0</v>
      </c>
      <c r="H13" s="1378">
        <v>0</v>
      </c>
      <c r="K13">
        <v>0</v>
      </c>
      <c r="N13">
        <v>0</v>
      </c>
    </row>
    <row r="14" spans="1:14" x14ac:dyDescent="0.35">
      <c r="A14" t="s">
        <v>2206</v>
      </c>
      <c r="D14" t="s">
        <v>9709</v>
      </c>
      <c r="E14" s="1378">
        <v>1</v>
      </c>
      <c r="G14" t="s">
        <v>1083</v>
      </c>
      <c r="H14" s="1378">
        <v>1</v>
      </c>
      <c r="J14" t="s">
        <v>9756</v>
      </c>
      <c r="K14">
        <v>1</v>
      </c>
      <c r="M14" t="s">
        <v>9760</v>
      </c>
      <c r="N14">
        <v>1</v>
      </c>
    </row>
    <row r="15" spans="1:14" x14ac:dyDescent="0.35">
      <c r="A15" t="s">
        <v>2207</v>
      </c>
      <c r="D15" t="s">
        <v>12671</v>
      </c>
      <c r="E15" s="1378">
        <v>2</v>
      </c>
      <c r="G15" t="s">
        <v>1084</v>
      </c>
      <c r="H15" s="1378">
        <v>2</v>
      </c>
      <c r="J15" t="s">
        <v>9757</v>
      </c>
      <c r="K15">
        <v>2</v>
      </c>
      <c r="M15" t="s">
        <v>9761</v>
      </c>
      <c r="N15">
        <v>2</v>
      </c>
    </row>
    <row r="16" spans="1:14" x14ac:dyDescent="0.35">
      <c r="A16" t="s">
        <v>2208</v>
      </c>
      <c r="D16" t="s">
        <v>9710</v>
      </c>
      <c r="E16" s="1378">
        <v>3</v>
      </c>
      <c r="G16" t="s">
        <v>9714</v>
      </c>
      <c r="H16" s="1378">
        <v>3</v>
      </c>
      <c r="J16" t="s">
        <v>9758</v>
      </c>
      <c r="K16">
        <v>3</v>
      </c>
      <c r="M16" t="s">
        <v>9762</v>
      </c>
      <c r="N16">
        <v>3</v>
      </c>
    </row>
    <row r="17" spans="1:14" x14ac:dyDescent="0.35">
      <c r="A17" t="s">
        <v>2209</v>
      </c>
      <c r="D17" t="s">
        <v>9711</v>
      </c>
      <c r="E17" s="1378">
        <v>4</v>
      </c>
      <c r="G17">
        <v>0</v>
      </c>
      <c r="H17" s="1378">
        <v>0</v>
      </c>
      <c r="J17" t="s">
        <v>9759</v>
      </c>
      <c r="K17">
        <v>4</v>
      </c>
      <c r="M17">
        <v>0</v>
      </c>
      <c r="N17">
        <v>0</v>
      </c>
    </row>
    <row r="18" spans="1:14" x14ac:dyDescent="0.35">
      <c r="A18" t="s">
        <v>2210</v>
      </c>
      <c r="D18" t="s">
        <v>9712</v>
      </c>
      <c r="E18" s="1378">
        <v>5</v>
      </c>
      <c r="J18">
        <v>0</v>
      </c>
      <c r="K18">
        <v>0</v>
      </c>
    </row>
    <row r="19" spans="1:14" x14ac:dyDescent="0.35">
      <c r="A19" t="s">
        <v>2211</v>
      </c>
      <c r="D19" t="s">
        <v>9713</v>
      </c>
      <c r="E19" s="1378">
        <v>6</v>
      </c>
    </row>
    <row r="20" spans="1:14" x14ac:dyDescent="0.35">
      <c r="A20" t="s">
        <v>2212</v>
      </c>
      <c r="D20" t="s">
        <v>18</v>
      </c>
      <c r="E20" s="1378">
        <v>7</v>
      </c>
    </row>
    <row r="21" spans="1:14" x14ac:dyDescent="0.35">
      <c r="A21" t="s">
        <v>2213</v>
      </c>
      <c r="D21">
        <v>0</v>
      </c>
      <c r="E21" s="1378">
        <v>0</v>
      </c>
    </row>
    <row r="24" spans="1:14" x14ac:dyDescent="0.35">
      <c r="E24" s="1378">
        <v>0</v>
      </c>
    </row>
    <row r="25" spans="1:14" x14ac:dyDescent="0.35">
      <c r="D25" t="s">
        <v>9833</v>
      </c>
      <c r="E25" s="1378">
        <v>1</v>
      </c>
    </row>
    <row r="26" spans="1:14" x14ac:dyDescent="0.35">
      <c r="D26" t="s">
        <v>9832</v>
      </c>
      <c r="E26" s="1378">
        <v>2</v>
      </c>
    </row>
    <row r="27" spans="1:14" x14ac:dyDescent="0.35">
      <c r="D27">
        <v>0</v>
      </c>
      <c r="E27" s="1378">
        <v>0</v>
      </c>
    </row>
  </sheetData>
  <sheetProtection algorithmName="SHA-512" hashValue="fAkSv21b2o7sToogilwo9/ohb1eTjwNM5vskPg/6aIBjjAudbmCLSrifixeXH7fQt4J4KLB6YIhHB727VJFB/g==" saltValue="yiv0wFPz7d1pLOppqUV2Dw==" spinCount="100000" sheet="1" objects="1" scenarios="1" selectLockedCell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D92F3-442D-4E3C-8722-76CE84814E1E}">
  <dimension ref="A1:Q23"/>
  <sheetViews>
    <sheetView workbookViewId="0"/>
  </sheetViews>
  <sheetFormatPr defaultRowHeight="15.5" x14ac:dyDescent="0.35"/>
  <cols>
    <col min="1" max="1" width="21.08203125" bestFit="1" customWidth="1"/>
    <col min="2" max="2" width="14.1640625" bestFit="1" customWidth="1"/>
    <col min="3" max="3" width="20.33203125" bestFit="1" customWidth="1"/>
    <col min="4" max="4" width="15.58203125" bestFit="1" customWidth="1"/>
    <col min="5" max="5" width="17.5" bestFit="1" customWidth="1"/>
    <col min="6" max="6" width="14.4140625" bestFit="1" customWidth="1"/>
    <col min="7" max="7" width="15.6640625" bestFit="1" customWidth="1"/>
    <col min="8" max="8" width="16.33203125" bestFit="1" customWidth="1"/>
    <col min="9" max="9" width="20" bestFit="1" customWidth="1"/>
    <col min="10" max="10" width="18.1640625" bestFit="1" customWidth="1"/>
    <col min="11" max="11" width="17.83203125" bestFit="1" customWidth="1"/>
    <col min="12" max="12" width="23.6640625" bestFit="1" customWidth="1"/>
    <col min="13" max="13" width="16.9140625" bestFit="1" customWidth="1"/>
    <col min="14" max="14" width="14.83203125" bestFit="1" customWidth="1"/>
    <col min="15" max="15" width="16.33203125" bestFit="1" customWidth="1"/>
    <col min="16" max="16" width="11.1640625" bestFit="1" customWidth="1"/>
    <col min="17" max="17" width="15.6640625" bestFit="1" customWidth="1"/>
  </cols>
  <sheetData>
    <row r="1" spans="1:17" x14ac:dyDescent="0.35">
      <c r="A1" s="42" t="s">
        <v>1951</v>
      </c>
      <c r="B1" s="42" t="s">
        <v>1952</v>
      </c>
      <c r="C1" s="42" t="s">
        <v>1953</v>
      </c>
      <c r="D1" s="42" t="s">
        <v>1954</v>
      </c>
      <c r="E1" s="42" t="s">
        <v>1955</v>
      </c>
      <c r="F1" s="42" t="s">
        <v>1956</v>
      </c>
      <c r="G1" s="42" t="s">
        <v>1957</v>
      </c>
      <c r="H1" s="42" t="s">
        <v>1958</v>
      </c>
      <c r="I1" s="42" t="s">
        <v>1959</v>
      </c>
      <c r="J1" s="42" t="s">
        <v>1960</v>
      </c>
      <c r="K1" s="42" t="s">
        <v>1961</v>
      </c>
      <c r="L1" s="42" t="s">
        <v>1962</v>
      </c>
      <c r="M1" s="42" t="s">
        <v>1963</v>
      </c>
      <c r="N1" s="42" t="s">
        <v>1964</v>
      </c>
      <c r="O1" s="42" t="s">
        <v>1965</v>
      </c>
      <c r="P1" s="42" t="s">
        <v>1966</v>
      </c>
      <c r="Q1" s="42" t="s">
        <v>1967</v>
      </c>
    </row>
    <row r="2" spans="1:17" x14ac:dyDescent="0.35">
      <c r="A2" t="s">
        <v>1968</v>
      </c>
      <c r="B2" t="s">
        <v>1969</v>
      </c>
      <c r="C2" t="s">
        <v>1970</v>
      </c>
      <c r="D2" t="s">
        <v>1971</v>
      </c>
      <c r="E2" t="s">
        <v>1972</v>
      </c>
      <c r="F2" t="s">
        <v>1973</v>
      </c>
      <c r="G2" t="s">
        <v>1974</v>
      </c>
      <c r="H2" t="s">
        <v>1975</v>
      </c>
      <c r="I2" t="s">
        <v>1976</v>
      </c>
      <c r="J2" t="s">
        <v>1977</v>
      </c>
      <c r="K2" t="s">
        <v>1978</v>
      </c>
      <c r="L2" t="s">
        <v>1979</v>
      </c>
      <c r="M2" t="s">
        <v>1997</v>
      </c>
      <c r="N2" t="s">
        <v>1981</v>
      </c>
      <c r="O2" t="s">
        <v>1982</v>
      </c>
      <c r="P2" t="s">
        <v>1983</v>
      </c>
      <c r="Q2" t="s">
        <v>1984</v>
      </c>
    </row>
    <row r="3" spans="1:17" x14ac:dyDescent="0.35">
      <c r="A3" t="s">
        <v>1985</v>
      </c>
      <c r="B3" t="s">
        <v>1986</v>
      </c>
      <c r="C3" t="s">
        <v>1987</v>
      </c>
      <c r="D3" t="s">
        <v>1988</v>
      </c>
      <c r="E3" t="s">
        <v>1989</v>
      </c>
      <c r="F3" t="s">
        <v>1990</v>
      </c>
      <c r="G3" t="s">
        <v>1991</v>
      </c>
      <c r="H3" t="s">
        <v>1992</v>
      </c>
      <c r="I3" t="s">
        <v>1993</v>
      </c>
      <c r="J3" t="s">
        <v>1994</v>
      </c>
      <c r="K3" t="s">
        <v>1995</v>
      </c>
      <c r="L3" t="s">
        <v>1996</v>
      </c>
      <c r="M3" t="s">
        <v>2014</v>
      </c>
      <c r="N3" t="s">
        <v>1998</v>
      </c>
      <c r="O3" t="s">
        <v>1999</v>
      </c>
      <c r="P3" t="s">
        <v>2000</v>
      </c>
      <c r="Q3" t="s">
        <v>2001</v>
      </c>
    </row>
    <row r="4" spans="1:17" x14ac:dyDescent="0.35">
      <c r="A4" t="s">
        <v>2002</v>
      </c>
      <c r="B4" t="s">
        <v>2003</v>
      </c>
      <c r="C4" t="s">
        <v>2004</v>
      </c>
      <c r="D4" t="s">
        <v>2005</v>
      </c>
      <c r="E4" t="s">
        <v>2006</v>
      </c>
      <c r="F4" t="s">
        <v>2007</v>
      </c>
      <c r="G4" t="s">
        <v>2008</v>
      </c>
      <c r="H4" t="s">
        <v>2009</v>
      </c>
      <c r="I4" t="s">
        <v>2010</v>
      </c>
      <c r="J4" t="s">
        <v>2011</v>
      </c>
      <c r="K4" t="s">
        <v>2012</v>
      </c>
      <c r="L4" t="s">
        <v>2013</v>
      </c>
      <c r="M4" t="s">
        <v>2031</v>
      </c>
      <c r="N4" t="s">
        <v>2015</v>
      </c>
      <c r="O4" t="s">
        <v>2016</v>
      </c>
      <c r="P4" t="s">
        <v>2017</v>
      </c>
      <c r="Q4" t="s">
        <v>2018</v>
      </c>
    </row>
    <row r="5" spans="1:17" x14ac:dyDescent="0.35">
      <c r="A5" t="s">
        <v>2019</v>
      </c>
      <c r="B5" t="s">
        <v>2020</v>
      </c>
      <c r="C5" t="s">
        <v>2021</v>
      </c>
      <c r="D5" t="s">
        <v>2022</v>
      </c>
      <c r="E5" t="s">
        <v>2023</v>
      </c>
      <c r="F5" t="s">
        <v>2024</v>
      </c>
      <c r="G5" t="s">
        <v>2025</v>
      </c>
      <c r="H5" t="s">
        <v>2026</v>
      </c>
      <c r="I5" t="s">
        <v>2027</v>
      </c>
      <c r="J5" t="s">
        <v>2028</v>
      </c>
      <c r="K5" t="s">
        <v>2029</v>
      </c>
      <c r="L5" t="s">
        <v>2030</v>
      </c>
      <c r="M5" t="s">
        <v>2048</v>
      </c>
      <c r="N5" t="s">
        <v>2032</v>
      </c>
      <c r="O5" t="s">
        <v>2033</v>
      </c>
      <c r="P5" t="s">
        <v>2034</v>
      </c>
      <c r="Q5" t="s">
        <v>2035</v>
      </c>
    </row>
    <row r="6" spans="1:17" x14ac:dyDescent="0.35">
      <c r="A6" t="s">
        <v>2036</v>
      </c>
      <c r="B6" t="s">
        <v>2037</v>
      </c>
      <c r="C6" t="s">
        <v>2038</v>
      </c>
      <c r="D6" t="s">
        <v>2039</v>
      </c>
      <c r="E6" t="s">
        <v>2040</v>
      </c>
      <c r="F6" t="s">
        <v>2041</v>
      </c>
      <c r="G6" t="s">
        <v>2042</v>
      </c>
      <c r="H6" t="s">
        <v>2043</v>
      </c>
      <c r="I6" t="s">
        <v>2044</v>
      </c>
      <c r="J6" t="s">
        <v>2045</v>
      </c>
      <c r="K6" t="s">
        <v>2046</v>
      </c>
      <c r="L6" t="s">
        <v>2047</v>
      </c>
      <c r="M6" t="s">
        <v>2065</v>
      </c>
      <c r="N6" t="s">
        <v>2049</v>
      </c>
      <c r="O6" t="s">
        <v>2050</v>
      </c>
      <c r="P6" t="s">
        <v>2051</v>
      </c>
      <c r="Q6" t="s">
        <v>2052</v>
      </c>
    </row>
    <row r="7" spans="1:17" x14ac:dyDescent="0.35">
      <c r="A7" t="s">
        <v>2053</v>
      </c>
      <c r="B7" t="s">
        <v>2054</v>
      </c>
      <c r="C7" t="s">
        <v>2055</v>
      </c>
      <c r="D7" t="s">
        <v>2056</v>
      </c>
      <c r="E7" t="s">
        <v>2057</v>
      </c>
      <c r="F7" t="s">
        <v>2058</v>
      </c>
      <c r="G7" t="s">
        <v>2059</v>
      </c>
      <c r="H7" t="s">
        <v>2060</v>
      </c>
      <c r="I7" t="s">
        <v>2061</v>
      </c>
      <c r="J7" t="s">
        <v>2062</v>
      </c>
      <c r="K7" t="s">
        <v>2063</v>
      </c>
      <c r="L7" t="s">
        <v>2064</v>
      </c>
      <c r="M7" t="s">
        <v>2082</v>
      </c>
      <c r="N7" t="s">
        <v>2066</v>
      </c>
      <c r="O7" t="s">
        <v>2067</v>
      </c>
      <c r="P7" t="s">
        <v>2068</v>
      </c>
      <c r="Q7" t="s">
        <v>2069</v>
      </c>
    </row>
    <row r="8" spans="1:17" x14ac:dyDescent="0.35">
      <c r="A8" t="s">
        <v>2070</v>
      </c>
      <c r="B8" t="s">
        <v>2071</v>
      </c>
      <c r="C8" t="s">
        <v>2072</v>
      </c>
      <c r="D8" t="s">
        <v>2073</v>
      </c>
      <c r="E8" t="s">
        <v>2074</v>
      </c>
      <c r="F8" t="s">
        <v>2075</v>
      </c>
      <c r="G8" t="s">
        <v>2076</v>
      </c>
      <c r="H8" t="s">
        <v>2077</v>
      </c>
      <c r="I8" t="s">
        <v>2078</v>
      </c>
      <c r="J8" t="s">
        <v>2079</v>
      </c>
      <c r="K8" t="s">
        <v>2080</v>
      </c>
      <c r="L8" t="s">
        <v>2081</v>
      </c>
      <c r="M8" t="s">
        <v>2098</v>
      </c>
      <c r="N8" t="s">
        <v>2083</v>
      </c>
      <c r="O8" t="s">
        <v>2084</v>
      </c>
      <c r="P8" t="s">
        <v>2085</v>
      </c>
      <c r="Q8" t="s">
        <v>2086</v>
      </c>
    </row>
    <row r="9" spans="1:17" x14ac:dyDescent="0.35">
      <c r="A9" t="s">
        <v>2087</v>
      </c>
      <c r="B9" t="s">
        <v>2088</v>
      </c>
      <c r="C9" t="s">
        <v>2089</v>
      </c>
      <c r="D9" t="s">
        <v>2090</v>
      </c>
      <c r="F9" t="s">
        <v>2091</v>
      </c>
      <c r="G9" t="s">
        <v>2092</v>
      </c>
      <c r="H9" t="s">
        <v>2093</v>
      </c>
      <c r="I9" t="s">
        <v>2094</v>
      </c>
      <c r="J9" t="s">
        <v>2095</v>
      </c>
      <c r="K9" t="s">
        <v>2096</v>
      </c>
      <c r="L9" t="s">
        <v>2097</v>
      </c>
      <c r="M9" t="s">
        <v>2113</v>
      </c>
      <c r="N9" t="s">
        <v>2099</v>
      </c>
      <c r="O9" t="s">
        <v>2100</v>
      </c>
      <c r="P9" t="s">
        <v>2101</v>
      </c>
      <c r="Q9" t="s">
        <v>2102</v>
      </c>
    </row>
    <row r="10" spans="1:17" x14ac:dyDescent="0.35">
      <c r="A10" t="s">
        <v>2103</v>
      </c>
      <c r="B10" t="s">
        <v>2104</v>
      </c>
      <c r="C10" t="s">
        <v>2105</v>
      </c>
      <c r="D10" t="s">
        <v>2106</v>
      </c>
      <c r="F10" t="s">
        <v>2107</v>
      </c>
      <c r="G10" t="s">
        <v>2108</v>
      </c>
      <c r="H10" t="s">
        <v>2109</v>
      </c>
      <c r="I10" t="s">
        <v>2110</v>
      </c>
      <c r="K10" t="s">
        <v>2111</v>
      </c>
      <c r="L10" t="s">
        <v>2112</v>
      </c>
      <c r="N10" t="s">
        <v>2114</v>
      </c>
      <c r="O10" t="s">
        <v>2115</v>
      </c>
      <c r="Q10" t="s">
        <v>2116</v>
      </c>
    </row>
    <row r="11" spans="1:17" x14ac:dyDescent="0.35">
      <c r="A11" t="s">
        <v>2117</v>
      </c>
      <c r="C11" t="s">
        <v>2118</v>
      </c>
      <c r="D11" t="s">
        <v>2119</v>
      </c>
      <c r="F11" t="s">
        <v>2120</v>
      </c>
      <c r="G11" t="s">
        <v>2121</v>
      </c>
      <c r="H11" t="s">
        <v>2122</v>
      </c>
      <c r="I11" t="s">
        <v>2123</v>
      </c>
      <c r="K11" t="s">
        <v>2124</v>
      </c>
      <c r="L11" t="s">
        <v>2125</v>
      </c>
      <c r="N11" t="s">
        <v>2126</v>
      </c>
      <c r="O11" t="s">
        <v>2127</v>
      </c>
      <c r="Q11" t="s">
        <v>2128</v>
      </c>
    </row>
    <row r="12" spans="1:17" x14ac:dyDescent="0.35">
      <c r="A12" t="s">
        <v>2129</v>
      </c>
      <c r="C12" t="s">
        <v>2130</v>
      </c>
      <c r="D12" t="s">
        <v>2131</v>
      </c>
      <c r="F12" t="s">
        <v>2132</v>
      </c>
      <c r="G12" t="s">
        <v>2133</v>
      </c>
      <c r="H12" t="s">
        <v>2134</v>
      </c>
      <c r="I12" t="s">
        <v>2135</v>
      </c>
      <c r="K12" t="s">
        <v>2136</v>
      </c>
      <c r="L12" t="s">
        <v>2137</v>
      </c>
      <c r="N12" t="s">
        <v>2138</v>
      </c>
      <c r="O12" t="s">
        <v>2139</v>
      </c>
      <c r="Q12" t="s">
        <v>2140</v>
      </c>
    </row>
    <row r="13" spans="1:17" x14ac:dyDescent="0.35">
      <c r="A13" t="s">
        <v>2141</v>
      </c>
      <c r="C13" t="s">
        <v>2142</v>
      </c>
      <c r="D13" t="s">
        <v>2143</v>
      </c>
      <c r="F13" t="s">
        <v>2144</v>
      </c>
      <c r="G13" t="s">
        <v>2145</v>
      </c>
      <c r="H13" t="s">
        <v>2146</v>
      </c>
      <c r="I13" t="s">
        <v>2147</v>
      </c>
      <c r="K13" t="s">
        <v>2148</v>
      </c>
      <c r="N13" t="s">
        <v>2149</v>
      </c>
      <c r="O13" t="s">
        <v>2150</v>
      </c>
      <c r="Q13" t="s">
        <v>2151</v>
      </c>
    </row>
    <row r="14" spans="1:17" x14ac:dyDescent="0.35">
      <c r="A14" t="s">
        <v>2152</v>
      </c>
      <c r="C14" t="s">
        <v>2153</v>
      </c>
      <c r="D14" t="s">
        <v>2154</v>
      </c>
      <c r="F14" t="s">
        <v>2155</v>
      </c>
      <c r="G14" t="s">
        <v>2156</v>
      </c>
      <c r="H14" t="s">
        <v>2157</v>
      </c>
      <c r="I14" t="s">
        <v>2158</v>
      </c>
      <c r="K14" t="s">
        <v>2159</v>
      </c>
      <c r="O14" t="s">
        <v>2160</v>
      </c>
      <c r="Q14" t="s">
        <v>2161</v>
      </c>
    </row>
    <row r="15" spans="1:17" x14ac:dyDescent="0.35">
      <c r="A15" t="s">
        <v>2162</v>
      </c>
      <c r="C15" t="s">
        <v>2163</v>
      </c>
      <c r="D15" t="s">
        <v>2164</v>
      </c>
      <c r="G15" t="s">
        <v>2165</v>
      </c>
      <c r="H15" t="s">
        <v>2166</v>
      </c>
      <c r="K15" t="s">
        <v>2167</v>
      </c>
      <c r="O15" t="s">
        <v>1980</v>
      </c>
      <c r="Q15" t="s">
        <v>2168</v>
      </c>
    </row>
    <row r="16" spans="1:17" x14ac:dyDescent="0.35">
      <c r="C16" t="s">
        <v>2141</v>
      </c>
      <c r="D16" t="s">
        <v>2169</v>
      </c>
      <c r="G16" t="s">
        <v>2170</v>
      </c>
      <c r="H16" t="s">
        <v>2171</v>
      </c>
      <c r="O16" t="s">
        <v>12793</v>
      </c>
      <c r="Q16" t="s">
        <v>2172</v>
      </c>
    </row>
    <row r="17" spans="3:17" x14ac:dyDescent="0.35">
      <c r="C17" t="s">
        <v>2173</v>
      </c>
      <c r="D17" t="s">
        <v>2174</v>
      </c>
      <c r="G17" t="s">
        <v>2175</v>
      </c>
      <c r="H17" t="s">
        <v>2176</v>
      </c>
      <c r="Q17" t="s">
        <v>2177</v>
      </c>
    </row>
    <row r="18" spans="3:17" x14ac:dyDescent="0.35">
      <c r="C18" t="s">
        <v>2178</v>
      </c>
      <c r="D18" t="s">
        <v>2179</v>
      </c>
      <c r="G18" t="s">
        <v>2180</v>
      </c>
      <c r="H18" t="s">
        <v>2181</v>
      </c>
    </row>
    <row r="19" spans="3:17" x14ac:dyDescent="0.35">
      <c r="C19" t="s">
        <v>2182</v>
      </c>
      <c r="D19" t="s">
        <v>12772</v>
      </c>
      <c r="G19" t="s">
        <v>2129</v>
      </c>
      <c r="H19" t="s">
        <v>2184</v>
      </c>
    </row>
    <row r="20" spans="3:17" x14ac:dyDescent="0.35">
      <c r="C20" t="s">
        <v>2185</v>
      </c>
      <c r="D20" t="s">
        <v>2183</v>
      </c>
      <c r="G20" t="s">
        <v>2187</v>
      </c>
      <c r="H20" t="s">
        <v>2188</v>
      </c>
    </row>
    <row r="21" spans="3:17" x14ac:dyDescent="0.35">
      <c r="C21" t="s">
        <v>2189</v>
      </c>
      <c r="D21" t="s">
        <v>2186</v>
      </c>
      <c r="G21" t="s">
        <v>2191</v>
      </c>
    </row>
    <row r="22" spans="3:17" x14ac:dyDescent="0.35">
      <c r="D22" t="s">
        <v>2190</v>
      </c>
      <c r="G22" t="s">
        <v>12585</v>
      </c>
    </row>
    <row r="23" spans="3:17" x14ac:dyDescent="0.35">
      <c r="D23" t="s">
        <v>2192</v>
      </c>
    </row>
  </sheetData>
  <sheetProtection algorithmName="SHA-512" hashValue="tVk1+m234EGU13Ct09ToOIVZ33oEsgVRIaorsX5w/ORLRhKezKCkcH3XjepqxVhvEhBpUZ90pceirv8NFX1PMw==" saltValue="D2VC/7PAEPpMs0O9NacGsw==" spinCount="100000"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AE08F-11F6-4FFB-BD29-C402BB196BBA}">
  <dimension ref="A1:AH6486"/>
  <sheetViews>
    <sheetView zoomScale="75" zoomScaleNormal="75" workbookViewId="0">
      <pane xSplit="2" ySplit="1" topLeftCell="C2" activePane="bottomRight" state="frozen"/>
      <selection activeCell="Y14" sqref="Y14:AJ16"/>
      <selection pane="topRight" activeCell="Y14" sqref="Y14:AJ16"/>
      <selection pane="bottomLeft" activeCell="Y14" sqref="Y14:AJ16"/>
      <selection pane="bottomRight"/>
    </sheetView>
  </sheetViews>
  <sheetFormatPr defaultColWidth="8.83203125" defaultRowHeight="15.5" x14ac:dyDescent="0.35"/>
  <cols>
    <col min="1" max="1" width="47.33203125" customWidth="1"/>
    <col min="2" max="2" width="39.58203125" customWidth="1"/>
    <col min="3" max="3" width="50.08203125" customWidth="1"/>
    <col min="4" max="4" width="26.6640625" customWidth="1"/>
    <col min="5" max="5" width="17.9140625" customWidth="1"/>
    <col min="6" max="6" width="9.1640625" bestFit="1" customWidth="1"/>
    <col min="7" max="7" width="30.5" customWidth="1"/>
    <col min="8" max="8" width="8.4140625" bestFit="1" customWidth="1"/>
    <col min="9" max="9" width="61.6640625" hidden="1" customWidth="1"/>
    <col min="10" max="10" width="15.33203125" hidden="1" customWidth="1"/>
    <col min="11" max="11" width="9.83203125" hidden="1" customWidth="1"/>
    <col min="12" max="12" width="11.1640625" hidden="1" customWidth="1"/>
    <col min="13" max="13" width="4.4140625" hidden="1" customWidth="1"/>
    <col min="14" max="14" width="17.6640625" style="1347" customWidth="1"/>
    <col min="15" max="15" width="15.4140625" customWidth="1"/>
    <col min="16" max="16" width="25.5" customWidth="1"/>
  </cols>
  <sheetData>
    <row r="1" spans="1:16" x14ac:dyDescent="0.35">
      <c r="A1" s="42" t="s">
        <v>2214</v>
      </c>
      <c r="B1" s="42" t="s">
        <v>2215</v>
      </c>
      <c r="C1" s="42" t="s">
        <v>2216</v>
      </c>
      <c r="D1" s="42" t="s">
        <v>2217</v>
      </c>
      <c r="E1" s="1369" t="s">
        <v>2218</v>
      </c>
      <c r="F1" s="42" t="s">
        <v>2219</v>
      </c>
      <c r="G1" s="42"/>
      <c r="H1" s="42" t="s">
        <v>2220</v>
      </c>
      <c r="I1" s="42" t="s">
        <v>2221</v>
      </c>
      <c r="J1" s="42" t="s">
        <v>2222</v>
      </c>
      <c r="K1" s="42" t="s">
        <v>2223</v>
      </c>
      <c r="L1" s="42" t="s">
        <v>2224</v>
      </c>
      <c r="M1" s="42" t="s">
        <v>2225</v>
      </c>
      <c r="N1" s="1370" t="s">
        <v>2226</v>
      </c>
      <c r="O1" s="1370" t="s">
        <v>9174</v>
      </c>
      <c r="P1" s="42" t="s">
        <v>9175</v>
      </c>
    </row>
    <row r="2" spans="1:16" x14ac:dyDescent="0.35">
      <c r="A2" t="s">
        <v>2227</v>
      </c>
      <c r="B2" t="s">
        <v>2228</v>
      </c>
      <c r="C2" t="s">
        <v>2229</v>
      </c>
      <c r="D2" t="s">
        <v>2230</v>
      </c>
      <c r="E2" s="1346" t="str">
        <f>SchInfo!B2</f>
        <v>GJHSPv2022.12.02</v>
      </c>
      <c r="F2" t="b">
        <v>1</v>
      </c>
      <c r="N2" s="133"/>
    </row>
    <row r="3" spans="1:16" x14ac:dyDescent="0.35">
      <c r="A3" t="s">
        <v>2231</v>
      </c>
      <c r="B3" t="s">
        <v>2232</v>
      </c>
      <c r="C3" t="s">
        <v>2231</v>
      </c>
      <c r="D3" t="s">
        <v>2233</v>
      </c>
      <c r="E3">
        <f>sch_id</f>
        <v>304024</v>
      </c>
      <c r="F3" t="b">
        <f>AND(ISNUMBER(E3), E3&lt;&gt; 0)</f>
        <v>1</v>
      </c>
      <c r="G3" t="s">
        <v>12584</v>
      </c>
    </row>
    <row r="4" spans="1:16" x14ac:dyDescent="0.35">
      <c r="A4" t="s">
        <v>2234</v>
      </c>
      <c r="B4" t="s">
        <v>2232</v>
      </c>
      <c r="C4" t="s">
        <v>2234</v>
      </c>
      <c r="D4" t="s">
        <v>2235</v>
      </c>
      <c r="E4" t="str">
        <f>sch_name</f>
        <v>ALORAN TRADE HIGH SCHOOL</v>
      </c>
      <c r="F4" t="b">
        <f>AND(E4&lt;&gt;"",E4&lt;&gt;0,LEN(E4)&gt;2)</f>
        <v>1</v>
      </c>
      <c r="G4" t="s">
        <v>12583</v>
      </c>
    </row>
    <row r="5" spans="1:16" x14ac:dyDescent="0.35">
      <c r="A5" t="s">
        <v>2236</v>
      </c>
      <c r="B5" t="s">
        <v>2232</v>
      </c>
      <c r="C5" t="s">
        <v>2236</v>
      </c>
      <c r="D5" t="s">
        <v>2237</v>
      </c>
      <c r="E5" t="str">
        <f>sch_prev_name</f>
        <v>ALORAN NATIONAL HIGH SCHOOL</v>
      </c>
      <c r="F5" t="b">
        <v>1</v>
      </c>
    </row>
    <row r="6" spans="1:16" x14ac:dyDescent="0.35">
      <c r="A6" t="s">
        <v>2238</v>
      </c>
      <c r="B6" t="s">
        <v>2232</v>
      </c>
      <c r="C6" t="s">
        <v>2238</v>
      </c>
      <c r="D6" t="s">
        <v>2239</v>
      </c>
      <c r="E6">
        <f>sch_add_no</f>
        <v>0</v>
      </c>
      <c r="F6" t="b">
        <v>1</v>
      </c>
      <c r="N6" s="133"/>
    </row>
    <row r="7" spans="1:16" x14ac:dyDescent="0.35">
      <c r="A7" t="s">
        <v>2240</v>
      </c>
      <c r="B7" t="s">
        <v>2232</v>
      </c>
      <c r="C7" t="s">
        <v>2240</v>
      </c>
      <c r="D7" t="s">
        <v>2241</v>
      </c>
      <c r="E7" t="str">
        <f>sch_add_street</f>
        <v>Purok 1</v>
      </c>
      <c r="F7" t="b">
        <v>1</v>
      </c>
      <c r="N7" s="133"/>
    </row>
    <row r="8" spans="1:16" x14ac:dyDescent="0.35">
      <c r="A8" t="s">
        <v>2242</v>
      </c>
      <c r="B8" t="s">
        <v>2232</v>
      </c>
      <c r="C8" t="s">
        <v>2242</v>
      </c>
      <c r="D8" t="s">
        <v>2243</v>
      </c>
      <c r="E8" t="str">
        <f>sch_add_brgy</f>
        <v>LABO</v>
      </c>
      <c r="F8" t="b">
        <v>1</v>
      </c>
      <c r="N8" s="133"/>
    </row>
    <row r="9" spans="1:16" x14ac:dyDescent="0.35">
      <c r="A9" t="s">
        <v>2244</v>
      </c>
      <c r="B9" t="s">
        <v>2232</v>
      </c>
      <c r="C9" t="s">
        <v>2244</v>
      </c>
      <c r="D9" t="s">
        <v>2245</v>
      </c>
      <c r="E9" t="str">
        <f>sch_add_mun_city</f>
        <v>Aloran</v>
      </c>
      <c r="F9" t="b">
        <v>1</v>
      </c>
    </row>
    <row r="10" spans="1:16" x14ac:dyDescent="0.35">
      <c r="A10" t="s">
        <v>2246</v>
      </c>
      <c r="B10" t="s">
        <v>2232</v>
      </c>
      <c r="C10" t="s">
        <v>2246</v>
      </c>
      <c r="D10" t="s">
        <v>2247</v>
      </c>
      <c r="E10" t="str">
        <f>sch_add_prov</f>
        <v>Misamis Occidental</v>
      </c>
      <c r="F10" t="b">
        <v>1</v>
      </c>
    </row>
    <row r="11" spans="1:16" x14ac:dyDescent="0.35">
      <c r="A11" t="s">
        <v>2248</v>
      </c>
      <c r="B11" t="s">
        <v>2232</v>
      </c>
      <c r="C11" t="s">
        <v>2248</v>
      </c>
      <c r="D11" t="s">
        <v>2249</v>
      </c>
      <c r="E11">
        <f>sch_add_zip</f>
        <v>7206</v>
      </c>
      <c r="F11" t="b">
        <v>1</v>
      </c>
    </row>
    <row r="12" spans="1:16" x14ac:dyDescent="0.35">
      <c r="A12" t="s">
        <v>2250</v>
      </c>
      <c r="B12" t="s">
        <v>2232</v>
      </c>
      <c r="C12" t="s">
        <v>2250</v>
      </c>
      <c r="D12" t="s">
        <v>2251</v>
      </c>
      <c r="E12" t="str">
        <f>sch_region</f>
        <v>X</v>
      </c>
      <c r="F12" t="b">
        <v>1</v>
      </c>
      <c r="N12" s="133"/>
    </row>
    <row r="13" spans="1:16" x14ac:dyDescent="0.35">
      <c r="A13" t="s">
        <v>2252</v>
      </c>
      <c r="B13" t="s">
        <v>2232</v>
      </c>
      <c r="C13" t="s">
        <v>2252</v>
      </c>
      <c r="D13" t="s">
        <v>2253</v>
      </c>
      <c r="E13" t="str" cm="1">
        <f t="array" ref="E13">sch_division</f>
        <v>Misamis Occidental</v>
      </c>
      <c r="F13" t="b">
        <v>1</v>
      </c>
      <c r="N13" s="133"/>
    </row>
    <row r="14" spans="1:16" x14ac:dyDescent="0.35">
      <c r="A14" t="s">
        <v>2254</v>
      </c>
      <c r="B14" t="s">
        <v>2232</v>
      </c>
      <c r="C14" t="s">
        <v>2254</v>
      </c>
      <c r="D14" t="s">
        <v>2255</v>
      </c>
      <c r="E14" t="str">
        <f>sch_leg_dist</f>
        <v>1st District</v>
      </c>
      <c r="F14" t="b">
        <v>1</v>
      </c>
    </row>
    <row r="15" spans="1:16" x14ac:dyDescent="0.35">
      <c r="A15" t="s">
        <v>2256</v>
      </c>
      <c r="B15" t="s">
        <v>2232</v>
      </c>
      <c r="C15" t="s">
        <v>2256</v>
      </c>
      <c r="D15" t="s">
        <v>2257</v>
      </c>
      <c r="E15" t="str">
        <f>sch_tel_no</f>
        <v>088-545-0181</v>
      </c>
      <c r="F15" t="b">
        <v>1</v>
      </c>
    </row>
    <row r="16" spans="1:16" x14ac:dyDescent="0.35">
      <c r="A16" t="s">
        <v>2258</v>
      </c>
      <c r="B16" t="s">
        <v>2232</v>
      </c>
      <c r="C16" t="s">
        <v>2258</v>
      </c>
      <c r="D16" t="s">
        <v>2259</v>
      </c>
      <c r="E16">
        <f>sch_mob_no</f>
        <v>9609006095</v>
      </c>
      <c r="F16" t="b">
        <v>1</v>
      </c>
      <c r="N16" s="133"/>
    </row>
    <row r="17" spans="1:14" x14ac:dyDescent="0.35">
      <c r="A17" t="s">
        <v>2260</v>
      </c>
      <c r="B17" t="s">
        <v>2232</v>
      </c>
      <c r="C17" t="s">
        <v>2260</v>
      </c>
      <c r="D17" t="s">
        <v>2261</v>
      </c>
      <c r="E17" t="str">
        <f>sch_fax_no</f>
        <v>N/A</v>
      </c>
      <c r="F17" t="b">
        <v>1</v>
      </c>
      <c r="N17" s="133"/>
    </row>
    <row r="18" spans="1:14" x14ac:dyDescent="0.35">
      <c r="A18" t="s">
        <v>2262</v>
      </c>
      <c r="B18" t="s">
        <v>2232</v>
      </c>
      <c r="C18" t="s">
        <v>2262</v>
      </c>
      <c r="D18" t="s">
        <v>2263</v>
      </c>
      <c r="E18" t="str">
        <f>sch_web_add</f>
        <v>N/A</v>
      </c>
      <c r="F18" t="b">
        <v>1</v>
      </c>
      <c r="N18" s="133"/>
    </row>
    <row r="19" spans="1:14" x14ac:dyDescent="0.35">
      <c r="A19" t="s">
        <v>2264</v>
      </c>
      <c r="B19" t="s">
        <v>2232</v>
      </c>
      <c r="C19" t="s">
        <v>2264</v>
      </c>
      <c r="D19" t="s">
        <v>2265</v>
      </c>
      <c r="E19" t="str">
        <f>sch_email_add</f>
        <v>304024@deped.gov.ph</v>
      </c>
      <c r="F19" t="b">
        <v>1</v>
      </c>
    </row>
    <row r="20" spans="1:14" x14ac:dyDescent="0.35">
      <c r="A20" t="s">
        <v>2266</v>
      </c>
      <c r="B20" t="s">
        <v>2232</v>
      </c>
      <c r="C20" t="s">
        <v>2266</v>
      </c>
      <c r="D20" t="s">
        <v>2267</v>
      </c>
      <c r="E20">
        <f>sch_date_est</f>
        <v>1947</v>
      </c>
      <c r="F20" t="b">
        <v>1</v>
      </c>
    </row>
    <row r="21" spans="1:14" x14ac:dyDescent="0.35">
      <c r="A21" t="s">
        <v>2268</v>
      </c>
      <c r="B21" t="s">
        <v>2232</v>
      </c>
      <c r="C21" t="s">
        <v>2268</v>
      </c>
      <c r="D21" t="s">
        <v>2269</v>
      </c>
      <c r="E21" t="b">
        <f>sch_sci_hs</f>
        <v>0</v>
      </c>
      <c r="F21" t="b">
        <f>ISLOGICAL(E21)</f>
        <v>1</v>
      </c>
      <c r="G21" t="s">
        <v>12516</v>
      </c>
    </row>
    <row r="22" spans="1:14" x14ac:dyDescent="0.35">
      <c r="A22" t="s">
        <v>8468</v>
      </c>
      <c r="B22" t="s">
        <v>2232</v>
      </c>
      <c r="C22" t="s">
        <v>8468</v>
      </c>
      <c r="D22" t="s">
        <v>2271</v>
      </c>
      <c r="E22" t="b" cm="1">
        <f t="array" ref="E22">sch_farm_sch</f>
        <v>0</v>
      </c>
      <c r="F22" t="b">
        <f>ISLOGICAL(E22)</f>
        <v>1</v>
      </c>
      <c r="G22" t="s">
        <v>12516</v>
      </c>
    </row>
    <row r="23" spans="1:14" x14ac:dyDescent="0.35">
      <c r="A23" t="s">
        <v>2270</v>
      </c>
      <c r="B23" t="s">
        <v>2232</v>
      </c>
      <c r="C23" t="s">
        <v>2270</v>
      </c>
      <c r="D23" t="s">
        <v>2273</v>
      </c>
      <c r="E23">
        <f>sch_night_cl</f>
        <v>0</v>
      </c>
      <c r="F23" t="b">
        <f>ISLOGICAL(E23)</f>
        <v>0</v>
      </c>
      <c r="G23" t="s">
        <v>12516</v>
      </c>
    </row>
    <row r="24" spans="1:14" x14ac:dyDescent="0.35">
      <c r="A24" t="s">
        <v>2272</v>
      </c>
      <c r="B24" t="s">
        <v>2232</v>
      </c>
      <c r="C24" t="s">
        <v>2272</v>
      </c>
      <c r="D24" t="s">
        <v>2275</v>
      </c>
      <c r="E24" t="b">
        <f>sch_standalone_tecvoc</f>
        <v>1</v>
      </c>
      <c r="F24" t="b">
        <f>ISLOGICAL(E24)</f>
        <v>1</v>
      </c>
      <c r="G24" t="s">
        <v>12516</v>
      </c>
    </row>
    <row r="25" spans="1:14" x14ac:dyDescent="0.35">
      <c r="A25" t="s">
        <v>2274</v>
      </c>
      <c r="B25" t="s">
        <v>2232</v>
      </c>
      <c r="C25" t="s">
        <v>2274</v>
      </c>
      <c r="D25" t="s">
        <v>2278</v>
      </c>
      <c r="E25" t="b">
        <f>sch_annex_ext_sch</f>
        <v>0</v>
      </c>
      <c r="F25" t="b">
        <f>ISLOGICAL(E25)</f>
        <v>1</v>
      </c>
      <c r="G25" t="s">
        <v>12516</v>
      </c>
    </row>
    <row r="26" spans="1:14" x14ac:dyDescent="0.35">
      <c r="A26" t="s">
        <v>2276</v>
      </c>
      <c r="B26" t="s">
        <v>2232</v>
      </c>
      <c r="C26" t="s">
        <v>2276</v>
      </c>
      <c r="D26" t="s">
        <v>8993</v>
      </c>
      <c r="E26">
        <f>mother_sch_id</f>
        <v>0</v>
      </c>
      <c r="F26" t="b">
        <v>1</v>
      </c>
    </row>
    <row r="27" spans="1:14" x14ac:dyDescent="0.35">
      <c r="A27" t="s">
        <v>2277</v>
      </c>
      <c r="B27" t="s">
        <v>2232</v>
      </c>
      <c r="C27" t="s">
        <v>2277</v>
      </c>
      <c r="D27" t="s">
        <v>8994</v>
      </c>
      <c r="E27" t="b" cm="1">
        <f t="array" ref="E27">sch_iu</f>
        <v>1</v>
      </c>
      <c r="F27" t="b">
        <f>ISLOGICAL(E27)</f>
        <v>1</v>
      </c>
      <c r="G27" t="s">
        <v>12516</v>
      </c>
    </row>
    <row r="28" spans="1:14" x14ac:dyDescent="0.35">
      <c r="A28" t="s">
        <v>2279</v>
      </c>
      <c r="B28" t="s">
        <v>2232</v>
      </c>
      <c r="C28" t="s">
        <v>2279</v>
      </c>
      <c r="D28" t="s">
        <v>2280</v>
      </c>
      <c r="E28" t="str">
        <f>sdo_head_name</f>
        <v>EDWIN R. MARIBOJOC    /    March 17, 2023</v>
      </c>
      <c r="F28" t="b">
        <v>1</v>
      </c>
    </row>
    <row r="29" spans="1:14" x14ac:dyDescent="0.35">
      <c r="A29" t="s">
        <v>2281</v>
      </c>
      <c r="B29" t="s">
        <v>2232</v>
      </c>
      <c r="C29" t="s">
        <v>2281</v>
      </c>
      <c r="D29" t="s">
        <v>2282</v>
      </c>
      <c r="E29" t="str">
        <f>sdo_pos_title</f>
        <v>Schools Division Superintendent</v>
      </c>
      <c r="F29" t="b">
        <v>1</v>
      </c>
    </row>
    <row r="30" spans="1:14" x14ac:dyDescent="0.35">
      <c r="A30" t="s">
        <v>2283</v>
      </c>
      <c r="B30" t="s">
        <v>2232</v>
      </c>
      <c r="C30" t="s">
        <v>2283</v>
      </c>
      <c r="D30" t="s">
        <v>2284</v>
      </c>
      <c r="E30" t="str">
        <f>head_name</f>
        <v>MELCHESIEDICK Q. BOLANIO/ March 17, 2023</v>
      </c>
      <c r="F30" t="b">
        <v>1</v>
      </c>
    </row>
    <row r="31" spans="1:14" x14ac:dyDescent="0.35">
      <c r="A31" t="s">
        <v>2285</v>
      </c>
      <c r="B31" t="s">
        <v>2232</v>
      </c>
      <c r="C31" t="s">
        <v>2285</v>
      </c>
      <c r="D31" t="s">
        <v>2286</v>
      </c>
      <c r="E31" t="str">
        <f>head_pos_title</f>
        <v>Principal IV</v>
      </c>
      <c r="F31" t="b">
        <v>1</v>
      </c>
    </row>
    <row r="32" spans="1:14" s="1348" customFormat="1" ht="16" thickBot="1" x14ac:dyDescent="0.4">
      <c r="A32" s="1348" t="s">
        <v>2287</v>
      </c>
      <c r="B32" s="1348" t="s">
        <v>2232</v>
      </c>
      <c r="C32" s="1348" t="s">
        <v>2287</v>
      </c>
      <c r="D32" s="1348" t="s">
        <v>2288</v>
      </c>
      <c r="E32" s="1348" t="str">
        <f>sch_planning_officer</f>
        <v>MICHAEL T. JAMIS   /  March 17, 2023</v>
      </c>
      <c r="F32" s="1348" t="b">
        <v>1</v>
      </c>
      <c r="N32" s="1358"/>
    </row>
    <row r="33" spans="1:6" x14ac:dyDescent="0.35">
      <c r="A33" t="s">
        <v>2355</v>
      </c>
      <c r="B33" t="s">
        <v>2290</v>
      </c>
      <c r="C33" t="s">
        <v>2355</v>
      </c>
      <c r="D33" t="s">
        <v>9054</v>
      </c>
      <c r="E33">
        <f>learners_by_spa_music_m_g7</f>
        <v>0</v>
      </c>
      <c r="F33" t="b">
        <v>1</v>
      </c>
    </row>
    <row r="34" spans="1:6" x14ac:dyDescent="0.35">
      <c r="A34" t="s">
        <v>2372</v>
      </c>
      <c r="B34" t="s">
        <v>2290</v>
      </c>
      <c r="C34" t="s">
        <v>2372</v>
      </c>
      <c r="D34" t="s">
        <v>9055</v>
      </c>
      <c r="E34">
        <f>learners_by_spa_music_f_g7</f>
        <v>0</v>
      </c>
      <c r="F34" t="b">
        <v>1</v>
      </c>
    </row>
    <row r="35" spans="1:6" x14ac:dyDescent="0.35">
      <c r="A35" t="s">
        <v>2389</v>
      </c>
      <c r="B35" t="s">
        <v>2290</v>
      </c>
      <c r="C35" t="s">
        <v>2389</v>
      </c>
      <c r="D35" t="s">
        <v>9056</v>
      </c>
      <c r="E35">
        <f>learners_by_spa_music_m_g8</f>
        <v>0</v>
      </c>
      <c r="F35" t="b">
        <v>1</v>
      </c>
    </row>
    <row r="36" spans="1:6" x14ac:dyDescent="0.35">
      <c r="A36" t="s">
        <v>2406</v>
      </c>
      <c r="B36" t="s">
        <v>2290</v>
      </c>
      <c r="C36" t="s">
        <v>2406</v>
      </c>
      <c r="D36" t="s">
        <v>9057</v>
      </c>
      <c r="E36">
        <f>learners_by_spa_music_f_g8</f>
        <v>0</v>
      </c>
      <c r="F36" t="b">
        <v>1</v>
      </c>
    </row>
    <row r="37" spans="1:6" x14ac:dyDescent="0.35">
      <c r="A37" t="s">
        <v>2423</v>
      </c>
      <c r="B37" t="s">
        <v>2290</v>
      </c>
      <c r="C37" t="s">
        <v>2423</v>
      </c>
      <c r="D37" t="s">
        <v>9008</v>
      </c>
      <c r="E37">
        <f>learners_by_spa_music_m_g9</f>
        <v>0</v>
      </c>
      <c r="F37" t="b">
        <v>1</v>
      </c>
    </row>
    <row r="38" spans="1:6" x14ac:dyDescent="0.35">
      <c r="A38" t="s">
        <v>2304</v>
      </c>
      <c r="B38" t="s">
        <v>2290</v>
      </c>
      <c r="C38" t="s">
        <v>2304</v>
      </c>
      <c r="D38" t="s">
        <v>9058</v>
      </c>
      <c r="E38">
        <f>learners_by_spa_music_f_g9</f>
        <v>0</v>
      </c>
      <c r="F38" t="b">
        <v>1</v>
      </c>
    </row>
    <row r="39" spans="1:6" x14ac:dyDescent="0.35">
      <c r="A39" t="s">
        <v>2321</v>
      </c>
      <c r="B39" t="s">
        <v>2290</v>
      </c>
      <c r="C39" t="s">
        <v>2321</v>
      </c>
      <c r="D39" t="s">
        <v>9059</v>
      </c>
      <c r="E39">
        <f>learners_by_spa_music_m_g10</f>
        <v>0</v>
      </c>
      <c r="F39" t="b">
        <v>1</v>
      </c>
    </row>
    <row r="40" spans="1:6" x14ac:dyDescent="0.35">
      <c r="A40" t="s">
        <v>2338</v>
      </c>
      <c r="B40" t="s">
        <v>2290</v>
      </c>
      <c r="C40" t="s">
        <v>2338</v>
      </c>
      <c r="D40" t="s">
        <v>9060</v>
      </c>
      <c r="E40">
        <f>learners_by_spa_music_f_g10</f>
        <v>0</v>
      </c>
      <c r="F40" t="b">
        <v>1</v>
      </c>
    </row>
    <row r="41" spans="1:6" x14ac:dyDescent="0.35">
      <c r="A41" t="s">
        <v>2356</v>
      </c>
      <c r="B41" t="s">
        <v>2290</v>
      </c>
      <c r="C41" t="s">
        <v>2356</v>
      </c>
      <c r="D41" t="s">
        <v>9061</v>
      </c>
      <c r="E41">
        <f>learners_by_spa_dance_m_g7</f>
        <v>0</v>
      </c>
      <c r="F41" t="b">
        <v>1</v>
      </c>
    </row>
    <row r="42" spans="1:6" x14ac:dyDescent="0.35">
      <c r="A42" t="s">
        <v>2373</v>
      </c>
      <c r="B42" t="s">
        <v>2290</v>
      </c>
      <c r="C42" t="s">
        <v>2373</v>
      </c>
      <c r="D42" t="s">
        <v>9062</v>
      </c>
      <c r="E42">
        <f>learners_by_spa_dance_f_g7</f>
        <v>0</v>
      </c>
      <c r="F42" t="b">
        <v>1</v>
      </c>
    </row>
    <row r="43" spans="1:6" x14ac:dyDescent="0.35">
      <c r="A43" t="s">
        <v>2390</v>
      </c>
      <c r="B43" t="s">
        <v>2290</v>
      </c>
      <c r="C43" t="s">
        <v>2390</v>
      </c>
      <c r="D43" t="s">
        <v>9063</v>
      </c>
      <c r="E43">
        <f>learners_by_spa_dance_m_g8</f>
        <v>0</v>
      </c>
      <c r="F43" t="b">
        <v>1</v>
      </c>
    </row>
    <row r="44" spans="1:6" x14ac:dyDescent="0.35">
      <c r="A44" t="s">
        <v>2407</v>
      </c>
      <c r="B44" t="s">
        <v>2290</v>
      </c>
      <c r="C44" t="s">
        <v>2407</v>
      </c>
      <c r="D44" t="s">
        <v>9064</v>
      </c>
      <c r="E44">
        <f>learners_by_spa_dance_f_g8</f>
        <v>0</v>
      </c>
      <c r="F44" t="b">
        <v>1</v>
      </c>
    </row>
    <row r="45" spans="1:6" x14ac:dyDescent="0.35">
      <c r="A45" t="s">
        <v>2424</v>
      </c>
      <c r="B45" t="s">
        <v>2290</v>
      </c>
      <c r="C45" t="s">
        <v>2424</v>
      </c>
      <c r="D45" t="s">
        <v>9009</v>
      </c>
      <c r="E45">
        <f>learners_by_spa_dance_m_g9</f>
        <v>0</v>
      </c>
      <c r="F45" t="b">
        <v>1</v>
      </c>
    </row>
    <row r="46" spans="1:6" x14ac:dyDescent="0.35">
      <c r="A46" t="s">
        <v>2305</v>
      </c>
      <c r="B46" t="s">
        <v>2290</v>
      </c>
      <c r="C46" t="s">
        <v>2305</v>
      </c>
      <c r="D46" t="s">
        <v>9065</v>
      </c>
      <c r="E46">
        <f>learners_by_spa_dance_f_g9</f>
        <v>0</v>
      </c>
      <c r="F46" t="b">
        <v>1</v>
      </c>
    </row>
    <row r="47" spans="1:6" x14ac:dyDescent="0.35">
      <c r="A47" t="s">
        <v>2322</v>
      </c>
      <c r="B47" t="s">
        <v>2290</v>
      </c>
      <c r="C47" t="s">
        <v>2322</v>
      </c>
      <c r="D47" t="s">
        <v>9066</v>
      </c>
      <c r="E47">
        <f>learners_by_spa_dance_m_g10</f>
        <v>0</v>
      </c>
      <c r="F47" t="b">
        <v>1</v>
      </c>
    </row>
    <row r="48" spans="1:6" x14ac:dyDescent="0.35">
      <c r="A48" t="s">
        <v>2339</v>
      </c>
      <c r="B48" t="s">
        <v>2290</v>
      </c>
      <c r="C48" t="s">
        <v>2339</v>
      </c>
      <c r="D48" t="s">
        <v>9067</v>
      </c>
      <c r="E48">
        <f>learners_by_spa_dance_f_g10</f>
        <v>0</v>
      </c>
      <c r="F48" t="b">
        <v>1</v>
      </c>
    </row>
    <row r="49" spans="1:14" x14ac:dyDescent="0.35">
      <c r="A49" t="s">
        <v>2357</v>
      </c>
      <c r="B49" t="s">
        <v>2290</v>
      </c>
      <c r="C49" t="s">
        <v>2357</v>
      </c>
      <c r="D49" t="s">
        <v>9068</v>
      </c>
      <c r="E49">
        <f>learners_by_spa_theaterarts_m_g7</f>
        <v>0</v>
      </c>
      <c r="F49" t="b">
        <v>1</v>
      </c>
    </row>
    <row r="50" spans="1:14" x14ac:dyDescent="0.35">
      <c r="A50" t="s">
        <v>2374</v>
      </c>
      <c r="B50" t="s">
        <v>2290</v>
      </c>
      <c r="C50" t="s">
        <v>2374</v>
      </c>
      <c r="D50" t="s">
        <v>9069</v>
      </c>
      <c r="E50">
        <f>learners_by_spa_theaterarts_f_g7</f>
        <v>0</v>
      </c>
      <c r="F50" t="b">
        <v>1</v>
      </c>
      <c r="N50" s="133"/>
    </row>
    <row r="51" spans="1:14" x14ac:dyDescent="0.35">
      <c r="A51" t="s">
        <v>2391</v>
      </c>
      <c r="B51" t="s">
        <v>2290</v>
      </c>
      <c r="C51" t="s">
        <v>2391</v>
      </c>
      <c r="D51" t="s">
        <v>9070</v>
      </c>
      <c r="E51">
        <f>learners_by_spa_theaterarts_m_g8</f>
        <v>0</v>
      </c>
      <c r="F51" t="b">
        <v>1</v>
      </c>
      <c r="N51" s="133"/>
    </row>
    <row r="52" spans="1:14" x14ac:dyDescent="0.35">
      <c r="A52" t="s">
        <v>2408</v>
      </c>
      <c r="B52" t="s">
        <v>2290</v>
      </c>
      <c r="C52" t="s">
        <v>2408</v>
      </c>
      <c r="D52" t="s">
        <v>9071</v>
      </c>
      <c r="E52">
        <f>learners_by_spa_theaterarts_f_g8</f>
        <v>0</v>
      </c>
      <c r="F52" t="b">
        <v>1</v>
      </c>
      <c r="N52" s="133"/>
    </row>
    <row r="53" spans="1:14" x14ac:dyDescent="0.35">
      <c r="A53" t="s">
        <v>2425</v>
      </c>
      <c r="B53" t="s">
        <v>2290</v>
      </c>
      <c r="C53" t="s">
        <v>2425</v>
      </c>
      <c r="D53" t="s">
        <v>9010</v>
      </c>
      <c r="E53">
        <f>learners_by_spa_theaterarts_m_g9</f>
        <v>0</v>
      </c>
      <c r="F53" t="b">
        <v>1</v>
      </c>
      <c r="N53" s="133"/>
    </row>
    <row r="54" spans="1:14" x14ac:dyDescent="0.35">
      <c r="A54" t="s">
        <v>2306</v>
      </c>
      <c r="B54" t="s">
        <v>2290</v>
      </c>
      <c r="C54" t="s">
        <v>2306</v>
      </c>
      <c r="D54" t="s">
        <v>9072</v>
      </c>
      <c r="E54">
        <f>learners_by_spa_theaterarts_f_g9</f>
        <v>0</v>
      </c>
      <c r="F54" t="b">
        <v>1</v>
      </c>
      <c r="N54" s="133"/>
    </row>
    <row r="55" spans="1:14" x14ac:dyDescent="0.35">
      <c r="A55" t="s">
        <v>2323</v>
      </c>
      <c r="B55" t="s">
        <v>2290</v>
      </c>
      <c r="C55" t="s">
        <v>2323</v>
      </c>
      <c r="D55" t="s">
        <v>9073</v>
      </c>
      <c r="E55">
        <f>learners_by_spa_theaterarts_m_g10</f>
        <v>0</v>
      </c>
      <c r="F55" t="b">
        <v>1</v>
      </c>
      <c r="N55" s="133"/>
    </row>
    <row r="56" spans="1:14" x14ac:dyDescent="0.35">
      <c r="A56" t="s">
        <v>2340</v>
      </c>
      <c r="B56" t="s">
        <v>2290</v>
      </c>
      <c r="C56" t="s">
        <v>2340</v>
      </c>
      <c r="D56" t="s">
        <v>9074</v>
      </c>
      <c r="E56">
        <f>learners_by_spa_theaterarts_f_g10</f>
        <v>0</v>
      </c>
      <c r="F56" t="b">
        <v>1</v>
      </c>
      <c r="N56" s="133"/>
    </row>
    <row r="57" spans="1:14" x14ac:dyDescent="0.35">
      <c r="A57" t="s">
        <v>2341</v>
      </c>
      <c r="B57" t="s">
        <v>2290</v>
      </c>
      <c r="C57" t="s">
        <v>2341</v>
      </c>
      <c r="D57" t="s">
        <v>9075</v>
      </c>
      <c r="E57">
        <f>learners_by_spa_creativewriting_m_g7</f>
        <v>0</v>
      </c>
      <c r="F57" t="b">
        <v>1</v>
      </c>
      <c r="N57" s="133"/>
    </row>
    <row r="58" spans="1:14" x14ac:dyDescent="0.35">
      <c r="A58" t="s">
        <v>2358</v>
      </c>
      <c r="B58" t="s">
        <v>2290</v>
      </c>
      <c r="C58" t="s">
        <v>2358</v>
      </c>
      <c r="D58" t="s">
        <v>9076</v>
      </c>
      <c r="E58">
        <f>learners_by_spa_creativewriting_f_g7</f>
        <v>0</v>
      </c>
      <c r="F58" t="b">
        <v>1</v>
      </c>
      <c r="N58" s="133"/>
    </row>
    <row r="59" spans="1:14" x14ac:dyDescent="0.35">
      <c r="A59" t="s">
        <v>2375</v>
      </c>
      <c r="B59" t="s">
        <v>2290</v>
      </c>
      <c r="C59" t="s">
        <v>2375</v>
      </c>
      <c r="D59" t="s">
        <v>9077</v>
      </c>
      <c r="E59">
        <f>learners_by_spa_creativewriting_m_g8</f>
        <v>0</v>
      </c>
      <c r="F59" t="b">
        <v>1</v>
      </c>
      <c r="N59" s="133"/>
    </row>
    <row r="60" spans="1:14" x14ac:dyDescent="0.35">
      <c r="A60" t="s">
        <v>2392</v>
      </c>
      <c r="B60" t="s">
        <v>2290</v>
      </c>
      <c r="C60" t="s">
        <v>2392</v>
      </c>
      <c r="D60" t="s">
        <v>9078</v>
      </c>
      <c r="E60">
        <f>learners_by_spa_creativewriting_f_g8</f>
        <v>0</v>
      </c>
      <c r="F60" t="b">
        <v>1</v>
      </c>
      <c r="N60" s="133"/>
    </row>
    <row r="61" spans="1:14" x14ac:dyDescent="0.35">
      <c r="A61" t="s">
        <v>2409</v>
      </c>
      <c r="B61" t="s">
        <v>2290</v>
      </c>
      <c r="C61" t="s">
        <v>2409</v>
      </c>
      <c r="D61" t="s">
        <v>8995</v>
      </c>
      <c r="E61">
        <f>learners_by_spa_creativewriting_m_g9</f>
        <v>0</v>
      </c>
      <c r="F61" t="b">
        <v>1</v>
      </c>
      <c r="N61" s="133"/>
    </row>
    <row r="62" spans="1:14" x14ac:dyDescent="0.35">
      <c r="A62" t="s">
        <v>2289</v>
      </c>
      <c r="B62" t="s">
        <v>2290</v>
      </c>
      <c r="C62" t="s">
        <v>2289</v>
      </c>
      <c r="D62" t="s">
        <v>9079</v>
      </c>
      <c r="E62">
        <f>learners_by_spa_creativewriting_f_g9</f>
        <v>0</v>
      </c>
      <c r="F62" t="b">
        <v>1</v>
      </c>
      <c r="N62" s="133"/>
    </row>
    <row r="63" spans="1:14" x14ac:dyDescent="0.35">
      <c r="A63" t="s">
        <v>2307</v>
      </c>
      <c r="B63" t="s">
        <v>2290</v>
      </c>
      <c r="C63" t="s">
        <v>2307</v>
      </c>
      <c r="D63" t="s">
        <v>9080</v>
      </c>
      <c r="E63">
        <f>learners_by_spa_creativewriting_m_g10</f>
        <v>0</v>
      </c>
      <c r="F63" t="b">
        <v>1</v>
      </c>
      <c r="N63" s="133"/>
    </row>
    <row r="64" spans="1:14" x14ac:dyDescent="0.35">
      <c r="A64" t="s">
        <v>2324</v>
      </c>
      <c r="B64" t="s">
        <v>2290</v>
      </c>
      <c r="C64" t="s">
        <v>2324</v>
      </c>
      <c r="D64" t="s">
        <v>9081</v>
      </c>
      <c r="E64">
        <f>learners_by_spa_creativewriting_f_g10</f>
        <v>0</v>
      </c>
      <c r="F64" t="b">
        <v>1</v>
      </c>
      <c r="N64" s="133"/>
    </row>
    <row r="65" spans="1:14" x14ac:dyDescent="0.35">
      <c r="A65" t="s">
        <v>2342</v>
      </c>
      <c r="B65" t="s">
        <v>2290</v>
      </c>
      <c r="C65" t="s">
        <v>2342</v>
      </c>
      <c r="D65" t="s">
        <v>9082</v>
      </c>
      <c r="E65">
        <f>learners_by_spa_mediaart_m_g7</f>
        <v>0</v>
      </c>
      <c r="F65" t="b">
        <v>1</v>
      </c>
      <c r="N65" s="133"/>
    </row>
    <row r="66" spans="1:14" x14ac:dyDescent="0.35">
      <c r="A66" t="s">
        <v>2359</v>
      </c>
      <c r="B66" t="s">
        <v>2290</v>
      </c>
      <c r="C66" t="s">
        <v>2359</v>
      </c>
      <c r="D66" t="s">
        <v>9083</v>
      </c>
      <c r="E66">
        <f>learners_by_spa_mediaart_f_g7</f>
        <v>0</v>
      </c>
      <c r="F66" t="b">
        <v>1</v>
      </c>
      <c r="N66" s="133"/>
    </row>
    <row r="67" spans="1:14" x14ac:dyDescent="0.35">
      <c r="A67" t="s">
        <v>2376</v>
      </c>
      <c r="B67" t="s">
        <v>2290</v>
      </c>
      <c r="C67" t="s">
        <v>2376</v>
      </c>
      <c r="D67" t="s">
        <v>9084</v>
      </c>
      <c r="E67">
        <f>learners_by_spa_mediaart_m_g8</f>
        <v>0</v>
      </c>
      <c r="F67" t="b">
        <v>1</v>
      </c>
    </row>
    <row r="68" spans="1:14" x14ac:dyDescent="0.35">
      <c r="A68" t="s">
        <v>2393</v>
      </c>
      <c r="B68" t="s">
        <v>2290</v>
      </c>
      <c r="C68" t="s">
        <v>2393</v>
      </c>
      <c r="D68" t="s">
        <v>9085</v>
      </c>
      <c r="E68">
        <f>learners_by_spa_mediaart_f_g8</f>
        <v>0</v>
      </c>
      <c r="F68" t="b">
        <v>1</v>
      </c>
    </row>
    <row r="69" spans="1:14" x14ac:dyDescent="0.35">
      <c r="A69" t="s">
        <v>2410</v>
      </c>
      <c r="B69" t="s">
        <v>2290</v>
      </c>
      <c r="C69" t="s">
        <v>2410</v>
      </c>
      <c r="D69" t="s">
        <v>8996</v>
      </c>
      <c r="E69">
        <f>learners_by_spa_mediaart_m_g9</f>
        <v>0</v>
      </c>
      <c r="F69" t="b">
        <v>1</v>
      </c>
    </row>
    <row r="70" spans="1:14" x14ac:dyDescent="0.35">
      <c r="A70" t="s">
        <v>2291</v>
      </c>
      <c r="B70" t="s">
        <v>2290</v>
      </c>
      <c r="C70" t="s">
        <v>2291</v>
      </c>
      <c r="D70" t="s">
        <v>9086</v>
      </c>
      <c r="E70">
        <f>learners_by_spa_mediaart_f_g9</f>
        <v>0</v>
      </c>
      <c r="F70" t="b">
        <v>1</v>
      </c>
    </row>
    <row r="71" spans="1:14" x14ac:dyDescent="0.35">
      <c r="A71" t="s">
        <v>2308</v>
      </c>
      <c r="B71" t="s">
        <v>2290</v>
      </c>
      <c r="C71" t="s">
        <v>2308</v>
      </c>
      <c r="D71" t="s">
        <v>9087</v>
      </c>
      <c r="E71">
        <f>learners_by_spa_mediaart_m_g10</f>
        <v>0</v>
      </c>
      <c r="F71" t="b">
        <v>1</v>
      </c>
    </row>
    <row r="72" spans="1:14" x14ac:dyDescent="0.35">
      <c r="A72" t="s">
        <v>2325</v>
      </c>
      <c r="B72" t="s">
        <v>2290</v>
      </c>
      <c r="C72" t="s">
        <v>2325</v>
      </c>
      <c r="D72" t="s">
        <v>9088</v>
      </c>
      <c r="E72">
        <f>learners_by_spa_mediaart_f_g10</f>
        <v>0</v>
      </c>
      <c r="F72" t="b">
        <v>1</v>
      </c>
    </row>
    <row r="73" spans="1:14" x14ac:dyDescent="0.35">
      <c r="A73" t="s">
        <v>2343</v>
      </c>
      <c r="B73" t="s">
        <v>2290</v>
      </c>
      <c r="C73" t="s">
        <v>2343</v>
      </c>
      <c r="D73" t="s">
        <v>9089</v>
      </c>
      <c r="E73">
        <f>learners_by_spa_visualart_m_g7</f>
        <v>0</v>
      </c>
      <c r="F73" t="b">
        <v>1</v>
      </c>
    </row>
    <row r="74" spans="1:14" x14ac:dyDescent="0.35">
      <c r="A74" t="s">
        <v>2360</v>
      </c>
      <c r="B74" t="s">
        <v>2290</v>
      </c>
      <c r="C74" t="s">
        <v>2360</v>
      </c>
      <c r="D74" t="s">
        <v>9090</v>
      </c>
      <c r="E74">
        <f>learners_by_spa_visualart_f_g7</f>
        <v>0</v>
      </c>
      <c r="F74" t="b">
        <v>1</v>
      </c>
    </row>
    <row r="75" spans="1:14" x14ac:dyDescent="0.35">
      <c r="A75" t="s">
        <v>2377</v>
      </c>
      <c r="B75" t="s">
        <v>2290</v>
      </c>
      <c r="C75" t="s">
        <v>2377</v>
      </c>
      <c r="D75" t="s">
        <v>9091</v>
      </c>
      <c r="E75">
        <f>learners_by_spa_visualart_m_g8</f>
        <v>0</v>
      </c>
      <c r="F75" t="b">
        <v>1</v>
      </c>
    </row>
    <row r="76" spans="1:14" x14ac:dyDescent="0.35">
      <c r="A76" t="s">
        <v>2394</v>
      </c>
      <c r="B76" t="s">
        <v>2290</v>
      </c>
      <c r="C76" t="s">
        <v>2394</v>
      </c>
      <c r="D76" t="s">
        <v>9092</v>
      </c>
      <c r="E76">
        <f>learners_by_spa_visualart_f_g8</f>
        <v>0</v>
      </c>
      <c r="F76" t="b">
        <v>1</v>
      </c>
    </row>
    <row r="77" spans="1:14" x14ac:dyDescent="0.35">
      <c r="A77" t="s">
        <v>2411</v>
      </c>
      <c r="B77" t="s">
        <v>2290</v>
      </c>
      <c r="C77" t="s">
        <v>2411</v>
      </c>
      <c r="D77" t="s">
        <v>8997</v>
      </c>
      <c r="E77">
        <f>learners_by_spa_visualart_m_g9</f>
        <v>0</v>
      </c>
      <c r="F77" t="b">
        <v>1</v>
      </c>
    </row>
    <row r="78" spans="1:14" x14ac:dyDescent="0.35">
      <c r="A78" t="s">
        <v>2292</v>
      </c>
      <c r="B78" t="s">
        <v>2290</v>
      </c>
      <c r="C78" t="s">
        <v>2292</v>
      </c>
      <c r="D78" t="s">
        <v>9093</v>
      </c>
      <c r="E78">
        <f>learners_by_spa_visualart_f_g9</f>
        <v>0</v>
      </c>
      <c r="F78" t="b">
        <v>1</v>
      </c>
    </row>
    <row r="79" spans="1:14" x14ac:dyDescent="0.35">
      <c r="A79" t="s">
        <v>2309</v>
      </c>
      <c r="B79" t="s">
        <v>2290</v>
      </c>
      <c r="C79" t="s">
        <v>2309</v>
      </c>
      <c r="D79" t="s">
        <v>9094</v>
      </c>
      <c r="E79">
        <f>learners_by_spa_visualart_m_g10</f>
        <v>0</v>
      </c>
      <c r="F79" t="b">
        <v>1</v>
      </c>
    </row>
    <row r="80" spans="1:14" x14ac:dyDescent="0.35">
      <c r="A80" t="s">
        <v>2326</v>
      </c>
      <c r="B80" t="s">
        <v>2290</v>
      </c>
      <c r="C80" t="s">
        <v>2326</v>
      </c>
      <c r="D80" t="s">
        <v>9095</v>
      </c>
      <c r="E80">
        <f>learners_by_spa_visualart_f_g10</f>
        <v>0</v>
      </c>
      <c r="F80" t="b">
        <v>1</v>
      </c>
    </row>
    <row r="81" spans="1:14" x14ac:dyDescent="0.35">
      <c r="A81" t="s">
        <v>2349</v>
      </c>
      <c r="B81" t="s">
        <v>2290</v>
      </c>
      <c r="C81" t="s">
        <v>2349</v>
      </c>
      <c r="D81" t="s">
        <v>9096</v>
      </c>
      <c r="E81">
        <f>learners_by_spfl_chn_m_g7</f>
        <v>0</v>
      </c>
      <c r="F81" t="b">
        <v>1</v>
      </c>
    </row>
    <row r="82" spans="1:14" x14ac:dyDescent="0.35">
      <c r="A82" t="s">
        <v>2366</v>
      </c>
      <c r="B82" t="s">
        <v>2290</v>
      </c>
      <c r="C82" t="s">
        <v>2366</v>
      </c>
      <c r="D82" t="s">
        <v>9097</v>
      </c>
      <c r="E82">
        <f>learners_by_spfl_chn_f_g7</f>
        <v>0</v>
      </c>
      <c r="F82" t="b">
        <v>1</v>
      </c>
    </row>
    <row r="83" spans="1:14" x14ac:dyDescent="0.35">
      <c r="A83" t="s">
        <v>2383</v>
      </c>
      <c r="B83" t="s">
        <v>2290</v>
      </c>
      <c r="C83" t="s">
        <v>2383</v>
      </c>
      <c r="D83" t="s">
        <v>9098</v>
      </c>
      <c r="E83">
        <f>learners_by_spfl_chn_m_g8</f>
        <v>0</v>
      </c>
      <c r="F83" t="b">
        <v>1</v>
      </c>
    </row>
    <row r="84" spans="1:14" x14ac:dyDescent="0.35">
      <c r="A84" t="s">
        <v>2400</v>
      </c>
      <c r="B84" t="s">
        <v>2290</v>
      </c>
      <c r="C84" t="s">
        <v>2400</v>
      </c>
      <c r="D84" t="s">
        <v>9099</v>
      </c>
      <c r="E84">
        <f>learners_by_spfl_chn_f_g8</f>
        <v>0</v>
      </c>
      <c r="F84" t="b">
        <v>1</v>
      </c>
      <c r="N84" s="133"/>
    </row>
    <row r="85" spans="1:14" x14ac:dyDescent="0.35">
      <c r="A85" t="s">
        <v>2417</v>
      </c>
      <c r="B85" t="s">
        <v>2290</v>
      </c>
      <c r="C85" t="s">
        <v>2417</v>
      </c>
      <c r="D85" t="s">
        <v>8998</v>
      </c>
      <c r="E85">
        <f>learners_by_spfl_chn_m_g9</f>
        <v>0</v>
      </c>
      <c r="F85" t="b">
        <v>1</v>
      </c>
      <c r="N85" s="133"/>
    </row>
    <row r="86" spans="1:14" x14ac:dyDescent="0.35">
      <c r="A86" t="s">
        <v>2298</v>
      </c>
      <c r="B86" t="s">
        <v>2290</v>
      </c>
      <c r="C86" t="s">
        <v>2298</v>
      </c>
      <c r="D86" t="s">
        <v>9100</v>
      </c>
      <c r="E86">
        <f>learners_by_spfl_chn_f_g9</f>
        <v>0</v>
      </c>
      <c r="F86" t="b">
        <v>1</v>
      </c>
      <c r="N86" s="133"/>
    </row>
    <row r="87" spans="1:14" x14ac:dyDescent="0.35">
      <c r="A87" t="s">
        <v>2315</v>
      </c>
      <c r="B87" t="s">
        <v>2290</v>
      </c>
      <c r="C87" t="s">
        <v>2315</v>
      </c>
      <c r="D87" t="s">
        <v>9101</v>
      </c>
      <c r="E87">
        <f>learners_by_spfl_chn_m_g10</f>
        <v>0</v>
      </c>
      <c r="F87" t="b">
        <v>1</v>
      </c>
      <c r="N87" s="133"/>
    </row>
    <row r="88" spans="1:14" x14ac:dyDescent="0.35">
      <c r="A88" t="s">
        <v>2332</v>
      </c>
      <c r="B88" t="s">
        <v>2290</v>
      </c>
      <c r="C88" t="s">
        <v>2332</v>
      </c>
      <c r="D88" t="s">
        <v>9102</v>
      </c>
      <c r="E88">
        <f>learners_by_spfl_chn_f_g10</f>
        <v>0</v>
      </c>
      <c r="F88" t="b">
        <v>1</v>
      </c>
      <c r="N88" s="133"/>
    </row>
    <row r="89" spans="1:14" x14ac:dyDescent="0.35">
      <c r="A89" t="s">
        <v>2346</v>
      </c>
      <c r="B89" t="s">
        <v>2290</v>
      </c>
      <c r="C89" t="s">
        <v>2346</v>
      </c>
      <c r="D89" t="s">
        <v>9103</v>
      </c>
      <c r="E89">
        <f>learners_by_spfl_fre_m_g7</f>
        <v>0</v>
      </c>
      <c r="F89" t="b">
        <v>1</v>
      </c>
      <c r="N89" s="133"/>
    </row>
    <row r="90" spans="1:14" x14ac:dyDescent="0.35">
      <c r="A90" t="s">
        <v>2363</v>
      </c>
      <c r="B90" t="s">
        <v>2290</v>
      </c>
      <c r="C90" t="s">
        <v>2363</v>
      </c>
      <c r="D90" t="s">
        <v>9104</v>
      </c>
      <c r="E90">
        <f>learners_by_spfl_fre_f_g7</f>
        <v>0</v>
      </c>
      <c r="F90" t="b">
        <v>1</v>
      </c>
      <c r="N90" s="133"/>
    </row>
    <row r="91" spans="1:14" x14ac:dyDescent="0.35">
      <c r="A91" t="s">
        <v>2380</v>
      </c>
      <c r="B91" t="s">
        <v>2290</v>
      </c>
      <c r="C91" t="s">
        <v>2380</v>
      </c>
      <c r="D91" t="s">
        <v>9105</v>
      </c>
      <c r="E91">
        <f>learners_by_spfl_fre_m_g8</f>
        <v>0</v>
      </c>
      <c r="F91" t="b">
        <v>1</v>
      </c>
      <c r="N91" s="133"/>
    </row>
    <row r="92" spans="1:14" x14ac:dyDescent="0.35">
      <c r="A92" t="s">
        <v>2397</v>
      </c>
      <c r="B92" t="s">
        <v>2290</v>
      </c>
      <c r="C92" t="s">
        <v>2397</v>
      </c>
      <c r="D92" t="s">
        <v>9106</v>
      </c>
      <c r="E92">
        <f>learners_by_spfl_fre_f_g8</f>
        <v>0</v>
      </c>
      <c r="F92" t="b">
        <v>1</v>
      </c>
      <c r="N92" s="133"/>
    </row>
    <row r="93" spans="1:14" x14ac:dyDescent="0.35">
      <c r="A93" t="s">
        <v>2414</v>
      </c>
      <c r="B93" t="s">
        <v>2290</v>
      </c>
      <c r="C93" t="s">
        <v>2414</v>
      </c>
      <c r="D93" t="s">
        <v>8999</v>
      </c>
      <c r="E93">
        <f>learners_by_spfl_fre_m_g9</f>
        <v>0</v>
      </c>
      <c r="F93" t="b">
        <v>1</v>
      </c>
      <c r="N93" s="133"/>
    </row>
    <row r="94" spans="1:14" x14ac:dyDescent="0.35">
      <c r="A94" t="s">
        <v>2295</v>
      </c>
      <c r="B94" t="s">
        <v>2290</v>
      </c>
      <c r="C94" t="s">
        <v>2295</v>
      </c>
      <c r="D94" t="s">
        <v>9107</v>
      </c>
      <c r="E94">
        <f>learners_by_spfl_fre_f_g9</f>
        <v>0</v>
      </c>
      <c r="F94" t="b">
        <v>1</v>
      </c>
      <c r="N94" s="133"/>
    </row>
    <row r="95" spans="1:14" x14ac:dyDescent="0.35">
      <c r="A95" t="s">
        <v>2312</v>
      </c>
      <c r="B95" t="s">
        <v>2290</v>
      </c>
      <c r="C95" t="s">
        <v>2312</v>
      </c>
      <c r="D95" t="s">
        <v>9108</v>
      </c>
      <c r="E95">
        <f>learners_by_spfl_fre_m_g10</f>
        <v>0</v>
      </c>
      <c r="F95" t="b">
        <v>1</v>
      </c>
      <c r="N95" s="133"/>
    </row>
    <row r="96" spans="1:14" x14ac:dyDescent="0.35">
      <c r="A96" t="s">
        <v>2329</v>
      </c>
      <c r="B96" t="s">
        <v>2290</v>
      </c>
      <c r="C96" t="s">
        <v>2329</v>
      </c>
      <c r="D96" t="s">
        <v>9109</v>
      </c>
      <c r="E96">
        <f>learners_by_spfl_fre_f_g10</f>
        <v>0</v>
      </c>
      <c r="F96" t="b">
        <v>1</v>
      </c>
      <c r="N96" s="133"/>
    </row>
    <row r="97" spans="1:14" x14ac:dyDescent="0.35">
      <c r="A97" t="s">
        <v>2347</v>
      </c>
      <c r="B97" t="s">
        <v>2290</v>
      </c>
      <c r="C97" t="s">
        <v>2347</v>
      </c>
      <c r="D97" t="s">
        <v>9110</v>
      </c>
      <c r="E97">
        <f>learners_by_spfl_ger_m_g7</f>
        <v>0</v>
      </c>
      <c r="F97" t="b">
        <v>1</v>
      </c>
      <c r="N97" s="133"/>
    </row>
    <row r="98" spans="1:14" x14ac:dyDescent="0.35">
      <c r="A98" t="s">
        <v>2364</v>
      </c>
      <c r="B98" t="s">
        <v>2290</v>
      </c>
      <c r="C98" t="s">
        <v>2364</v>
      </c>
      <c r="D98" t="s">
        <v>9111</v>
      </c>
      <c r="E98">
        <f>learners_by_spfl_ger_f_g7</f>
        <v>0</v>
      </c>
      <c r="F98" t="b">
        <v>1</v>
      </c>
      <c r="N98" s="133"/>
    </row>
    <row r="99" spans="1:14" x14ac:dyDescent="0.35">
      <c r="A99" t="s">
        <v>2381</v>
      </c>
      <c r="B99" t="s">
        <v>2290</v>
      </c>
      <c r="C99" t="s">
        <v>2381</v>
      </c>
      <c r="D99" t="s">
        <v>9112</v>
      </c>
      <c r="E99">
        <f>learners_by_spfl_ger_m_g8</f>
        <v>0</v>
      </c>
      <c r="F99" t="b">
        <v>1</v>
      </c>
      <c r="N99" s="133"/>
    </row>
    <row r="100" spans="1:14" x14ac:dyDescent="0.35">
      <c r="A100" t="s">
        <v>2398</v>
      </c>
      <c r="B100" t="s">
        <v>2290</v>
      </c>
      <c r="C100" t="s">
        <v>2398</v>
      </c>
      <c r="D100" t="s">
        <v>9113</v>
      </c>
      <c r="E100">
        <f>learners_by_spfl_ger_f_g8</f>
        <v>0</v>
      </c>
      <c r="F100" t="b">
        <v>1</v>
      </c>
      <c r="N100" s="133"/>
    </row>
    <row r="101" spans="1:14" x14ac:dyDescent="0.35">
      <c r="A101" t="s">
        <v>2415</v>
      </c>
      <c r="B101" t="s">
        <v>2290</v>
      </c>
      <c r="C101" t="s">
        <v>2415</v>
      </c>
      <c r="D101" t="s">
        <v>9000</v>
      </c>
      <c r="E101">
        <f>learners_by_spfl_ger_m_g9</f>
        <v>0</v>
      </c>
      <c r="F101" t="b">
        <v>1</v>
      </c>
    </row>
    <row r="102" spans="1:14" x14ac:dyDescent="0.35">
      <c r="A102" t="s">
        <v>2296</v>
      </c>
      <c r="B102" t="s">
        <v>2290</v>
      </c>
      <c r="C102" t="s">
        <v>2296</v>
      </c>
      <c r="D102" t="s">
        <v>9114</v>
      </c>
      <c r="E102">
        <f>learners_by_spfl_ger_f_g9</f>
        <v>0</v>
      </c>
      <c r="F102" t="b">
        <v>1</v>
      </c>
    </row>
    <row r="103" spans="1:14" x14ac:dyDescent="0.35">
      <c r="A103" t="s">
        <v>2313</v>
      </c>
      <c r="B103" t="s">
        <v>2290</v>
      </c>
      <c r="C103" t="s">
        <v>2313</v>
      </c>
      <c r="D103" t="s">
        <v>9115</v>
      </c>
      <c r="E103">
        <f>learners_by_spfl_ger_m_g10</f>
        <v>0</v>
      </c>
      <c r="F103" t="b">
        <v>1</v>
      </c>
    </row>
    <row r="104" spans="1:14" x14ac:dyDescent="0.35">
      <c r="A104" t="s">
        <v>2330</v>
      </c>
      <c r="B104" t="s">
        <v>2290</v>
      </c>
      <c r="C104" t="s">
        <v>2330</v>
      </c>
      <c r="D104" t="s">
        <v>9116</v>
      </c>
      <c r="E104">
        <f>learners_by_spfl_ger_f_g10</f>
        <v>0</v>
      </c>
      <c r="F104" t="b">
        <v>1</v>
      </c>
    </row>
    <row r="105" spans="1:14" x14ac:dyDescent="0.35">
      <c r="A105" t="s">
        <v>2344</v>
      </c>
      <c r="B105" t="s">
        <v>2290</v>
      </c>
      <c r="C105" t="s">
        <v>2344</v>
      </c>
      <c r="D105" t="s">
        <v>9117</v>
      </c>
      <c r="E105">
        <f>learners_by_spfl_jap_m_g7</f>
        <v>0</v>
      </c>
      <c r="F105" t="b">
        <v>1</v>
      </c>
    </row>
    <row r="106" spans="1:14" x14ac:dyDescent="0.35">
      <c r="A106" t="s">
        <v>2361</v>
      </c>
      <c r="B106" t="s">
        <v>2290</v>
      </c>
      <c r="C106" t="s">
        <v>2361</v>
      </c>
      <c r="D106" t="s">
        <v>9118</v>
      </c>
      <c r="E106">
        <f>learners_by_spfl_jap_f_g7</f>
        <v>0</v>
      </c>
      <c r="F106" t="b">
        <v>1</v>
      </c>
    </row>
    <row r="107" spans="1:14" x14ac:dyDescent="0.35">
      <c r="A107" t="s">
        <v>2378</v>
      </c>
      <c r="B107" t="s">
        <v>2290</v>
      </c>
      <c r="C107" t="s">
        <v>2378</v>
      </c>
      <c r="D107" t="s">
        <v>9119</v>
      </c>
      <c r="E107">
        <f>learners_by_spfl_jap_m_g8</f>
        <v>0</v>
      </c>
      <c r="F107" t="b">
        <v>1</v>
      </c>
    </row>
    <row r="108" spans="1:14" x14ac:dyDescent="0.35">
      <c r="A108" t="s">
        <v>2395</v>
      </c>
      <c r="B108" t="s">
        <v>2290</v>
      </c>
      <c r="C108" t="s">
        <v>2395</v>
      </c>
      <c r="D108" t="s">
        <v>9120</v>
      </c>
      <c r="E108">
        <f>learners_by_spfl_jap_f_g8</f>
        <v>0</v>
      </c>
      <c r="F108" t="b">
        <v>1</v>
      </c>
    </row>
    <row r="109" spans="1:14" x14ac:dyDescent="0.35">
      <c r="A109" t="s">
        <v>2412</v>
      </c>
      <c r="B109" t="s">
        <v>2290</v>
      </c>
      <c r="C109" t="s">
        <v>2412</v>
      </c>
      <c r="D109" t="s">
        <v>9001</v>
      </c>
      <c r="E109">
        <f>learners_by_spfl_jap_m_g9</f>
        <v>0</v>
      </c>
      <c r="F109" t="b">
        <v>1</v>
      </c>
    </row>
    <row r="110" spans="1:14" x14ac:dyDescent="0.35">
      <c r="A110" t="s">
        <v>2293</v>
      </c>
      <c r="B110" t="s">
        <v>2290</v>
      </c>
      <c r="C110" t="s">
        <v>2293</v>
      </c>
      <c r="D110" t="s">
        <v>9121</v>
      </c>
      <c r="E110">
        <f>learners_by_spfl_jap_f_g9</f>
        <v>0</v>
      </c>
      <c r="F110" t="b">
        <v>1</v>
      </c>
    </row>
    <row r="111" spans="1:14" x14ac:dyDescent="0.35">
      <c r="A111" t="s">
        <v>2310</v>
      </c>
      <c r="B111" t="s">
        <v>2290</v>
      </c>
      <c r="C111" t="s">
        <v>2310</v>
      </c>
      <c r="D111" t="s">
        <v>9122</v>
      </c>
      <c r="E111">
        <f>learners_by_spfl_jap_m_g10</f>
        <v>0</v>
      </c>
      <c r="F111" t="b">
        <v>1</v>
      </c>
    </row>
    <row r="112" spans="1:14" x14ac:dyDescent="0.35">
      <c r="A112" t="s">
        <v>2327</v>
      </c>
      <c r="B112" t="s">
        <v>2290</v>
      </c>
      <c r="C112" t="s">
        <v>2327</v>
      </c>
      <c r="D112" t="s">
        <v>9123</v>
      </c>
      <c r="E112">
        <f>learners_by_spfl_jap_f_g10</f>
        <v>0</v>
      </c>
      <c r="F112" t="b">
        <v>1</v>
      </c>
    </row>
    <row r="113" spans="1:14" x14ac:dyDescent="0.35">
      <c r="A113" t="s">
        <v>2348</v>
      </c>
      <c r="B113" t="s">
        <v>2290</v>
      </c>
      <c r="C113" t="s">
        <v>2348</v>
      </c>
      <c r="D113" t="s">
        <v>9124</v>
      </c>
      <c r="E113">
        <f>learners_by_spfl_kor_m_g7</f>
        <v>0</v>
      </c>
      <c r="F113" t="b">
        <v>1</v>
      </c>
    </row>
    <row r="114" spans="1:14" x14ac:dyDescent="0.35">
      <c r="A114" t="s">
        <v>2365</v>
      </c>
      <c r="B114" t="s">
        <v>2290</v>
      </c>
      <c r="C114" t="s">
        <v>2365</v>
      </c>
      <c r="D114" t="s">
        <v>9125</v>
      </c>
      <c r="E114">
        <f>learners_by_spfl_kor_f_g7</f>
        <v>0</v>
      </c>
      <c r="F114" t="b">
        <v>1</v>
      </c>
    </row>
    <row r="115" spans="1:14" x14ac:dyDescent="0.35">
      <c r="A115" t="s">
        <v>2382</v>
      </c>
      <c r="B115" t="s">
        <v>2290</v>
      </c>
      <c r="C115" t="s">
        <v>2382</v>
      </c>
      <c r="D115" t="s">
        <v>9126</v>
      </c>
      <c r="E115">
        <f>learners_by_spfl_kor_m_g8</f>
        <v>0</v>
      </c>
      <c r="F115" t="b">
        <v>1</v>
      </c>
    </row>
    <row r="116" spans="1:14" x14ac:dyDescent="0.35">
      <c r="A116" t="s">
        <v>2399</v>
      </c>
      <c r="B116" t="s">
        <v>2290</v>
      </c>
      <c r="C116" t="s">
        <v>2399</v>
      </c>
      <c r="D116" t="s">
        <v>9127</v>
      </c>
      <c r="E116">
        <f>learners_by_spfl_kor_f_g8</f>
        <v>0</v>
      </c>
      <c r="F116" t="b">
        <v>1</v>
      </c>
    </row>
    <row r="117" spans="1:14" x14ac:dyDescent="0.35">
      <c r="A117" t="s">
        <v>2416</v>
      </c>
      <c r="B117" t="s">
        <v>2290</v>
      </c>
      <c r="C117" t="s">
        <v>2416</v>
      </c>
      <c r="D117" t="s">
        <v>9002</v>
      </c>
      <c r="E117">
        <f>learners_by_spfl_kor_m_g9</f>
        <v>0</v>
      </c>
      <c r="F117" t="b">
        <v>1</v>
      </c>
    </row>
    <row r="118" spans="1:14" x14ac:dyDescent="0.35">
      <c r="A118" t="s">
        <v>2297</v>
      </c>
      <c r="B118" t="s">
        <v>2290</v>
      </c>
      <c r="C118" t="s">
        <v>2297</v>
      </c>
      <c r="D118" t="s">
        <v>9128</v>
      </c>
      <c r="E118">
        <f>learners_by_spfl_kor_f_g9</f>
        <v>0</v>
      </c>
      <c r="F118" t="b">
        <v>1</v>
      </c>
      <c r="N118" s="133"/>
    </row>
    <row r="119" spans="1:14" x14ac:dyDescent="0.35">
      <c r="A119" t="s">
        <v>2314</v>
      </c>
      <c r="B119" t="s">
        <v>2290</v>
      </c>
      <c r="C119" t="s">
        <v>2314</v>
      </c>
      <c r="D119" t="s">
        <v>9129</v>
      </c>
      <c r="E119">
        <f>learners_by_spfl_kor_m_g10</f>
        <v>0</v>
      </c>
      <c r="F119" t="b">
        <v>1</v>
      </c>
      <c r="N119" s="133"/>
    </row>
    <row r="120" spans="1:14" x14ac:dyDescent="0.35">
      <c r="A120" t="s">
        <v>2331</v>
      </c>
      <c r="B120" t="s">
        <v>2290</v>
      </c>
      <c r="C120" t="s">
        <v>2331</v>
      </c>
      <c r="D120" t="s">
        <v>9130</v>
      </c>
      <c r="E120">
        <f>learners_by_spfl_kor_f_g10</f>
        <v>0</v>
      </c>
      <c r="F120" t="b">
        <v>1</v>
      </c>
      <c r="N120" s="133"/>
    </row>
    <row r="121" spans="1:14" x14ac:dyDescent="0.35">
      <c r="A121" t="s">
        <v>2345</v>
      </c>
      <c r="B121" t="s">
        <v>2290</v>
      </c>
      <c r="C121" t="s">
        <v>2345</v>
      </c>
      <c r="D121" t="s">
        <v>9131</v>
      </c>
      <c r="E121">
        <f>learners_by_spfl_spa_m_g7</f>
        <v>0</v>
      </c>
      <c r="F121" t="b">
        <v>1</v>
      </c>
      <c r="N121" s="133"/>
    </row>
    <row r="122" spans="1:14" x14ac:dyDescent="0.35">
      <c r="A122" t="s">
        <v>2362</v>
      </c>
      <c r="B122" t="s">
        <v>2290</v>
      </c>
      <c r="C122" t="s">
        <v>2362</v>
      </c>
      <c r="D122" t="s">
        <v>9132</v>
      </c>
      <c r="E122">
        <f>learners_by_spfl_spa_f_g7</f>
        <v>0</v>
      </c>
      <c r="F122" t="b">
        <v>1</v>
      </c>
      <c r="N122" s="133"/>
    </row>
    <row r="123" spans="1:14" x14ac:dyDescent="0.35">
      <c r="A123" t="s">
        <v>2379</v>
      </c>
      <c r="B123" t="s">
        <v>2290</v>
      </c>
      <c r="C123" t="s">
        <v>2379</v>
      </c>
      <c r="D123" t="s">
        <v>9133</v>
      </c>
      <c r="E123">
        <f>learners_by_spfl_spa_m_g8</f>
        <v>0</v>
      </c>
      <c r="F123" t="b">
        <v>1</v>
      </c>
      <c r="N123" s="133"/>
    </row>
    <row r="124" spans="1:14" x14ac:dyDescent="0.35">
      <c r="A124" t="s">
        <v>2413</v>
      </c>
      <c r="B124" t="s">
        <v>2290</v>
      </c>
      <c r="C124" t="s">
        <v>2413</v>
      </c>
      <c r="D124" t="s">
        <v>9134</v>
      </c>
      <c r="E124">
        <f>learners_by_spfl_spa_m_g9</f>
        <v>0</v>
      </c>
      <c r="F124" t="b">
        <v>1</v>
      </c>
      <c r="N124" s="133"/>
    </row>
    <row r="125" spans="1:14" x14ac:dyDescent="0.35">
      <c r="A125" t="s">
        <v>2294</v>
      </c>
      <c r="B125" t="s">
        <v>2290</v>
      </c>
      <c r="C125" t="s">
        <v>2294</v>
      </c>
      <c r="D125" t="s">
        <v>9003</v>
      </c>
      <c r="E125">
        <f>learners_by_spfl_spa_f_g9</f>
        <v>0</v>
      </c>
      <c r="F125" t="b">
        <v>1</v>
      </c>
      <c r="N125" s="133"/>
    </row>
    <row r="126" spans="1:14" x14ac:dyDescent="0.35">
      <c r="A126" t="s">
        <v>2311</v>
      </c>
      <c r="B126" t="s">
        <v>2290</v>
      </c>
      <c r="C126" t="s">
        <v>2311</v>
      </c>
      <c r="D126" t="s">
        <v>9135</v>
      </c>
      <c r="E126">
        <f>learners_by_spfl_spa_m_g10</f>
        <v>0</v>
      </c>
      <c r="F126" t="b">
        <v>1</v>
      </c>
      <c r="N126" s="133"/>
    </row>
    <row r="127" spans="1:14" x14ac:dyDescent="0.35">
      <c r="A127" t="s">
        <v>2396</v>
      </c>
      <c r="B127" t="s">
        <v>2290</v>
      </c>
      <c r="C127" t="s">
        <v>2396</v>
      </c>
      <c r="D127" t="s">
        <v>9136</v>
      </c>
      <c r="E127">
        <f>learners_by_spfl_spa_f_g8</f>
        <v>0</v>
      </c>
      <c r="F127" t="b">
        <v>1</v>
      </c>
      <c r="N127" s="133"/>
    </row>
    <row r="128" spans="1:14" x14ac:dyDescent="0.35">
      <c r="A128" t="s">
        <v>2328</v>
      </c>
      <c r="B128" t="s">
        <v>2290</v>
      </c>
      <c r="C128" t="s">
        <v>2328</v>
      </c>
      <c r="D128" t="s">
        <v>9137</v>
      </c>
      <c r="E128">
        <f>learners_by_spfl_spa_f_g10</f>
        <v>0</v>
      </c>
      <c r="F128" t="b">
        <v>1</v>
      </c>
      <c r="N128" s="133"/>
    </row>
    <row r="129" spans="1:14" x14ac:dyDescent="0.35">
      <c r="A129" t="s">
        <v>2350</v>
      </c>
      <c r="B129" t="s">
        <v>2290</v>
      </c>
      <c r="C129" t="s">
        <v>2350</v>
      </c>
      <c r="D129" t="s">
        <v>9138</v>
      </c>
      <c r="E129">
        <f>learners_by_spj_m_g7</f>
        <v>10</v>
      </c>
      <c r="F129" t="b">
        <v>1</v>
      </c>
      <c r="N129" s="133"/>
    </row>
    <row r="130" spans="1:14" x14ac:dyDescent="0.35">
      <c r="A130" t="s">
        <v>2367</v>
      </c>
      <c r="B130" t="s">
        <v>2290</v>
      </c>
      <c r="C130" t="s">
        <v>2367</v>
      </c>
      <c r="D130" t="s">
        <v>9139</v>
      </c>
      <c r="E130">
        <f>learners_by_spj_f_g7</f>
        <v>25</v>
      </c>
      <c r="F130" t="b">
        <v>1</v>
      </c>
      <c r="N130" s="133"/>
    </row>
    <row r="131" spans="1:14" x14ac:dyDescent="0.35">
      <c r="A131" t="s">
        <v>2384</v>
      </c>
      <c r="B131" t="s">
        <v>2290</v>
      </c>
      <c r="C131" t="s">
        <v>2384</v>
      </c>
      <c r="D131" t="s">
        <v>9140</v>
      </c>
      <c r="E131">
        <f>learners_by_spj_m_g8</f>
        <v>6</v>
      </c>
      <c r="F131" t="b">
        <v>1</v>
      </c>
      <c r="N131" s="133"/>
    </row>
    <row r="132" spans="1:14" x14ac:dyDescent="0.35">
      <c r="A132" t="s">
        <v>2401</v>
      </c>
      <c r="B132" t="s">
        <v>2290</v>
      </c>
      <c r="C132" t="s">
        <v>2401</v>
      </c>
      <c r="D132" t="s">
        <v>9141</v>
      </c>
      <c r="E132">
        <f>learners_by_spj_f_g8</f>
        <v>27</v>
      </c>
      <c r="F132" t="b">
        <v>1</v>
      </c>
      <c r="N132" s="133"/>
    </row>
    <row r="133" spans="1:14" x14ac:dyDescent="0.35">
      <c r="A133" t="s">
        <v>2418</v>
      </c>
      <c r="B133" t="s">
        <v>2290</v>
      </c>
      <c r="C133" t="s">
        <v>2418</v>
      </c>
      <c r="D133" t="s">
        <v>9004</v>
      </c>
      <c r="E133">
        <f>learners_by_spj_m_g9</f>
        <v>7</v>
      </c>
      <c r="F133" t="b">
        <v>1</v>
      </c>
      <c r="N133" s="133"/>
    </row>
    <row r="134" spans="1:14" x14ac:dyDescent="0.35">
      <c r="A134" t="s">
        <v>2299</v>
      </c>
      <c r="B134" t="s">
        <v>2290</v>
      </c>
      <c r="C134" t="s">
        <v>2299</v>
      </c>
      <c r="D134" t="s">
        <v>9142</v>
      </c>
      <c r="E134">
        <f>learners_by_spj_f_g9</f>
        <v>27</v>
      </c>
      <c r="F134" t="b">
        <v>1</v>
      </c>
      <c r="N134" s="133"/>
    </row>
    <row r="135" spans="1:14" x14ac:dyDescent="0.35">
      <c r="A135" t="s">
        <v>2316</v>
      </c>
      <c r="B135" t="s">
        <v>2290</v>
      </c>
      <c r="C135" t="s">
        <v>2316</v>
      </c>
      <c r="D135" t="s">
        <v>9143</v>
      </c>
      <c r="E135">
        <f>learners_by_spj_m_g10</f>
        <v>13</v>
      </c>
      <c r="F135" t="b">
        <v>1</v>
      </c>
    </row>
    <row r="136" spans="1:14" x14ac:dyDescent="0.35">
      <c r="A136" t="s">
        <v>2333</v>
      </c>
      <c r="B136" t="s">
        <v>2290</v>
      </c>
      <c r="C136" t="s">
        <v>2333</v>
      </c>
      <c r="D136" t="s">
        <v>9144</v>
      </c>
      <c r="E136">
        <f>learners_by_spj_f_g10</f>
        <v>31</v>
      </c>
      <c r="F136" t="b">
        <v>1</v>
      </c>
    </row>
    <row r="137" spans="1:14" x14ac:dyDescent="0.35">
      <c r="A137" t="s">
        <v>2351</v>
      </c>
      <c r="B137" t="s">
        <v>2290</v>
      </c>
      <c r="C137" t="s">
        <v>2351</v>
      </c>
      <c r="D137" t="s">
        <v>9145</v>
      </c>
      <c r="E137" cm="1">
        <f t="array" ref="E137">learners_by_spste_m_g7</f>
        <v>14</v>
      </c>
      <c r="F137" t="b">
        <v>1</v>
      </c>
    </row>
    <row r="138" spans="1:14" x14ac:dyDescent="0.35">
      <c r="A138" t="s">
        <v>2368</v>
      </c>
      <c r="B138" t="s">
        <v>2290</v>
      </c>
      <c r="C138" t="s">
        <v>2368</v>
      </c>
      <c r="D138" t="s">
        <v>9146</v>
      </c>
      <c r="E138">
        <f>learners_by_spste_f_g7</f>
        <v>25</v>
      </c>
      <c r="F138" t="b">
        <v>1</v>
      </c>
    </row>
    <row r="139" spans="1:14" x14ac:dyDescent="0.35">
      <c r="A139" t="s">
        <v>2385</v>
      </c>
      <c r="B139" t="s">
        <v>2290</v>
      </c>
      <c r="C139" t="s">
        <v>2385</v>
      </c>
      <c r="D139" t="s">
        <v>9147</v>
      </c>
      <c r="E139">
        <f>learners_by_spste_m_g8</f>
        <v>0</v>
      </c>
      <c r="F139" t="b">
        <v>1</v>
      </c>
    </row>
    <row r="140" spans="1:14" x14ac:dyDescent="0.35">
      <c r="A140" t="s">
        <v>2402</v>
      </c>
      <c r="B140" t="s">
        <v>2290</v>
      </c>
      <c r="C140" t="s">
        <v>2402</v>
      </c>
      <c r="D140" t="s">
        <v>9148</v>
      </c>
      <c r="E140">
        <f>learners_by_spste_f_g8</f>
        <v>0</v>
      </c>
      <c r="F140" t="b">
        <v>1</v>
      </c>
    </row>
    <row r="141" spans="1:14" x14ac:dyDescent="0.35">
      <c r="A141" t="s">
        <v>2419</v>
      </c>
      <c r="B141" t="s">
        <v>2290</v>
      </c>
      <c r="C141" t="s">
        <v>2419</v>
      </c>
      <c r="D141" t="s">
        <v>9149</v>
      </c>
      <c r="E141">
        <f>learners_by_spste_m_g9</f>
        <v>0</v>
      </c>
      <c r="F141" t="b">
        <v>1</v>
      </c>
    </row>
    <row r="142" spans="1:14" x14ac:dyDescent="0.35">
      <c r="A142" t="s">
        <v>2300</v>
      </c>
      <c r="B142" t="s">
        <v>2290</v>
      </c>
      <c r="C142" t="s">
        <v>2300</v>
      </c>
      <c r="D142" t="s">
        <v>9150</v>
      </c>
      <c r="E142">
        <f>learners_by_spste_f_g9</f>
        <v>0</v>
      </c>
      <c r="F142" t="b">
        <v>1</v>
      </c>
    </row>
    <row r="143" spans="1:14" x14ac:dyDescent="0.35">
      <c r="A143" t="s">
        <v>2317</v>
      </c>
      <c r="B143" t="s">
        <v>2290</v>
      </c>
      <c r="C143" t="s">
        <v>2317</v>
      </c>
      <c r="D143" t="s">
        <v>9151</v>
      </c>
      <c r="E143">
        <f>learners_by_spste_m_g10</f>
        <v>0</v>
      </c>
      <c r="F143" t="b">
        <v>1</v>
      </c>
    </row>
    <row r="144" spans="1:14" x14ac:dyDescent="0.35">
      <c r="A144" t="s">
        <v>2334</v>
      </c>
      <c r="B144" t="s">
        <v>2290</v>
      </c>
      <c r="C144" t="s">
        <v>2334</v>
      </c>
      <c r="D144" t="s">
        <v>9152</v>
      </c>
      <c r="E144">
        <f>learners_by_spste_f_g10</f>
        <v>0</v>
      </c>
      <c r="F144" t="b">
        <v>1</v>
      </c>
    </row>
    <row r="145" spans="1:14" x14ac:dyDescent="0.35">
      <c r="A145" t="s">
        <v>2352</v>
      </c>
      <c r="B145" t="s">
        <v>2290</v>
      </c>
      <c r="C145" t="s">
        <v>2352</v>
      </c>
      <c r="D145" t="s">
        <v>9153</v>
      </c>
      <c r="E145">
        <f>learners_by_sps_is_m_g7</f>
        <v>0</v>
      </c>
      <c r="F145" t="b">
        <v>1</v>
      </c>
    </row>
    <row r="146" spans="1:14" x14ac:dyDescent="0.35">
      <c r="A146" t="s">
        <v>2369</v>
      </c>
      <c r="B146" t="s">
        <v>2290</v>
      </c>
      <c r="C146" t="s">
        <v>2369</v>
      </c>
      <c r="D146" t="s">
        <v>9154</v>
      </c>
      <c r="E146">
        <f>learners_by_sps_is_f_g7</f>
        <v>0</v>
      </c>
      <c r="F146" t="b">
        <v>1</v>
      </c>
    </row>
    <row r="147" spans="1:14" x14ac:dyDescent="0.35">
      <c r="A147" t="s">
        <v>2386</v>
      </c>
      <c r="B147" t="s">
        <v>2290</v>
      </c>
      <c r="C147" t="s">
        <v>2386</v>
      </c>
      <c r="D147" t="s">
        <v>9155</v>
      </c>
      <c r="E147">
        <f>learners_by_sps_is_m_g8</f>
        <v>0</v>
      </c>
      <c r="F147" t="b">
        <v>1</v>
      </c>
    </row>
    <row r="148" spans="1:14" x14ac:dyDescent="0.35">
      <c r="A148" t="s">
        <v>2403</v>
      </c>
      <c r="B148" t="s">
        <v>2290</v>
      </c>
      <c r="C148" t="s">
        <v>2403</v>
      </c>
      <c r="D148" t="s">
        <v>9156</v>
      </c>
      <c r="E148">
        <f>learners_by_sps_is_f_g8</f>
        <v>0</v>
      </c>
      <c r="F148" t="b">
        <v>1</v>
      </c>
    </row>
    <row r="149" spans="1:14" x14ac:dyDescent="0.35">
      <c r="A149" t="s">
        <v>2420</v>
      </c>
      <c r="B149" t="s">
        <v>2290</v>
      </c>
      <c r="C149" t="s">
        <v>2420</v>
      </c>
      <c r="D149" t="s">
        <v>9005</v>
      </c>
      <c r="E149">
        <f>learners_by_sps_is_m_g9</f>
        <v>0</v>
      </c>
      <c r="F149" t="b">
        <v>1</v>
      </c>
    </row>
    <row r="150" spans="1:14" x14ac:dyDescent="0.35">
      <c r="A150" t="s">
        <v>2301</v>
      </c>
      <c r="B150" t="s">
        <v>2290</v>
      </c>
      <c r="C150" t="s">
        <v>2301</v>
      </c>
      <c r="D150" t="s">
        <v>9157</v>
      </c>
      <c r="E150">
        <f>learners_by_sps_is_f_g9</f>
        <v>0</v>
      </c>
      <c r="F150" t="b">
        <v>1</v>
      </c>
    </row>
    <row r="151" spans="1:14" x14ac:dyDescent="0.35">
      <c r="A151" t="s">
        <v>2318</v>
      </c>
      <c r="B151" t="s">
        <v>2290</v>
      </c>
      <c r="C151" t="s">
        <v>2318</v>
      </c>
      <c r="D151" t="s">
        <v>9158</v>
      </c>
      <c r="E151">
        <f>learners_by_sps_is_m_g10</f>
        <v>0</v>
      </c>
      <c r="F151" t="b">
        <v>1</v>
      </c>
    </row>
    <row r="152" spans="1:14" x14ac:dyDescent="0.35">
      <c r="A152" t="s">
        <v>2335</v>
      </c>
      <c r="B152" t="s">
        <v>2290</v>
      </c>
      <c r="C152" t="s">
        <v>2335</v>
      </c>
      <c r="D152" t="s">
        <v>9159</v>
      </c>
      <c r="E152">
        <f>learners_by_sps_is_f_g10</f>
        <v>0</v>
      </c>
      <c r="F152" t="b">
        <v>1</v>
      </c>
      <c r="N152" s="133"/>
    </row>
    <row r="153" spans="1:14" x14ac:dyDescent="0.35">
      <c r="A153" t="s">
        <v>2353</v>
      </c>
      <c r="B153" t="s">
        <v>2290</v>
      </c>
      <c r="C153" t="s">
        <v>2353</v>
      </c>
      <c r="D153" t="s">
        <v>9160</v>
      </c>
      <c r="E153">
        <f>learners_by_sps_ds_m_g7</f>
        <v>0</v>
      </c>
      <c r="F153" t="b">
        <v>1</v>
      </c>
      <c r="N153" s="133"/>
    </row>
    <row r="154" spans="1:14" x14ac:dyDescent="0.35">
      <c r="A154" t="s">
        <v>2370</v>
      </c>
      <c r="B154" t="s">
        <v>2290</v>
      </c>
      <c r="C154" t="s">
        <v>2370</v>
      </c>
      <c r="D154" t="s">
        <v>9161</v>
      </c>
      <c r="E154">
        <f>learners_by_sps_ds_f_g7</f>
        <v>0</v>
      </c>
      <c r="F154" t="b">
        <v>1</v>
      </c>
      <c r="N154" s="133"/>
    </row>
    <row r="155" spans="1:14" x14ac:dyDescent="0.35">
      <c r="A155" t="s">
        <v>2387</v>
      </c>
      <c r="B155" t="s">
        <v>2290</v>
      </c>
      <c r="C155" t="s">
        <v>2387</v>
      </c>
      <c r="D155" t="s">
        <v>9162</v>
      </c>
      <c r="E155">
        <f>learners_by_sps_ds_m_g8</f>
        <v>0</v>
      </c>
      <c r="F155" t="b">
        <v>1</v>
      </c>
      <c r="N155" s="133"/>
    </row>
    <row r="156" spans="1:14" x14ac:dyDescent="0.35">
      <c r="A156" t="s">
        <v>2404</v>
      </c>
      <c r="B156" t="s">
        <v>2290</v>
      </c>
      <c r="C156" t="s">
        <v>2404</v>
      </c>
      <c r="D156" t="s">
        <v>9163</v>
      </c>
      <c r="E156">
        <f>learners_by_sps_ds_f_g8</f>
        <v>0</v>
      </c>
      <c r="F156" t="b">
        <v>1</v>
      </c>
      <c r="N156" s="133"/>
    </row>
    <row r="157" spans="1:14" x14ac:dyDescent="0.35">
      <c r="A157" t="s">
        <v>2421</v>
      </c>
      <c r="B157" t="s">
        <v>2290</v>
      </c>
      <c r="C157" t="s">
        <v>2421</v>
      </c>
      <c r="D157" t="s">
        <v>9006</v>
      </c>
      <c r="E157">
        <f>learners_by_sps_ds_m_g9</f>
        <v>0</v>
      </c>
      <c r="F157" t="b">
        <v>1</v>
      </c>
      <c r="N157" s="133"/>
    </row>
    <row r="158" spans="1:14" x14ac:dyDescent="0.35">
      <c r="A158" t="s">
        <v>2302</v>
      </c>
      <c r="B158" t="s">
        <v>2290</v>
      </c>
      <c r="C158" t="s">
        <v>2302</v>
      </c>
      <c r="D158" t="s">
        <v>9164</v>
      </c>
      <c r="E158">
        <f>learners_by_sps_ds_f_g9</f>
        <v>0</v>
      </c>
      <c r="F158" t="b">
        <v>1</v>
      </c>
      <c r="N158" s="133"/>
    </row>
    <row r="159" spans="1:14" x14ac:dyDescent="0.35">
      <c r="A159" t="s">
        <v>2319</v>
      </c>
      <c r="B159" t="s">
        <v>2290</v>
      </c>
      <c r="C159" t="s">
        <v>2319</v>
      </c>
      <c r="D159" t="s">
        <v>9165</v>
      </c>
      <c r="E159">
        <f>learners_by_sps_ds_m_g10</f>
        <v>0</v>
      </c>
      <c r="F159" t="b">
        <v>1</v>
      </c>
      <c r="N159" s="133"/>
    </row>
    <row r="160" spans="1:14" x14ac:dyDescent="0.35">
      <c r="A160" t="s">
        <v>2336</v>
      </c>
      <c r="B160" t="s">
        <v>2290</v>
      </c>
      <c r="C160" t="s">
        <v>2336</v>
      </c>
      <c r="D160" t="s">
        <v>9166</v>
      </c>
      <c r="E160">
        <f>learners_by_sps_ds_f_g10</f>
        <v>0</v>
      </c>
      <c r="F160" t="b">
        <v>1</v>
      </c>
      <c r="N160" s="133"/>
    </row>
    <row r="161" spans="1:26" x14ac:dyDescent="0.35">
      <c r="A161" s="1371" t="s">
        <v>2354</v>
      </c>
      <c r="B161" s="1371" t="s">
        <v>2290</v>
      </c>
      <c r="C161" s="1371" t="s">
        <v>2354</v>
      </c>
      <c r="D161" t="s">
        <v>9167</v>
      </c>
      <c r="E161" s="1371">
        <f>learners_by_sps_ts_m_g7</f>
        <v>0</v>
      </c>
      <c r="F161" s="1371" t="b">
        <v>1</v>
      </c>
      <c r="N161" s="133"/>
    </row>
    <row r="162" spans="1:26" x14ac:dyDescent="0.35">
      <c r="A162" t="s">
        <v>2371</v>
      </c>
      <c r="B162" s="1371" t="s">
        <v>2290</v>
      </c>
      <c r="C162" t="s">
        <v>2371</v>
      </c>
      <c r="D162" t="s">
        <v>9168</v>
      </c>
      <c r="E162">
        <f>learners_by_sps_ts_f_g7</f>
        <v>0</v>
      </c>
      <c r="F162" s="1371" t="b">
        <v>1</v>
      </c>
      <c r="N162" s="133"/>
    </row>
    <row r="163" spans="1:26" x14ac:dyDescent="0.35">
      <c r="A163" t="s">
        <v>2388</v>
      </c>
      <c r="B163" s="1371" t="s">
        <v>2290</v>
      </c>
      <c r="C163" t="s">
        <v>2388</v>
      </c>
      <c r="D163" t="s">
        <v>9169</v>
      </c>
      <c r="E163">
        <f>learners_by_sps_ts_m_g8</f>
        <v>0</v>
      </c>
      <c r="F163" s="1371" t="b">
        <v>1</v>
      </c>
      <c r="N163" s="133"/>
    </row>
    <row r="164" spans="1:26" x14ac:dyDescent="0.35">
      <c r="A164" t="s">
        <v>2405</v>
      </c>
      <c r="B164" s="1371" t="s">
        <v>2290</v>
      </c>
      <c r="C164" t="s">
        <v>2405</v>
      </c>
      <c r="D164" t="s">
        <v>9170</v>
      </c>
      <c r="E164">
        <f>learners_by_sps_ts_f_g8</f>
        <v>0</v>
      </c>
      <c r="F164" s="1371" t="b">
        <v>1</v>
      </c>
      <c r="N164" s="133"/>
    </row>
    <row r="165" spans="1:26" x14ac:dyDescent="0.35">
      <c r="A165" t="s">
        <v>2422</v>
      </c>
      <c r="B165" s="1371" t="s">
        <v>2290</v>
      </c>
      <c r="C165" t="s">
        <v>2422</v>
      </c>
      <c r="D165" t="s">
        <v>9007</v>
      </c>
      <c r="E165">
        <f>learners_by_sps_ts_m_g9</f>
        <v>0</v>
      </c>
      <c r="F165" s="1371" t="b">
        <v>1</v>
      </c>
      <c r="N165" s="133"/>
    </row>
    <row r="166" spans="1:26" x14ac:dyDescent="0.35">
      <c r="A166" t="s">
        <v>2303</v>
      </c>
      <c r="B166" s="1371" t="s">
        <v>2290</v>
      </c>
      <c r="C166" t="s">
        <v>2303</v>
      </c>
      <c r="D166" t="s">
        <v>9171</v>
      </c>
      <c r="E166">
        <f>learners_by_sps_ts_f_g9</f>
        <v>0</v>
      </c>
      <c r="F166" s="1371" t="b">
        <v>1</v>
      </c>
      <c r="N166" s="133"/>
    </row>
    <row r="167" spans="1:26" x14ac:dyDescent="0.35">
      <c r="A167" t="s">
        <v>2320</v>
      </c>
      <c r="B167" s="1371" t="s">
        <v>2290</v>
      </c>
      <c r="C167" t="s">
        <v>2320</v>
      </c>
      <c r="D167" t="s">
        <v>9172</v>
      </c>
      <c r="E167">
        <f>learners_by_sps_ts_m_g10</f>
        <v>0</v>
      </c>
      <c r="F167" s="1371" t="b">
        <v>1</v>
      </c>
      <c r="N167" s="133"/>
    </row>
    <row r="168" spans="1:26" s="1348" customFormat="1" ht="16" thickBot="1" x14ac:dyDescent="0.4">
      <c r="A168" s="1348" t="s">
        <v>2337</v>
      </c>
      <c r="B168" s="1349" t="s">
        <v>2290</v>
      </c>
      <c r="C168" s="1348" t="s">
        <v>2337</v>
      </c>
      <c r="D168" s="1348" t="s">
        <v>9173</v>
      </c>
      <c r="E168" s="1348">
        <f>learners_by_sps_ts_f_g10</f>
        <v>0</v>
      </c>
      <c r="F168" s="1349" t="b">
        <v>1</v>
      </c>
      <c r="H168" s="1349"/>
      <c r="I168" s="1349"/>
      <c r="J168" s="1349"/>
      <c r="K168" s="1349"/>
      <c r="L168" s="1349"/>
      <c r="M168" s="1349"/>
      <c r="N168" s="134"/>
      <c r="O168" s="1349"/>
      <c r="P168" s="1349"/>
      <c r="Q168" s="1349"/>
      <c r="R168" s="1349"/>
      <c r="S168" s="1349"/>
      <c r="T168" s="1349"/>
      <c r="U168" s="1349"/>
      <c r="V168" s="1349"/>
      <c r="W168" s="1349"/>
      <c r="X168" s="1349"/>
      <c r="Y168" s="1349"/>
      <c r="Z168" s="1349"/>
    </row>
    <row r="169" spans="1:26" s="1350" customFormat="1" x14ac:dyDescent="0.35">
      <c r="A169" s="1350" t="s">
        <v>6689</v>
      </c>
      <c r="B169" s="1350" t="s">
        <v>6690</v>
      </c>
      <c r="C169" s="1350" t="s">
        <v>6689</v>
      </c>
      <c r="D169" s="1351" t="s">
        <v>6848</v>
      </c>
      <c r="E169" s="1350">
        <f>learners_sptve_beautycarewell_m_g7</f>
        <v>0</v>
      </c>
      <c r="F169" s="1350" t="b">
        <v>1</v>
      </c>
      <c r="H169" s="1352"/>
      <c r="I169" s="1352"/>
      <c r="J169" s="1352"/>
      <c r="K169" s="1352"/>
      <c r="L169" s="1352"/>
      <c r="M169" s="1352"/>
      <c r="N169" s="144"/>
      <c r="O169" s="1352"/>
      <c r="P169" s="1352"/>
      <c r="Q169" s="1352"/>
      <c r="R169" s="1352"/>
      <c r="S169" s="1352"/>
      <c r="T169" s="1352"/>
      <c r="U169" s="1352"/>
      <c r="V169" s="1352"/>
      <c r="W169" s="1352"/>
      <c r="X169" s="1352"/>
      <c r="Y169" s="1352"/>
      <c r="Z169" s="1352"/>
    </row>
    <row r="170" spans="1:26" x14ac:dyDescent="0.35">
      <c r="A170" t="s">
        <v>6709</v>
      </c>
      <c r="B170" t="s">
        <v>6690</v>
      </c>
      <c r="C170" t="s">
        <v>6709</v>
      </c>
      <c r="D170" s="1353" t="s">
        <v>6868</v>
      </c>
      <c r="E170">
        <f>learners_sptve_beautycarewell_f_g7</f>
        <v>0</v>
      </c>
      <c r="F170" t="b">
        <v>1</v>
      </c>
      <c r="H170" s="1354"/>
      <c r="I170" s="1354"/>
      <c r="J170" s="1354"/>
      <c r="K170" s="1354"/>
      <c r="L170" s="1354"/>
      <c r="M170" s="1354"/>
      <c r="N170" s="135"/>
      <c r="O170" s="1354"/>
      <c r="P170" s="1354"/>
      <c r="Q170" s="1354"/>
      <c r="R170" s="1354"/>
      <c r="S170" s="1354"/>
      <c r="T170" s="1354"/>
      <c r="U170" s="1354"/>
      <c r="V170" s="1354"/>
      <c r="W170" s="1354"/>
      <c r="X170" s="1354"/>
      <c r="Y170" s="1354"/>
      <c r="Z170" s="1354"/>
    </row>
    <row r="171" spans="1:26" x14ac:dyDescent="0.35">
      <c r="A171" t="s">
        <v>6728</v>
      </c>
      <c r="B171" t="s">
        <v>6690</v>
      </c>
      <c r="C171" t="s">
        <v>6728</v>
      </c>
      <c r="D171" s="1353" t="s">
        <v>6888</v>
      </c>
      <c r="E171">
        <f>learners_sptve_beautycarewell_m_g8</f>
        <v>2</v>
      </c>
      <c r="F171" t="b">
        <v>1</v>
      </c>
      <c r="H171" s="1354"/>
      <c r="I171" s="1354"/>
      <c r="J171" s="1354"/>
      <c r="K171" s="1354"/>
      <c r="L171" s="1354"/>
      <c r="M171" s="1354"/>
      <c r="N171" s="135"/>
      <c r="O171" s="1354"/>
      <c r="P171" s="1354"/>
      <c r="Q171" s="1354"/>
      <c r="R171" s="1354"/>
      <c r="S171" s="1354"/>
      <c r="T171" s="1354"/>
      <c r="U171" s="1354"/>
      <c r="V171" s="1354"/>
      <c r="W171" s="1354"/>
      <c r="X171" s="1354"/>
      <c r="Y171" s="1354"/>
      <c r="Z171" s="1354"/>
    </row>
    <row r="172" spans="1:26" x14ac:dyDescent="0.35">
      <c r="A172" t="s">
        <v>6747</v>
      </c>
      <c r="B172" t="s">
        <v>6690</v>
      </c>
      <c r="C172" t="s">
        <v>6747</v>
      </c>
      <c r="D172" s="1353" t="s">
        <v>6908</v>
      </c>
      <c r="E172">
        <f>learners_sptve_beautycarewell_f_g8</f>
        <v>40</v>
      </c>
      <c r="F172" t="b">
        <v>1</v>
      </c>
      <c r="H172" s="1354"/>
      <c r="I172" s="1354"/>
      <c r="J172" s="1354"/>
      <c r="K172" s="1354"/>
      <c r="L172" s="1354"/>
      <c r="M172" s="1354"/>
      <c r="N172" s="135"/>
      <c r="O172" s="1354"/>
      <c r="P172" s="1354"/>
      <c r="Q172" s="1354"/>
      <c r="R172" s="1354"/>
      <c r="S172" s="1354"/>
      <c r="T172" s="1354"/>
      <c r="U172" s="1354"/>
      <c r="V172" s="1354"/>
      <c r="W172" s="1354"/>
      <c r="X172" s="1354"/>
      <c r="Y172" s="1354"/>
      <c r="Z172" s="1354"/>
    </row>
    <row r="173" spans="1:26" x14ac:dyDescent="0.35">
      <c r="A173" t="s">
        <v>6766</v>
      </c>
      <c r="B173" t="s">
        <v>6690</v>
      </c>
      <c r="C173" t="s">
        <v>6766</v>
      </c>
      <c r="D173" s="1353" t="s">
        <v>6928</v>
      </c>
      <c r="E173">
        <f>learners_sptve_beautycarewell_m_g9</f>
        <v>1</v>
      </c>
      <c r="F173" t="b">
        <v>1</v>
      </c>
      <c r="H173" s="1354"/>
      <c r="I173" s="1354"/>
      <c r="J173" s="1354"/>
      <c r="K173" s="1354"/>
      <c r="L173" s="1354"/>
      <c r="M173" s="1354"/>
      <c r="N173" s="135"/>
      <c r="O173" s="1354"/>
      <c r="P173" s="1354"/>
      <c r="Q173" s="1354"/>
      <c r="R173" s="1354"/>
      <c r="S173" s="1354"/>
      <c r="T173" s="1354"/>
      <c r="U173" s="1354"/>
      <c r="V173" s="1354"/>
      <c r="W173" s="1354"/>
      <c r="X173" s="1354"/>
      <c r="Y173" s="1354"/>
      <c r="Z173" s="1354"/>
    </row>
    <row r="174" spans="1:26" x14ac:dyDescent="0.35">
      <c r="A174" t="s">
        <v>6785</v>
      </c>
      <c r="B174" t="s">
        <v>6690</v>
      </c>
      <c r="C174" t="s">
        <v>6785</v>
      </c>
      <c r="D174" s="1353" t="s">
        <v>6948</v>
      </c>
      <c r="E174">
        <f>learners_sptve_beautycarewell_f_g9</f>
        <v>40</v>
      </c>
      <c r="F174" t="b">
        <v>1</v>
      </c>
      <c r="H174" s="1354"/>
      <c r="I174" s="1354"/>
      <c r="J174" s="1354"/>
      <c r="K174" s="1354"/>
      <c r="L174" s="1354"/>
      <c r="M174" s="1354"/>
      <c r="N174" s="135"/>
      <c r="O174" s="1354"/>
      <c r="P174" s="1354"/>
      <c r="Q174" s="1354"/>
      <c r="R174" s="1354"/>
      <c r="S174" s="1354"/>
      <c r="T174" s="1354"/>
      <c r="U174" s="1354"/>
      <c r="V174" s="1354"/>
      <c r="W174" s="1354"/>
      <c r="X174" s="1354"/>
      <c r="Y174" s="1354"/>
      <c r="Z174" s="1354"/>
    </row>
    <row r="175" spans="1:26" x14ac:dyDescent="0.35">
      <c r="A175" t="s">
        <v>6804</v>
      </c>
      <c r="B175" t="s">
        <v>6690</v>
      </c>
      <c r="C175" t="s">
        <v>6804</v>
      </c>
      <c r="D175" s="1353" t="s">
        <v>6968</v>
      </c>
      <c r="E175">
        <f>learners_sptve_beautycarewell_m_g10</f>
        <v>1</v>
      </c>
      <c r="F175" t="b">
        <v>1</v>
      </c>
      <c r="H175" s="1354"/>
      <c r="I175" s="1354"/>
      <c r="J175" s="1354"/>
      <c r="K175" s="1354"/>
      <c r="L175" s="1354"/>
      <c r="M175" s="1354"/>
      <c r="N175" s="135"/>
      <c r="O175" s="1354"/>
      <c r="P175" s="1354"/>
      <c r="Q175" s="1354"/>
      <c r="R175" s="1354"/>
      <c r="S175" s="1354"/>
      <c r="T175" s="1354"/>
      <c r="U175" s="1354"/>
      <c r="V175" s="1354"/>
      <c r="W175" s="1354"/>
      <c r="X175" s="1354"/>
      <c r="Y175" s="1354"/>
      <c r="Z175" s="1354"/>
    </row>
    <row r="176" spans="1:26" x14ac:dyDescent="0.35">
      <c r="A176" t="s">
        <v>6823</v>
      </c>
      <c r="B176" t="s">
        <v>6690</v>
      </c>
      <c r="C176" t="s">
        <v>6823</v>
      </c>
      <c r="D176" s="1353" t="s">
        <v>6988</v>
      </c>
      <c r="E176">
        <f>learners_sptve_beautycarewell_f_g10</f>
        <v>48</v>
      </c>
      <c r="F176" t="b">
        <v>1</v>
      </c>
      <c r="H176" s="1354"/>
      <c r="I176" s="1354"/>
      <c r="J176" s="1354"/>
      <c r="K176" s="1354"/>
      <c r="L176" s="1354"/>
      <c r="M176" s="1354"/>
      <c r="N176" s="135"/>
      <c r="O176" s="1354"/>
      <c r="P176" s="1354"/>
      <c r="Q176" s="1354"/>
      <c r="R176" s="1354"/>
      <c r="S176" s="1354"/>
      <c r="T176" s="1354"/>
      <c r="U176" s="1354"/>
      <c r="V176" s="1354"/>
      <c r="W176" s="1354"/>
      <c r="X176" s="1354"/>
      <c r="Y176" s="1354"/>
      <c r="Z176" s="1354"/>
    </row>
    <row r="177" spans="1:26" x14ac:dyDescent="0.35">
      <c r="A177" t="s">
        <v>6691</v>
      </c>
      <c r="B177" t="s">
        <v>6690</v>
      </c>
      <c r="C177" t="s">
        <v>6691</v>
      </c>
      <c r="D177" s="1353" t="s">
        <v>6849</v>
      </c>
      <c r="E177">
        <f>learners_sptve_garmenttech_m_g7</f>
        <v>66</v>
      </c>
      <c r="F177" t="b">
        <v>1</v>
      </c>
      <c r="H177" s="1354"/>
      <c r="I177" s="1354"/>
      <c r="J177" s="1354"/>
      <c r="K177" s="1354"/>
      <c r="L177" s="1354"/>
      <c r="M177" s="1354"/>
      <c r="N177" s="135"/>
      <c r="O177" s="1354"/>
      <c r="P177" s="1354"/>
      <c r="Q177" s="1354"/>
      <c r="R177" s="1354"/>
      <c r="S177" s="1354"/>
      <c r="T177" s="1354"/>
      <c r="U177" s="1354"/>
      <c r="V177" s="1354"/>
      <c r="W177" s="1354"/>
      <c r="X177" s="1354"/>
      <c r="Y177" s="1354"/>
      <c r="Z177" s="1354"/>
    </row>
    <row r="178" spans="1:26" x14ac:dyDescent="0.35">
      <c r="A178" t="s">
        <v>6710</v>
      </c>
      <c r="B178" t="s">
        <v>6690</v>
      </c>
      <c r="C178" t="s">
        <v>6710</v>
      </c>
      <c r="D178" s="1353" t="s">
        <v>6869</v>
      </c>
      <c r="E178">
        <f>learners_sptve_garmenttech_f_g7</f>
        <v>84</v>
      </c>
      <c r="F178" t="b">
        <v>1</v>
      </c>
      <c r="H178" s="1354"/>
      <c r="I178" s="1354"/>
      <c r="J178" s="1354"/>
      <c r="K178" s="1354"/>
      <c r="L178" s="1354"/>
      <c r="M178" s="1354"/>
      <c r="N178" s="135"/>
      <c r="O178" s="1354"/>
      <c r="P178" s="1354"/>
      <c r="Q178" s="1354"/>
      <c r="R178" s="1354"/>
      <c r="S178" s="1354"/>
      <c r="T178" s="1354"/>
      <c r="U178" s="1354"/>
      <c r="V178" s="1354"/>
      <c r="W178" s="1354"/>
      <c r="X178" s="1354"/>
      <c r="Y178" s="1354"/>
      <c r="Z178" s="1354"/>
    </row>
    <row r="179" spans="1:26" x14ac:dyDescent="0.35">
      <c r="A179" t="s">
        <v>6729</v>
      </c>
      <c r="B179" t="s">
        <v>6690</v>
      </c>
      <c r="C179" t="s">
        <v>6729</v>
      </c>
      <c r="D179" s="1353" t="s">
        <v>6889</v>
      </c>
      <c r="E179">
        <f>learners_sptve_garmenttech_m_g8</f>
        <v>0</v>
      </c>
      <c r="F179" t="b">
        <v>1</v>
      </c>
      <c r="H179" s="1354"/>
      <c r="I179" s="1354"/>
      <c r="J179" s="1354"/>
      <c r="K179" s="1354"/>
      <c r="L179" s="1354"/>
      <c r="M179" s="1354"/>
      <c r="N179" s="135"/>
      <c r="O179" s="1354"/>
      <c r="P179" s="1354"/>
      <c r="Q179" s="1354"/>
      <c r="R179" s="1354"/>
      <c r="S179" s="1354"/>
      <c r="T179" s="1354"/>
      <c r="U179" s="1354"/>
      <c r="V179" s="1354"/>
      <c r="W179" s="1354"/>
      <c r="X179" s="1354"/>
      <c r="Y179" s="1354"/>
      <c r="Z179" s="1354"/>
    </row>
    <row r="180" spans="1:26" x14ac:dyDescent="0.35">
      <c r="A180" t="s">
        <v>6748</v>
      </c>
      <c r="B180" t="s">
        <v>6690</v>
      </c>
      <c r="C180" t="s">
        <v>6748</v>
      </c>
      <c r="D180" s="1353" t="s">
        <v>6909</v>
      </c>
      <c r="E180">
        <f>learners_sptve_garmenttech_f_g8</f>
        <v>30</v>
      </c>
      <c r="F180" t="b">
        <v>1</v>
      </c>
      <c r="H180" s="1354"/>
      <c r="I180" s="1354"/>
      <c r="J180" s="1354"/>
      <c r="K180" s="1354"/>
      <c r="L180" s="1354"/>
      <c r="M180" s="1354"/>
      <c r="N180" s="135"/>
      <c r="O180" s="1354"/>
      <c r="P180" s="1354"/>
      <c r="Q180" s="1354"/>
      <c r="R180" s="1354"/>
      <c r="S180" s="1354"/>
      <c r="T180" s="1354"/>
      <c r="U180" s="1354"/>
      <c r="V180" s="1354"/>
      <c r="W180" s="1354"/>
      <c r="X180" s="1354"/>
      <c r="Y180" s="1354"/>
      <c r="Z180" s="1354"/>
    </row>
    <row r="181" spans="1:26" x14ac:dyDescent="0.35">
      <c r="A181" t="s">
        <v>6767</v>
      </c>
      <c r="B181" t="s">
        <v>6690</v>
      </c>
      <c r="C181" t="s">
        <v>6767</v>
      </c>
      <c r="D181" s="1353" t="s">
        <v>6929</v>
      </c>
      <c r="E181">
        <f>learners_sptve_garmenttech_m_g9</f>
        <v>2</v>
      </c>
      <c r="F181" t="b">
        <v>1</v>
      </c>
      <c r="H181" s="1354"/>
      <c r="I181" s="1354"/>
      <c r="J181" s="1354"/>
      <c r="K181" s="1354"/>
      <c r="L181" s="1354"/>
      <c r="M181" s="1354"/>
      <c r="N181" s="135"/>
      <c r="O181" s="1354"/>
      <c r="P181" s="1354"/>
      <c r="Q181" s="1354"/>
      <c r="R181" s="1354"/>
      <c r="S181" s="1354"/>
      <c r="T181" s="1354"/>
      <c r="U181" s="1354"/>
      <c r="V181" s="1354"/>
      <c r="W181" s="1354"/>
      <c r="X181" s="1354"/>
      <c r="Y181" s="1354"/>
      <c r="Z181" s="1354"/>
    </row>
    <row r="182" spans="1:26" x14ac:dyDescent="0.35">
      <c r="A182" t="s">
        <v>6786</v>
      </c>
      <c r="B182" t="s">
        <v>6690</v>
      </c>
      <c r="C182" t="s">
        <v>6786</v>
      </c>
      <c r="D182" s="1353" t="s">
        <v>6949</v>
      </c>
      <c r="E182">
        <f>learners_sptve_garmenttech_f_g9</f>
        <v>27</v>
      </c>
      <c r="F182" t="b">
        <v>1</v>
      </c>
      <c r="H182" s="1354"/>
      <c r="I182" s="1354"/>
      <c r="J182" s="1354"/>
      <c r="K182" s="1354"/>
      <c r="L182" s="1354"/>
      <c r="M182" s="1354"/>
      <c r="N182" s="135"/>
      <c r="O182" s="1354"/>
      <c r="P182" s="1354"/>
      <c r="Q182" s="1354"/>
      <c r="R182" s="1354"/>
      <c r="S182" s="1354"/>
      <c r="T182" s="1354"/>
      <c r="U182" s="1354"/>
      <c r="V182" s="1354"/>
      <c r="W182" s="1354"/>
      <c r="X182" s="1354"/>
      <c r="Y182" s="1354"/>
      <c r="Z182" s="1354"/>
    </row>
    <row r="183" spans="1:26" x14ac:dyDescent="0.35">
      <c r="A183" t="s">
        <v>6805</v>
      </c>
      <c r="B183" t="s">
        <v>6690</v>
      </c>
      <c r="C183" t="s">
        <v>6805</v>
      </c>
      <c r="D183" s="1353" t="s">
        <v>6969</v>
      </c>
      <c r="E183">
        <f>learners_sptve_garmenttech_m_g10</f>
        <v>3</v>
      </c>
      <c r="F183" t="b">
        <v>1</v>
      </c>
      <c r="H183" s="1354"/>
      <c r="I183" s="1354"/>
      <c r="J183" s="1354"/>
      <c r="K183" s="1354"/>
      <c r="L183" s="1354"/>
      <c r="M183" s="1354"/>
      <c r="N183" s="135"/>
      <c r="O183" s="1354"/>
      <c r="P183" s="1354"/>
      <c r="Q183" s="1354"/>
      <c r="R183" s="1354"/>
      <c r="S183" s="1354"/>
      <c r="T183" s="1354"/>
      <c r="U183" s="1354"/>
      <c r="V183" s="1354"/>
      <c r="W183" s="1354"/>
      <c r="X183" s="1354"/>
      <c r="Y183" s="1354"/>
      <c r="Z183" s="1354"/>
    </row>
    <row r="184" spans="1:26" x14ac:dyDescent="0.35">
      <c r="A184" t="s">
        <v>6824</v>
      </c>
      <c r="B184" t="s">
        <v>6690</v>
      </c>
      <c r="C184" t="s">
        <v>6824</v>
      </c>
      <c r="D184" s="1353" t="s">
        <v>6989</v>
      </c>
      <c r="E184">
        <f>learners_sptve_garmenttech_f_g10</f>
        <v>20</v>
      </c>
      <c r="F184" t="b">
        <v>1</v>
      </c>
      <c r="H184" s="1354"/>
      <c r="I184" s="1354"/>
      <c r="J184" s="1354"/>
      <c r="K184" s="1354"/>
      <c r="L184" s="1354"/>
      <c r="M184" s="1354"/>
      <c r="N184" s="135"/>
      <c r="O184" s="1354"/>
      <c r="P184" s="1354"/>
      <c r="Q184" s="1354"/>
      <c r="R184" s="1354"/>
      <c r="S184" s="1354"/>
      <c r="T184" s="1354"/>
      <c r="U184" s="1354"/>
      <c r="V184" s="1354"/>
      <c r="W184" s="1354"/>
      <c r="X184" s="1354"/>
      <c r="Y184" s="1354"/>
      <c r="Z184" s="1354"/>
    </row>
    <row r="185" spans="1:26" x14ac:dyDescent="0.35">
      <c r="A185" t="s">
        <v>6692</v>
      </c>
      <c r="B185" t="s">
        <v>6690</v>
      </c>
      <c r="C185" t="s">
        <v>6692</v>
      </c>
      <c r="D185" s="1353" t="s">
        <v>6850</v>
      </c>
      <c r="E185">
        <f>learners_sptve_foodtech_m_g7</f>
        <v>0</v>
      </c>
      <c r="F185" t="b">
        <v>1</v>
      </c>
      <c r="H185" s="1354"/>
      <c r="I185" s="1354"/>
      <c r="J185" s="1354"/>
      <c r="K185" s="1354"/>
      <c r="L185" s="1354"/>
      <c r="M185" s="1354"/>
      <c r="N185" s="135"/>
      <c r="O185" s="1354"/>
      <c r="P185" s="1354"/>
      <c r="Q185" s="1354"/>
      <c r="R185" s="1354"/>
      <c r="S185" s="1354"/>
      <c r="T185" s="1354"/>
      <c r="U185" s="1354"/>
      <c r="V185" s="1354"/>
      <c r="W185" s="1354"/>
      <c r="X185" s="1354"/>
      <c r="Y185" s="1354"/>
      <c r="Z185" s="1354"/>
    </row>
    <row r="186" spans="1:26" x14ac:dyDescent="0.35">
      <c r="A186" t="s">
        <v>6711</v>
      </c>
      <c r="B186" t="s">
        <v>6690</v>
      </c>
      <c r="C186" t="s">
        <v>6711</v>
      </c>
      <c r="D186" s="1353" t="s">
        <v>6870</v>
      </c>
      <c r="E186">
        <f>learners_sptve_foodtech_f_g7</f>
        <v>0</v>
      </c>
      <c r="F186" t="b">
        <v>1</v>
      </c>
      <c r="H186" s="1354"/>
      <c r="I186" s="1354"/>
      <c r="J186" s="1354"/>
      <c r="K186" s="1354"/>
      <c r="L186" s="1354"/>
      <c r="M186" s="1354"/>
      <c r="N186" s="135"/>
      <c r="O186" s="1354"/>
      <c r="P186" s="1354"/>
      <c r="Q186" s="1354"/>
      <c r="R186" s="1354"/>
      <c r="S186" s="1354"/>
      <c r="T186" s="1354"/>
      <c r="U186" s="1354"/>
      <c r="V186" s="1354"/>
      <c r="W186" s="1354"/>
      <c r="X186" s="1354"/>
      <c r="Y186" s="1354"/>
      <c r="Z186" s="1354"/>
    </row>
    <row r="187" spans="1:26" x14ac:dyDescent="0.35">
      <c r="A187" t="s">
        <v>6730</v>
      </c>
      <c r="B187" t="s">
        <v>6690</v>
      </c>
      <c r="C187" t="s">
        <v>6730</v>
      </c>
      <c r="D187" s="1353" t="s">
        <v>6890</v>
      </c>
      <c r="E187">
        <f>learners_sptve_foodtech_m_g8</f>
        <v>0</v>
      </c>
      <c r="F187" t="b">
        <v>1</v>
      </c>
      <c r="H187" s="1354"/>
      <c r="I187" s="1354"/>
      <c r="J187" s="1354"/>
      <c r="K187" s="1354"/>
      <c r="L187" s="1354"/>
      <c r="M187" s="1354"/>
      <c r="N187" s="135"/>
      <c r="O187" s="1354"/>
      <c r="P187" s="1354"/>
      <c r="Q187" s="1354"/>
      <c r="R187" s="1354"/>
      <c r="S187" s="1354"/>
      <c r="T187" s="1354"/>
      <c r="U187" s="1354"/>
      <c r="V187" s="1354"/>
      <c r="W187" s="1354"/>
      <c r="X187" s="1354"/>
      <c r="Y187" s="1354"/>
      <c r="Z187" s="1354"/>
    </row>
    <row r="188" spans="1:26" x14ac:dyDescent="0.35">
      <c r="A188" t="s">
        <v>6749</v>
      </c>
      <c r="B188" t="s">
        <v>6690</v>
      </c>
      <c r="C188" t="s">
        <v>6749</v>
      </c>
      <c r="D188" s="1353" t="s">
        <v>6910</v>
      </c>
      <c r="E188">
        <f>learners_sptve_foodtech_f_g8</f>
        <v>0</v>
      </c>
      <c r="F188" t="b">
        <v>1</v>
      </c>
      <c r="H188" s="1354"/>
      <c r="I188" s="1354"/>
      <c r="J188" s="1354"/>
      <c r="K188" s="1354"/>
      <c r="L188" s="1354"/>
      <c r="M188" s="1354"/>
      <c r="N188" s="135"/>
      <c r="O188" s="1354"/>
      <c r="P188" s="1354"/>
      <c r="Q188" s="1354"/>
      <c r="R188" s="1354"/>
      <c r="S188" s="1354"/>
      <c r="T188" s="1354"/>
      <c r="U188" s="1354"/>
      <c r="V188" s="1354"/>
      <c r="W188" s="1354"/>
      <c r="X188" s="1354"/>
      <c r="Y188" s="1354"/>
      <c r="Z188" s="1354"/>
    </row>
    <row r="189" spans="1:26" x14ac:dyDescent="0.35">
      <c r="A189" t="s">
        <v>6768</v>
      </c>
      <c r="B189" t="s">
        <v>6690</v>
      </c>
      <c r="C189" t="s">
        <v>6768</v>
      </c>
      <c r="D189" s="1353" t="s">
        <v>6930</v>
      </c>
      <c r="E189">
        <f>learners_sptve_foodtech_m_g9</f>
        <v>0</v>
      </c>
      <c r="F189" t="b">
        <v>1</v>
      </c>
      <c r="H189" s="1354"/>
      <c r="I189" s="1354"/>
      <c r="J189" s="1354"/>
      <c r="K189" s="1354"/>
      <c r="L189" s="1354"/>
      <c r="M189" s="1354"/>
      <c r="N189" s="135"/>
      <c r="O189" s="1354"/>
      <c r="P189" s="1354"/>
      <c r="Q189" s="1354"/>
      <c r="R189" s="1354"/>
      <c r="S189" s="1354"/>
      <c r="T189" s="1354"/>
      <c r="U189" s="1354"/>
      <c r="V189" s="1354"/>
      <c r="W189" s="1354"/>
      <c r="X189" s="1354"/>
      <c r="Y189" s="1354"/>
      <c r="Z189" s="1354"/>
    </row>
    <row r="190" spans="1:26" x14ac:dyDescent="0.35">
      <c r="A190" t="s">
        <v>6787</v>
      </c>
      <c r="B190" t="s">
        <v>6690</v>
      </c>
      <c r="C190" t="s">
        <v>6787</v>
      </c>
      <c r="D190" s="1353" t="s">
        <v>6950</v>
      </c>
      <c r="E190">
        <f>learners_sptve_foodtech_f_g9</f>
        <v>0</v>
      </c>
      <c r="F190" t="b">
        <v>1</v>
      </c>
      <c r="H190" s="1354"/>
      <c r="I190" s="1354"/>
      <c r="J190" s="1354"/>
      <c r="K190" s="1354"/>
      <c r="L190" s="1354"/>
      <c r="M190" s="1354"/>
      <c r="N190" s="135"/>
      <c r="O190" s="1354"/>
      <c r="P190" s="1354"/>
      <c r="Q190" s="1354"/>
      <c r="R190" s="1354"/>
      <c r="S190" s="1354"/>
      <c r="T190" s="1354"/>
      <c r="U190" s="1354"/>
      <c r="V190" s="1354"/>
      <c r="W190" s="1354"/>
      <c r="X190" s="1354"/>
      <c r="Y190" s="1354"/>
      <c r="Z190" s="1354"/>
    </row>
    <row r="191" spans="1:26" x14ac:dyDescent="0.35">
      <c r="A191" t="s">
        <v>6806</v>
      </c>
      <c r="B191" t="s">
        <v>6690</v>
      </c>
      <c r="C191" t="s">
        <v>6806</v>
      </c>
      <c r="D191" s="1353" t="s">
        <v>6970</v>
      </c>
      <c r="E191">
        <f>learners_sptve_foodtech_m_g10</f>
        <v>0</v>
      </c>
      <c r="F191" t="b">
        <v>1</v>
      </c>
      <c r="H191" s="1354"/>
      <c r="I191" s="1354"/>
      <c r="J191" s="1354"/>
      <c r="K191" s="1354"/>
      <c r="L191" s="1354"/>
      <c r="M191" s="1354"/>
      <c r="N191" s="135"/>
      <c r="O191" s="1354"/>
      <c r="P191" s="1354"/>
      <c r="Q191" s="1354"/>
      <c r="R191" s="1354"/>
      <c r="S191" s="1354"/>
      <c r="T191" s="1354"/>
      <c r="U191" s="1354"/>
      <c r="V191" s="1354"/>
      <c r="W191" s="1354"/>
      <c r="X191" s="1354"/>
      <c r="Y191" s="1354"/>
      <c r="Z191" s="1354"/>
    </row>
    <row r="192" spans="1:26" x14ac:dyDescent="0.35">
      <c r="A192" t="s">
        <v>6825</v>
      </c>
      <c r="B192" t="s">
        <v>6690</v>
      </c>
      <c r="C192" t="s">
        <v>6825</v>
      </c>
      <c r="D192" s="1353" t="s">
        <v>6990</v>
      </c>
      <c r="E192">
        <f>learners_sptve_foodtech_f_g10</f>
        <v>0</v>
      </c>
      <c r="F192" t="b">
        <v>1</v>
      </c>
      <c r="H192" s="1354"/>
      <c r="I192" s="1354"/>
      <c r="J192" s="1354"/>
      <c r="K192" s="1354"/>
      <c r="L192" s="1354"/>
      <c r="M192" s="1354"/>
      <c r="N192" s="135"/>
      <c r="O192" s="1354"/>
      <c r="P192" s="1354"/>
      <c r="Q192" s="1354"/>
      <c r="R192" s="1354"/>
      <c r="S192" s="1354"/>
      <c r="T192" s="1354"/>
      <c r="U192" s="1354"/>
      <c r="V192" s="1354"/>
      <c r="W192" s="1354"/>
      <c r="X192" s="1354"/>
      <c r="Y192" s="1354"/>
      <c r="Z192" s="1354"/>
    </row>
    <row r="193" spans="1:26" x14ac:dyDescent="0.35">
      <c r="A193" t="s">
        <v>6693</v>
      </c>
      <c r="B193" t="s">
        <v>6690</v>
      </c>
      <c r="C193" t="s">
        <v>6693</v>
      </c>
      <c r="D193" s="1353" t="s">
        <v>6851</v>
      </c>
      <c r="E193">
        <f>learners_sptve_aircontech_m_g7</f>
        <v>0</v>
      </c>
      <c r="F193" t="b">
        <v>1</v>
      </c>
      <c r="H193" s="1354"/>
      <c r="I193" s="1354"/>
      <c r="J193" s="1354"/>
      <c r="K193" s="1354"/>
      <c r="L193" s="1354"/>
      <c r="M193" s="1354"/>
      <c r="N193" s="135"/>
      <c r="O193" s="1354"/>
      <c r="P193" s="1354"/>
      <c r="Q193" s="1354"/>
      <c r="R193" s="1354"/>
      <c r="S193" s="1354"/>
      <c r="T193" s="1354"/>
      <c r="U193" s="1354"/>
      <c r="V193" s="1354"/>
      <c r="W193" s="1354"/>
      <c r="X193" s="1354"/>
      <c r="Y193" s="1354"/>
      <c r="Z193" s="1354"/>
    </row>
    <row r="194" spans="1:26" x14ac:dyDescent="0.35">
      <c r="A194" t="s">
        <v>6712</v>
      </c>
      <c r="B194" t="s">
        <v>6690</v>
      </c>
      <c r="C194" t="s">
        <v>6712</v>
      </c>
      <c r="D194" s="1353" t="s">
        <v>6871</v>
      </c>
      <c r="E194">
        <f>learners_sptve_aircontech_f_g7</f>
        <v>0</v>
      </c>
      <c r="F194" t="b">
        <v>1</v>
      </c>
      <c r="H194" s="1354"/>
      <c r="I194" s="1354"/>
      <c r="J194" s="1354"/>
      <c r="K194" s="1354"/>
      <c r="L194" s="1354"/>
      <c r="M194" s="1354"/>
      <c r="N194" s="135"/>
      <c r="O194" s="1354"/>
      <c r="P194" s="1354"/>
      <c r="Q194" s="1354"/>
      <c r="R194" s="1354"/>
      <c r="S194" s="1354"/>
      <c r="T194" s="1354"/>
      <c r="U194" s="1354"/>
      <c r="V194" s="1354"/>
      <c r="W194" s="1354"/>
      <c r="X194" s="1354"/>
      <c r="Y194" s="1354"/>
      <c r="Z194" s="1354"/>
    </row>
    <row r="195" spans="1:26" x14ac:dyDescent="0.35">
      <c r="A195" t="s">
        <v>6731</v>
      </c>
      <c r="B195" t="s">
        <v>6690</v>
      </c>
      <c r="C195" t="s">
        <v>6731</v>
      </c>
      <c r="D195" s="1353" t="s">
        <v>6891</v>
      </c>
      <c r="E195">
        <f>learners_sptve_aircontech_m_g8</f>
        <v>0</v>
      </c>
      <c r="F195" t="b">
        <v>1</v>
      </c>
      <c r="H195" s="1354"/>
      <c r="I195" s="1354"/>
      <c r="J195" s="1354"/>
      <c r="K195" s="1354"/>
      <c r="L195" s="1354"/>
      <c r="M195" s="1354"/>
      <c r="N195" s="135"/>
      <c r="O195" s="1354"/>
      <c r="P195" s="1354"/>
      <c r="Q195" s="1354"/>
      <c r="R195" s="1354"/>
      <c r="S195" s="1354"/>
      <c r="T195" s="1354"/>
      <c r="U195" s="1354"/>
      <c r="V195" s="1354"/>
      <c r="W195" s="1354"/>
      <c r="X195" s="1354"/>
      <c r="Y195" s="1354"/>
      <c r="Z195" s="1354"/>
    </row>
    <row r="196" spans="1:26" x14ac:dyDescent="0.35">
      <c r="A196" t="s">
        <v>6750</v>
      </c>
      <c r="B196" t="s">
        <v>6690</v>
      </c>
      <c r="C196" t="s">
        <v>6750</v>
      </c>
      <c r="D196" s="1353" t="s">
        <v>6911</v>
      </c>
      <c r="E196">
        <f>learners_sptve_aircontech_f_g8</f>
        <v>0</v>
      </c>
      <c r="F196" t="b">
        <v>1</v>
      </c>
      <c r="H196" s="1354"/>
      <c r="I196" s="1354"/>
      <c r="J196" s="1354"/>
      <c r="K196" s="1354"/>
      <c r="L196" s="1354"/>
      <c r="M196" s="1354"/>
      <c r="N196" s="135"/>
      <c r="O196" s="1354"/>
      <c r="P196" s="1354"/>
      <c r="Q196" s="1354"/>
      <c r="R196" s="1354"/>
      <c r="S196" s="1354"/>
      <c r="T196" s="1354"/>
      <c r="U196" s="1354"/>
      <c r="V196" s="1354"/>
      <c r="W196" s="1354"/>
      <c r="X196" s="1354"/>
      <c r="Y196" s="1354"/>
      <c r="Z196" s="1354"/>
    </row>
    <row r="197" spans="1:26" x14ac:dyDescent="0.35">
      <c r="A197" t="s">
        <v>6769</v>
      </c>
      <c r="B197" t="s">
        <v>6690</v>
      </c>
      <c r="C197" t="s">
        <v>6769</v>
      </c>
      <c r="D197" s="1353" t="s">
        <v>6931</v>
      </c>
      <c r="E197">
        <f>learners_sptve_aircontech_m_g9</f>
        <v>0</v>
      </c>
      <c r="F197" t="b">
        <v>1</v>
      </c>
      <c r="H197" s="1354"/>
      <c r="I197" s="1354"/>
      <c r="J197" s="1354"/>
      <c r="K197" s="1354"/>
      <c r="L197" s="1354"/>
      <c r="M197" s="1354"/>
      <c r="N197" s="135"/>
      <c r="O197" s="1354"/>
      <c r="P197" s="1354"/>
      <c r="Q197" s="1354"/>
      <c r="R197" s="1354"/>
      <c r="S197" s="1354"/>
      <c r="T197" s="1354"/>
      <c r="U197" s="1354"/>
      <c r="V197" s="1354"/>
      <c r="W197" s="1354"/>
      <c r="X197" s="1354"/>
      <c r="Y197" s="1354"/>
      <c r="Z197" s="1354"/>
    </row>
    <row r="198" spans="1:26" x14ac:dyDescent="0.35">
      <c r="A198" t="s">
        <v>6788</v>
      </c>
      <c r="B198" t="s">
        <v>6690</v>
      </c>
      <c r="C198" t="s">
        <v>6788</v>
      </c>
      <c r="D198" s="1353" t="s">
        <v>6951</v>
      </c>
      <c r="E198">
        <f>learners_sptve_aircontech_f_g9</f>
        <v>0</v>
      </c>
      <c r="F198" t="b">
        <v>1</v>
      </c>
      <c r="H198" s="1354"/>
      <c r="I198" s="1354"/>
      <c r="J198" s="1354"/>
      <c r="K198" s="1354"/>
      <c r="L198" s="1354"/>
      <c r="M198" s="1354"/>
      <c r="N198" s="135"/>
      <c r="O198" s="1354"/>
      <c r="P198" s="1354"/>
      <c r="Q198" s="1354"/>
      <c r="R198" s="1354"/>
      <c r="S198" s="1354"/>
      <c r="T198" s="1354"/>
      <c r="U198" s="1354"/>
      <c r="V198" s="1354"/>
      <c r="W198" s="1354"/>
      <c r="X198" s="1354"/>
      <c r="Y198" s="1354"/>
      <c r="Z198" s="1354"/>
    </row>
    <row r="199" spans="1:26" x14ac:dyDescent="0.35">
      <c r="A199" t="s">
        <v>6807</v>
      </c>
      <c r="B199" t="s">
        <v>6690</v>
      </c>
      <c r="C199" t="s">
        <v>6807</v>
      </c>
      <c r="D199" s="1353" t="s">
        <v>6971</v>
      </c>
      <c r="E199">
        <f>learners_sptve_aircontech_m_g10</f>
        <v>0</v>
      </c>
      <c r="F199" t="b">
        <v>1</v>
      </c>
      <c r="H199" s="1354"/>
      <c r="I199" s="1354"/>
      <c r="J199" s="1354"/>
      <c r="K199" s="1354"/>
      <c r="L199" s="1354"/>
      <c r="M199" s="1354"/>
      <c r="N199" s="135"/>
      <c r="O199" s="1354"/>
      <c r="P199" s="1354"/>
      <c r="Q199" s="1354"/>
      <c r="R199" s="1354"/>
      <c r="S199" s="1354"/>
      <c r="T199" s="1354"/>
      <c r="U199" s="1354"/>
      <c r="V199" s="1354"/>
      <c r="W199" s="1354"/>
      <c r="X199" s="1354"/>
      <c r="Y199" s="1354"/>
      <c r="Z199" s="1354"/>
    </row>
    <row r="200" spans="1:26" x14ac:dyDescent="0.35">
      <c r="A200" t="s">
        <v>6826</v>
      </c>
      <c r="B200" t="s">
        <v>6690</v>
      </c>
      <c r="C200" t="s">
        <v>6826</v>
      </c>
      <c r="D200" s="1353" t="s">
        <v>6991</v>
      </c>
      <c r="E200">
        <f>learners_sptve_aircontech_f_g10</f>
        <v>0</v>
      </c>
      <c r="F200" t="b">
        <v>1</v>
      </c>
      <c r="H200" s="1354"/>
      <c r="I200" s="1354"/>
      <c r="J200" s="1354"/>
      <c r="K200" s="1354"/>
      <c r="L200" s="1354"/>
      <c r="M200" s="1354"/>
      <c r="N200" s="135"/>
      <c r="O200" s="1354"/>
      <c r="P200" s="1354"/>
      <c r="Q200" s="1354"/>
      <c r="R200" s="1354"/>
      <c r="S200" s="1354"/>
      <c r="T200" s="1354"/>
      <c r="U200" s="1354"/>
      <c r="V200" s="1354"/>
      <c r="W200" s="1354"/>
      <c r="X200" s="1354"/>
      <c r="Y200" s="1354"/>
      <c r="Z200" s="1354"/>
    </row>
    <row r="201" spans="1:26" x14ac:dyDescent="0.35">
      <c r="A201" t="s">
        <v>6694</v>
      </c>
      <c r="B201" t="s">
        <v>6690</v>
      </c>
      <c r="C201" t="s">
        <v>6694</v>
      </c>
      <c r="D201" s="1353" t="s">
        <v>6852</v>
      </c>
      <c r="E201">
        <f>learners_sptve_comptech_m_g7</f>
        <v>0</v>
      </c>
      <c r="F201" t="b">
        <v>1</v>
      </c>
      <c r="H201" s="1354"/>
      <c r="I201" s="1354"/>
      <c r="J201" s="1354"/>
      <c r="K201" s="1354"/>
      <c r="L201" s="1354"/>
      <c r="M201" s="1354"/>
      <c r="N201" s="135"/>
      <c r="O201" s="1354"/>
      <c r="P201" s="1354"/>
      <c r="Q201" s="1354"/>
      <c r="R201" s="1354"/>
      <c r="S201" s="1354"/>
      <c r="T201" s="1354"/>
      <c r="U201" s="1354"/>
      <c r="V201" s="1354"/>
      <c r="W201" s="1354"/>
      <c r="X201" s="1354"/>
      <c r="Y201" s="1354"/>
      <c r="Z201" s="1354"/>
    </row>
    <row r="202" spans="1:26" x14ac:dyDescent="0.35">
      <c r="A202" t="s">
        <v>6713</v>
      </c>
      <c r="B202" t="s">
        <v>6690</v>
      </c>
      <c r="C202" t="s">
        <v>6713</v>
      </c>
      <c r="D202" s="1353" t="s">
        <v>6872</v>
      </c>
      <c r="E202">
        <f>learners_sptve_comptech_f_g7</f>
        <v>0</v>
      </c>
      <c r="F202" t="b">
        <v>1</v>
      </c>
      <c r="H202" s="1354"/>
      <c r="I202" s="1354"/>
      <c r="J202" s="1354"/>
      <c r="K202" s="1354"/>
      <c r="L202" s="1354"/>
      <c r="M202" s="1354"/>
      <c r="N202" s="135"/>
      <c r="O202" s="1354"/>
      <c r="P202" s="1354"/>
      <c r="Q202" s="1354"/>
      <c r="R202" s="1354"/>
      <c r="S202" s="1354"/>
      <c r="T202" s="1354"/>
      <c r="U202" s="1354"/>
      <c r="V202" s="1354"/>
      <c r="W202" s="1354"/>
      <c r="X202" s="1354"/>
      <c r="Y202" s="1354"/>
      <c r="Z202" s="1354"/>
    </row>
    <row r="203" spans="1:26" x14ac:dyDescent="0.35">
      <c r="A203" t="s">
        <v>6732</v>
      </c>
      <c r="B203" t="s">
        <v>6690</v>
      </c>
      <c r="C203" t="s">
        <v>6732</v>
      </c>
      <c r="D203" s="1353" t="s">
        <v>6892</v>
      </c>
      <c r="E203">
        <f>learners_sptve_comptech_m_g8</f>
        <v>0</v>
      </c>
      <c r="F203" t="b">
        <v>1</v>
      </c>
      <c r="H203" s="1354"/>
      <c r="I203" s="1354"/>
      <c r="J203" s="1354"/>
      <c r="K203" s="1354"/>
      <c r="L203" s="1354"/>
      <c r="M203" s="1354"/>
      <c r="N203" s="135"/>
      <c r="O203" s="1354"/>
      <c r="P203" s="1354"/>
      <c r="Q203" s="1354"/>
      <c r="R203" s="1354"/>
      <c r="S203" s="1354"/>
      <c r="T203" s="1354"/>
      <c r="U203" s="1354"/>
      <c r="V203" s="1354"/>
      <c r="W203" s="1354"/>
      <c r="X203" s="1354"/>
      <c r="Y203" s="1354"/>
      <c r="Z203" s="1354"/>
    </row>
    <row r="204" spans="1:26" x14ac:dyDescent="0.35">
      <c r="A204" t="s">
        <v>6751</v>
      </c>
      <c r="B204" t="s">
        <v>6690</v>
      </c>
      <c r="C204" t="s">
        <v>6751</v>
      </c>
      <c r="D204" s="1353" t="s">
        <v>6912</v>
      </c>
      <c r="E204">
        <f>learners_sptve_comptech_f_g8</f>
        <v>0</v>
      </c>
      <c r="F204" t="b">
        <v>1</v>
      </c>
      <c r="H204" s="1354"/>
      <c r="I204" s="1354"/>
      <c r="J204" s="1354"/>
      <c r="K204" s="1354"/>
      <c r="L204" s="1354"/>
      <c r="M204" s="1354"/>
      <c r="N204" s="135"/>
      <c r="O204" s="1354"/>
      <c r="P204" s="1354"/>
      <c r="Q204" s="1354"/>
      <c r="R204" s="1354"/>
      <c r="S204" s="1354"/>
      <c r="T204" s="1354"/>
      <c r="U204" s="1354"/>
      <c r="V204" s="1354"/>
      <c r="W204" s="1354"/>
      <c r="X204" s="1354"/>
      <c r="Y204" s="1354"/>
      <c r="Z204" s="1354"/>
    </row>
    <row r="205" spans="1:26" x14ac:dyDescent="0.35">
      <c r="A205" t="s">
        <v>6770</v>
      </c>
      <c r="B205" t="s">
        <v>6690</v>
      </c>
      <c r="C205" t="s">
        <v>6770</v>
      </c>
      <c r="D205" s="1353" t="s">
        <v>6932</v>
      </c>
      <c r="E205">
        <f>learners_sptve_comptech_m_g9</f>
        <v>0</v>
      </c>
      <c r="F205" t="b">
        <v>1</v>
      </c>
      <c r="H205" s="1354"/>
      <c r="I205" s="1354"/>
      <c r="J205" s="1354"/>
      <c r="K205" s="1354"/>
      <c r="L205" s="1354"/>
      <c r="M205" s="1354"/>
      <c r="N205" s="135"/>
      <c r="O205" s="1354"/>
      <c r="P205" s="1354"/>
      <c r="Q205" s="1354"/>
      <c r="R205" s="1354"/>
      <c r="S205" s="1354"/>
      <c r="T205" s="1354"/>
      <c r="U205" s="1354"/>
      <c r="V205" s="1354"/>
      <c r="W205" s="1354"/>
      <c r="X205" s="1354"/>
      <c r="Y205" s="1354"/>
      <c r="Z205" s="1354"/>
    </row>
    <row r="206" spans="1:26" x14ac:dyDescent="0.35">
      <c r="A206" t="s">
        <v>6789</v>
      </c>
      <c r="B206" t="s">
        <v>6690</v>
      </c>
      <c r="C206" t="s">
        <v>6789</v>
      </c>
      <c r="D206" s="1353" t="s">
        <v>6952</v>
      </c>
      <c r="E206">
        <f>learners_sptve_comptech_f_g9</f>
        <v>0</v>
      </c>
      <c r="F206" t="b">
        <v>1</v>
      </c>
      <c r="H206" s="1354"/>
      <c r="I206" s="1354"/>
      <c r="J206" s="1354"/>
      <c r="K206" s="1354"/>
      <c r="L206" s="1354"/>
      <c r="M206" s="1354"/>
      <c r="N206" s="135"/>
      <c r="O206" s="1354"/>
      <c r="P206" s="1354"/>
      <c r="Q206" s="1354"/>
      <c r="R206" s="1354"/>
      <c r="S206" s="1354"/>
      <c r="T206" s="1354"/>
      <c r="U206" s="1354"/>
      <c r="V206" s="1354"/>
      <c r="W206" s="1354"/>
      <c r="X206" s="1354"/>
      <c r="Y206" s="1354"/>
      <c r="Z206" s="1354"/>
    </row>
    <row r="207" spans="1:26" x14ac:dyDescent="0.35">
      <c r="A207" t="s">
        <v>6808</v>
      </c>
      <c r="B207" t="s">
        <v>6690</v>
      </c>
      <c r="C207" t="s">
        <v>6808</v>
      </c>
      <c r="D207" s="1353" t="s">
        <v>6972</v>
      </c>
      <c r="E207">
        <f>learners_sptve_comptech_m_g10</f>
        <v>0</v>
      </c>
      <c r="F207" t="b">
        <v>1</v>
      </c>
      <c r="H207" s="1354"/>
      <c r="I207" s="1354"/>
      <c r="J207" s="1354"/>
      <c r="K207" s="1354"/>
      <c r="L207" s="1354"/>
      <c r="M207" s="1354"/>
      <c r="N207" s="135"/>
      <c r="O207" s="1354"/>
      <c r="P207" s="1354"/>
      <c r="Q207" s="1354"/>
      <c r="R207" s="1354"/>
      <c r="S207" s="1354"/>
      <c r="T207" s="1354"/>
      <c r="U207" s="1354"/>
      <c r="V207" s="1354"/>
      <c r="W207" s="1354"/>
      <c r="X207" s="1354"/>
      <c r="Y207" s="1354"/>
      <c r="Z207" s="1354"/>
    </row>
    <row r="208" spans="1:26" x14ac:dyDescent="0.35">
      <c r="A208" t="s">
        <v>6827</v>
      </c>
      <c r="B208" t="s">
        <v>6690</v>
      </c>
      <c r="C208" t="s">
        <v>6827</v>
      </c>
      <c r="D208" s="1353" t="s">
        <v>6992</v>
      </c>
      <c r="E208">
        <f>learners_sptve_comptech_f_g10</f>
        <v>0</v>
      </c>
      <c r="F208" t="b">
        <v>1</v>
      </c>
      <c r="H208" s="1354"/>
      <c r="I208" s="1354"/>
      <c r="J208" s="1354"/>
      <c r="K208" s="1354"/>
      <c r="L208" s="1354"/>
      <c r="M208" s="1354"/>
      <c r="N208" s="135"/>
      <c r="O208" s="1354"/>
      <c r="P208" s="1354"/>
      <c r="Q208" s="1354"/>
      <c r="R208" s="1354"/>
      <c r="S208" s="1354"/>
      <c r="T208" s="1354"/>
      <c r="U208" s="1354"/>
      <c r="V208" s="1354"/>
      <c r="W208" s="1354"/>
      <c r="X208" s="1354"/>
      <c r="Y208" s="1354"/>
      <c r="Z208" s="1354"/>
    </row>
    <row r="209" spans="1:26" x14ac:dyDescent="0.35">
      <c r="A209" t="s">
        <v>9176</v>
      </c>
      <c r="B209" t="s">
        <v>6690</v>
      </c>
      <c r="C209" t="s">
        <v>9176</v>
      </c>
      <c r="D209" s="1353" t="s">
        <v>6853</v>
      </c>
      <c r="E209">
        <f>learners_sptve_machtech_m_g7</f>
        <v>0</v>
      </c>
      <c r="F209" t="b">
        <v>1</v>
      </c>
      <c r="H209" s="1354"/>
      <c r="I209" s="1354"/>
      <c r="J209" s="1354"/>
      <c r="K209" s="1354"/>
      <c r="L209" s="1354"/>
      <c r="M209" s="1354"/>
      <c r="N209" s="135"/>
      <c r="O209" s="1354"/>
      <c r="P209" s="1354"/>
      <c r="Q209" s="1354"/>
      <c r="R209" s="1354"/>
      <c r="S209" s="1354"/>
      <c r="T209" s="1354"/>
      <c r="U209" s="1354"/>
      <c r="V209" s="1354"/>
      <c r="W209" s="1354"/>
      <c r="X209" s="1354"/>
      <c r="Y209" s="1354"/>
      <c r="Z209" s="1354"/>
    </row>
    <row r="210" spans="1:26" x14ac:dyDescent="0.35">
      <c r="A210" t="s">
        <v>9177</v>
      </c>
      <c r="B210" t="s">
        <v>6690</v>
      </c>
      <c r="C210" t="s">
        <v>9177</v>
      </c>
      <c r="D210" s="1353" t="s">
        <v>6873</v>
      </c>
      <c r="E210">
        <f>learners_sptve_machtech_f_g7</f>
        <v>0</v>
      </c>
      <c r="F210" t="b">
        <v>1</v>
      </c>
      <c r="H210" s="1354"/>
      <c r="I210" s="1354"/>
      <c r="J210" s="1354"/>
      <c r="K210" s="1354"/>
      <c r="L210" s="1354"/>
      <c r="M210" s="1354"/>
      <c r="N210" s="135"/>
      <c r="O210" s="1354"/>
      <c r="P210" s="1354"/>
      <c r="Q210" s="1354"/>
      <c r="R210" s="1354"/>
      <c r="S210" s="1354"/>
      <c r="T210" s="1354"/>
      <c r="U210" s="1354"/>
      <c r="V210" s="1354"/>
      <c r="W210" s="1354"/>
      <c r="X210" s="1354"/>
      <c r="Y210" s="1354"/>
      <c r="Z210" s="1354"/>
    </row>
    <row r="211" spans="1:26" x14ac:dyDescent="0.35">
      <c r="A211" t="s">
        <v>9178</v>
      </c>
      <c r="B211" t="s">
        <v>6690</v>
      </c>
      <c r="C211" t="s">
        <v>9178</v>
      </c>
      <c r="D211" s="1353" t="s">
        <v>6893</v>
      </c>
      <c r="E211">
        <f>learners_sptve_machtech_m_g8</f>
        <v>0</v>
      </c>
      <c r="F211" t="b">
        <v>1</v>
      </c>
      <c r="H211" s="1354"/>
      <c r="I211" s="1354"/>
      <c r="J211" s="1354"/>
      <c r="K211" s="1354"/>
      <c r="L211" s="1354"/>
      <c r="M211" s="1354"/>
      <c r="N211" s="135"/>
      <c r="O211" s="1354"/>
      <c r="P211" s="1354"/>
      <c r="Q211" s="1354"/>
      <c r="R211" s="1354"/>
      <c r="S211" s="1354"/>
      <c r="T211" s="1354"/>
      <c r="U211" s="1354"/>
      <c r="V211" s="1354"/>
      <c r="W211" s="1354"/>
      <c r="X211" s="1354"/>
      <c r="Y211" s="1354"/>
      <c r="Z211" s="1354"/>
    </row>
    <row r="212" spans="1:26" x14ac:dyDescent="0.35">
      <c r="A212" t="s">
        <v>9179</v>
      </c>
      <c r="B212" t="s">
        <v>6690</v>
      </c>
      <c r="C212" t="s">
        <v>9179</v>
      </c>
      <c r="D212" s="1353" t="s">
        <v>6913</v>
      </c>
      <c r="E212">
        <f>learners_sptve_machtech_f_g8</f>
        <v>0</v>
      </c>
      <c r="F212" t="b">
        <v>1</v>
      </c>
      <c r="H212" s="1354"/>
      <c r="I212" s="1354"/>
      <c r="J212" s="1354"/>
      <c r="K212" s="1354"/>
      <c r="L212" s="1354"/>
      <c r="M212" s="1354"/>
      <c r="N212" s="135"/>
      <c r="O212" s="1354"/>
      <c r="P212" s="1354"/>
      <c r="Q212" s="1354"/>
      <c r="R212" s="1354"/>
      <c r="S212" s="1354"/>
      <c r="T212" s="1354"/>
      <c r="U212" s="1354"/>
      <c r="V212" s="1354"/>
      <c r="W212" s="1354"/>
      <c r="X212" s="1354"/>
      <c r="Y212" s="1354"/>
      <c r="Z212" s="1354"/>
    </row>
    <row r="213" spans="1:26" x14ac:dyDescent="0.35">
      <c r="A213" t="s">
        <v>9180</v>
      </c>
      <c r="B213" t="s">
        <v>6690</v>
      </c>
      <c r="C213" t="s">
        <v>9180</v>
      </c>
      <c r="D213" s="1353" t="s">
        <v>6933</v>
      </c>
      <c r="E213">
        <f>learners_sptve_machtech_m_g9</f>
        <v>0</v>
      </c>
      <c r="F213" t="b">
        <v>1</v>
      </c>
      <c r="H213" s="1354"/>
      <c r="I213" s="1354"/>
      <c r="J213" s="1354"/>
      <c r="K213" s="1354"/>
      <c r="L213" s="1354"/>
      <c r="M213" s="1354"/>
      <c r="N213" s="135"/>
      <c r="O213" s="1354"/>
      <c r="P213" s="1354"/>
      <c r="Q213" s="1354"/>
      <c r="R213" s="1354"/>
      <c r="S213" s="1354"/>
      <c r="T213" s="1354"/>
      <c r="U213" s="1354"/>
      <c r="V213" s="1354"/>
      <c r="W213" s="1354"/>
      <c r="X213" s="1354"/>
      <c r="Y213" s="1354"/>
      <c r="Z213" s="1354"/>
    </row>
    <row r="214" spans="1:26" x14ac:dyDescent="0.35">
      <c r="A214" t="s">
        <v>9181</v>
      </c>
      <c r="B214" t="s">
        <v>6690</v>
      </c>
      <c r="C214" t="s">
        <v>9181</v>
      </c>
      <c r="D214" s="1353" t="s">
        <v>6953</v>
      </c>
      <c r="E214">
        <f>learners_sptve_machtech_f_g9</f>
        <v>0</v>
      </c>
      <c r="F214" t="b">
        <v>1</v>
      </c>
      <c r="H214" s="1354"/>
      <c r="I214" s="1354"/>
      <c r="J214" s="1354"/>
      <c r="K214" s="1354"/>
      <c r="L214" s="1354"/>
      <c r="M214" s="1354"/>
      <c r="N214" s="135"/>
      <c r="O214" s="1354"/>
      <c r="P214" s="1354"/>
      <c r="Q214" s="1354"/>
      <c r="R214" s="1354"/>
      <c r="S214" s="1354"/>
      <c r="T214" s="1354"/>
      <c r="U214" s="1354"/>
      <c r="V214" s="1354"/>
      <c r="W214" s="1354"/>
      <c r="X214" s="1354"/>
      <c r="Y214" s="1354"/>
      <c r="Z214" s="1354"/>
    </row>
    <row r="215" spans="1:26" x14ac:dyDescent="0.35">
      <c r="A215" t="s">
        <v>9182</v>
      </c>
      <c r="B215" t="s">
        <v>6690</v>
      </c>
      <c r="C215" t="s">
        <v>9182</v>
      </c>
      <c r="D215" s="1353" t="s">
        <v>6973</v>
      </c>
      <c r="E215">
        <f>learners_sptve_machtech_m_g10</f>
        <v>0</v>
      </c>
      <c r="F215" t="b">
        <v>1</v>
      </c>
      <c r="H215" s="1354"/>
      <c r="I215" s="1354"/>
      <c r="J215" s="1354"/>
      <c r="K215" s="1354"/>
      <c r="L215" s="1354"/>
      <c r="M215" s="1354"/>
      <c r="N215" s="135"/>
      <c r="O215" s="1354"/>
      <c r="P215" s="1354"/>
      <c r="Q215" s="1354"/>
      <c r="R215" s="1354"/>
      <c r="S215" s="1354"/>
      <c r="T215" s="1354"/>
      <c r="U215" s="1354"/>
      <c r="V215" s="1354"/>
      <c r="W215" s="1354"/>
      <c r="X215" s="1354"/>
      <c r="Y215" s="1354"/>
      <c r="Z215" s="1354"/>
    </row>
    <row r="216" spans="1:26" x14ac:dyDescent="0.35">
      <c r="A216" t="s">
        <v>9183</v>
      </c>
      <c r="B216" t="s">
        <v>6690</v>
      </c>
      <c r="C216" t="s">
        <v>9183</v>
      </c>
      <c r="D216" s="1353" t="s">
        <v>6993</v>
      </c>
      <c r="E216">
        <f>learners_sptve_machtech_f_g10</f>
        <v>0</v>
      </c>
      <c r="F216" t="b">
        <v>1</v>
      </c>
      <c r="H216" s="1354"/>
      <c r="I216" s="1354"/>
      <c r="J216" s="1354"/>
      <c r="K216" s="1354"/>
      <c r="L216" s="1354"/>
      <c r="M216" s="1354"/>
      <c r="N216" s="135"/>
      <c r="O216" s="1354"/>
      <c r="P216" s="1354"/>
      <c r="Q216" s="1354"/>
      <c r="R216" s="1354"/>
      <c r="S216" s="1354"/>
      <c r="T216" s="1354"/>
      <c r="U216" s="1354"/>
      <c r="V216" s="1354"/>
      <c r="W216" s="1354"/>
      <c r="X216" s="1354"/>
      <c r="Y216" s="1354"/>
      <c r="Z216" s="1354"/>
    </row>
    <row r="217" spans="1:26" x14ac:dyDescent="0.35">
      <c r="A217" t="s">
        <v>6695</v>
      </c>
      <c r="B217" t="s">
        <v>6690</v>
      </c>
      <c r="C217" t="s">
        <v>6695</v>
      </c>
      <c r="D217" s="1353" t="s">
        <v>6854</v>
      </c>
      <c r="E217">
        <f>learners_sptve_bldgconstech_m_g7</f>
        <v>60</v>
      </c>
      <c r="F217" t="b">
        <v>1</v>
      </c>
      <c r="H217" s="1354"/>
      <c r="I217" s="1354"/>
      <c r="J217" s="1354"/>
      <c r="K217" s="1354"/>
      <c r="L217" s="1354"/>
      <c r="M217" s="1354"/>
      <c r="N217" s="135"/>
      <c r="O217" s="1354"/>
      <c r="P217" s="1354"/>
      <c r="Q217" s="1354"/>
      <c r="R217" s="1354"/>
      <c r="S217" s="1354"/>
      <c r="T217" s="1354"/>
      <c r="U217" s="1354"/>
      <c r="V217" s="1354"/>
      <c r="W217" s="1354"/>
      <c r="X217" s="1354"/>
      <c r="Y217" s="1354"/>
      <c r="Z217" s="1354"/>
    </row>
    <row r="218" spans="1:26" x14ac:dyDescent="0.35">
      <c r="A218" t="s">
        <v>6714</v>
      </c>
      <c r="B218" t="s">
        <v>6690</v>
      </c>
      <c r="C218" t="s">
        <v>6714</v>
      </c>
      <c r="D218" s="1353" t="s">
        <v>6874</v>
      </c>
      <c r="E218">
        <f>learners_sptve_bldgconstech_f_g7</f>
        <v>44</v>
      </c>
      <c r="F218" t="b">
        <v>1</v>
      </c>
      <c r="H218" s="1354"/>
      <c r="I218" s="1354"/>
      <c r="J218" s="1354"/>
      <c r="K218" s="1354"/>
      <c r="L218" s="1354"/>
      <c r="M218" s="1354"/>
      <c r="N218" s="135"/>
      <c r="O218" s="1354"/>
      <c r="P218" s="1354"/>
      <c r="Q218" s="1354"/>
      <c r="R218" s="1354"/>
      <c r="S218" s="1354"/>
      <c r="T218" s="1354"/>
      <c r="U218" s="1354"/>
      <c r="V218" s="1354"/>
      <c r="W218" s="1354"/>
      <c r="X218" s="1354"/>
      <c r="Y218" s="1354"/>
      <c r="Z218" s="1354"/>
    </row>
    <row r="219" spans="1:26" x14ac:dyDescent="0.35">
      <c r="A219" t="s">
        <v>6733</v>
      </c>
      <c r="B219" t="s">
        <v>6690</v>
      </c>
      <c r="C219" t="s">
        <v>6733</v>
      </c>
      <c r="D219" s="1353" t="s">
        <v>6894</v>
      </c>
      <c r="E219">
        <f>learners_sptve_bldgconstech_m_g8</f>
        <v>17</v>
      </c>
      <c r="F219" t="b">
        <v>1</v>
      </c>
      <c r="H219" s="1354"/>
      <c r="I219" s="1354"/>
      <c r="J219" s="1354"/>
      <c r="K219" s="1354"/>
      <c r="L219" s="1354"/>
      <c r="M219" s="1354"/>
      <c r="N219" s="135"/>
      <c r="O219" s="1354"/>
      <c r="P219" s="1354"/>
      <c r="Q219" s="1354"/>
      <c r="R219" s="1354"/>
      <c r="S219" s="1354"/>
      <c r="T219" s="1354"/>
      <c r="U219" s="1354"/>
      <c r="V219" s="1354"/>
      <c r="W219" s="1354"/>
      <c r="X219" s="1354"/>
      <c r="Y219" s="1354"/>
      <c r="Z219" s="1354"/>
    </row>
    <row r="220" spans="1:26" x14ac:dyDescent="0.35">
      <c r="A220" t="s">
        <v>6752</v>
      </c>
      <c r="B220" t="s">
        <v>6690</v>
      </c>
      <c r="C220" t="s">
        <v>6752</v>
      </c>
      <c r="D220" s="1353" t="s">
        <v>6914</v>
      </c>
      <c r="E220">
        <f>learners_sptve_bldgconstech_f_g8</f>
        <v>0</v>
      </c>
      <c r="F220" t="b">
        <v>1</v>
      </c>
      <c r="H220" s="1354"/>
      <c r="I220" s="1354"/>
      <c r="J220" s="1354"/>
      <c r="K220" s="1354"/>
      <c r="L220" s="1354"/>
      <c r="M220" s="1354"/>
      <c r="N220" s="135"/>
      <c r="O220" s="1354"/>
      <c r="P220" s="1354"/>
      <c r="Q220" s="1354"/>
      <c r="R220" s="1354"/>
      <c r="S220" s="1354"/>
      <c r="T220" s="1354"/>
      <c r="U220" s="1354"/>
      <c r="V220" s="1354"/>
      <c r="W220" s="1354"/>
      <c r="X220" s="1354"/>
      <c r="Y220" s="1354"/>
      <c r="Z220" s="1354"/>
    </row>
    <row r="221" spans="1:26" x14ac:dyDescent="0.35">
      <c r="A221" t="s">
        <v>6771</v>
      </c>
      <c r="B221" t="s">
        <v>6690</v>
      </c>
      <c r="C221" t="s">
        <v>6771</v>
      </c>
      <c r="D221" s="1353" t="s">
        <v>6934</v>
      </c>
      <c r="E221">
        <f>learners_sptve_bldgconstech_m_g9</f>
        <v>19</v>
      </c>
      <c r="F221" t="b">
        <v>1</v>
      </c>
      <c r="H221" s="1354"/>
      <c r="I221" s="1354"/>
      <c r="J221" s="1354"/>
      <c r="K221" s="1354"/>
      <c r="L221" s="1354"/>
      <c r="M221" s="1354"/>
      <c r="N221" s="135"/>
      <c r="O221" s="1354"/>
      <c r="P221" s="1354"/>
      <c r="Q221" s="1354"/>
      <c r="R221" s="1354"/>
      <c r="S221" s="1354"/>
      <c r="T221" s="1354"/>
      <c r="U221" s="1354"/>
      <c r="V221" s="1354"/>
      <c r="W221" s="1354"/>
      <c r="X221" s="1354"/>
      <c r="Y221" s="1354"/>
      <c r="Z221" s="1354"/>
    </row>
    <row r="222" spans="1:26" x14ac:dyDescent="0.35">
      <c r="A222" t="s">
        <v>6790</v>
      </c>
      <c r="B222" t="s">
        <v>6690</v>
      </c>
      <c r="C222" t="s">
        <v>6790</v>
      </c>
      <c r="D222" s="1353" t="s">
        <v>6954</v>
      </c>
      <c r="E222">
        <f>learners_sptve_bldgconstech_f_g9</f>
        <v>0</v>
      </c>
      <c r="F222" t="b">
        <v>1</v>
      </c>
      <c r="H222" s="1354"/>
      <c r="I222" s="1354"/>
      <c r="J222" s="1354"/>
      <c r="K222" s="1354"/>
      <c r="L222" s="1354"/>
      <c r="M222" s="1354"/>
      <c r="N222" s="135"/>
      <c r="O222" s="1354"/>
      <c r="P222" s="1354"/>
      <c r="Q222" s="1354"/>
      <c r="R222" s="1354"/>
      <c r="S222" s="1354"/>
      <c r="T222" s="1354"/>
      <c r="U222" s="1354"/>
      <c r="V222" s="1354"/>
      <c r="W222" s="1354"/>
      <c r="X222" s="1354"/>
      <c r="Y222" s="1354"/>
      <c r="Z222" s="1354"/>
    </row>
    <row r="223" spans="1:26" x14ac:dyDescent="0.35">
      <c r="A223" t="s">
        <v>6809</v>
      </c>
      <c r="B223" t="s">
        <v>6690</v>
      </c>
      <c r="C223" t="s">
        <v>6809</v>
      </c>
      <c r="D223" s="1353" t="s">
        <v>6974</v>
      </c>
      <c r="E223">
        <f>learners_sptve_bldgconstech_m_g10</f>
        <v>10</v>
      </c>
      <c r="F223" t="b">
        <v>1</v>
      </c>
      <c r="H223" s="1354"/>
      <c r="I223" s="1354"/>
      <c r="J223" s="1354"/>
      <c r="K223" s="1354"/>
      <c r="L223" s="1354"/>
      <c r="M223" s="1354"/>
      <c r="N223" s="135"/>
      <c r="O223" s="1354"/>
      <c r="P223" s="1354"/>
      <c r="Q223" s="1354"/>
      <c r="R223" s="1354"/>
      <c r="S223" s="1354"/>
      <c r="T223" s="1354"/>
      <c r="U223" s="1354"/>
      <c r="V223" s="1354"/>
      <c r="W223" s="1354"/>
      <c r="X223" s="1354"/>
      <c r="Y223" s="1354"/>
      <c r="Z223" s="1354"/>
    </row>
    <row r="224" spans="1:26" x14ac:dyDescent="0.35">
      <c r="A224" t="s">
        <v>6828</v>
      </c>
      <c r="B224" t="s">
        <v>6690</v>
      </c>
      <c r="C224" t="s">
        <v>6828</v>
      </c>
      <c r="D224" s="1353" t="s">
        <v>6994</v>
      </c>
      <c r="E224">
        <f>learners_sptve_bldgconstech_f_g10</f>
        <v>1</v>
      </c>
      <c r="F224" t="b">
        <v>1</v>
      </c>
      <c r="H224" s="1354"/>
      <c r="I224" s="1354"/>
      <c r="J224" s="1354"/>
      <c r="K224" s="1354"/>
      <c r="L224" s="1354"/>
      <c r="M224" s="1354"/>
      <c r="N224" s="135"/>
      <c r="O224" s="1354"/>
      <c r="P224" s="1354"/>
      <c r="Q224" s="1354"/>
      <c r="R224" s="1354"/>
      <c r="S224" s="1354"/>
      <c r="T224" s="1354"/>
      <c r="U224" s="1354"/>
      <c r="V224" s="1354"/>
      <c r="W224" s="1354"/>
      <c r="X224" s="1354"/>
      <c r="Y224" s="1354"/>
      <c r="Z224" s="1354"/>
    </row>
    <row r="225" spans="1:26" x14ac:dyDescent="0.35">
      <c r="A225" t="s">
        <v>6696</v>
      </c>
      <c r="B225" t="s">
        <v>6690</v>
      </c>
      <c r="C225" t="s">
        <v>6696</v>
      </c>
      <c r="D225" s="1353" t="s">
        <v>6855</v>
      </c>
      <c r="E225">
        <f>learners_sptve_electronictech_m_g7</f>
        <v>0</v>
      </c>
      <c r="F225" t="b">
        <v>1</v>
      </c>
      <c r="H225" s="1354"/>
      <c r="I225" s="1354"/>
      <c r="J225" s="1354"/>
      <c r="K225" s="1354"/>
      <c r="L225" s="1354"/>
      <c r="M225" s="1354"/>
      <c r="N225" s="135"/>
      <c r="O225" s="1354"/>
      <c r="P225" s="1354"/>
      <c r="Q225" s="1354"/>
      <c r="R225" s="1354"/>
      <c r="S225" s="1354"/>
      <c r="T225" s="1354"/>
      <c r="U225" s="1354"/>
      <c r="V225" s="1354"/>
      <c r="W225" s="1354"/>
      <c r="X225" s="1354"/>
      <c r="Y225" s="1354"/>
      <c r="Z225" s="1354"/>
    </row>
    <row r="226" spans="1:26" x14ac:dyDescent="0.35">
      <c r="A226" t="s">
        <v>6715</v>
      </c>
      <c r="B226" t="s">
        <v>6690</v>
      </c>
      <c r="C226" t="s">
        <v>6715</v>
      </c>
      <c r="D226" s="1353" t="s">
        <v>6875</v>
      </c>
      <c r="E226">
        <f>learners_sptve_electronictech_f_g7</f>
        <v>0</v>
      </c>
      <c r="F226" t="b">
        <v>1</v>
      </c>
      <c r="H226" s="1354"/>
      <c r="I226" s="1354"/>
      <c r="J226" s="1354"/>
      <c r="K226" s="1354"/>
      <c r="L226" s="1354"/>
      <c r="M226" s="1354"/>
      <c r="N226" s="135"/>
      <c r="O226" s="1354"/>
      <c r="P226" s="1354"/>
      <c r="Q226" s="1354"/>
      <c r="R226" s="1354"/>
      <c r="S226" s="1354"/>
      <c r="T226" s="1354"/>
      <c r="U226" s="1354"/>
      <c r="V226" s="1354"/>
      <c r="W226" s="1354"/>
      <c r="X226" s="1354"/>
      <c r="Y226" s="1354"/>
      <c r="Z226" s="1354"/>
    </row>
    <row r="227" spans="1:26" x14ac:dyDescent="0.35">
      <c r="A227" t="s">
        <v>6734</v>
      </c>
      <c r="B227" t="s">
        <v>6690</v>
      </c>
      <c r="C227" t="s">
        <v>6734</v>
      </c>
      <c r="D227" s="1353" t="s">
        <v>6895</v>
      </c>
      <c r="E227">
        <f>learners_sptve_electronictech_m_g8</f>
        <v>18</v>
      </c>
      <c r="F227" t="b">
        <v>1</v>
      </c>
      <c r="H227" s="1354"/>
      <c r="I227" s="1354"/>
      <c r="J227" s="1354"/>
      <c r="K227" s="1354"/>
      <c r="L227" s="1354"/>
      <c r="M227" s="1354"/>
      <c r="N227" s="135"/>
      <c r="O227" s="1354"/>
      <c r="P227" s="1354"/>
      <c r="Q227" s="1354"/>
      <c r="R227" s="1354"/>
      <c r="S227" s="1354"/>
      <c r="T227" s="1354"/>
      <c r="U227" s="1354"/>
      <c r="V227" s="1354"/>
      <c r="W227" s="1354"/>
      <c r="X227" s="1354"/>
      <c r="Y227" s="1354"/>
      <c r="Z227" s="1354"/>
    </row>
    <row r="228" spans="1:26" x14ac:dyDescent="0.35">
      <c r="A228" t="s">
        <v>6753</v>
      </c>
      <c r="B228" t="s">
        <v>6690</v>
      </c>
      <c r="C228" t="s">
        <v>6753</v>
      </c>
      <c r="D228" s="1353" t="s">
        <v>6915</v>
      </c>
      <c r="E228">
        <f>learners_sptve_electronictech_f_g8</f>
        <v>3</v>
      </c>
      <c r="F228" t="b">
        <v>1</v>
      </c>
      <c r="H228" s="1354"/>
      <c r="I228" s="1354"/>
      <c r="J228" s="1354"/>
      <c r="K228" s="1354"/>
      <c r="L228" s="1354"/>
      <c r="M228" s="1354"/>
      <c r="N228" s="135"/>
      <c r="O228" s="1354"/>
      <c r="P228" s="1354"/>
      <c r="Q228" s="1354"/>
      <c r="R228" s="1354"/>
      <c r="S228" s="1354"/>
      <c r="T228" s="1354"/>
      <c r="U228" s="1354"/>
      <c r="V228" s="1354"/>
      <c r="W228" s="1354"/>
      <c r="X228" s="1354"/>
      <c r="Y228" s="1354"/>
      <c r="Z228" s="1354"/>
    </row>
    <row r="229" spans="1:26" x14ac:dyDescent="0.35">
      <c r="A229" t="s">
        <v>6772</v>
      </c>
      <c r="B229" t="s">
        <v>6690</v>
      </c>
      <c r="C229" t="s">
        <v>6772</v>
      </c>
      <c r="D229" s="1353" t="s">
        <v>6935</v>
      </c>
      <c r="E229">
        <f>learners_sptve_electronictech_m_g9</f>
        <v>13</v>
      </c>
      <c r="F229" t="b">
        <v>1</v>
      </c>
      <c r="H229" s="1354"/>
      <c r="I229" s="1354"/>
      <c r="J229" s="1354"/>
      <c r="K229" s="1354"/>
      <c r="L229" s="1354"/>
      <c r="M229" s="1354"/>
      <c r="N229" s="135"/>
      <c r="O229" s="1354"/>
      <c r="P229" s="1354"/>
      <c r="Q229" s="1354"/>
      <c r="R229" s="1354"/>
      <c r="S229" s="1354"/>
      <c r="T229" s="1354"/>
      <c r="U229" s="1354"/>
      <c r="V229" s="1354"/>
      <c r="W229" s="1354"/>
      <c r="X229" s="1354"/>
      <c r="Y229" s="1354"/>
      <c r="Z229" s="1354"/>
    </row>
    <row r="230" spans="1:26" x14ac:dyDescent="0.35">
      <c r="A230" t="s">
        <v>6791</v>
      </c>
      <c r="B230" t="s">
        <v>6690</v>
      </c>
      <c r="C230" t="s">
        <v>6791</v>
      </c>
      <c r="D230" s="1353" t="s">
        <v>6955</v>
      </c>
      <c r="E230">
        <f>learners_sptve_electronictech_f_g9</f>
        <v>8</v>
      </c>
      <c r="F230" t="b">
        <v>1</v>
      </c>
      <c r="H230" s="1354"/>
      <c r="I230" s="1354"/>
      <c r="J230" s="1354"/>
      <c r="K230" s="1354"/>
      <c r="L230" s="1354"/>
      <c r="M230" s="1354"/>
      <c r="N230" s="135"/>
      <c r="O230" s="1354"/>
      <c r="P230" s="1354"/>
      <c r="Q230" s="1354"/>
      <c r="R230" s="1354"/>
      <c r="S230" s="1354"/>
      <c r="T230" s="1354"/>
      <c r="U230" s="1354"/>
      <c r="V230" s="1354"/>
      <c r="W230" s="1354"/>
      <c r="X230" s="1354"/>
      <c r="Y230" s="1354"/>
      <c r="Z230" s="1354"/>
    </row>
    <row r="231" spans="1:26" x14ac:dyDescent="0.35">
      <c r="A231" t="s">
        <v>6810</v>
      </c>
      <c r="B231" t="s">
        <v>6690</v>
      </c>
      <c r="C231" t="s">
        <v>6810</v>
      </c>
      <c r="D231" s="1353" t="s">
        <v>6975</v>
      </c>
      <c r="E231">
        <f>learners_sptve_electronictech_m_g10</f>
        <v>10</v>
      </c>
      <c r="F231" t="b">
        <v>1</v>
      </c>
      <c r="H231" s="1354"/>
      <c r="I231" s="1354"/>
      <c r="J231" s="1354"/>
      <c r="K231" s="1354"/>
      <c r="L231" s="1354"/>
      <c r="M231" s="1354"/>
      <c r="N231" s="135"/>
      <c r="O231" s="1354"/>
      <c r="P231" s="1354"/>
      <c r="Q231" s="1354"/>
      <c r="R231" s="1354"/>
      <c r="S231" s="1354"/>
      <c r="T231" s="1354"/>
      <c r="U231" s="1354"/>
      <c r="V231" s="1354"/>
      <c r="W231" s="1354"/>
      <c r="X231" s="1354"/>
      <c r="Y231" s="1354"/>
      <c r="Z231" s="1354"/>
    </row>
    <row r="232" spans="1:26" x14ac:dyDescent="0.35">
      <c r="A232" t="s">
        <v>6829</v>
      </c>
      <c r="B232" t="s">
        <v>6690</v>
      </c>
      <c r="C232" t="s">
        <v>6829</v>
      </c>
      <c r="D232" s="1353" t="s">
        <v>6995</v>
      </c>
      <c r="E232">
        <f>learners_sptve_electronictech_f_g10</f>
        <v>10</v>
      </c>
      <c r="F232" t="b">
        <v>1</v>
      </c>
      <c r="H232" s="1354"/>
      <c r="I232" s="1354"/>
      <c r="J232" s="1354"/>
      <c r="K232" s="1354"/>
      <c r="L232" s="1354"/>
      <c r="M232" s="1354"/>
      <c r="N232" s="135"/>
      <c r="O232" s="1354"/>
      <c r="P232" s="1354"/>
      <c r="Q232" s="1354"/>
      <c r="R232" s="1354"/>
      <c r="S232" s="1354"/>
      <c r="T232" s="1354"/>
      <c r="U232" s="1354"/>
      <c r="V232" s="1354"/>
      <c r="W232" s="1354"/>
      <c r="X232" s="1354"/>
      <c r="Y232" s="1354"/>
      <c r="Z232" s="1354"/>
    </row>
    <row r="233" spans="1:26" x14ac:dyDescent="0.35">
      <c r="A233" t="s">
        <v>6697</v>
      </c>
      <c r="B233" t="s">
        <v>6690</v>
      </c>
      <c r="C233" t="s">
        <v>6697</v>
      </c>
      <c r="D233" s="1353" t="s">
        <v>6856</v>
      </c>
      <c r="E233">
        <f>learners_sptve_autotech_m_g7</f>
        <v>88</v>
      </c>
      <c r="F233" t="b">
        <v>1</v>
      </c>
      <c r="H233" s="1354"/>
      <c r="I233" s="1354"/>
      <c r="J233" s="1354"/>
      <c r="K233" s="1354"/>
      <c r="L233" s="1354"/>
      <c r="M233" s="1354"/>
      <c r="N233" s="135"/>
      <c r="O233" s="1354"/>
      <c r="P233" s="1354"/>
      <c r="Q233" s="1354"/>
      <c r="R233" s="1354"/>
      <c r="S233" s="1354"/>
      <c r="T233" s="1354"/>
      <c r="U233" s="1354"/>
      <c r="V233" s="1354"/>
      <c r="W233" s="1354"/>
      <c r="X233" s="1354"/>
      <c r="Y233" s="1354"/>
      <c r="Z233" s="1354"/>
    </row>
    <row r="234" spans="1:26" x14ac:dyDescent="0.35">
      <c r="A234" t="s">
        <v>6716</v>
      </c>
      <c r="B234" t="s">
        <v>6690</v>
      </c>
      <c r="C234" t="s">
        <v>6716</v>
      </c>
      <c r="D234" s="1353" t="s">
        <v>6876</v>
      </c>
      <c r="E234">
        <f>learners_sptve_autotech_f_g7</f>
        <v>58</v>
      </c>
      <c r="F234" t="b">
        <v>1</v>
      </c>
      <c r="H234" s="1354"/>
      <c r="I234" s="1354"/>
      <c r="J234" s="1354"/>
      <c r="K234" s="1354"/>
      <c r="L234" s="1354"/>
      <c r="M234" s="1354"/>
      <c r="N234" s="135"/>
      <c r="O234" s="1354"/>
      <c r="P234" s="1354"/>
      <c r="Q234" s="1354"/>
      <c r="R234" s="1354"/>
      <c r="S234" s="1354"/>
      <c r="T234" s="1354"/>
      <c r="U234" s="1354"/>
      <c r="V234" s="1354"/>
      <c r="W234" s="1354"/>
      <c r="X234" s="1354"/>
      <c r="Y234" s="1354"/>
      <c r="Z234" s="1354"/>
    </row>
    <row r="235" spans="1:26" x14ac:dyDescent="0.35">
      <c r="A235" t="s">
        <v>6735</v>
      </c>
      <c r="B235" t="s">
        <v>6690</v>
      </c>
      <c r="C235" t="s">
        <v>6735</v>
      </c>
      <c r="D235" s="1353" t="s">
        <v>6896</v>
      </c>
      <c r="E235">
        <f>learners_sptve_autotech_m_g8</f>
        <v>33</v>
      </c>
      <c r="F235" t="b">
        <v>1</v>
      </c>
      <c r="H235" s="1354"/>
      <c r="I235" s="1354"/>
      <c r="J235" s="1354"/>
      <c r="K235" s="1354"/>
      <c r="L235" s="1354"/>
      <c r="M235" s="1354"/>
      <c r="N235" s="135"/>
      <c r="O235" s="1354"/>
      <c r="P235" s="1354"/>
      <c r="Q235" s="1354"/>
      <c r="R235" s="1354"/>
      <c r="S235" s="1354"/>
      <c r="T235" s="1354"/>
      <c r="U235" s="1354"/>
      <c r="V235" s="1354"/>
      <c r="W235" s="1354"/>
      <c r="X235" s="1354"/>
      <c r="Y235" s="1354"/>
      <c r="Z235" s="1354"/>
    </row>
    <row r="236" spans="1:26" x14ac:dyDescent="0.35">
      <c r="A236" t="s">
        <v>6754</v>
      </c>
      <c r="B236" t="s">
        <v>6690</v>
      </c>
      <c r="C236" t="s">
        <v>6754</v>
      </c>
      <c r="D236" s="1353" t="s">
        <v>6916</v>
      </c>
      <c r="E236">
        <f>learners_sptve_autotech_f_g8</f>
        <v>2</v>
      </c>
      <c r="F236" t="b">
        <v>1</v>
      </c>
      <c r="H236" s="1354"/>
      <c r="I236" s="1354"/>
      <c r="J236" s="1354"/>
      <c r="K236" s="1354"/>
      <c r="L236" s="1354"/>
      <c r="M236" s="1354"/>
      <c r="N236" s="135"/>
      <c r="O236" s="1354"/>
      <c r="P236" s="1354"/>
      <c r="Q236" s="1354"/>
      <c r="R236" s="1354"/>
      <c r="S236" s="1354"/>
      <c r="T236" s="1354"/>
      <c r="U236" s="1354"/>
      <c r="V236" s="1354"/>
      <c r="W236" s="1354"/>
      <c r="X236" s="1354"/>
      <c r="Y236" s="1354"/>
      <c r="Z236" s="1354"/>
    </row>
    <row r="237" spans="1:26" x14ac:dyDescent="0.35">
      <c r="A237" t="s">
        <v>6773</v>
      </c>
      <c r="B237" t="s">
        <v>6690</v>
      </c>
      <c r="C237" t="s">
        <v>6773</v>
      </c>
      <c r="D237" s="1353" t="s">
        <v>6936</v>
      </c>
      <c r="E237">
        <f>learners_sptve_autotech_m_g9</f>
        <v>39</v>
      </c>
      <c r="F237" t="b">
        <v>1</v>
      </c>
      <c r="H237" s="1354"/>
      <c r="I237" s="1354"/>
      <c r="J237" s="1354"/>
      <c r="K237" s="1354"/>
      <c r="L237" s="1354"/>
      <c r="M237" s="1354"/>
      <c r="N237" s="135"/>
      <c r="O237" s="1354"/>
      <c r="P237" s="1354"/>
      <c r="Q237" s="1354"/>
      <c r="R237" s="1354"/>
      <c r="S237" s="1354"/>
      <c r="T237" s="1354"/>
      <c r="U237" s="1354"/>
      <c r="V237" s="1354"/>
      <c r="W237" s="1354"/>
      <c r="X237" s="1354"/>
      <c r="Y237" s="1354"/>
      <c r="Z237" s="1354"/>
    </row>
    <row r="238" spans="1:26" x14ac:dyDescent="0.35">
      <c r="A238" t="s">
        <v>6792</v>
      </c>
      <c r="B238" t="s">
        <v>6690</v>
      </c>
      <c r="C238" t="s">
        <v>6792</v>
      </c>
      <c r="D238" s="1353" t="s">
        <v>6956</v>
      </c>
      <c r="E238">
        <f>learners_sptve_autotech_f_g9</f>
        <v>4</v>
      </c>
      <c r="F238" t="b">
        <v>1</v>
      </c>
      <c r="H238" s="1354"/>
      <c r="I238" s="1354"/>
      <c r="J238" s="1354"/>
      <c r="K238" s="1354"/>
      <c r="L238" s="1354"/>
      <c r="M238" s="1354"/>
      <c r="N238" s="135"/>
      <c r="O238" s="1354"/>
      <c r="P238" s="1354"/>
      <c r="Q238" s="1354"/>
      <c r="R238" s="1354"/>
      <c r="S238" s="1354"/>
      <c r="T238" s="1354"/>
      <c r="U238" s="1354"/>
      <c r="V238" s="1354"/>
      <c r="W238" s="1354"/>
      <c r="X238" s="1354"/>
      <c r="Y238" s="1354"/>
      <c r="Z238" s="1354"/>
    </row>
    <row r="239" spans="1:26" x14ac:dyDescent="0.35">
      <c r="A239" t="s">
        <v>6811</v>
      </c>
      <c r="B239" t="s">
        <v>6690</v>
      </c>
      <c r="C239" t="s">
        <v>6811</v>
      </c>
      <c r="D239" s="1353" t="s">
        <v>6976</v>
      </c>
      <c r="E239">
        <f>learners_sptve_autotech_m_g10</f>
        <v>75</v>
      </c>
      <c r="F239" t="b">
        <v>1</v>
      </c>
      <c r="H239" s="1354"/>
      <c r="I239" s="1354"/>
      <c r="J239" s="1354"/>
      <c r="K239" s="1354"/>
      <c r="L239" s="1354"/>
      <c r="M239" s="1354"/>
      <c r="N239" s="135"/>
      <c r="O239" s="1354"/>
      <c r="P239" s="1354"/>
      <c r="Q239" s="1354"/>
      <c r="R239" s="1354"/>
      <c r="S239" s="1354"/>
      <c r="T239" s="1354"/>
      <c r="U239" s="1354"/>
      <c r="V239" s="1354"/>
      <c r="W239" s="1354"/>
      <c r="X239" s="1354"/>
      <c r="Y239" s="1354"/>
      <c r="Z239" s="1354"/>
    </row>
    <row r="240" spans="1:26" x14ac:dyDescent="0.35">
      <c r="A240" t="s">
        <v>6830</v>
      </c>
      <c r="B240" t="s">
        <v>6690</v>
      </c>
      <c r="C240" t="s">
        <v>6830</v>
      </c>
      <c r="D240" s="1353" t="s">
        <v>6996</v>
      </c>
      <c r="E240">
        <f>learners_sptve_autotech_f_g10</f>
        <v>2</v>
      </c>
      <c r="F240" t="b">
        <v>1</v>
      </c>
      <c r="H240" s="1354"/>
      <c r="I240" s="1354"/>
      <c r="J240" s="1354"/>
      <c r="K240" s="1354"/>
      <c r="L240" s="1354"/>
      <c r="M240" s="1354"/>
      <c r="N240" s="135"/>
      <c r="O240" s="1354"/>
      <c r="P240" s="1354"/>
      <c r="Q240" s="1354"/>
      <c r="R240" s="1354"/>
      <c r="S240" s="1354"/>
      <c r="T240" s="1354"/>
      <c r="U240" s="1354"/>
      <c r="V240" s="1354"/>
      <c r="W240" s="1354"/>
      <c r="X240" s="1354"/>
      <c r="Y240" s="1354"/>
      <c r="Z240" s="1354"/>
    </row>
    <row r="241" spans="1:26" x14ac:dyDescent="0.35">
      <c r="A241" t="s">
        <v>6698</v>
      </c>
      <c r="B241" t="s">
        <v>6690</v>
      </c>
      <c r="C241" t="s">
        <v>6698</v>
      </c>
      <c r="D241" s="1353" t="s">
        <v>6857</v>
      </c>
      <c r="E241">
        <f>learners_sptve_weldintech_m_g7</f>
        <v>36</v>
      </c>
      <c r="F241" t="b">
        <v>1</v>
      </c>
      <c r="H241" s="1354"/>
      <c r="I241" s="1354"/>
      <c r="J241" s="1354"/>
      <c r="K241" s="1354"/>
      <c r="L241" s="1354"/>
      <c r="M241" s="1354"/>
      <c r="N241" s="135"/>
      <c r="O241" s="1354"/>
      <c r="P241" s="1354"/>
      <c r="Q241" s="1354"/>
      <c r="R241" s="1354"/>
      <c r="S241" s="1354"/>
      <c r="T241" s="1354"/>
      <c r="U241" s="1354"/>
      <c r="V241" s="1354"/>
      <c r="W241" s="1354"/>
      <c r="X241" s="1354"/>
      <c r="Y241" s="1354"/>
      <c r="Z241" s="1354"/>
    </row>
    <row r="242" spans="1:26" x14ac:dyDescent="0.35">
      <c r="A242" t="s">
        <v>6717</v>
      </c>
      <c r="B242" t="s">
        <v>6690</v>
      </c>
      <c r="C242" t="s">
        <v>6717</v>
      </c>
      <c r="D242" s="1353" t="s">
        <v>6877</v>
      </c>
      <c r="E242">
        <f>learners_sptve_weldintech_f_g7</f>
        <v>45</v>
      </c>
      <c r="F242" t="b">
        <v>1</v>
      </c>
      <c r="H242" s="1354"/>
      <c r="I242" s="1354"/>
      <c r="J242" s="1354"/>
      <c r="K242" s="1354"/>
      <c r="L242" s="1354"/>
      <c r="M242" s="1354"/>
      <c r="N242" s="135"/>
      <c r="O242" s="1354"/>
      <c r="P242" s="1354"/>
      <c r="Q242" s="1354"/>
      <c r="R242" s="1354"/>
      <c r="S242" s="1354"/>
      <c r="T242" s="1354"/>
      <c r="U242" s="1354"/>
      <c r="V242" s="1354"/>
      <c r="W242" s="1354"/>
      <c r="X242" s="1354"/>
      <c r="Y242" s="1354"/>
      <c r="Z242" s="1354"/>
    </row>
    <row r="243" spans="1:26" x14ac:dyDescent="0.35">
      <c r="A243" t="s">
        <v>6736</v>
      </c>
      <c r="B243" t="s">
        <v>6690</v>
      </c>
      <c r="C243" t="s">
        <v>6736</v>
      </c>
      <c r="D243" s="1353" t="s">
        <v>6897</v>
      </c>
      <c r="E243">
        <f>learners_sptve_weldintech_m_g8</f>
        <v>39</v>
      </c>
      <c r="F243" t="b">
        <v>1</v>
      </c>
      <c r="H243" s="1354"/>
      <c r="I243" s="1354"/>
      <c r="J243" s="1354"/>
      <c r="K243" s="1354"/>
      <c r="L243" s="1354"/>
      <c r="M243" s="1354"/>
      <c r="N243" s="135"/>
      <c r="O243" s="1354"/>
      <c r="P243" s="1354"/>
      <c r="Q243" s="1354"/>
      <c r="R243" s="1354"/>
      <c r="S243" s="1354"/>
      <c r="T243" s="1354"/>
      <c r="U243" s="1354"/>
      <c r="V243" s="1354"/>
      <c r="W243" s="1354"/>
      <c r="X243" s="1354"/>
      <c r="Y243" s="1354"/>
      <c r="Z243" s="1354"/>
    </row>
    <row r="244" spans="1:26" x14ac:dyDescent="0.35">
      <c r="A244" t="s">
        <v>6755</v>
      </c>
      <c r="B244" t="s">
        <v>6690</v>
      </c>
      <c r="C244" t="s">
        <v>6755</v>
      </c>
      <c r="D244" s="1353" t="s">
        <v>6917</v>
      </c>
      <c r="E244">
        <f>learners_sptve_weldintech_f_g8</f>
        <v>8</v>
      </c>
      <c r="F244" t="b">
        <v>1</v>
      </c>
      <c r="H244" s="1354"/>
      <c r="I244" s="1354"/>
      <c r="J244" s="1354"/>
      <c r="K244" s="1354"/>
      <c r="L244" s="1354"/>
      <c r="M244" s="1354"/>
      <c r="N244" s="135"/>
      <c r="O244" s="1354"/>
      <c r="P244" s="1354"/>
      <c r="Q244" s="1354"/>
      <c r="R244" s="1354"/>
      <c r="S244" s="1354"/>
      <c r="T244" s="1354"/>
      <c r="U244" s="1354"/>
      <c r="V244" s="1354"/>
      <c r="W244" s="1354"/>
      <c r="X244" s="1354"/>
      <c r="Y244" s="1354"/>
      <c r="Z244" s="1354"/>
    </row>
    <row r="245" spans="1:26" x14ac:dyDescent="0.35">
      <c r="A245" t="s">
        <v>6774</v>
      </c>
      <c r="B245" t="s">
        <v>6690</v>
      </c>
      <c r="C245" t="s">
        <v>6774</v>
      </c>
      <c r="D245" s="1353" t="s">
        <v>6937</v>
      </c>
      <c r="E245">
        <f>learners_sptve_weldintech_m_g9</f>
        <v>39</v>
      </c>
      <c r="F245" t="b">
        <v>1</v>
      </c>
      <c r="H245" s="1354"/>
      <c r="I245" s="1354"/>
      <c r="J245" s="1354"/>
      <c r="K245" s="1354"/>
      <c r="L245" s="1354"/>
      <c r="M245" s="1354"/>
      <c r="N245" s="135"/>
      <c r="O245" s="1354"/>
      <c r="P245" s="1354"/>
      <c r="Q245" s="1354"/>
      <c r="R245" s="1354"/>
      <c r="S245" s="1354"/>
      <c r="T245" s="1354"/>
      <c r="U245" s="1354"/>
      <c r="V245" s="1354"/>
      <c r="W245" s="1354"/>
      <c r="X245" s="1354"/>
      <c r="Y245" s="1354"/>
      <c r="Z245" s="1354"/>
    </row>
    <row r="246" spans="1:26" x14ac:dyDescent="0.35">
      <c r="A246" t="s">
        <v>6793</v>
      </c>
      <c r="B246" t="s">
        <v>6690</v>
      </c>
      <c r="C246" t="s">
        <v>6793</v>
      </c>
      <c r="D246" s="1353" t="s">
        <v>6957</v>
      </c>
      <c r="E246">
        <f>learners_sptve_weldintech_f_g9</f>
        <v>4</v>
      </c>
      <c r="F246" t="b">
        <v>1</v>
      </c>
      <c r="H246" s="1354"/>
      <c r="I246" s="1354"/>
      <c r="J246" s="1354"/>
      <c r="K246" s="1354"/>
      <c r="L246" s="1354"/>
      <c r="M246" s="1354"/>
      <c r="N246" s="135"/>
      <c r="O246" s="1354"/>
      <c r="P246" s="1354"/>
      <c r="Q246" s="1354"/>
      <c r="R246" s="1354"/>
      <c r="S246" s="1354"/>
      <c r="T246" s="1354"/>
      <c r="U246" s="1354"/>
      <c r="V246" s="1354"/>
      <c r="W246" s="1354"/>
      <c r="X246" s="1354"/>
      <c r="Y246" s="1354"/>
      <c r="Z246" s="1354"/>
    </row>
    <row r="247" spans="1:26" x14ac:dyDescent="0.35">
      <c r="A247" t="s">
        <v>6812</v>
      </c>
      <c r="B247" t="s">
        <v>6690</v>
      </c>
      <c r="C247" t="s">
        <v>6812</v>
      </c>
      <c r="D247" s="1353" t="s">
        <v>6977</v>
      </c>
      <c r="E247">
        <f>learners_sptve_weldintech_m_g10</f>
        <v>75</v>
      </c>
      <c r="F247" t="b">
        <v>1</v>
      </c>
      <c r="H247" s="1354"/>
      <c r="I247" s="1354"/>
      <c r="J247" s="1354"/>
      <c r="K247" s="1354"/>
      <c r="L247" s="1354"/>
      <c r="M247" s="1354"/>
      <c r="N247" s="135"/>
      <c r="O247" s="1354"/>
      <c r="P247" s="1354"/>
      <c r="Q247" s="1354"/>
      <c r="R247" s="1354"/>
      <c r="S247" s="1354"/>
      <c r="T247" s="1354"/>
      <c r="U247" s="1354"/>
      <c r="V247" s="1354"/>
      <c r="W247" s="1354"/>
      <c r="X247" s="1354"/>
      <c r="Y247" s="1354"/>
      <c r="Z247" s="1354"/>
    </row>
    <row r="248" spans="1:26" x14ac:dyDescent="0.35">
      <c r="A248" t="s">
        <v>6831</v>
      </c>
      <c r="B248" t="s">
        <v>6690</v>
      </c>
      <c r="C248" t="s">
        <v>6831</v>
      </c>
      <c r="D248" s="1353" t="s">
        <v>6997</v>
      </c>
      <c r="E248">
        <f>learners_sptve_weldintech_f_g10</f>
        <v>3</v>
      </c>
      <c r="F248" t="b">
        <v>1</v>
      </c>
      <c r="H248" s="1354"/>
      <c r="I248" s="1354"/>
      <c r="J248" s="1354"/>
      <c r="K248" s="1354"/>
      <c r="L248" s="1354"/>
      <c r="M248" s="1354"/>
      <c r="N248" s="135"/>
      <c r="O248" s="1354"/>
      <c r="P248" s="1354"/>
      <c r="Q248" s="1354"/>
      <c r="R248" s="1354"/>
      <c r="S248" s="1354"/>
      <c r="T248" s="1354"/>
      <c r="U248" s="1354"/>
      <c r="V248" s="1354"/>
      <c r="W248" s="1354"/>
      <c r="X248" s="1354"/>
      <c r="Y248" s="1354"/>
      <c r="Z248" s="1354"/>
    </row>
    <row r="249" spans="1:26" x14ac:dyDescent="0.35">
      <c r="A249" t="s">
        <v>6699</v>
      </c>
      <c r="B249" t="s">
        <v>6690</v>
      </c>
      <c r="C249" t="s">
        <v>6699</v>
      </c>
      <c r="D249" s="1353" t="s">
        <v>6858</v>
      </c>
      <c r="E249">
        <f>learners_sptve_electricaltech_m_g7</f>
        <v>43</v>
      </c>
      <c r="F249" t="b">
        <v>1</v>
      </c>
      <c r="H249" s="1354"/>
      <c r="I249" s="1354"/>
      <c r="J249" s="1354"/>
      <c r="K249" s="1354"/>
      <c r="L249" s="1354"/>
      <c r="M249" s="1354"/>
      <c r="N249" s="135"/>
      <c r="O249" s="1354"/>
      <c r="P249" s="1354"/>
      <c r="Q249" s="1354"/>
      <c r="R249" s="1354"/>
      <c r="S249" s="1354"/>
      <c r="T249" s="1354"/>
      <c r="U249" s="1354"/>
      <c r="V249" s="1354"/>
      <c r="W249" s="1354"/>
      <c r="X249" s="1354"/>
      <c r="Y249" s="1354"/>
      <c r="Z249" s="1354"/>
    </row>
    <row r="250" spans="1:26" x14ac:dyDescent="0.35">
      <c r="A250" t="s">
        <v>6718</v>
      </c>
      <c r="B250" t="s">
        <v>6690</v>
      </c>
      <c r="C250" t="s">
        <v>6718</v>
      </c>
      <c r="D250" s="1353" t="s">
        <v>6878</v>
      </c>
      <c r="E250">
        <f>learners_sptve_electricaltech_f_g7</f>
        <v>26</v>
      </c>
      <c r="F250" t="b">
        <v>1</v>
      </c>
      <c r="H250" s="1354"/>
      <c r="I250" s="1354"/>
      <c r="J250" s="1354"/>
      <c r="K250" s="1354"/>
      <c r="L250" s="1354"/>
      <c r="M250" s="1354"/>
      <c r="N250" s="135"/>
      <c r="O250" s="1354"/>
      <c r="P250" s="1354"/>
      <c r="Q250" s="1354"/>
      <c r="R250" s="1354"/>
      <c r="S250" s="1354"/>
      <c r="T250" s="1354"/>
      <c r="U250" s="1354"/>
      <c r="V250" s="1354"/>
      <c r="W250" s="1354"/>
      <c r="X250" s="1354"/>
      <c r="Y250" s="1354"/>
      <c r="Z250" s="1354"/>
    </row>
    <row r="251" spans="1:26" x14ac:dyDescent="0.35">
      <c r="A251" t="s">
        <v>6737</v>
      </c>
      <c r="B251" t="s">
        <v>6690</v>
      </c>
      <c r="C251" t="s">
        <v>6737</v>
      </c>
      <c r="D251" s="1353" t="s">
        <v>6898</v>
      </c>
      <c r="E251">
        <f>learners_sptve_electricaltech_m_g8</f>
        <v>23</v>
      </c>
      <c r="F251" t="b">
        <v>1</v>
      </c>
      <c r="H251" s="1354"/>
      <c r="I251" s="1354"/>
      <c r="J251" s="1354"/>
      <c r="K251" s="1354"/>
      <c r="L251" s="1354"/>
      <c r="M251" s="1354"/>
      <c r="N251" s="135"/>
      <c r="O251" s="1354"/>
      <c r="P251" s="1354"/>
      <c r="Q251" s="1354"/>
      <c r="R251" s="1354"/>
      <c r="S251" s="1354"/>
      <c r="T251" s="1354"/>
      <c r="U251" s="1354"/>
      <c r="V251" s="1354"/>
      <c r="W251" s="1354"/>
      <c r="X251" s="1354"/>
      <c r="Y251" s="1354"/>
      <c r="Z251" s="1354"/>
    </row>
    <row r="252" spans="1:26" x14ac:dyDescent="0.35">
      <c r="A252" t="s">
        <v>6756</v>
      </c>
      <c r="B252" t="s">
        <v>6690</v>
      </c>
      <c r="C252" t="s">
        <v>6756</v>
      </c>
      <c r="D252" s="1353" t="s">
        <v>6918</v>
      </c>
      <c r="E252">
        <f>learners_sptve_electricaltech_f_g8</f>
        <v>4</v>
      </c>
      <c r="F252" t="b">
        <v>1</v>
      </c>
      <c r="H252" s="1354"/>
      <c r="I252" s="1354"/>
      <c r="J252" s="1354"/>
      <c r="K252" s="1354"/>
      <c r="L252" s="1354"/>
      <c r="M252" s="1354"/>
      <c r="N252" s="135"/>
      <c r="O252" s="1354"/>
      <c r="P252" s="1354"/>
      <c r="Q252" s="1354"/>
      <c r="R252" s="1354"/>
      <c r="S252" s="1354"/>
      <c r="T252" s="1354"/>
      <c r="U252" s="1354"/>
      <c r="V252" s="1354"/>
      <c r="W252" s="1354"/>
      <c r="X252" s="1354"/>
      <c r="Y252" s="1354"/>
      <c r="Z252" s="1354"/>
    </row>
    <row r="253" spans="1:26" x14ac:dyDescent="0.35">
      <c r="A253" t="s">
        <v>6775</v>
      </c>
      <c r="B253" t="s">
        <v>6690</v>
      </c>
      <c r="C253" t="s">
        <v>6775</v>
      </c>
      <c r="D253" s="1353" t="s">
        <v>6938</v>
      </c>
      <c r="E253">
        <f>learners_sptve_electricaltech_m_g9</f>
        <v>32</v>
      </c>
      <c r="F253" t="b">
        <v>1</v>
      </c>
      <c r="H253" s="1354"/>
      <c r="I253" s="1354"/>
      <c r="J253" s="1354"/>
      <c r="K253" s="1354"/>
      <c r="L253" s="1354"/>
      <c r="M253" s="1354"/>
      <c r="N253" s="135"/>
      <c r="O253" s="1354"/>
      <c r="P253" s="1354"/>
      <c r="Q253" s="1354"/>
      <c r="R253" s="1354"/>
      <c r="S253" s="1354"/>
      <c r="T253" s="1354"/>
      <c r="U253" s="1354"/>
      <c r="V253" s="1354"/>
      <c r="W253" s="1354"/>
      <c r="X253" s="1354"/>
      <c r="Y253" s="1354"/>
      <c r="Z253" s="1354"/>
    </row>
    <row r="254" spans="1:26" x14ac:dyDescent="0.35">
      <c r="A254" t="s">
        <v>6794</v>
      </c>
      <c r="B254" t="s">
        <v>6690</v>
      </c>
      <c r="C254" t="s">
        <v>6794</v>
      </c>
      <c r="D254" s="1353" t="s">
        <v>6958</v>
      </c>
      <c r="E254">
        <f>learners_sptve_electricaltech_f_g9</f>
        <v>2</v>
      </c>
      <c r="F254" t="b">
        <v>1</v>
      </c>
      <c r="H254" s="1354"/>
      <c r="I254" s="1354"/>
      <c r="J254" s="1354"/>
      <c r="K254" s="1354"/>
      <c r="L254" s="1354"/>
      <c r="M254" s="1354"/>
      <c r="N254" s="135"/>
      <c r="O254" s="1354"/>
      <c r="P254" s="1354"/>
      <c r="Q254" s="1354"/>
      <c r="R254" s="1354"/>
      <c r="S254" s="1354"/>
      <c r="T254" s="1354"/>
      <c r="U254" s="1354"/>
      <c r="V254" s="1354"/>
      <c r="W254" s="1354"/>
      <c r="X254" s="1354"/>
      <c r="Y254" s="1354"/>
      <c r="Z254" s="1354"/>
    </row>
    <row r="255" spans="1:26" x14ac:dyDescent="0.35">
      <c r="A255" t="s">
        <v>6813</v>
      </c>
      <c r="B255" t="s">
        <v>6690</v>
      </c>
      <c r="C255" t="s">
        <v>6813</v>
      </c>
      <c r="D255" s="1353" t="s">
        <v>6978</v>
      </c>
      <c r="E255">
        <f>learners_sptve_electricaltech_m_g10</f>
        <v>50</v>
      </c>
      <c r="F255" t="b">
        <v>1</v>
      </c>
      <c r="H255" s="1354"/>
      <c r="I255" s="1354"/>
      <c r="J255" s="1354"/>
      <c r="K255" s="1354"/>
      <c r="L255" s="1354"/>
      <c r="M255" s="1354"/>
      <c r="N255" s="135"/>
      <c r="O255" s="1354"/>
      <c r="P255" s="1354"/>
      <c r="Q255" s="1354"/>
      <c r="R255" s="1354"/>
      <c r="S255" s="1354"/>
      <c r="T255" s="1354"/>
      <c r="U255" s="1354"/>
      <c r="V255" s="1354"/>
      <c r="W255" s="1354"/>
      <c r="X255" s="1354"/>
      <c r="Y255" s="1354"/>
      <c r="Z255" s="1354"/>
    </row>
    <row r="256" spans="1:26" x14ac:dyDescent="0.35">
      <c r="A256" t="s">
        <v>6832</v>
      </c>
      <c r="B256" t="s">
        <v>6690</v>
      </c>
      <c r="C256" t="s">
        <v>6832</v>
      </c>
      <c r="D256" s="1353" t="s">
        <v>6998</v>
      </c>
      <c r="E256">
        <f>learners_sptve_electricaltech_f_g10</f>
        <v>3</v>
      </c>
      <c r="F256" t="b">
        <v>1</v>
      </c>
      <c r="H256" s="1354"/>
      <c r="I256" s="1354"/>
      <c r="J256" s="1354"/>
      <c r="K256" s="1354"/>
      <c r="L256" s="1354"/>
      <c r="M256" s="1354"/>
      <c r="N256" s="135"/>
      <c r="O256" s="1354"/>
      <c r="P256" s="1354"/>
      <c r="Q256" s="1354"/>
      <c r="R256" s="1354"/>
      <c r="S256" s="1354"/>
      <c r="T256" s="1354"/>
      <c r="U256" s="1354"/>
      <c r="V256" s="1354"/>
      <c r="W256" s="1354"/>
      <c r="X256" s="1354"/>
      <c r="Y256" s="1354"/>
      <c r="Z256" s="1354"/>
    </row>
    <row r="257" spans="1:26" x14ac:dyDescent="0.35">
      <c r="A257" t="s">
        <v>6700</v>
      </c>
      <c r="B257" t="s">
        <v>6690</v>
      </c>
      <c r="C257" t="s">
        <v>6700</v>
      </c>
      <c r="D257" s="1353" t="s">
        <v>6859</v>
      </c>
      <c r="E257">
        <f>learners_sptve_draftingtech_m_g7</f>
        <v>0</v>
      </c>
      <c r="F257" t="b">
        <v>1</v>
      </c>
      <c r="H257" s="1354"/>
      <c r="I257" s="1354"/>
      <c r="J257" s="1354"/>
      <c r="K257" s="1354"/>
      <c r="L257" s="1354"/>
      <c r="M257" s="1354"/>
      <c r="N257" s="135"/>
      <c r="O257" s="1354"/>
      <c r="P257" s="1354"/>
      <c r="Q257" s="1354"/>
      <c r="R257" s="1354"/>
      <c r="S257" s="1354"/>
      <c r="T257" s="1354"/>
      <c r="U257" s="1354"/>
      <c r="V257" s="1354"/>
      <c r="W257" s="1354"/>
      <c r="X257" s="1354"/>
      <c r="Y257" s="1354"/>
      <c r="Z257" s="1354"/>
    </row>
    <row r="258" spans="1:26" x14ac:dyDescent="0.35">
      <c r="A258" t="s">
        <v>6719</v>
      </c>
      <c r="B258" t="s">
        <v>6690</v>
      </c>
      <c r="C258" t="s">
        <v>6719</v>
      </c>
      <c r="D258" s="1353" t="s">
        <v>6879</v>
      </c>
      <c r="E258">
        <f>learners_sptve_draftingtech_f_g7</f>
        <v>0</v>
      </c>
      <c r="F258" t="b">
        <v>1</v>
      </c>
      <c r="H258" s="1354"/>
      <c r="I258" s="1354"/>
      <c r="J258" s="1354"/>
      <c r="K258" s="1354"/>
      <c r="L258" s="1354"/>
      <c r="M258" s="1354"/>
      <c r="N258" s="135"/>
      <c r="O258" s="1354"/>
      <c r="P258" s="1354"/>
      <c r="Q258" s="1354"/>
      <c r="R258" s="1354"/>
      <c r="S258" s="1354"/>
      <c r="T258" s="1354"/>
      <c r="U258" s="1354"/>
      <c r="V258" s="1354"/>
      <c r="W258" s="1354"/>
      <c r="X258" s="1354"/>
      <c r="Y258" s="1354"/>
      <c r="Z258" s="1354"/>
    </row>
    <row r="259" spans="1:26" x14ac:dyDescent="0.35">
      <c r="A259" t="s">
        <v>6738</v>
      </c>
      <c r="B259" t="s">
        <v>6690</v>
      </c>
      <c r="C259" t="s">
        <v>6738</v>
      </c>
      <c r="D259" s="1353" t="s">
        <v>6899</v>
      </c>
      <c r="E259">
        <f>learners_sptve_draftingtech_m_g8</f>
        <v>0</v>
      </c>
      <c r="F259" t="b">
        <v>1</v>
      </c>
      <c r="H259" s="1354"/>
      <c r="I259" s="1354"/>
      <c r="J259" s="1354"/>
      <c r="K259" s="1354"/>
      <c r="L259" s="1354"/>
      <c r="M259" s="1354"/>
      <c r="N259" s="135"/>
      <c r="O259" s="1354"/>
      <c r="P259" s="1354"/>
      <c r="Q259" s="1354"/>
      <c r="R259" s="1354"/>
      <c r="S259" s="1354"/>
      <c r="T259" s="1354"/>
      <c r="U259" s="1354"/>
      <c r="V259" s="1354"/>
      <c r="W259" s="1354"/>
      <c r="X259" s="1354"/>
      <c r="Y259" s="1354"/>
      <c r="Z259" s="1354"/>
    </row>
    <row r="260" spans="1:26" x14ac:dyDescent="0.35">
      <c r="A260" t="s">
        <v>6757</v>
      </c>
      <c r="B260" t="s">
        <v>6690</v>
      </c>
      <c r="C260" t="s">
        <v>6757</v>
      </c>
      <c r="D260" s="1353" t="s">
        <v>6919</v>
      </c>
      <c r="E260">
        <f>learners_sptve_draftingtech_f_g8</f>
        <v>0</v>
      </c>
      <c r="F260" t="b">
        <v>1</v>
      </c>
      <c r="H260" s="1354"/>
      <c r="I260" s="1354"/>
      <c r="J260" s="1354"/>
      <c r="K260" s="1354"/>
      <c r="L260" s="1354"/>
      <c r="M260" s="1354"/>
      <c r="N260" s="135"/>
      <c r="O260" s="1354"/>
      <c r="P260" s="1354"/>
      <c r="Q260" s="1354"/>
      <c r="R260" s="1354"/>
      <c r="S260" s="1354"/>
      <c r="T260" s="1354"/>
      <c r="U260" s="1354"/>
      <c r="V260" s="1354"/>
      <c r="W260" s="1354"/>
      <c r="X260" s="1354"/>
      <c r="Y260" s="1354"/>
      <c r="Z260" s="1354"/>
    </row>
    <row r="261" spans="1:26" x14ac:dyDescent="0.35">
      <c r="A261" t="s">
        <v>6776</v>
      </c>
      <c r="B261" t="s">
        <v>6690</v>
      </c>
      <c r="C261" t="s">
        <v>6776</v>
      </c>
      <c r="D261" s="1353" t="s">
        <v>6939</v>
      </c>
      <c r="E261">
        <f>learners_sptve_draftingtech_m_g9</f>
        <v>0</v>
      </c>
      <c r="F261" t="b">
        <v>1</v>
      </c>
      <c r="H261" s="1354"/>
      <c r="I261" s="1354"/>
      <c r="J261" s="1354"/>
      <c r="K261" s="1354"/>
      <c r="L261" s="1354"/>
      <c r="M261" s="1354"/>
      <c r="N261" s="135"/>
      <c r="O261" s="1354"/>
      <c r="P261" s="1354"/>
      <c r="Q261" s="1354"/>
      <c r="R261" s="1354"/>
      <c r="S261" s="1354"/>
      <c r="T261" s="1354"/>
      <c r="U261" s="1354"/>
      <c r="V261" s="1354"/>
      <c r="W261" s="1354"/>
      <c r="X261" s="1354"/>
      <c r="Y261" s="1354"/>
      <c r="Z261" s="1354"/>
    </row>
    <row r="262" spans="1:26" x14ac:dyDescent="0.35">
      <c r="A262" t="s">
        <v>6795</v>
      </c>
      <c r="B262" t="s">
        <v>6690</v>
      </c>
      <c r="C262" t="s">
        <v>6795</v>
      </c>
      <c r="D262" s="1353" t="s">
        <v>6959</v>
      </c>
      <c r="E262">
        <f>learners_sptve_draftingtech_f_g9</f>
        <v>0</v>
      </c>
      <c r="F262" t="b">
        <v>1</v>
      </c>
      <c r="H262" s="1354"/>
      <c r="I262" s="1354"/>
      <c r="J262" s="1354"/>
      <c r="K262" s="1354"/>
      <c r="L262" s="1354"/>
      <c r="M262" s="1354"/>
      <c r="N262" s="135"/>
      <c r="O262" s="1354"/>
      <c r="P262" s="1354"/>
      <c r="Q262" s="1354"/>
      <c r="R262" s="1354"/>
      <c r="S262" s="1354"/>
      <c r="T262" s="1354"/>
      <c r="U262" s="1354"/>
      <c r="V262" s="1354"/>
      <c r="W262" s="1354"/>
      <c r="X262" s="1354"/>
      <c r="Y262" s="1354"/>
      <c r="Z262" s="1354"/>
    </row>
    <row r="263" spans="1:26" x14ac:dyDescent="0.35">
      <c r="A263" t="s">
        <v>6814</v>
      </c>
      <c r="B263" t="s">
        <v>6690</v>
      </c>
      <c r="C263" t="s">
        <v>6814</v>
      </c>
      <c r="D263" s="1353" t="s">
        <v>6979</v>
      </c>
      <c r="E263">
        <f>learners_sptve_draftingtech_m_g10</f>
        <v>0</v>
      </c>
      <c r="F263" t="b">
        <v>1</v>
      </c>
      <c r="H263" s="1354"/>
      <c r="I263" s="1354"/>
      <c r="J263" s="1354"/>
      <c r="K263" s="1354"/>
      <c r="L263" s="1354"/>
      <c r="M263" s="1354"/>
      <c r="N263" s="135"/>
      <c r="O263" s="1354"/>
      <c r="P263" s="1354"/>
      <c r="Q263" s="1354"/>
      <c r="R263" s="1354"/>
      <c r="S263" s="1354"/>
      <c r="T263" s="1354"/>
      <c r="U263" s="1354"/>
      <c r="V263" s="1354"/>
      <c r="W263" s="1354"/>
      <c r="X263" s="1354"/>
      <c r="Y263" s="1354"/>
      <c r="Z263" s="1354"/>
    </row>
    <row r="264" spans="1:26" x14ac:dyDescent="0.35">
      <c r="A264" t="s">
        <v>6833</v>
      </c>
      <c r="B264" t="s">
        <v>6690</v>
      </c>
      <c r="C264" t="s">
        <v>6833</v>
      </c>
      <c r="D264" s="1353" t="s">
        <v>6999</v>
      </c>
      <c r="E264">
        <f>learners_sptve_draftingtech_f_g10</f>
        <v>0</v>
      </c>
      <c r="F264" t="b">
        <v>1</v>
      </c>
      <c r="H264" s="1354"/>
      <c r="I264" s="1354"/>
      <c r="J264" s="1354"/>
      <c r="K264" s="1354"/>
      <c r="L264" s="1354"/>
      <c r="M264" s="1354"/>
      <c r="N264" s="135"/>
      <c r="O264" s="1354"/>
      <c r="P264" s="1354"/>
      <c r="Q264" s="1354"/>
      <c r="R264" s="1354"/>
      <c r="S264" s="1354"/>
      <c r="T264" s="1354"/>
      <c r="U264" s="1354"/>
      <c r="V264" s="1354"/>
      <c r="W264" s="1354"/>
      <c r="X264" s="1354"/>
      <c r="Y264" s="1354"/>
      <c r="Z264" s="1354"/>
    </row>
    <row r="265" spans="1:26" x14ac:dyDescent="0.35">
      <c r="A265" t="s">
        <v>6701</v>
      </c>
      <c r="B265" t="s">
        <v>6690</v>
      </c>
      <c r="C265" t="s">
        <v>6701</v>
      </c>
      <c r="D265" s="1353" t="s">
        <v>6860</v>
      </c>
      <c r="E265">
        <f>learners_sptve_furntech_m_g7</f>
        <v>0</v>
      </c>
      <c r="F265" t="b">
        <v>1</v>
      </c>
      <c r="H265" s="1354"/>
      <c r="I265" s="1354"/>
      <c r="J265" s="1354"/>
      <c r="K265" s="1354"/>
      <c r="L265" s="1354"/>
      <c r="M265" s="1354"/>
      <c r="N265" s="135"/>
      <c r="O265" s="1354"/>
      <c r="P265" s="1354"/>
      <c r="Q265" s="1354"/>
      <c r="R265" s="1354"/>
      <c r="S265" s="1354"/>
      <c r="T265" s="1354"/>
      <c r="U265" s="1354"/>
      <c r="V265" s="1354"/>
      <c r="W265" s="1354"/>
      <c r="X265" s="1354"/>
      <c r="Y265" s="1354"/>
      <c r="Z265" s="1354"/>
    </row>
    <row r="266" spans="1:26" x14ac:dyDescent="0.35">
      <c r="A266" t="s">
        <v>6720</v>
      </c>
      <c r="B266" t="s">
        <v>6690</v>
      </c>
      <c r="C266" t="s">
        <v>6720</v>
      </c>
      <c r="D266" s="1353" t="s">
        <v>6880</v>
      </c>
      <c r="E266">
        <f>learners_sptve_furntech_f_g7</f>
        <v>0</v>
      </c>
      <c r="F266" t="b">
        <v>1</v>
      </c>
      <c r="H266" s="1354"/>
      <c r="I266" s="1354"/>
      <c r="J266" s="1354"/>
      <c r="K266" s="1354"/>
      <c r="L266" s="1354"/>
      <c r="M266" s="1354"/>
      <c r="N266" s="135"/>
      <c r="O266" s="1354"/>
      <c r="P266" s="1354"/>
      <c r="Q266" s="1354"/>
      <c r="R266" s="1354"/>
      <c r="S266" s="1354"/>
      <c r="T266" s="1354"/>
      <c r="U266" s="1354"/>
      <c r="V266" s="1354"/>
      <c r="W266" s="1354"/>
      <c r="X266" s="1354"/>
      <c r="Y266" s="1354"/>
      <c r="Z266" s="1354"/>
    </row>
    <row r="267" spans="1:26" x14ac:dyDescent="0.35">
      <c r="A267" t="s">
        <v>6739</v>
      </c>
      <c r="B267" t="s">
        <v>6690</v>
      </c>
      <c r="C267" t="s">
        <v>6739</v>
      </c>
      <c r="D267" s="1353" t="s">
        <v>6900</v>
      </c>
      <c r="E267">
        <f>learners_sptve_furntech_m_g8</f>
        <v>0</v>
      </c>
      <c r="F267" t="b">
        <v>1</v>
      </c>
      <c r="H267" s="1354"/>
      <c r="I267" s="1354"/>
      <c r="J267" s="1354"/>
      <c r="K267" s="1354"/>
      <c r="L267" s="1354"/>
      <c r="M267" s="1354"/>
      <c r="N267" s="135"/>
      <c r="O267" s="1354"/>
      <c r="P267" s="1354"/>
      <c r="Q267" s="1354"/>
      <c r="R267" s="1354"/>
      <c r="S267" s="1354"/>
      <c r="T267" s="1354"/>
      <c r="U267" s="1354"/>
      <c r="V267" s="1354"/>
      <c r="W267" s="1354"/>
      <c r="X267" s="1354"/>
      <c r="Y267" s="1354"/>
      <c r="Z267" s="1354"/>
    </row>
    <row r="268" spans="1:26" x14ac:dyDescent="0.35">
      <c r="A268" t="s">
        <v>6758</v>
      </c>
      <c r="B268" t="s">
        <v>6690</v>
      </c>
      <c r="C268" t="s">
        <v>6758</v>
      </c>
      <c r="D268" s="1353" t="s">
        <v>6920</v>
      </c>
      <c r="E268">
        <f>learners_sptve_furntech_f_g8</f>
        <v>0</v>
      </c>
      <c r="F268" t="b">
        <v>1</v>
      </c>
      <c r="H268" s="1354"/>
      <c r="I268" s="1354"/>
      <c r="J268" s="1354"/>
      <c r="K268" s="1354"/>
      <c r="L268" s="1354"/>
      <c r="M268" s="1354"/>
      <c r="N268" s="135"/>
      <c r="O268" s="1354"/>
      <c r="P268" s="1354"/>
      <c r="Q268" s="1354"/>
      <c r="R268" s="1354"/>
      <c r="S268" s="1354"/>
      <c r="T268" s="1354"/>
      <c r="U268" s="1354"/>
      <c r="V268" s="1354"/>
      <c r="W268" s="1354"/>
      <c r="X268" s="1354"/>
      <c r="Y268" s="1354"/>
      <c r="Z268" s="1354"/>
    </row>
    <row r="269" spans="1:26" x14ac:dyDescent="0.35">
      <c r="A269" t="s">
        <v>6777</v>
      </c>
      <c r="B269" t="s">
        <v>6690</v>
      </c>
      <c r="C269" t="s">
        <v>6777</v>
      </c>
      <c r="D269" s="1353" t="s">
        <v>6940</v>
      </c>
      <c r="E269">
        <f>learners_sptve_furntech_m_g9</f>
        <v>0</v>
      </c>
      <c r="F269" t="b">
        <v>1</v>
      </c>
      <c r="H269" s="1354"/>
      <c r="I269" s="1354"/>
      <c r="J269" s="1354"/>
      <c r="K269" s="1354"/>
      <c r="L269" s="1354"/>
      <c r="M269" s="1354"/>
      <c r="N269" s="135"/>
      <c r="O269" s="1354"/>
      <c r="P269" s="1354"/>
      <c r="Q269" s="1354"/>
      <c r="R269" s="1354"/>
      <c r="S269" s="1354"/>
      <c r="T269" s="1354"/>
      <c r="U269" s="1354"/>
      <c r="V269" s="1354"/>
      <c r="W269" s="1354"/>
      <c r="X269" s="1354"/>
      <c r="Y269" s="1354"/>
      <c r="Z269" s="1354"/>
    </row>
    <row r="270" spans="1:26" x14ac:dyDescent="0.35">
      <c r="A270" t="s">
        <v>6796</v>
      </c>
      <c r="B270" t="s">
        <v>6690</v>
      </c>
      <c r="C270" t="s">
        <v>6796</v>
      </c>
      <c r="D270" s="1353" t="s">
        <v>6960</v>
      </c>
      <c r="E270">
        <f>learners_sptve_furntech_f_g9</f>
        <v>0</v>
      </c>
      <c r="F270" t="b">
        <v>1</v>
      </c>
      <c r="H270" s="1354"/>
      <c r="I270" s="1354"/>
      <c r="J270" s="1354"/>
      <c r="K270" s="1354"/>
      <c r="L270" s="1354"/>
      <c r="M270" s="1354"/>
      <c r="N270" s="135"/>
      <c r="O270" s="1354"/>
      <c r="P270" s="1354"/>
      <c r="Q270" s="1354"/>
      <c r="R270" s="1354"/>
      <c r="S270" s="1354"/>
      <c r="T270" s="1354"/>
      <c r="U270" s="1354"/>
      <c r="V270" s="1354"/>
      <c r="W270" s="1354"/>
      <c r="X270" s="1354"/>
      <c r="Y270" s="1354"/>
      <c r="Z270" s="1354"/>
    </row>
    <row r="271" spans="1:26" x14ac:dyDescent="0.35">
      <c r="A271" t="s">
        <v>6815</v>
      </c>
      <c r="B271" t="s">
        <v>6690</v>
      </c>
      <c r="C271" t="s">
        <v>6815</v>
      </c>
      <c r="D271" s="1353" t="s">
        <v>6980</v>
      </c>
      <c r="E271">
        <f>learners_sptve_furntech_m_g10</f>
        <v>0</v>
      </c>
      <c r="F271" t="b">
        <v>1</v>
      </c>
      <c r="H271" s="1354"/>
      <c r="I271" s="1354"/>
      <c r="J271" s="1354"/>
      <c r="K271" s="1354"/>
      <c r="L271" s="1354"/>
      <c r="M271" s="1354"/>
      <c r="N271" s="135"/>
      <c r="O271" s="1354"/>
      <c r="P271" s="1354"/>
      <c r="Q271" s="1354"/>
      <c r="R271" s="1354"/>
      <c r="S271" s="1354"/>
      <c r="T271" s="1354"/>
      <c r="U271" s="1354"/>
      <c r="V271" s="1354"/>
      <c r="W271" s="1354"/>
      <c r="X271" s="1354"/>
      <c r="Y271" s="1354"/>
      <c r="Z271" s="1354"/>
    </row>
    <row r="272" spans="1:26" x14ac:dyDescent="0.35">
      <c r="A272" t="s">
        <v>6834</v>
      </c>
      <c r="B272" t="s">
        <v>6690</v>
      </c>
      <c r="C272" t="s">
        <v>6834</v>
      </c>
      <c r="D272" s="1353" t="s">
        <v>7000</v>
      </c>
      <c r="E272">
        <f>learners_sptve_furntech_f_g10</f>
        <v>0</v>
      </c>
      <c r="F272" t="b">
        <v>1</v>
      </c>
      <c r="H272" s="1354"/>
      <c r="I272" s="1354"/>
      <c r="J272" s="1354"/>
      <c r="K272" s="1354"/>
      <c r="L272" s="1354"/>
      <c r="M272" s="1354"/>
      <c r="N272" s="135"/>
      <c r="O272" s="1354"/>
      <c r="P272" s="1354"/>
      <c r="Q272" s="1354"/>
      <c r="R272" s="1354"/>
      <c r="S272" s="1354"/>
      <c r="T272" s="1354"/>
      <c r="U272" s="1354"/>
      <c r="V272" s="1354"/>
      <c r="W272" s="1354"/>
      <c r="X272" s="1354"/>
      <c r="Y272" s="1354"/>
      <c r="Z272" s="1354"/>
    </row>
    <row r="273" spans="1:26" x14ac:dyDescent="0.35">
      <c r="A273" t="s">
        <v>6702</v>
      </c>
      <c r="B273" t="s">
        <v>6690</v>
      </c>
      <c r="C273" t="s">
        <v>6702</v>
      </c>
      <c r="D273" s="1353" t="s">
        <v>6861</v>
      </c>
      <c r="E273">
        <f>learners_sptve_agricorptech_m_g7</f>
        <v>0</v>
      </c>
      <c r="F273" t="b">
        <v>1</v>
      </c>
      <c r="H273" s="1354"/>
      <c r="I273" s="1354"/>
      <c r="J273" s="1354"/>
      <c r="K273" s="1354"/>
      <c r="L273" s="1354"/>
      <c r="M273" s="1354"/>
      <c r="N273" s="135"/>
      <c r="O273" s="1354"/>
      <c r="P273" s="1354"/>
      <c r="Q273" s="1354"/>
      <c r="R273" s="1354"/>
      <c r="S273" s="1354"/>
      <c r="T273" s="1354"/>
      <c r="U273" s="1354"/>
      <c r="V273" s="1354"/>
      <c r="W273" s="1354"/>
      <c r="X273" s="1354"/>
      <c r="Y273" s="1354"/>
      <c r="Z273" s="1354"/>
    </row>
    <row r="274" spans="1:26" x14ac:dyDescent="0.35">
      <c r="A274" t="s">
        <v>6721</v>
      </c>
      <c r="B274" t="s">
        <v>6690</v>
      </c>
      <c r="C274" t="s">
        <v>6721</v>
      </c>
      <c r="D274" s="1353" t="s">
        <v>6881</v>
      </c>
      <c r="E274">
        <f>learners_sptve_agricorptech_f_g7</f>
        <v>0</v>
      </c>
      <c r="F274" t="b">
        <v>1</v>
      </c>
      <c r="H274" s="1354"/>
      <c r="I274" s="1354"/>
      <c r="J274" s="1354"/>
      <c r="K274" s="1354"/>
      <c r="L274" s="1354"/>
      <c r="M274" s="1354"/>
      <c r="N274" s="135"/>
      <c r="O274" s="1354"/>
      <c r="P274" s="1354"/>
      <c r="Q274" s="1354"/>
      <c r="R274" s="1354"/>
      <c r="S274" s="1354"/>
      <c r="T274" s="1354"/>
      <c r="U274" s="1354"/>
      <c r="V274" s="1354"/>
      <c r="W274" s="1354"/>
      <c r="X274" s="1354"/>
      <c r="Y274" s="1354"/>
      <c r="Z274" s="1354"/>
    </row>
    <row r="275" spans="1:26" x14ac:dyDescent="0.35">
      <c r="A275" t="s">
        <v>6740</v>
      </c>
      <c r="B275" t="s">
        <v>6690</v>
      </c>
      <c r="C275" t="s">
        <v>6740</v>
      </c>
      <c r="D275" s="1353" t="s">
        <v>6901</v>
      </c>
      <c r="E275">
        <f>learners_sptve_agricorptech_m_g8</f>
        <v>0</v>
      </c>
      <c r="F275" t="b">
        <v>1</v>
      </c>
      <c r="H275" s="1354"/>
      <c r="I275" s="1354"/>
      <c r="J275" s="1354"/>
      <c r="K275" s="1354"/>
      <c r="L275" s="1354"/>
      <c r="M275" s="1354"/>
      <c r="N275" s="135"/>
      <c r="O275" s="1354"/>
      <c r="P275" s="1354"/>
      <c r="Q275" s="1354"/>
      <c r="R275" s="1354"/>
      <c r="S275" s="1354"/>
      <c r="T275" s="1354"/>
      <c r="U275" s="1354"/>
      <c r="V275" s="1354"/>
      <c r="W275" s="1354"/>
      <c r="X275" s="1354"/>
      <c r="Y275" s="1354"/>
      <c r="Z275" s="1354"/>
    </row>
    <row r="276" spans="1:26" x14ac:dyDescent="0.35">
      <c r="A276" t="s">
        <v>6759</v>
      </c>
      <c r="B276" t="s">
        <v>6690</v>
      </c>
      <c r="C276" t="s">
        <v>6759</v>
      </c>
      <c r="D276" s="1353" t="s">
        <v>6921</v>
      </c>
      <c r="E276">
        <f>learners_sptve_agricorptech_f_g8</f>
        <v>0</v>
      </c>
      <c r="F276" t="b">
        <v>1</v>
      </c>
      <c r="H276" s="1354"/>
      <c r="I276" s="1354"/>
      <c r="J276" s="1354"/>
      <c r="K276" s="1354"/>
      <c r="L276" s="1354"/>
      <c r="M276" s="1354"/>
      <c r="N276" s="135"/>
      <c r="O276" s="1354"/>
      <c r="P276" s="1354"/>
      <c r="Q276" s="1354"/>
      <c r="R276" s="1354"/>
      <c r="S276" s="1354"/>
      <c r="T276" s="1354"/>
      <c r="U276" s="1354"/>
      <c r="V276" s="1354"/>
      <c r="W276" s="1354"/>
      <c r="X276" s="1354"/>
      <c r="Y276" s="1354"/>
      <c r="Z276" s="1354"/>
    </row>
    <row r="277" spans="1:26" x14ac:dyDescent="0.35">
      <c r="A277" t="s">
        <v>6778</v>
      </c>
      <c r="B277" t="s">
        <v>6690</v>
      </c>
      <c r="C277" t="s">
        <v>6778</v>
      </c>
      <c r="D277" s="1353" t="s">
        <v>6941</v>
      </c>
      <c r="E277">
        <f>learners_sptve_agricorptech_m_g9</f>
        <v>0</v>
      </c>
      <c r="F277" t="b">
        <v>1</v>
      </c>
      <c r="H277" s="1354"/>
      <c r="I277" s="1354"/>
      <c r="J277" s="1354"/>
      <c r="K277" s="1354"/>
      <c r="L277" s="1354"/>
      <c r="M277" s="1354"/>
      <c r="N277" s="135"/>
      <c r="O277" s="1354"/>
      <c r="P277" s="1354"/>
      <c r="Q277" s="1354"/>
      <c r="R277" s="1354"/>
      <c r="S277" s="1354"/>
      <c r="T277" s="1354"/>
      <c r="U277" s="1354"/>
      <c r="V277" s="1354"/>
      <c r="W277" s="1354"/>
      <c r="X277" s="1354"/>
      <c r="Y277" s="1354"/>
      <c r="Z277" s="1354"/>
    </row>
    <row r="278" spans="1:26" x14ac:dyDescent="0.35">
      <c r="A278" t="s">
        <v>6797</v>
      </c>
      <c r="B278" t="s">
        <v>6690</v>
      </c>
      <c r="C278" t="s">
        <v>6797</v>
      </c>
      <c r="D278" s="1353" t="s">
        <v>6961</v>
      </c>
      <c r="E278">
        <f>learners_sptve_agricorptech_f_g9</f>
        <v>0</v>
      </c>
      <c r="F278" t="b">
        <v>1</v>
      </c>
      <c r="H278" s="1354"/>
      <c r="I278" s="1354"/>
      <c r="J278" s="1354"/>
      <c r="K278" s="1354"/>
      <c r="L278" s="1354"/>
      <c r="M278" s="1354"/>
      <c r="N278" s="135"/>
      <c r="O278" s="1354"/>
      <c r="P278" s="1354"/>
      <c r="Q278" s="1354"/>
      <c r="R278" s="1354"/>
      <c r="S278" s="1354"/>
      <c r="T278" s="1354"/>
      <c r="U278" s="1354"/>
      <c r="V278" s="1354"/>
      <c r="W278" s="1354"/>
      <c r="X278" s="1354"/>
      <c r="Y278" s="1354"/>
      <c r="Z278" s="1354"/>
    </row>
    <row r="279" spans="1:26" x14ac:dyDescent="0.35">
      <c r="A279" t="s">
        <v>6816</v>
      </c>
      <c r="B279" t="s">
        <v>6690</v>
      </c>
      <c r="C279" t="s">
        <v>6816</v>
      </c>
      <c r="D279" s="1353" t="s">
        <v>6981</v>
      </c>
      <c r="E279">
        <f>learners_sptve_agricorptech_m_g10</f>
        <v>0</v>
      </c>
      <c r="F279" t="b">
        <v>1</v>
      </c>
      <c r="H279" s="1354"/>
      <c r="I279" s="1354"/>
      <c r="J279" s="1354"/>
      <c r="K279" s="1354"/>
      <c r="L279" s="1354"/>
      <c r="M279" s="1354"/>
      <c r="N279" s="135"/>
      <c r="O279" s="1354"/>
      <c r="P279" s="1354"/>
      <c r="Q279" s="1354"/>
      <c r="R279" s="1354"/>
      <c r="S279" s="1354"/>
      <c r="T279" s="1354"/>
      <c r="U279" s="1354"/>
      <c r="V279" s="1354"/>
      <c r="W279" s="1354"/>
      <c r="X279" s="1354"/>
      <c r="Y279" s="1354"/>
      <c r="Z279" s="1354"/>
    </row>
    <row r="280" spans="1:26" x14ac:dyDescent="0.35">
      <c r="A280" t="s">
        <v>6835</v>
      </c>
      <c r="B280" t="s">
        <v>6690</v>
      </c>
      <c r="C280" t="s">
        <v>6835</v>
      </c>
      <c r="D280" s="1353" t="s">
        <v>7001</v>
      </c>
      <c r="E280">
        <f>learners_sptve_agricorptech_f_g10</f>
        <v>0</v>
      </c>
      <c r="F280" t="b">
        <v>1</v>
      </c>
      <c r="H280" s="1354"/>
      <c r="I280" s="1354"/>
      <c r="J280" s="1354"/>
      <c r="K280" s="1354"/>
      <c r="L280" s="1354"/>
      <c r="M280" s="1354"/>
      <c r="N280" s="135"/>
      <c r="O280" s="1354"/>
      <c r="P280" s="1354"/>
      <c r="Q280" s="1354"/>
      <c r="R280" s="1354"/>
      <c r="S280" s="1354"/>
      <c r="T280" s="1354"/>
      <c r="U280" s="1354"/>
      <c r="V280" s="1354"/>
      <c r="W280" s="1354"/>
      <c r="X280" s="1354"/>
      <c r="Y280" s="1354"/>
      <c r="Z280" s="1354"/>
    </row>
    <row r="281" spans="1:26" x14ac:dyDescent="0.35">
      <c r="A281" t="s">
        <v>6703</v>
      </c>
      <c r="B281" t="s">
        <v>6690</v>
      </c>
      <c r="C281" t="s">
        <v>6703</v>
      </c>
      <c r="D281" s="1353" t="s">
        <v>6862</v>
      </c>
      <c r="E281">
        <f>learners_sptve_aniprodtech_m_g7</f>
        <v>0</v>
      </c>
      <c r="F281" t="b">
        <v>1</v>
      </c>
      <c r="H281" s="1354"/>
      <c r="I281" s="1354"/>
      <c r="J281" s="1354"/>
      <c r="K281" s="1354"/>
      <c r="L281" s="1354"/>
      <c r="M281" s="1354"/>
      <c r="N281" s="135"/>
      <c r="O281" s="1354"/>
      <c r="P281" s="1354"/>
      <c r="Q281" s="1354"/>
      <c r="R281" s="1354"/>
      <c r="S281" s="1354"/>
      <c r="T281" s="1354"/>
      <c r="U281" s="1354"/>
      <c r="V281" s="1354"/>
      <c r="W281" s="1354"/>
      <c r="X281" s="1354"/>
      <c r="Y281" s="1354"/>
      <c r="Z281" s="1354"/>
    </row>
    <row r="282" spans="1:26" x14ac:dyDescent="0.35">
      <c r="A282" t="s">
        <v>6722</v>
      </c>
      <c r="B282" t="s">
        <v>6690</v>
      </c>
      <c r="C282" t="s">
        <v>6722</v>
      </c>
      <c r="D282" s="1353" t="s">
        <v>6882</v>
      </c>
      <c r="E282">
        <f>learners_sptve_aniprodtech_f_g7</f>
        <v>0</v>
      </c>
      <c r="F282" t="b">
        <v>1</v>
      </c>
      <c r="H282" s="1354"/>
      <c r="I282" s="1354"/>
      <c r="J282" s="1354"/>
      <c r="K282" s="1354"/>
      <c r="L282" s="1354"/>
      <c r="M282" s="1354"/>
      <c r="N282" s="135"/>
      <c r="O282" s="1354"/>
      <c r="P282" s="1354"/>
      <c r="Q282" s="1354"/>
      <c r="R282" s="1354"/>
      <c r="S282" s="1354"/>
      <c r="T282" s="1354"/>
      <c r="U282" s="1354"/>
      <c r="V282" s="1354"/>
      <c r="W282" s="1354"/>
      <c r="X282" s="1354"/>
      <c r="Y282" s="1354"/>
      <c r="Z282" s="1354"/>
    </row>
    <row r="283" spans="1:26" x14ac:dyDescent="0.35">
      <c r="A283" t="s">
        <v>6741</v>
      </c>
      <c r="B283" t="s">
        <v>6690</v>
      </c>
      <c r="C283" t="s">
        <v>6741</v>
      </c>
      <c r="D283" s="1353" t="s">
        <v>6902</v>
      </c>
      <c r="E283">
        <f>learners_sptve_aniprodtech_m_g8</f>
        <v>0</v>
      </c>
      <c r="F283" t="b">
        <v>1</v>
      </c>
      <c r="H283" s="1354"/>
      <c r="I283" s="1354"/>
      <c r="J283" s="1354"/>
      <c r="K283" s="1354"/>
      <c r="L283" s="1354"/>
      <c r="M283" s="1354"/>
      <c r="N283" s="135"/>
      <c r="O283" s="1354"/>
      <c r="P283" s="1354"/>
      <c r="Q283" s="1354"/>
      <c r="R283" s="1354"/>
      <c r="S283" s="1354"/>
      <c r="T283" s="1354"/>
      <c r="U283" s="1354"/>
      <c r="V283" s="1354"/>
      <c r="W283" s="1354"/>
      <c r="X283" s="1354"/>
      <c r="Y283" s="1354"/>
      <c r="Z283" s="1354"/>
    </row>
    <row r="284" spans="1:26" x14ac:dyDescent="0.35">
      <c r="A284" t="s">
        <v>6760</v>
      </c>
      <c r="B284" t="s">
        <v>6690</v>
      </c>
      <c r="C284" t="s">
        <v>6760</v>
      </c>
      <c r="D284" s="1353" t="s">
        <v>6922</v>
      </c>
      <c r="E284">
        <f>learners_sptve_aniprodtech_f_g8</f>
        <v>0</v>
      </c>
      <c r="F284" t="b">
        <v>1</v>
      </c>
      <c r="H284" s="1354"/>
      <c r="I284" s="1354"/>
      <c r="J284" s="1354"/>
      <c r="K284" s="1354"/>
      <c r="L284" s="1354"/>
      <c r="M284" s="1354"/>
      <c r="N284" s="135"/>
      <c r="O284" s="1354"/>
      <c r="P284" s="1354"/>
      <c r="Q284" s="1354"/>
      <c r="R284" s="1354"/>
      <c r="S284" s="1354"/>
      <c r="T284" s="1354"/>
      <c r="U284" s="1354"/>
      <c r="V284" s="1354"/>
      <c r="W284" s="1354"/>
      <c r="X284" s="1354"/>
      <c r="Y284" s="1354"/>
      <c r="Z284" s="1354"/>
    </row>
    <row r="285" spans="1:26" x14ac:dyDescent="0.35">
      <c r="A285" t="s">
        <v>6779</v>
      </c>
      <c r="B285" t="s">
        <v>6690</v>
      </c>
      <c r="C285" t="s">
        <v>6779</v>
      </c>
      <c r="D285" s="1353" t="s">
        <v>6942</v>
      </c>
      <c r="E285">
        <f>learners_sptve_aniprodtech_m_g9</f>
        <v>0</v>
      </c>
      <c r="F285" t="b">
        <v>1</v>
      </c>
      <c r="H285" s="1354"/>
      <c r="I285" s="1354"/>
      <c r="J285" s="1354"/>
      <c r="K285" s="1354"/>
      <c r="L285" s="1354"/>
      <c r="M285" s="1354"/>
      <c r="N285" s="135"/>
      <c r="O285" s="1354"/>
      <c r="P285" s="1354"/>
      <c r="Q285" s="1354"/>
      <c r="R285" s="1354"/>
      <c r="S285" s="1354"/>
      <c r="T285" s="1354"/>
      <c r="U285" s="1354"/>
      <c r="V285" s="1354"/>
      <c r="W285" s="1354"/>
      <c r="X285" s="1354"/>
      <c r="Y285" s="1354"/>
      <c r="Z285" s="1354"/>
    </row>
    <row r="286" spans="1:26" x14ac:dyDescent="0.35">
      <c r="A286" t="s">
        <v>6798</v>
      </c>
      <c r="B286" t="s">
        <v>6690</v>
      </c>
      <c r="C286" t="s">
        <v>6798</v>
      </c>
      <c r="D286" s="1353" t="s">
        <v>6962</v>
      </c>
      <c r="E286">
        <f>learners_sptve_aniprodtech_f_g9</f>
        <v>0</v>
      </c>
      <c r="F286" t="b">
        <v>1</v>
      </c>
      <c r="H286" s="1354"/>
      <c r="I286" s="1354"/>
      <c r="J286" s="1354"/>
      <c r="K286" s="1354"/>
      <c r="L286" s="1354"/>
      <c r="M286" s="1354"/>
      <c r="N286" s="135"/>
      <c r="O286" s="1354"/>
      <c r="P286" s="1354"/>
      <c r="Q286" s="1354"/>
      <c r="R286" s="1354"/>
      <c r="S286" s="1354"/>
      <c r="T286" s="1354"/>
      <c r="U286" s="1354"/>
      <c r="V286" s="1354"/>
      <c r="W286" s="1354"/>
      <c r="X286" s="1354"/>
      <c r="Y286" s="1354"/>
      <c r="Z286" s="1354"/>
    </row>
    <row r="287" spans="1:26" x14ac:dyDescent="0.35">
      <c r="A287" t="s">
        <v>6817</v>
      </c>
      <c r="B287" t="s">
        <v>6690</v>
      </c>
      <c r="C287" t="s">
        <v>6817</v>
      </c>
      <c r="D287" s="1353" t="s">
        <v>6982</v>
      </c>
      <c r="E287">
        <f>learners_sptve_aniprodtech_m_g10</f>
        <v>0</v>
      </c>
      <c r="F287" t="b">
        <v>1</v>
      </c>
      <c r="H287" s="1354"/>
      <c r="I287" s="1354"/>
      <c r="J287" s="1354"/>
      <c r="K287" s="1354"/>
      <c r="L287" s="1354"/>
      <c r="M287" s="1354"/>
      <c r="N287" s="135"/>
      <c r="O287" s="1354"/>
      <c r="P287" s="1354"/>
      <c r="Q287" s="1354"/>
      <c r="R287" s="1354"/>
      <c r="S287" s="1354"/>
      <c r="T287" s="1354"/>
      <c r="U287" s="1354"/>
      <c r="V287" s="1354"/>
      <c r="W287" s="1354"/>
      <c r="X287" s="1354"/>
      <c r="Y287" s="1354"/>
      <c r="Z287" s="1354"/>
    </row>
    <row r="288" spans="1:26" x14ac:dyDescent="0.35">
      <c r="A288" t="s">
        <v>6836</v>
      </c>
      <c r="B288" t="s">
        <v>6690</v>
      </c>
      <c r="C288" t="s">
        <v>6836</v>
      </c>
      <c r="D288" s="1353" t="s">
        <v>7002</v>
      </c>
      <c r="E288">
        <f>learners_sptve_aniprodtech_f_g10</f>
        <v>0</v>
      </c>
      <c r="F288" t="b">
        <v>1</v>
      </c>
      <c r="H288" s="1354"/>
      <c r="I288" s="1354"/>
      <c r="J288" s="1354"/>
      <c r="K288" s="1354"/>
      <c r="L288" s="1354"/>
      <c r="M288" s="1354"/>
      <c r="N288" s="135"/>
      <c r="O288" s="1354"/>
      <c r="P288" s="1354"/>
      <c r="Q288" s="1354"/>
      <c r="R288" s="1354"/>
      <c r="S288" s="1354"/>
      <c r="T288" s="1354"/>
      <c r="U288" s="1354"/>
      <c r="V288" s="1354"/>
      <c r="W288" s="1354"/>
      <c r="X288" s="1354"/>
      <c r="Y288" s="1354"/>
      <c r="Z288" s="1354"/>
    </row>
    <row r="289" spans="1:26" x14ac:dyDescent="0.35">
      <c r="A289" t="s">
        <v>6704</v>
      </c>
      <c r="B289" t="s">
        <v>6690</v>
      </c>
      <c r="C289" t="s">
        <v>6704</v>
      </c>
      <c r="D289" s="1353" t="s">
        <v>6863</v>
      </c>
      <c r="E289">
        <f>learners_sptve_foodprotech_m_g7</f>
        <v>0</v>
      </c>
      <c r="F289" t="b">
        <v>1</v>
      </c>
      <c r="H289" s="1354"/>
      <c r="I289" s="1354"/>
      <c r="J289" s="1354"/>
      <c r="K289" s="1354"/>
      <c r="L289" s="1354"/>
      <c r="M289" s="1354"/>
      <c r="N289" s="135"/>
      <c r="O289" s="1354"/>
      <c r="P289" s="1354"/>
      <c r="Q289" s="1354"/>
      <c r="R289" s="1354"/>
      <c r="S289" s="1354"/>
      <c r="T289" s="1354"/>
      <c r="U289" s="1354"/>
      <c r="V289" s="1354"/>
      <c r="W289" s="1354"/>
      <c r="X289" s="1354"/>
      <c r="Y289" s="1354"/>
      <c r="Z289" s="1354"/>
    </row>
    <row r="290" spans="1:26" x14ac:dyDescent="0.35">
      <c r="A290" t="s">
        <v>6723</v>
      </c>
      <c r="B290" t="s">
        <v>6690</v>
      </c>
      <c r="C290" t="s">
        <v>6723</v>
      </c>
      <c r="D290" s="1353" t="s">
        <v>6883</v>
      </c>
      <c r="E290">
        <f>learners_sptve_foodprotech_f_g7</f>
        <v>0</v>
      </c>
      <c r="F290" t="b">
        <v>1</v>
      </c>
      <c r="H290" s="1354"/>
      <c r="I290" s="1354"/>
      <c r="J290" s="1354"/>
      <c r="K290" s="1354"/>
      <c r="L290" s="1354"/>
      <c r="M290" s="1354"/>
      <c r="N290" s="135"/>
      <c r="O290" s="1354"/>
      <c r="P290" s="1354"/>
      <c r="Q290" s="1354"/>
      <c r="R290" s="1354"/>
      <c r="S290" s="1354"/>
      <c r="T290" s="1354"/>
      <c r="U290" s="1354"/>
      <c r="V290" s="1354"/>
      <c r="W290" s="1354"/>
      <c r="X290" s="1354"/>
      <c r="Y290" s="1354"/>
      <c r="Z290" s="1354"/>
    </row>
    <row r="291" spans="1:26" x14ac:dyDescent="0.35">
      <c r="A291" t="s">
        <v>6742</v>
      </c>
      <c r="B291" t="s">
        <v>6690</v>
      </c>
      <c r="C291" t="s">
        <v>6742</v>
      </c>
      <c r="D291" s="1353" t="s">
        <v>6903</v>
      </c>
      <c r="E291">
        <f>learners_sptve_foodprotech_m_g8</f>
        <v>9</v>
      </c>
      <c r="F291" t="b">
        <v>1</v>
      </c>
      <c r="H291" s="1354"/>
      <c r="I291" s="1354"/>
      <c r="J291" s="1354"/>
      <c r="K291" s="1354"/>
      <c r="L291" s="1354"/>
      <c r="M291" s="1354"/>
      <c r="N291" s="135"/>
      <c r="O291" s="1354"/>
      <c r="P291" s="1354"/>
      <c r="Q291" s="1354"/>
      <c r="R291" s="1354"/>
      <c r="S291" s="1354"/>
      <c r="T291" s="1354"/>
      <c r="U291" s="1354"/>
      <c r="V291" s="1354"/>
      <c r="W291" s="1354"/>
      <c r="X291" s="1354"/>
      <c r="Y291" s="1354"/>
      <c r="Z291" s="1354"/>
    </row>
    <row r="292" spans="1:26" x14ac:dyDescent="0.35">
      <c r="A292" t="s">
        <v>6761</v>
      </c>
      <c r="B292" t="s">
        <v>6690</v>
      </c>
      <c r="C292" t="s">
        <v>6761</v>
      </c>
      <c r="D292" s="1353" t="s">
        <v>6923</v>
      </c>
      <c r="E292">
        <f>learners_sptve_foodprotech_f_g8</f>
        <v>15</v>
      </c>
      <c r="F292" t="b">
        <v>1</v>
      </c>
      <c r="H292" s="1354"/>
      <c r="I292" s="1354"/>
      <c r="J292" s="1354"/>
      <c r="K292" s="1354"/>
      <c r="L292" s="1354"/>
      <c r="M292" s="1354"/>
      <c r="N292" s="135"/>
      <c r="O292" s="1354"/>
      <c r="P292" s="1354"/>
      <c r="Q292" s="1354"/>
      <c r="R292" s="1354"/>
      <c r="S292" s="1354"/>
      <c r="T292" s="1354"/>
      <c r="U292" s="1354"/>
      <c r="V292" s="1354"/>
      <c r="W292" s="1354"/>
      <c r="X292" s="1354"/>
      <c r="Y292" s="1354"/>
      <c r="Z292" s="1354"/>
    </row>
    <row r="293" spans="1:26" x14ac:dyDescent="0.35">
      <c r="A293" t="s">
        <v>6780</v>
      </c>
      <c r="B293" t="s">
        <v>6690</v>
      </c>
      <c r="C293" t="s">
        <v>6780</v>
      </c>
      <c r="D293" s="1353" t="s">
        <v>6943</v>
      </c>
      <c r="E293">
        <f>learners_sptve_foodprotech_m_g9</f>
        <v>9</v>
      </c>
      <c r="F293" t="b">
        <v>1</v>
      </c>
      <c r="H293" s="1354"/>
      <c r="I293" s="1354"/>
      <c r="J293" s="1354"/>
      <c r="K293" s="1354"/>
      <c r="L293" s="1354"/>
      <c r="M293" s="1354"/>
      <c r="N293" s="135"/>
      <c r="O293" s="1354"/>
      <c r="P293" s="1354"/>
      <c r="Q293" s="1354"/>
      <c r="R293" s="1354"/>
      <c r="S293" s="1354"/>
      <c r="T293" s="1354"/>
      <c r="U293" s="1354"/>
      <c r="V293" s="1354"/>
      <c r="W293" s="1354"/>
      <c r="X293" s="1354"/>
      <c r="Y293" s="1354"/>
      <c r="Z293" s="1354"/>
    </row>
    <row r="294" spans="1:26" x14ac:dyDescent="0.35">
      <c r="A294" t="s">
        <v>6799</v>
      </c>
      <c r="B294" t="s">
        <v>6690</v>
      </c>
      <c r="C294" t="s">
        <v>6799</v>
      </c>
      <c r="D294" s="1353" t="s">
        <v>6963</v>
      </c>
      <c r="E294">
        <f>learners_sptve_foodprotech_f_g9</f>
        <v>23</v>
      </c>
      <c r="F294" t="b">
        <v>1</v>
      </c>
      <c r="H294" s="1354"/>
      <c r="I294" s="1354"/>
      <c r="J294" s="1354"/>
      <c r="K294" s="1354"/>
      <c r="L294" s="1354"/>
      <c r="M294" s="1354"/>
      <c r="N294" s="135"/>
      <c r="O294" s="1354"/>
      <c r="P294" s="1354"/>
      <c r="Q294" s="1354"/>
      <c r="R294" s="1354"/>
      <c r="S294" s="1354"/>
      <c r="T294" s="1354"/>
      <c r="U294" s="1354"/>
      <c r="V294" s="1354"/>
      <c r="W294" s="1354"/>
      <c r="X294" s="1354"/>
      <c r="Y294" s="1354"/>
      <c r="Z294" s="1354"/>
    </row>
    <row r="295" spans="1:26" x14ac:dyDescent="0.35">
      <c r="A295" t="s">
        <v>6818</v>
      </c>
      <c r="B295" t="s">
        <v>6690</v>
      </c>
      <c r="C295" t="s">
        <v>6818</v>
      </c>
      <c r="D295" s="1353" t="s">
        <v>6983</v>
      </c>
      <c r="E295">
        <f>learners_sptve_foodprotech_m_g10</f>
        <v>3</v>
      </c>
      <c r="F295" t="b">
        <v>1</v>
      </c>
      <c r="H295" s="1354"/>
      <c r="I295" s="1354"/>
      <c r="J295" s="1354"/>
      <c r="K295" s="1354"/>
      <c r="L295" s="1354"/>
      <c r="M295" s="1354"/>
      <c r="N295" s="135"/>
      <c r="O295" s="1354"/>
      <c r="P295" s="1354"/>
      <c r="Q295" s="1354"/>
      <c r="R295" s="1354"/>
      <c r="S295" s="1354"/>
      <c r="T295" s="1354"/>
      <c r="U295" s="1354"/>
      <c r="V295" s="1354"/>
      <c r="W295" s="1354"/>
      <c r="X295" s="1354"/>
      <c r="Y295" s="1354"/>
      <c r="Z295" s="1354"/>
    </row>
    <row r="296" spans="1:26" x14ac:dyDescent="0.35">
      <c r="A296" t="s">
        <v>6837</v>
      </c>
      <c r="B296" t="s">
        <v>6690</v>
      </c>
      <c r="C296" t="s">
        <v>6837</v>
      </c>
      <c r="D296" s="1353" t="s">
        <v>7003</v>
      </c>
      <c r="E296">
        <f>learners_sptve_foodprotech_f_g10</f>
        <v>29</v>
      </c>
      <c r="F296" t="b">
        <v>1</v>
      </c>
      <c r="H296" s="1354"/>
      <c r="I296" s="1354"/>
      <c r="J296" s="1354"/>
      <c r="K296" s="1354"/>
      <c r="L296" s="1354"/>
      <c r="M296" s="1354"/>
      <c r="N296" s="135"/>
      <c r="O296" s="1354"/>
      <c r="P296" s="1354"/>
      <c r="Q296" s="1354"/>
      <c r="R296" s="1354"/>
      <c r="S296" s="1354"/>
      <c r="T296" s="1354"/>
      <c r="U296" s="1354"/>
      <c r="V296" s="1354"/>
      <c r="W296" s="1354"/>
      <c r="X296" s="1354"/>
      <c r="Y296" s="1354"/>
      <c r="Z296" s="1354"/>
    </row>
    <row r="297" spans="1:26" x14ac:dyDescent="0.35">
      <c r="A297" t="s">
        <v>6705</v>
      </c>
      <c r="B297" t="s">
        <v>6690</v>
      </c>
      <c r="C297" t="s">
        <v>6705</v>
      </c>
      <c r="D297" s="1353" t="s">
        <v>6864</v>
      </c>
      <c r="E297">
        <f>learners_sptve_fishprodtech_m_g7</f>
        <v>0</v>
      </c>
      <c r="F297" t="b">
        <v>1</v>
      </c>
      <c r="H297" s="1354"/>
      <c r="I297" s="1354"/>
      <c r="J297" s="1354"/>
      <c r="K297" s="1354"/>
      <c r="L297" s="1354"/>
      <c r="M297" s="1354"/>
      <c r="N297" s="135"/>
      <c r="O297" s="1354"/>
      <c r="P297" s="1354"/>
      <c r="Q297" s="1354"/>
      <c r="R297" s="1354"/>
      <c r="S297" s="1354"/>
      <c r="T297" s="1354"/>
      <c r="U297" s="1354"/>
      <c r="V297" s="1354"/>
      <c r="W297" s="1354"/>
      <c r="X297" s="1354"/>
      <c r="Y297" s="1354"/>
      <c r="Z297" s="1354"/>
    </row>
    <row r="298" spans="1:26" x14ac:dyDescent="0.35">
      <c r="A298" t="s">
        <v>6724</v>
      </c>
      <c r="B298" t="s">
        <v>6690</v>
      </c>
      <c r="C298" t="s">
        <v>6724</v>
      </c>
      <c r="D298" s="1353" t="s">
        <v>6884</v>
      </c>
      <c r="E298">
        <f>learners_sptve_fishprodtech_f_g7</f>
        <v>0</v>
      </c>
      <c r="F298" t="b">
        <v>1</v>
      </c>
      <c r="H298" s="1354"/>
      <c r="I298" s="1354"/>
      <c r="J298" s="1354"/>
      <c r="K298" s="1354"/>
      <c r="L298" s="1354"/>
      <c r="M298" s="1354"/>
      <c r="N298" s="135"/>
      <c r="O298" s="1354"/>
      <c r="P298" s="1354"/>
      <c r="Q298" s="1354"/>
      <c r="R298" s="1354"/>
      <c r="S298" s="1354"/>
      <c r="T298" s="1354"/>
      <c r="U298" s="1354"/>
      <c r="V298" s="1354"/>
      <c r="W298" s="1354"/>
      <c r="X298" s="1354"/>
      <c r="Y298" s="1354"/>
      <c r="Z298" s="1354"/>
    </row>
    <row r="299" spans="1:26" x14ac:dyDescent="0.35">
      <c r="A299" t="s">
        <v>6743</v>
      </c>
      <c r="B299" t="s">
        <v>6690</v>
      </c>
      <c r="C299" t="s">
        <v>6743</v>
      </c>
      <c r="D299" s="1353" t="s">
        <v>6904</v>
      </c>
      <c r="E299">
        <f>learners_sptve_fishprodtech_m_g8</f>
        <v>0</v>
      </c>
      <c r="F299" t="b">
        <v>1</v>
      </c>
      <c r="H299" s="1354"/>
      <c r="I299" s="1354"/>
      <c r="J299" s="1354"/>
      <c r="K299" s="1354"/>
      <c r="L299" s="1354"/>
      <c r="M299" s="1354"/>
      <c r="N299" s="135"/>
      <c r="O299" s="1354"/>
      <c r="P299" s="1354"/>
      <c r="Q299" s="1354"/>
      <c r="R299" s="1354"/>
      <c r="S299" s="1354"/>
      <c r="T299" s="1354"/>
      <c r="U299" s="1354"/>
      <c r="V299" s="1354"/>
      <c r="W299" s="1354"/>
      <c r="X299" s="1354"/>
      <c r="Y299" s="1354"/>
      <c r="Z299" s="1354"/>
    </row>
    <row r="300" spans="1:26" x14ac:dyDescent="0.35">
      <c r="A300" t="s">
        <v>6762</v>
      </c>
      <c r="B300" t="s">
        <v>6690</v>
      </c>
      <c r="C300" t="s">
        <v>6762</v>
      </c>
      <c r="D300" s="1353" t="s">
        <v>6924</v>
      </c>
      <c r="E300">
        <f>learners_sptve_fishprodtech_f_g8</f>
        <v>0</v>
      </c>
      <c r="F300" t="b">
        <v>1</v>
      </c>
      <c r="H300" s="1354"/>
      <c r="I300" s="1354"/>
      <c r="J300" s="1354"/>
      <c r="K300" s="1354"/>
      <c r="L300" s="1354"/>
      <c r="M300" s="1354"/>
      <c r="N300" s="135"/>
      <c r="O300" s="1354"/>
      <c r="P300" s="1354"/>
      <c r="Q300" s="1354"/>
      <c r="R300" s="1354"/>
      <c r="S300" s="1354"/>
      <c r="T300" s="1354"/>
      <c r="U300" s="1354"/>
      <c r="V300" s="1354"/>
      <c r="W300" s="1354"/>
      <c r="X300" s="1354"/>
      <c r="Y300" s="1354"/>
      <c r="Z300" s="1354"/>
    </row>
    <row r="301" spans="1:26" x14ac:dyDescent="0.35">
      <c r="A301" t="s">
        <v>6781</v>
      </c>
      <c r="B301" t="s">
        <v>6690</v>
      </c>
      <c r="C301" t="s">
        <v>6781</v>
      </c>
      <c r="D301" s="1353" t="s">
        <v>6944</v>
      </c>
      <c r="E301">
        <f>learners_sptve_fishprodtech_m_g9</f>
        <v>0</v>
      </c>
      <c r="F301" t="b">
        <v>1</v>
      </c>
      <c r="H301" s="1354"/>
      <c r="I301" s="1354"/>
      <c r="J301" s="1354"/>
      <c r="K301" s="1354"/>
      <c r="L301" s="1354"/>
      <c r="M301" s="1354"/>
      <c r="N301" s="135"/>
      <c r="O301" s="1354"/>
      <c r="P301" s="1354"/>
      <c r="Q301" s="1354"/>
      <c r="R301" s="1354"/>
      <c r="S301" s="1354"/>
      <c r="T301" s="1354"/>
      <c r="U301" s="1354"/>
      <c r="V301" s="1354"/>
      <c r="W301" s="1354"/>
      <c r="X301" s="1354"/>
      <c r="Y301" s="1354"/>
      <c r="Z301" s="1354"/>
    </row>
    <row r="302" spans="1:26" x14ac:dyDescent="0.35">
      <c r="A302" t="s">
        <v>6800</v>
      </c>
      <c r="B302" t="s">
        <v>6690</v>
      </c>
      <c r="C302" t="s">
        <v>6800</v>
      </c>
      <c r="D302" s="1353" t="s">
        <v>6964</v>
      </c>
      <c r="E302">
        <f>learners_sptve_fishprodtech_f_g9</f>
        <v>0</v>
      </c>
      <c r="F302" t="b">
        <v>1</v>
      </c>
      <c r="H302" s="1354"/>
      <c r="I302" s="1354"/>
      <c r="J302" s="1354"/>
      <c r="K302" s="1354"/>
      <c r="L302" s="1354"/>
      <c r="M302" s="1354"/>
      <c r="N302" s="135"/>
      <c r="O302" s="1354"/>
      <c r="P302" s="1354"/>
      <c r="Q302" s="1354"/>
      <c r="R302" s="1354"/>
      <c r="S302" s="1354"/>
      <c r="T302" s="1354"/>
      <c r="U302" s="1354"/>
      <c r="V302" s="1354"/>
      <c r="W302" s="1354"/>
      <c r="X302" s="1354"/>
      <c r="Y302" s="1354"/>
      <c r="Z302" s="1354"/>
    </row>
    <row r="303" spans="1:26" x14ac:dyDescent="0.35">
      <c r="A303" t="s">
        <v>6819</v>
      </c>
      <c r="B303" t="s">
        <v>6690</v>
      </c>
      <c r="C303" t="s">
        <v>6819</v>
      </c>
      <c r="D303" s="1353" t="s">
        <v>6984</v>
      </c>
      <c r="E303">
        <f>learners_sptve_fishprodtech_m_g10</f>
        <v>0</v>
      </c>
      <c r="F303" t="b">
        <v>1</v>
      </c>
      <c r="H303" s="1354"/>
      <c r="I303" s="1354"/>
      <c r="J303" s="1354"/>
      <c r="K303" s="1354"/>
      <c r="L303" s="1354"/>
      <c r="M303" s="1354"/>
      <c r="N303" s="135"/>
      <c r="O303" s="1354"/>
      <c r="P303" s="1354"/>
      <c r="Q303" s="1354"/>
      <c r="R303" s="1354"/>
      <c r="S303" s="1354"/>
      <c r="T303" s="1354"/>
      <c r="U303" s="1354"/>
      <c r="V303" s="1354"/>
      <c r="W303" s="1354"/>
      <c r="X303" s="1354"/>
      <c r="Y303" s="1354"/>
      <c r="Z303" s="1354"/>
    </row>
    <row r="304" spans="1:26" x14ac:dyDescent="0.35">
      <c r="A304" t="s">
        <v>6838</v>
      </c>
      <c r="B304" t="s">
        <v>6690</v>
      </c>
      <c r="C304" t="s">
        <v>6838</v>
      </c>
      <c r="D304" s="1353" t="s">
        <v>7004</v>
      </c>
      <c r="E304">
        <f>learners_sptve_fishprodtech_f_g10</f>
        <v>0</v>
      </c>
      <c r="F304" t="b">
        <v>1</v>
      </c>
      <c r="H304" s="1354"/>
      <c r="I304" s="1354"/>
      <c r="J304" s="1354"/>
      <c r="K304" s="1354"/>
      <c r="L304" s="1354"/>
      <c r="M304" s="1354"/>
      <c r="N304" s="135"/>
      <c r="O304" s="1354"/>
      <c r="P304" s="1354"/>
      <c r="Q304" s="1354"/>
      <c r="R304" s="1354"/>
      <c r="S304" s="1354"/>
      <c r="T304" s="1354"/>
      <c r="U304" s="1354"/>
      <c r="V304" s="1354"/>
      <c r="W304" s="1354"/>
      <c r="X304" s="1354"/>
      <c r="Y304" s="1354"/>
      <c r="Z304" s="1354"/>
    </row>
    <row r="305" spans="1:26" x14ac:dyDescent="0.35">
      <c r="A305" t="s">
        <v>6706</v>
      </c>
      <c r="B305" t="s">
        <v>6690</v>
      </c>
      <c r="C305" t="s">
        <v>6706</v>
      </c>
      <c r="D305" s="1353" t="s">
        <v>6865</v>
      </c>
      <c r="E305">
        <f>learners_sptve_internetfundamentals_m_g7</f>
        <v>186</v>
      </c>
      <c r="F305" t="b">
        <v>1</v>
      </c>
      <c r="H305" s="1354"/>
      <c r="I305" s="1354"/>
      <c r="J305" s="1354"/>
      <c r="K305" s="1354"/>
      <c r="L305" s="1354"/>
      <c r="M305" s="1354"/>
      <c r="N305" s="135"/>
      <c r="O305" s="1354"/>
      <c r="P305" s="1354"/>
      <c r="Q305" s="1354"/>
      <c r="R305" s="1354"/>
      <c r="S305" s="1354"/>
      <c r="T305" s="1354"/>
      <c r="U305" s="1354"/>
      <c r="V305" s="1354"/>
      <c r="W305" s="1354"/>
      <c r="X305" s="1354"/>
      <c r="Y305" s="1354"/>
      <c r="Z305" s="1354"/>
    </row>
    <row r="306" spans="1:26" x14ac:dyDescent="0.35">
      <c r="A306" t="s">
        <v>6725</v>
      </c>
      <c r="B306" t="s">
        <v>6690</v>
      </c>
      <c r="C306" t="s">
        <v>6725</v>
      </c>
      <c r="D306" s="1353" t="s">
        <v>6885</v>
      </c>
      <c r="E306">
        <f>learners_sptve_internetfundamentals_f_g7</f>
        <v>173</v>
      </c>
      <c r="F306" t="b">
        <v>1</v>
      </c>
      <c r="H306" s="1354"/>
      <c r="I306" s="1354"/>
      <c r="J306" s="1354"/>
      <c r="K306" s="1354"/>
      <c r="L306" s="1354"/>
      <c r="M306" s="1354"/>
      <c r="N306" s="135"/>
      <c r="O306" s="1354"/>
      <c r="P306" s="1354"/>
      <c r="Q306" s="1354"/>
      <c r="R306" s="1354"/>
      <c r="S306" s="1354"/>
      <c r="T306" s="1354"/>
      <c r="U306" s="1354"/>
      <c r="V306" s="1354"/>
      <c r="W306" s="1354"/>
      <c r="X306" s="1354"/>
      <c r="Y306" s="1354"/>
      <c r="Z306" s="1354"/>
    </row>
    <row r="307" spans="1:26" x14ac:dyDescent="0.35">
      <c r="A307" t="s">
        <v>6744</v>
      </c>
      <c r="B307" t="s">
        <v>6690</v>
      </c>
      <c r="C307" t="s">
        <v>6744</v>
      </c>
      <c r="D307" s="1353" t="s">
        <v>6905</v>
      </c>
      <c r="E307">
        <f>learners_sptve_internetfundamentals_m_g8</f>
        <v>192</v>
      </c>
      <c r="F307" t="b">
        <v>1</v>
      </c>
      <c r="H307" s="1354"/>
      <c r="I307" s="1354"/>
      <c r="J307" s="1354"/>
      <c r="K307" s="1354"/>
      <c r="L307" s="1354"/>
      <c r="M307" s="1354"/>
      <c r="N307" s="135"/>
      <c r="O307" s="1354"/>
      <c r="P307" s="1354"/>
      <c r="Q307" s="1354"/>
      <c r="R307" s="1354"/>
      <c r="S307" s="1354"/>
      <c r="T307" s="1354"/>
      <c r="U307" s="1354"/>
      <c r="V307" s="1354"/>
      <c r="W307" s="1354"/>
      <c r="X307" s="1354"/>
      <c r="Y307" s="1354"/>
      <c r="Z307" s="1354"/>
    </row>
    <row r="308" spans="1:26" x14ac:dyDescent="0.35">
      <c r="A308" t="s">
        <v>6763</v>
      </c>
      <c r="B308" t="s">
        <v>6690</v>
      </c>
      <c r="C308" t="s">
        <v>6763</v>
      </c>
      <c r="D308" s="1353" t="s">
        <v>6925</v>
      </c>
      <c r="E308">
        <f>learners_sptve_internetfundamentals_f_g8</f>
        <v>190</v>
      </c>
      <c r="F308" t="b">
        <v>1</v>
      </c>
      <c r="H308" s="1354"/>
      <c r="I308" s="1354"/>
      <c r="J308" s="1354"/>
      <c r="K308" s="1354"/>
      <c r="L308" s="1354"/>
      <c r="M308" s="1354"/>
      <c r="N308" s="135"/>
      <c r="O308" s="1354"/>
      <c r="P308" s="1354"/>
      <c r="Q308" s="1354"/>
      <c r="R308" s="1354"/>
      <c r="S308" s="1354"/>
      <c r="T308" s="1354"/>
      <c r="U308" s="1354"/>
      <c r="V308" s="1354"/>
      <c r="W308" s="1354"/>
      <c r="X308" s="1354"/>
      <c r="Y308" s="1354"/>
      <c r="Z308" s="1354"/>
    </row>
    <row r="309" spans="1:26" x14ac:dyDescent="0.35">
      <c r="A309" t="s">
        <v>6782</v>
      </c>
      <c r="B309" t="s">
        <v>6690</v>
      </c>
      <c r="C309" t="s">
        <v>6782</v>
      </c>
      <c r="D309" s="1353" t="s">
        <v>6945</v>
      </c>
      <c r="E309">
        <f>learners_sptve_internetfundamentals_m_g9</f>
        <v>181</v>
      </c>
      <c r="F309" t="b">
        <v>1</v>
      </c>
      <c r="H309" s="1354"/>
      <c r="I309" s="1354"/>
      <c r="J309" s="1354"/>
      <c r="K309" s="1354"/>
      <c r="L309" s="1354"/>
      <c r="M309" s="1354"/>
      <c r="N309" s="135"/>
      <c r="O309" s="1354"/>
      <c r="P309" s="1354"/>
      <c r="Q309" s="1354"/>
      <c r="R309" s="1354"/>
      <c r="S309" s="1354"/>
      <c r="T309" s="1354"/>
      <c r="U309" s="1354"/>
      <c r="V309" s="1354"/>
      <c r="W309" s="1354"/>
      <c r="X309" s="1354"/>
      <c r="Y309" s="1354"/>
      <c r="Z309" s="1354"/>
    </row>
    <row r="310" spans="1:26" x14ac:dyDescent="0.35">
      <c r="A310" t="s">
        <v>6801</v>
      </c>
      <c r="B310" t="s">
        <v>6690</v>
      </c>
      <c r="C310" t="s">
        <v>6801</v>
      </c>
      <c r="D310" s="1353" t="s">
        <v>6965</v>
      </c>
      <c r="E310">
        <f>learners_sptve_internetfundamentals_f_g9</f>
        <v>204</v>
      </c>
      <c r="F310" t="b">
        <v>1</v>
      </c>
      <c r="H310" s="1354"/>
      <c r="I310" s="1354"/>
      <c r="J310" s="1354"/>
      <c r="K310" s="1354"/>
      <c r="L310" s="1354"/>
      <c r="M310" s="1354"/>
      <c r="N310" s="135"/>
      <c r="O310" s="1354"/>
      <c r="P310" s="1354"/>
      <c r="Q310" s="1354"/>
      <c r="R310" s="1354"/>
      <c r="S310" s="1354"/>
      <c r="T310" s="1354"/>
      <c r="U310" s="1354"/>
      <c r="V310" s="1354"/>
      <c r="W310" s="1354"/>
      <c r="X310" s="1354"/>
      <c r="Y310" s="1354"/>
      <c r="Z310" s="1354"/>
    </row>
    <row r="311" spans="1:26" x14ac:dyDescent="0.35">
      <c r="A311" t="s">
        <v>6820</v>
      </c>
      <c r="B311" t="s">
        <v>6690</v>
      </c>
      <c r="C311" t="s">
        <v>6820</v>
      </c>
      <c r="D311" s="1353" t="s">
        <v>6985</v>
      </c>
      <c r="E311">
        <f>learners_sptve_internetfundamentals_m_g10</f>
        <v>0</v>
      </c>
      <c r="F311" t="b">
        <v>1</v>
      </c>
      <c r="H311" s="1354"/>
      <c r="I311" s="1354"/>
      <c r="J311" s="1354"/>
      <c r="K311" s="1354"/>
      <c r="L311" s="1354"/>
      <c r="M311" s="1354"/>
      <c r="N311" s="135"/>
      <c r="O311" s="1354"/>
      <c r="P311" s="1354"/>
      <c r="Q311" s="1354"/>
      <c r="R311" s="1354"/>
      <c r="S311" s="1354"/>
      <c r="T311" s="1354"/>
      <c r="U311" s="1354"/>
      <c r="V311" s="1354"/>
      <c r="W311" s="1354"/>
      <c r="X311" s="1354"/>
      <c r="Y311" s="1354"/>
      <c r="Z311" s="1354"/>
    </row>
    <row r="312" spans="1:26" x14ac:dyDescent="0.35">
      <c r="A312" t="s">
        <v>6839</v>
      </c>
      <c r="B312" t="s">
        <v>6690</v>
      </c>
      <c r="C312" t="s">
        <v>6839</v>
      </c>
      <c r="D312" s="1353" t="s">
        <v>7005</v>
      </c>
      <c r="E312">
        <f>learners_sptve_internetfundamentals_f_g10</f>
        <v>0</v>
      </c>
      <c r="F312" t="b">
        <v>1</v>
      </c>
      <c r="H312" s="1354"/>
      <c r="I312" s="1354"/>
      <c r="J312" s="1354"/>
      <c r="K312" s="1354"/>
      <c r="L312" s="1354"/>
      <c r="M312" s="1354"/>
      <c r="N312" s="135"/>
      <c r="O312" s="1354"/>
      <c r="P312" s="1354"/>
      <c r="Q312" s="1354"/>
      <c r="R312" s="1354"/>
      <c r="S312" s="1354"/>
      <c r="T312" s="1354"/>
      <c r="U312" s="1354"/>
      <c r="V312" s="1354"/>
      <c r="W312" s="1354"/>
      <c r="X312" s="1354"/>
      <c r="Y312" s="1354"/>
      <c r="Z312" s="1354"/>
    </row>
    <row r="313" spans="1:26" x14ac:dyDescent="0.35">
      <c r="A313" t="s">
        <v>6707</v>
      </c>
      <c r="B313" t="s">
        <v>6690</v>
      </c>
      <c r="C313" t="s">
        <v>6707</v>
      </c>
      <c r="D313" s="1353" t="s">
        <v>6866</v>
      </c>
      <c r="E313">
        <f>learners_sptve_enterp_m_g7</f>
        <v>0</v>
      </c>
      <c r="F313" t="b">
        <v>1</v>
      </c>
      <c r="H313" s="1354"/>
      <c r="I313" s="1354"/>
      <c r="J313" s="1354"/>
      <c r="K313" s="1354"/>
      <c r="L313" s="1354"/>
      <c r="M313" s="1354"/>
      <c r="N313" s="135"/>
      <c r="O313" s="1354"/>
      <c r="P313" s="1354"/>
      <c r="Q313" s="1354"/>
      <c r="R313" s="1354"/>
      <c r="S313" s="1354"/>
      <c r="T313" s="1354"/>
      <c r="U313" s="1354"/>
      <c r="V313" s="1354"/>
      <c r="W313" s="1354"/>
      <c r="X313" s="1354"/>
      <c r="Y313" s="1354"/>
      <c r="Z313" s="1354"/>
    </row>
    <row r="314" spans="1:26" x14ac:dyDescent="0.35">
      <c r="A314" t="s">
        <v>6726</v>
      </c>
      <c r="B314" t="s">
        <v>6690</v>
      </c>
      <c r="C314" t="s">
        <v>6726</v>
      </c>
      <c r="D314" s="1353" t="s">
        <v>6886</v>
      </c>
      <c r="E314">
        <f>learners_sptve_enterp_f_g7</f>
        <v>0</v>
      </c>
      <c r="F314" t="b">
        <v>1</v>
      </c>
      <c r="H314" s="1354"/>
      <c r="I314" s="1354"/>
      <c r="J314" s="1354"/>
      <c r="K314" s="1354"/>
      <c r="L314" s="1354"/>
      <c r="M314" s="1354"/>
      <c r="N314" s="135"/>
      <c r="O314" s="1354"/>
      <c r="P314" s="1354"/>
      <c r="Q314" s="1354"/>
      <c r="R314" s="1354"/>
      <c r="S314" s="1354"/>
      <c r="T314" s="1354"/>
      <c r="U314" s="1354"/>
      <c r="V314" s="1354"/>
      <c r="W314" s="1354"/>
      <c r="X314" s="1354"/>
      <c r="Y314" s="1354"/>
      <c r="Z314" s="1354"/>
    </row>
    <row r="315" spans="1:26" x14ac:dyDescent="0.35">
      <c r="A315" t="s">
        <v>6745</v>
      </c>
      <c r="B315" t="s">
        <v>6690</v>
      </c>
      <c r="C315" t="s">
        <v>6745</v>
      </c>
      <c r="D315" s="1353" t="s">
        <v>6906</v>
      </c>
      <c r="E315">
        <f>learners_sptve_enterp_m_g8</f>
        <v>0</v>
      </c>
      <c r="F315" t="b">
        <v>1</v>
      </c>
      <c r="H315" s="1354"/>
      <c r="I315" s="1354"/>
      <c r="J315" s="1354"/>
      <c r="K315" s="1354"/>
      <c r="L315" s="1354"/>
      <c r="M315" s="1354"/>
      <c r="N315" s="135"/>
      <c r="O315" s="1354"/>
      <c r="P315" s="1354"/>
      <c r="Q315" s="1354"/>
      <c r="R315" s="1354"/>
      <c r="S315" s="1354"/>
      <c r="T315" s="1354"/>
      <c r="U315" s="1354"/>
      <c r="V315" s="1354"/>
      <c r="W315" s="1354"/>
      <c r="X315" s="1354"/>
      <c r="Y315" s="1354"/>
      <c r="Z315" s="1354"/>
    </row>
    <row r="316" spans="1:26" x14ac:dyDescent="0.35">
      <c r="A316" t="s">
        <v>6764</v>
      </c>
      <c r="B316" t="s">
        <v>6690</v>
      </c>
      <c r="C316" t="s">
        <v>6764</v>
      </c>
      <c r="D316" s="1353" t="s">
        <v>6926</v>
      </c>
      <c r="E316">
        <f>learners_sptve_enterp_f_g8</f>
        <v>0</v>
      </c>
      <c r="F316" t="b">
        <v>1</v>
      </c>
      <c r="H316" s="1354"/>
      <c r="I316" s="1354"/>
      <c r="J316" s="1354"/>
      <c r="K316" s="1354"/>
      <c r="L316" s="1354"/>
      <c r="M316" s="1354"/>
      <c r="N316" s="135"/>
      <c r="O316" s="1354"/>
      <c r="P316" s="1354"/>
      <c r="Q316" s="1354"/>
      <c r="R316" s="1354"/>
      <c r="S316" s="1354"/>
      <c r="T316" s="1354"/>
      <c r="U316" s="1354"/>
      <c r="V316" s="1354"/>
      <c r="W316" s="1354"/>
      <c r="X316" s="1354"/>
      <c r="Y316" s="1354"/>
      <c r="Z316" s="1354"/>
    </row>
    <row r="317" spans="1:26" x14ac:dyDescent="0.35">
      <c r="A317" t="s">
        <v>6783</v>
      </c>
      <c r="B317" t="s">
        <v>6690</v>
      </c>
      <c r="C317" t="s">
        <v>6783</v>
      </c>
      <c r="D317" s="1353" t="s">
        <v>6946</v>
      </c>
      <c r="E317">
        <f>learners_sptve_enterp_m_g9</f>
        <v>181</v>
      </c>
      <c r="F317" t="b">
        <v>1</v>
      </c>
      <c r="H317" s="1354"/>
      <c r="I317" s="1354"/>
      <c r="J317" s="1354"/>
      <c r="K317" s="1354"/>
      <c r="L317" s="1354"/>
      <c r="M317" s="1354"/>
      <c r="N317" s="135"/>
      <c r="O317" s="1354"/>
      <c r="P317" s="1354"/>
      <c r="Q317" s="1354"/>
      <c r="R317" s="1354"/>
      <c r="S317" s="1354"/>
      <c r="T317" s="1354"/>
      <c r="U317" s="1354"/>
      <c r="V317" s="1354"/>
      <c r="W317" s="1354"/>
      <c r="X317" s="1354"/>
      <c r="Y317" s="1354"/>
      <c r="Z317" s="1354"/>
    </row>
    <row r="318" spans="1:26" x14ac:dyDescent="0.35">
      <c r="A318" t="s">
        <v>6802</v>
      </c>
      <c r="B318" t="s">
        <v>6690</v>
      </c>
      <c r="C318" t="s">
        <v>6802</v>
      </c>
      <c r="D318" s="1353" t="s">
        <v>6966</v>
      </c>
      <c r="E318">
        <f>learners_sptve_enterp_f_g9</f>
        <v>204</v>
      </c>
      <c r="F318" t="b">
        <v>1</v>
      </c>
      <c r="H318" s="1354"/>
      <c r="I318" s="1354"/>
      <c r="J318" s="1354"/>
      <c r="K318" s="1354"/>
      <c r="L318" s="1354"/>
      <c r="M318" s="1354"/>
      <c r="N318" s="135"/>
      <c r="O318" s="1354"/>
      <c r="P318" s="1354"/>
      <c r="Q318" s="1354"/>
      <c r="R318" s="1354"/>
      <c r="S318" s="1354"/>
      <c r="T318" s="1354"/>
      <c r="U318" s="1354"/>
      <c r="V318" s="1354"/>
      <c r="W318" s="1354"/>
      <c r="X318" s="1354"/>
      <c r="Y318" s="1354"/>
      <c r="Z318" s="1354"/>
    </row>
    <row r="319" spans="1:26" x14ac:dyDescent="0.35">
      <c r="A319" t="s">
        <v>6821</v>
      </c>
      <c r="B319" t="s">
        <v>6690</v>
      </c>
      <c r="C319" t="s">
        <v>6821</v>
      </c>
      <c r="D319" s="1353" t="s">
        <v>6986</v>
      </c>
      <c r="E319">
        <f>learners_sptve_enterp_m_g10</f>
        <v>13</v>
      </c>
      <c r="F319" t="b">
        <v>1</v>
      </c>
      <c r="H319" s="1354"/>
      <c r="I319" s="1354"/>
      <c r="J319" s="1354"/>
      <c r="K319" s="1354"/>
      <c r="L319" s="1354"/>
      <c r="M319" s="1354"/>
      <c r="N319" s="135"/>
      <c r="O319" s="1354"/>
      <c r="P319" s="1354"/>
      <c r="Q319" s="1354"/>
      <c r="R319" s="1354"/>
      <c r="S319" s="1354"/>
      <c r="T319" s="1354"/>
      <c r="U319" s="1354"/>
      <c r="V319" s="1354"/>
      <c r="W319" s="1354"/>
      <c r="X319" s="1354"/>
      <c r="Y319" s="1354"/>
      <c r="Z319" s="1354"/>
    </row>
    <row r="320" spans="1:26" x14ac:dyDescent="0.35">
      <c r="A320" t="s">
        <v>6840</v>
      </c>
      <c r="B320" t="s">
        <v>6690</v>
      </c>
      <c r="C320" t="s">
        <v>6840</v>
      </c>
      <c r="D320" s="1353" t="s">
        <v>7006</v>
      </c>
      <c r="E320">
        <f>learners_sptve_enterp_f_g10</f>
        <v>31</v>
      </c>
      <c r="F320" t="b">
        <v>1</v>
      </c>
      <c r="H320" s="1354"/>
      <c r="I320" s="1354"/>
      <c r="J320" s="1354"/>
      <c r="K320" s="1354"/>
      <c r="L320" s="1354"/>
      <c r="M320" s="1354"/>
      <c r="N320" s="135"/>
      <c r="O320" s="1354"/>
      <c r="P320" s="1354"/>
      <c r="Q320" s="1354"/>
      <c r="R320" s="1354"/>
      <c r="S320" s="1354"/>
      <c r="T320" s="1354"/>
      <c r="U320" s="1354"/>
      <c r="V320" s="1354"/>
      <c r="W320" s="1354"/>
      <c r="X320" s="1354"/>
      <c r="Y320" s="1354"/>
      <c r="Z320" s="1354"/>
    </row>
    <row r="321" spans="1:26" x14ac:dyDescent="0.35">
      <c r="A321" t="s">
        <v>6708</v>
      </c>
      <c r="B321" t="s">
        <v>6690</v>
      </c>
      <c r="C321" t="s">
        <v>6708</v>
      </c>
      <c r="D321" s="1353" t="s">
        <v>6867</v>
      </c>
      <c r="E321">
        <f>learners_sptve_techdrawing_m_g7</f>
        <v>186</v>
      </c>
      <c r="F321" t="b">
        <v>1</v>
      </c>
      <c r="H321" s="1354"/>
      <c r="I321" s="1354"/>
      <c r="J321" s="1354"/>
      <c r="K321" s="1354"/>
      <c r="L321" s="1354"/>
      <c r="M321" s="1354"/>
      <c r="N321" s="135"/>
      <c r="O321" s="1354"/>
      <c r="P321" s="1354"/>
      <c r="Q321" s="1354"/>
      <c r="R321" s="1354"/>
      <c r="S321" s="1354"/>
      <c r="T321" s="1354"/>
      <c r="U321" s="1354"/>
      <c r="V321" s="1354"/>
      <c r="W321" s="1354"/>
      <c r="X321" s="1354"/>
      <c r="Y321" s="1354"/>
      <c r="Z321" s="1354"/>
    </row>
    <row r="322" spans="1:26" x14ac:dyDescent="0.35">
      <c r="A322" t="s">
        <v>6727</v>
      </c>
      <c r="B322" t="s">
        <v>6690</v>
      </c>
      <c r="C322" t="s">
        <v>6727</v>
      </c>
      <c r="D322" s="1353" t="s">
        <v>6887</v>
      </c>
      <c r="E322">
        <f>learners_sptve_techdrawing_f_g7</f>
        <v>173</v>
      </c>
      <c r="F322" t="b">
        <v>1</v>
      </c>
      <c r="H322" s="1354"/>
      <c r="I322" s="1354"/>
      <c r="J322" s="1354"/>
      <c r="K322" s="1354"/>
      <c r="L322" s="1354"/>
      <c r="M322" s="1354"/>
      <c r="N322" s="135"/>
      <c r="O322" s="1354"/>
      <c r="P322" s="1354"/>
      <c r="Q322" s="1354"/>
      <c r="R322" s="1354"/>
      <c r="S322" s="1354"/>
      <c r="T322" s="1354"/>
      <c r="U322" s="1354"/>
      <c r="V322" s="1354"/>
      <c r="W322" s="1354"/>
      <c r="X322" s="1354"/>
      <c r="Y322" s="1354"/>
      <c r="Z322" s="1354"/>
    </row>
    <row r="323" spans="1:26" x14ac:dyDescent="0.35">
      <c r="A323" t="s">
        <v>6746</v>
      </c>
      <c r="B323" t="s">
        <v>6690</v>
      </c>
      <c r="C323" t="s">
        <v>6746</v>
      </c>
      <c r="D323" s="1353" t="s">
        <v>6907</v>
      </c>
      <c r="E323">
        <f>learners_sptve_techdrawing_m_g8</f>
        <v>192</v>
      </c>
      <c r="F323" t="b">
        <v>1</v>
      </c>
      <c r="H323" s="1354"/>
      <c r="I323" s="1354"/>
      <c r="J323" s="1354"/>
      <c r="K323" s="1354"/>
      <c r="L323" s="1354"/>
      <c r="M323" s="1354"/>
      <c r="N323" s="135"/>
      <c r="O323" s="1354"/>
      <c r="P323" s="1354"/>
      <c r="Q323" s="1354"/>
      <c r="R323" s="1354"/>
      <c r="S323" s="1354"/>
      <c r="T323" s="1354"/>
      <c r="U323" s="1354"/>
      <c r="V323" s="1354"/>
      <c r="W323" s="1354"/>
      <c r="X323" s="1354"/>
      <c r="Y323" s="1354"/>
      <c r="Z323" s="1354"/>
    </row>
    <row r="324" spans="1:26" x14ac:dyDescent="0.35">
      <c r="A324" t="s">
        <v>6765</v>
      </c>
      <c r="B324" t="s">
        <v>6690</v>
      </c>
      <c r="C324" t="s">
        <v>6765</v>
      </c>
      <c r="D324" s="1353" t="s">
        <v>6927</v>
      </c>
      <c r="E324">
        <f>learners_sptve_techdrawing_f_g8</f>
        <v>190</v>
      </c>
      <c r="F324" t="b">
        <v>1</v>
      </c>
      <c r="H324" s="1354"/>
      <c r="I324" s="1354"/>
      <c r="J324" s="1354"/>
      <c r="K324" s="1354"/>
      <c r="L324" s="1354"/>
      <c r="M324" s="1354"/>
      <c r="N324" s="135"/>
      <c r="O324" s="1354"/>
      <c r="P324" s="1354"/>
      <c r="Q324" s="1354"/>
      <c r="R324" s="1354"/>
      <c r="S324" s="1354"/>
      <c r="T324" s="1354"/>
      <c r="U324" s="1354"/>
      <c r="V324" s="1354"/>
      <c r="W324" s="1354"/>
      <c r="X324" s="1354"/>
      <c r="Y324" s="1354"/>
      <c r="Z324" s="1354"/>
    </row>
    <row r="325" spans="1:26" x14ac:dyDescent="0.35">
      <c r="A325" t="s">
        <v>6784</v>
      </c>
      <c r="B325" t="s">
        <v>6690</v>
      </c>
      <c r="C325" t="s">
        <v>6784</v>
      </c>
      <c r="D325" s="1353" t="s">
        <v>6947</v>
      </c>
      <c r="E325">
        <f>learners_sptve_techdrawing_m_g9</f>
        <v>0</v>
      </c>
      <c r="F325" t="b">
        <v>1</v>
      </c>
      <c r="H325" s="1354"/>
      <c r="I325" s="1354"/>
      <c r="J325" s="1354"/>
      <c r="K325" s="1354"/>
      <c r="L325" s="1354"/>
      <c r="M325" s="1354"/>
      <c r="N325" s="135"/>
      <c r="O325" s="1354"/>
      <c r="P325" s="1354"/>
      <c r="Q325" s="1354"/>
      <c r="R325" s="1354"/>
      <c r="S325" s="1354"/>
      <c r="T325" s="1354"/>
      <c r="U325" s="1354"/>
      <c r="V325" s="1354"/>
      <c r="W325" s="1354"/>
      <c r="X325" s="1354"/>
      <c r="Y325" s="1354"/>
      <c r="Z325" s="1354"/>
    </row>
    <row r="326" spans="1:26" x14ac:dyDescent="0.35">
      <c r="A326" t="s">
        <v>6803</v>
      </c>
      <c r="B326" t="s">
        <v>6690</v>
      </c>
      <c r="C326" t="s">
        <v>6803</v>
      </c>
      <c r="D326" s="1353" t="s">
        <v>6967</v>
      </c>
      <c r="E326">
        <f>learners_sptve_techdrawing_f_g9</f>
        <v>0</v>
      </c>
      <c r="F326" t="b">
        <v>1</v>
      </c>
      <c r="H326" s="1354"/>
      <c r="I326" s="1354"/>
      <c r="J326" s="1354"/>
      <c r="K326" s="1354"/>
      <c r="L326" s="1354"/>
      <c r="M326" s="1354"/>
      <c r="N326" s="135"/>
      <c r="O326" s="1354"/>
      <c r="P326" s="1354"/>
      <c r="Q326" s="1354"/>
      <c r="R326" s="1354"/>
      <c r="S326" s="1354"/>
      <c r="T326" s="1354"/>
      <c r="U326" s="1354"/>
      <c r="V326" s="1354"/>
      <c r="W326" s="1354"/>
      <c r="X326" s="1354"/>
      <c r="Y326" s="1354"/>
      <c r="Z326" s="1354"/>
    </row>
    <row r="327" spans="1:26" x14ac:dyDescent="0.35">
      <c r="A327" t="s">
        <v>6822</v>
      </c>
      <c r="B327" t="s">
        <v>6690</v>
      </c>
      <c r="C327" t="s">
        <v>6822</v>
      </c>
      <c r="D327" s="1353" t="s">
        <v>6987</v>
      </c>
      <c r="E327">
        <f>learners_sptve_techdrawing_m_g10</f>
        <v>0</v>
      </c>
      <c r="F327" t="b">
        <v>1</v>
      </c>
      <c r="H327" s="1354"/>
      <c r="I327" s="1354"/>
      <c r="J327" s="1354"/>
      <c r="K327" s="1354"/>
      <c r="L327" s="1354"/>
      <c r="M327" s="1354"/>
      <c r="N327" s="135"/>
      <c r="O327" s="1354"/>
      <c r="P327" s="1354"/>
      <c r="Q327" s="1354"/>
      <c r="R327" s="1354"/>
      <c r="S327" s="1354"/>
      <c r="T327" s="1354"/>
      <c r="U327" s="1354"/>
      <c r="V327" s="1354"/>
      <c r="W327" s="1354"/>
      <c r="X327" s="1354"/>
      <c r="Y327" s="1354"/>
      <c r="Z327" s="1354"/>
    </row>
    <row r="328" spans="1:26" s="1348" customFormat="1" ht="16" thickBot="1" x14ac:dyDescent="0.4">
      <c r="A328" s="1348" t="s">
        <v>6841</v>
      </c>
      <c r="B328" s="1348" t="s">
        <v>6690</v>
      </c>
      <c r="C328" s="1348" t="s">
        <v>6841</v>
      </c>
      <c r="D328" s="1355" t="s">
        <v>7007</v>
      </c>
      <c r="E328" s="1348">
        <f>learners_sptve_techdrawing_f_g10</f>
        <v>0</v>
      </c>
      <c r="F328" s="1348" t="b">
        <v>1</v>
      </c>
      <c r="H328" s="1356"/>
      <c r="I328" s="1356"/>
      <c r="J328" s="1356"/>
      <c r="K328" s="1356"/>
      <c r="L328" s="1356"/>
      <c r="M328" s="1356"/>
      <c r="N328" s="145"/>
      <c r="O328" s="1356"/>
      <c r="P328" s="1356"/>
      <c r="Q328" s="1356"/>
      <c r="R328" s="1356"/>
      <c r="S328" s="1356"/>
      <c r="T328" s="1356"/>
      <c r="U328" s="1356"/>
      <c r="V328" s="1356"/>
      <c r="W328" s="1356"/>
      <c r="X328" s="1356"/>
      <c r="Y328" s="1356"/>
      <c r="Z328" s="1356"/>
    </row>
    <row r="329" spans="1:26" x14ac:dyDescent="0.35">
      <c r="A329" s="1354" t="s">
        <v>7020</v>
      </c>
      <c r="B329" s="1354" t="s">
        <v>6688</v>
      </c>
      <c r="C329" s="1354" t="s">
        <v>7020</v>
      </c>
      <c r="D329" s="1354" t="s">
        <v>7104</v>
      </c>
      <c r="E329" s="1354">
        <f>learners_spfl_yct_takers_m_g7</f>
        <v>0</v>
      </c>
      <c r="F329" s="1354" t="b">
        <v>1</v>
      </c>
      <c r="H329" s="1354"/>
      <c r="I329" s="1354"/>
      <c r="J329" s="1354"/>
      <c r="K329" s="1354"/>
      <c r="L329" s="1354"/>
      <c r="M329" s="1354"/>
      <c r="N329" s="135"/>
      <c r="O329" s="1354"/>
      <c r="P329" s="1354"/>
      <c r="Q329" s="1354"/>
      <c r="R329" s="1354"/>
      <c r="S329" s="1354"/>
      <c r="T329" s="1354"/>
      <c r="U329" s="1354"/>
      <c r="V329" s="1354"/>
      <c r="W329" s="1354"/>
      <c r="X329" s="1354"/>
      <c r="Y329" s="1354"/>
      <c r="Z329" s="1354"/>
    </row>
    <row r="330" spans="1:26" x14ac:dyDescent="0.35">
      <c r="A330" s="1354" t="s">
        <v>7026</v>
      </c>
      <c r="B330" s="1354" t="s">
        <v>6688</v>
      </c>
      <c r="C330" s="1354" t="s">
        <v>7026</v>
      </c>
      <c r="D330" s="1354" t="s">
        <v>7110</v>
      </c>
      <c r="E330" s="1354" cm="1">
        <f t="array" ref="E330">learners_spfl_yct_takers_f_g7</f>
        <v>0</v>
      </c>
      <c r="F330" s="1354" t="b">
        <v>1</v>
      </c>
      <c r="H330" s="1354"/>
      <c r="I330" s="1354"/>
      <c r="J330" s="1354"/>
      <c r="K330" s="1354"/>
      <c r="L330" s="1354"/>
      <c r="M330" s="1354"/>
      <c r="N330" s="135"/>
      <c r="O330" s="1354"/>
      <c r="P330" s="1354"/>
      <c r="Q330" s="1354"/>
      <c r="R330" s="1354"/>
      <c r="S330" s="1354"/>
      <c r="T330" s="1354"/>
      <c r="U330" s="1354"/>
      <c r="V330" s="1354"/>
      <c r="W330" s="1354"/>
      <c r="X330" s="1354"/>
      <c r="Y330" s="1354"/>
      <c r="Z330" s="1354"/>
    </row>
    <row r="331" spans="1:26" x14ac:dyDescent="0.35">
      <c r="A331" s="1354" t="s">
        <v>7008</v>
      </c>
      <c r="B331" s="1354" t="s">
        <v>6688</v>
      </c>
      <c r="C331" s="1354" t="s">
        <v>7008</v>
      </c>
      <c r="D331" s="1354" t="s">
        <v>7116</v>
      </c>
      <c r="E331" s="1354" cm="1">
        <f t="array" ref="E331">learners_spfl_yct_takers_m_g8</f>
        <v>0</v>
      </c>
      <c r="F331" s="1354" t="b">
        <v>1</v>
      </c>
      <c r="H331" s="1354"/>
      <c r="I331" s="1354"/>
      <c r="J331" s="1354"/>
      <c r="K331" s="1354"/>
      <c r="L331" s="1354"/>
      <c r="M331" s="1354"/>
      <c r="N331" s="135"/>
      <c r="O331" s="1354"/>
      <c r="P331" s="1354"/>
      <c r="Q331" s="1354"/>
      <c r="R331" s="1354"/>
      <c r="S331" s="1354"/>
      <c r="T331" s="1354"/>
      <c r="U331" s="1354"/>
      <c r="V331" s="1354"/>
      <c r="W331" s="1354"/>
      <c r="X331" s="1354"/>
      <c r="Y331" s="1354"/>
      <c r="Z331" s="1354"/>
    </row>
    <row r="332" spans="1:26" x14ac:dyDescent="0.35">
      <c r="A332" s="1354" t="s">
        <v>7014</v>
      </c>
      <c r="B332" s="1354" t="s">
        <v>6688</v>
      </c>
      <c r="C332" s="1354" t="s">
        <v>7014</v>
      </c>
      <c r="D332" s="1354" t="s">
        <v>7122</v>
      </c>
      <c r="E332" s="1354" cm="1">
        <f t="array" ref="E332">learners_spfl_yct_takers_f_g8</f>
        <v>0</v>
      </c>
      <c r="F332" s="1354" t="b">
        <v>1</v>
      </c>
      <c r="H332" s="1354"/>
      <c r="I332" s="1354"/>
      <c r="J332" s="1354"/>
      <c r="K332" s="1354"/>
      <c r="L332" s="1354"/>
      <c r="M332" s="1354"/>
      <c r="N332" s="135"/>
      <c r="O332" s="1354"/>
      <c r="P332" s="1354"/>
      <c r="Q332" s="1354"/>
      <c r="R332" s="1354"/>
      <c r="S332" s="1354"/>
      <c r="T332" s="1354"/>
      <c r="U332" s="1354"/>
      <c r="V332" s="1354"/>
      <c r="W332" s="1354"/>
      <c r="X332" s="1354"/>
      <c r="Y332" s="1354"/>
      <c r="Z332" s="1354"/>
    </row>
    <row r="333" spans="1:26" x14ac:dyDescent="0.35">
      <c r="A333" s="1354" t="s">
        <v>7032</v>
      </c>
      <c r="B333" s="1354" t="s">
        <v>6688</v>
      </c>
      <c r="C333" s="1354" t="s">
        <v>7032</v>
      </c>
      <c r="D333" s="1354" t="s">
        <v>7128</v>
      </c>
      <c r="E333" s="1354" cm="1">
        <f t="array" ref="E333">learners_spfl_yct_takers_m_g9</f>
        <v>0</v>
      </c>
      <c r="F333" s="1354" t="b">
        <v>1</v>
      </c>
      <c r="H333" s="1354"/>
      <c r="I333" s="1354"/>
      <c r="J333" s="1354"/>
      <c r="K333" s="1354"/>
      <c r="L333" s="1354"/>
      <c r="M333" s="1354"/>
      <c r="N333" s="135"/>
      <c r="O333" s="1354"/>
      <c r="P333" s="1354"/>
      <c r="Q333" s="1354"/>
      <c r="R333" s="1354"/>
      <c r="S333" s="1354"/>
      <c r="T333" s="1354"/>
      <c r="U333" s="1354"/>
      <c r="V333" s="1354"/>
      <c r="W333" s="1354"/>
      <c r="X333" s="1354"/>
      <c r="Y333" s="1354"/>
      <c r="Z333" s="1354"/>
    </row>
    <row r="334" spans="1:26" x14ac:dyDescent="0.35">
      <c r="A334" s="1354" t="s">
        <v>7038</v>
      </c>
      <c r="B334" s="1354" t="s">
        <v>6688</v>
      </c>
      <c r="C334" s="1354" t="s">
        <v>7038</v>
      </c>
      <c r="D334" s="1354" t="s">
        <v>7134</v>
      </c>
      <c r="E334" s="1354" cm="1">
        <f t="array" ref="E334">learners_spfl_yct_takers_f_g9</f>
        <v>0</v>
      </c>
      <c r="F334" s="1354" t="b">
        <v>1</v>
      </c>
      <c r="H334" s="1354"/>
      <c r="I334" s="1354"/>
      <c r="J334" s="1354"/>
      <c r="K334" s="1354"/>
      <c r="L334" s="1354"/>
      <c r="M334" s="1354"/>
      <c r="N334" s="135"/>
      <c r="O334" s="1354"/>
      <c r="P334" s="1354"/>
      <c r="Q334" s="1354"/>
      <c r="R334" s="1354"/>
      <c r="S334" s="1354"/>
      <c r="T334" s="1354"/>
      <c r="U334" s="1354"/>
      <c r="V334" s="1354"/>
      <c r="W334" s="1354"/>
      <c r="X334" s="1354"/>
      <c r="Y334" s="1354"/>
      <c r="Z334" s="1354"/>
    </row>
    <row r="335" spans="1:26" x14ac:dyDescent="0.35">
      <c r="A335" s="1354" t="s">
        <v>7044</v>
      </c>
      <c r="B335" s="1354" t="s">
        <v>6688</v>
      </c>
      <c r="C335" s="1354" t="s">
        <v>7044</v>
      </c>
      <c r="D335" s="1354" t="s">
        <v>7140</v>
      </c>
      <c r="E335" s="1354" cm="1">
        <f t="array" ref="E335">learners_spfl_yct_takers_m_g10</f>
        <v>0</v>
      </c>
      <c r="F335" s="1354" t="b">
        <v>1</v>
      </c>
      <c r="H335" s="1354"/>
      <c r="I335" s="1354"/>
      <c r="J335" s="1354"/>
      <c r="K335" s="1354"/>
      <c r="L335" s="1354"/>
      <c r="M335" s="1354"/>
      <c r="N335" s="135"/>
      <c r="O335" s="1354"/>
      <c r="P335" s="1354"/>
      <c r="Q335" s="1354"/>
      <c r="R335" s="1354"/>
      <c r="S335" s="1354"/>
      <c r="T335" s="1354"/>
      <c r="U335" s="1354"/>
      <c r="V335" s="1354"/>
      <c r="W335" s="1354"/>
      <c r="X335" s="1354"/>
      <c r="Y335" s="1354"/>
      <c r="Z335" s="1354"/>
    </row>
    <row r="336" spans="1:26" x14ac:dyDescent="0.35">
      <c r="A336" s="1354" t="s">
        <v>7050</v>
      </c>
      <c r="B336" s="1354" t="s">
        <v>6688</v>
      </c>
      <c r="C336" s="1354" t="s">
        <v>7050</v>
      </c>
      <c r="D336" s="1354" t="s">
        <v>7146</v>
      </c>
      <c r="E336" s="1354" cm="1">
        <f t="array" ref="E336">learners_spfl_yct_takers_f_g10</f>
        <v>0</v>
      </c>
      <c r="F336" s="1354" t="b">
        <v>1</v>
      </c>
      <c r="H336" s="1354"/>
      <c r="I336" s="1354"/>
      <c r="J336" s="1354"/>
      <c r="K336" s="1354"/>
      <c r="L336" s="1354"/>
      <c r="M336" s="1354"/>
      <c r="N336" s="135"/>
      <c r="O336" s="1354"/>
      <c r="P336" s="1354"/>
      <c r="Q336" s="1354"/>
      <c r="R336" s="1354"/>
      <c r="S336" s="1354"/>
      <c r="T336" s="1354"/>
      <c r="U336" s="1354"/>
      <c r="V336" s="1354"/>
      <c r="W336" s="1354"/>
      <c r="X336" s="1354"/>
      <c r="Y336" s="1354"/>
      <c r="Z336" s="1354"/>
    </row>
    <row r="337" spans="1:26" x14ac:dyDescent="0.35">
      <c r="A337" s="1354" t="s">
        <v>7056</v>
      </c>
      <c r="B337" s="1354" t="s">
        <v>6688</v>
      </c>
      <c r="C337" s="1354" t="s">
        <v>7056</v>
      </c>
      <c r="D337" s="1354" t="s">
        <v>7152</v>
      </c>
      <c r="E337" s="1354" cm="1">
        <f t="array" ref="E337">learners_spfl_yct_passer_m_g7</f>
        <v>0</v>
      </c>
      <c r="F337" s="1354" t="b">
        <v>1</v>
      </c>
      <c r="H337" s="1354"/>
      <c r="I337" s="1354"/>
      <c r="J337" s="1354"/>
      <c r="K337" s="1354"/>
      <c r="L337" s="1354"/>
      <c r="M337" s="1354"/>
      <c r="N337" s="135"/>
      <c r="O337" s="1354"/>
      <c r="P337" s="1354"/>
      <c r="Q337" s="1354"/>
      <c r="R337" s="1354"/>
      <c r="S337" s="1354"/>
      <c r="T337" s="1354"/>
      <c r="U337" s="1354"/>
      <c r="V337" s="1354"/>
      <c r="W337" s="1354"/>
      <c r="X337" s="1354"/>
      <c r="Y337" s="1354"/>
      <c r="Z337" s="1354"/>
    </row>
    <row r="338" spans="1:26" x14ac:dyDescent="0.35">
      <c r="A338" s="1354" t="s">
        <v>7062</v>
      </c>
      <c r="B338" s="1354" t="s">
        <v>6688</v>
      </c>
      <c r="C338" s="1354" t="s">
        <v>7062</v>
      </c>
      <c r="D338" s="1354" t="s">
        <v>7158</v>
      </c>
      <c r="E338" s="1354" cm="1">
        <f t="array" ref="E338">learners_spfl_yct_passer_f_g7</f>
        <v>0</v>
      </c>
      <c r="F338" s="1354" t="b">
        <v>1</v>
      </c>
      <c r="H338" s="1354"/>
      <c r="I338" s="1354"/>
      <c r="J338" s="1354"/>
      <c r="K338" s="1354"/>
      <c r="L338" s="1354"/>
      <c r="M338" s="1354"/>
      <c r="N338" s="135"/>
      <c r="O338" s="1354"/>
      <c r="P338" s="1354"/>
      <c r="Q338" s="1354"/>
      <c r="R338" s="1354"/>
      <c r="S338" s="1354"/>
      <c r="T338" s="1354"/>
      <c r="U338" s="1354"/>
      <c r="V338" s="1354"/>
      <c r="W338" s="1354"/>
      <c r="X338" s="1354"/>
      <c r="Y338" s="1354"/>
      <c r="Z338" s="1354"/>
    </row>
    <row r="339" spans="1:26" x14ac:dyDescent="0.35">
      <c r="A339" s="1354" t="s">
        <v>7068</v>
      </c>
      <c r="B339" s="1354" t="s">
        <v>6688</v>
      </c>
      <c r="C339" s="1354" t="s">
        <v>7068</v>
      </c>
      <c r="D339" s="1354" t="s">
        <v>7164</v>
      </c>
      <c r="E339" s="1354" cm="1">
        <f t="array" ref="E339">learners_spfl_yct_passer_m_g8</f>
        <v>0</v>
      </c>
      <c r="F339" s="1354" t="b">
        <v>1</v>
      </c>
      <c r="H339" s="1354"/>
      <c r="I339" s="1354"/>
      <c r="J339" s="1354"/>
      <c r="K339" s="1354"/>
      <c r="L339" s="1354"/>
      <c r="M339" s="1354"/>
      <c r="N339" s="135"/>
      <c r="O339" s="1354"/>
      <c r="P339" s="1354"/>
      <c r="Q339" s="1354"/>
      <c r="R339" s="1354"/>
      <c r="S339" s="1354"/>
      <c r="T339" s="1354"/>
      <c r="U339" s="1354"/>
      <c r="V339" s="1354"/>
      <c r="W339" s="1354"/>
      <c r="X339" s="1354"/>
      <c r="Y339" s="1354"/>
      <c r="Z339" s="1354"/>
    </row>
    <row r="340" spans="1:26" x14ac:dyDescent="0.35">
      <c r="A340" s="1354" t="s">
        <v>7074</v>
      </c>
      <c r="B340" s="1354" t="s">
        <v>6688</v>
      </c>
      <c r="C340" s="1354" t="s">
        <v>7074</v>
      </c>
      <c r="D340" s="1354" t="s">
        <v>7170</v>
      </c>
      <c r="E340" s="1354" cm="1">
        <f t="array" ref="E340">learners_spfl_yct_passer_f_g8</f>
        <v>0</v>
      </c>
      <c r="F340" s="1354" t="b">
        <v>1</v>
      </c>
      <c r="H340" s="1354"/>
      <c r="I340" s="1354"/>
      <c r="J340" s="1354"/>
      <c r="K340" s="1354"/>
      <c r="L340" s="1354"/>
      <c r="M340" s="1354"/>
      <c r="N340" s="135"/>
      <c r="O340" s="1354"/>
      <c r="P340" s="1354"/>
      <c r="Q340" s="1354"/>
      <c r="R340" s="1354"/>
      <c r="S340" s="1354"/>
      <c r="T340" s="1354"/>
      <c r="U340" s="1354"/>
      <c r="V340" s="1354"/>
      <c r="W340" s="1354"/>
      <c r="X340" s="1354"/>
      <c r="Y340" s="1354"/>
      <c r="Z340" s="1354"/>
    </row>
    <row r="341" spans="1:26" x14ac:dyDescent="0.35">
      <c r="A341" s="1354" t="s">
        <v>7080</v>
      </c>
      <c r="B341" s="1354" t="s">
        <v>6688</v>
      </c>
      <c r="C341" s="1354" t="s">
        <v>7080</v>
      </c>
      <c r="D341" s="1354" t="s">
        <v>7176</v>
      </c>
      <c r="E341" s="1354" cm="1">
        <f t="array" ref="E341">learners_spfl_yct_passer_m_g9</f>
        <v>0</v>
      </c>
      <c r="F341" s="1354" t="b">
        <v>1</v>
      </c>
      <c r="H341" s="1354"/>
      <c r="I341" s="1354"/>
      <c r="J341" s="1354"/>
      <c r="K341" s="1354"/>
      <c r="L341" s="1354"/>
      <c r="M341" s="1354"/>
      <c r="N341" s="135"/>
      <c r="O341" s="1354"/>
      <c r="P341" s="1354"/>
      <c r="Q341" s="1354"/>
      <c r="R341" s="1354"/>
      <c r="S341" s="1354"/>
      <c r="T341" s="1354"/>
      <c r="U341" s="1354"/>
      <c r="V341" s="1354"/>
      <c r="W341" s="1354"/>
      <c r="X341" s="1354"/>
      <c r="Y341" s="1354"/>
      <c r="Z341" s="1354"/>
    </row>
    <row r="342" spans="1:26" x14ac:dyDescent="0.35">
      <c r="A342" s="1354" t="s">
        <v>7086</v>
      </c>
      <c r="B342" s="1354" t="s">
        <v>6688</v>
      </c>
      <c r="C342" s="1354" t="s">
        <v>7086</v>
      </c>
      <c r="D342" s="1354" t="s">
        <v>7182</v>
      </c>
      <c r="E342" s="1354" cm="1">
        <f t="array" ref="E342">learners_spfl_yct_passer_f_g9</f>
        <v>0</v>
      </c>
      <c r="F342" s="1354" t="b">
        <v>1</v>
      </c>
      <c r="H342" s="1354"/>
      <c r="I342" s="1354"/>
      <c r="J342" s="1354"/>
      <c r="K342" s="1354"/>
      <c r="L342" s="1354"/>
      <c r="M342" s="1354"/>
      <c r="N342" s="135"/>
      <c r="O342" s="1354"/>
      <c r="P342" s="1354"/>
      <c r="Q342" s="1354"/>
      <c r="R342" s="1354"/>
      <c r="S342" s="1354"/>
      <c r="T342" s="1354"/>
      <c r="U342" s="1354"/>
      <c r="V342" s="1354"/>
      <c r="W342" s="1354"/>
      <c r="X342" s="1354"/>
      <c r="Y342" s="1354"/>
      <c r="Z342" s="1354"/>
    </row>
    <row r="343" spans="1:26" x14ac:dyDescent="0.35">
      <c r="A343" s="1354" t="s">
        <v>7092</v>
      </c>
      <c r="B343" s="1354" t="s">
        <v>6688</v>
      </c>
      <c r="C343" s="1354" t="s">
        <v>7092</v>
      </c>
      <c r="D343" s="1354" t="s">
        <v>7189</v>
      </c>
      <c r="E343" s="1354" cm="1">
        <f t="array" ref="E343">learners_spfl_yct_passer_m_g10</f>
        <v>0</v>
      </c>
      <c r="F343" s="1354" t="b">
        <v>1</v>
      </c>
      <c r="H343" s="1354"/>
      <c r="I343" s="1354"/>
      <c r="J343" s="1354"/>
      <c r="K343" s="1354"/>
      <c r="L343" s="1354"/>
      <c r="M343" s="1354"/>
      <c r="N343" s="135"/>
      <c r="O343" s="1354"/>
      <c r="P343" s="1354"/>
      <c r="Q343" s="1354"/>
      <c r="R343" s="1354"/>
      <c r="S343" s="1354"/>
      <c r="T343" s="1354"/>
      <c r="U343" s="1354"/>
      <c r="V343" s="1354"/>
      <c r="W343" s="1354"/>
      <c r="X343" s="1354"/>
      <c r="Y343" s="1354"/>
      <c r="Z343" s="1354"/>
    </row>
    <row r="344" spans="1:26" x14ac:dyDescent="0.35">
      <c r="A344" s="1354" t="s">
        <v>7098</v>
      </c>
      <c r="B344" s="1354" t="s">
        <v>6688</v>
      </c>
      <c r="C344" s="1354" t="s">
        <v>7098</v>
      </c>
      <c r="D344" s="1354" t="s">
        <v>7194</v>
      </c>
      <c r="E344" s="1354" cm="1">
        <f t="array" ref="E344">learners_spfl_yct_passer_f_g10</f>
        <v>0</v>
      </c>
      <c r="F344" s="1354" t="b">
        <v>1</v>
      </c>
      <c r="H344" s="1354"/>
      <c r="I344" s="1354"/>
      <c r="J344" s="1354"/>
      <c r="K344" s="1354"/>
      <c r="L344" s="1354"/>
      <c r="M344" s="1354"/>
      <c r="N344" s="135"/>
      <c r="O344" s="1354"/>
      <c r="P344" s="1354"/>
      <c r="Q344" s="1354"/>
      <c r="R344" s="1354"/>
      <c r="S344" s="1354"/>
      <c r="T344" s="1354"/>
      <c r="U344" s="1354"/>
      <c r="V344" s="1354"/>
      <c r="W344" s="1354"/>
      <c r="X344" s="1354"/>
      <c r="Y344" s="1354"/>
      <c r="Z344" s="1354"/>
    </row>
    <row r="345" spans="1:26" x14ac:dyDescent="0.35">
      <c r="A345" s="1354" t="s">
        <v>7021</v>
      </c>
      <c r="B345" s="1354" t="s">
        <v>6688</v>
      </c>
      <c r="C345" s="1354" t="s">
        <v>7021</v>
      </c>
      <c r="D345" s="1354" t="s">
        <v>7105</v>
      </c>
      <c r="E345" s="1354" cm="1">
        <f t="array" ref="E345">learners_spfl_delf_takers_m_g7</f>
        <v>0</v>
      </c>
      <c r="F345" s="1354" t="b">
        <v>1</v>
      </c>
      <c r="H345" s="1354"/>
      <c r="I345" s="1354"/>
      <c r="J345" s="1354"/>
      <c r="K345" s="1354"/>
      <c r="L345" s="1354"/>
      <c r="M345" s="1354"/>
      <c r="N345" s="135"/>
      <c r="O345" s="1354"/>
      <c r="P345" s="1354"/>
      <c r="Q345" s="1354"/>
      <c r="R345" s="1354"/>
      <c r="S345" s="1354"/>
      <c r="T345" s="1354"/>
      <c r="U345" s="1354"/>
      <c r="V345" s="1354"/>
      <c r="W345" s="1354"/>
      <c r="X345" s="1354"/>
      <c r="Y345" s="1354"/>
      <c r="Z345" s="1354"/>
    </row>
    <row r="346" spans="1:26" x14ac:dyDescent="0.35">
      <c r="A346" s="1354" t="s">
        <v>7027</v>
      </c>
      <c r="B346" s="1354" t="s">
        <v>6688</v>
      </c>
      <c r="C346" s="1354" t="s">
        <v>7027</v>
      </c>
      <c r="D346" s="1354" t="s">
        <v>7111</v>
      </c>
      <c r="E346" s="1354" cm="1">
        <f t="array" ref="E346">learners_spfl_delf_takers_f_g7</f>
        <v>0</v>
      </c>
      <c r="F346" s="1354" t="b">
        <v>1</v>
      </c>
      <c r="H346" s="1354"/>
      <c r="I346" s="1354"/>
      <c r="J346" s="1354"/>
      <c r="K346" s="1354"/>
      <c r="L346" s="1354"/>
      <c r="M346" s="1354"/>
      <c r="N346" s="135"/>
      <c r="O346" s="1354"/>
      <c r="P346" s="1354"/>
      <c r="Q346" s="1354"/>
      <c r="R346" s="1354"/>
      <c r="S346" s="1354"/>
      <c r="T346" s="1354"/>
      <c r="U346" s="1354"/>
      <c r="V346" s="1354"/>
      <c r="W346" s="1354"/>
      <c r="X346" s="1354"/>
      <c r="Y346" s="1354"/>
      <c r="Z346" s="1354"/>
    </row>
    <row r="347" spans="1:26" x14ac:dyDescent="0.35">
      <c r="A347" s="1354" t="s">
        <v>7009</v>
      </c>
      <c r="B347" s="1354" t="s">
        <v>6688</v>
      </c>
      <c r="C347" s="1354" t="s">
        <v>7009</v>
      </c>
      <c r="D347" s="1354" t="s">
        <v>7117</v>
      </c>
      <c r="E347" s="1354" cm="1">
        <f t="array" ref="E347">learners_spfl_delf_takers_m_g8</f>
        <v>0</v>
      </c>
      <c r="F347" s="1354" t="b">
        <v>1</v>
      </c>
      <c r="H347" s="1354"/>
      <c r="I347" s="1354"/>
      <c r="J347" s="1354"/>
      <c r="K347" s="1354"/>
      <c r="L347" s="1354"/>
      <c r="M347" s="1354"/>
      <c r="N347" s="135"/>
      <c r="O347" s="1354"/>
      <c r="P347" s="1354"/>
      <c r="Q347" s="1354"/>
      <c r="R347" s="1354"/>
      <c r="S347" s="1354"/>
      <c r="T347" s="1354"/>
      <c r="U347" s="1354"/>
      <c r="V347" s="1354"/>
      <c r="W347" s="1354"/>
      <c r="X347" s="1354"/>
      <c r="Y347" s="1354"/>
      <c r="Z347" s="1354"/>
    </row>
    <row r="348" spans="1:26" x14ac:dyDescent="0.35">
      <c r="A348" s="1354" t="s">
        <v>7015</v>
      </c>
      <c r="B348" s="1354" t="s">
        <v>6688</v>
      </c>
      <c r="C348" s="1354" t="s">
        <v>7015</v>
      </c>
      <c r="D348" s="1354" t="s">
        <v>7123</v>
      </c>
      <c r="E348" s="1354" cm="1">
        <f t="array" ref="E348">learners_spfl_delf_takers_f_g8</f>
        <v>0</v>
      </c>
      <c r="F348" s="1354" t="b">
        <v>1</v>
      </c>
      <c r="H348" s="1354"/>
      <c r="I348" s="1354"/>
      <c r="J348" s="1354"/>
      <c r="K348" s="1354"/>
      <c r="L348" s="1354"/>
      <c r="M348" s="1354"/>
      <c r="N348" s="135"/>
      <c r="O348" s="1354"/>
      <c r="P348" s="1354"/>
      <c r="Q348" s="1354"/>
      <c r="R348" s="1354"/>
      <c r="S348" s="1354"/>
      <c r="T348" s="1354"/>
      <c r="U348" s="1354"/>
      <c r="V348" s="1354"/>
      <c r="W348" s="1354"/>
      <c r="X348" s="1354"/>
      <c r="Y348" s="1354"/>
      <c r="Z348" s="1354"/>
    </row>
    <row r="349" spans="1:26" x14ac:dyDescent="0.35">
      <c r="A349" s="1354" t="s">
        <v>7033</v>
      </c>
      <c r="B349" s="1354" t="s">
        <v>6688</v>
      </c>
      <c r="C349" s="1354" t="s">
        <v>7033</v>
      </c>
      <c r="D349" s="1354" t="s">
        <v>7129</v>
      </c>
      <c r="E349" s="1354" cm="1">
        <f t="array" ref="E349">learners_spfl_delf_takers_m_g9</f>
        <v>0</v>
      </c>
      <c r="F349" s="1354" t="b">
        <v>1</v>
      </c>
      <c r="H349" s="1354"/>
      <c r="I349" s="1354"/>
      <c r="J349" s="1354"/>
      <c r="K349" s="1354"/>
      <c r="L349" s="1354"/>
      <c r="M349" s="1354"/>
      <c r="N349" s="135"/>
      <c r="O349" s="1354"/>
      <c r="P349" s="1354"/>
      <c r="Q349" s="1354"/>
      <c r="R349" s="1354"/>
      <c r="S349" s="1354"/>
      <c r="T349" s="1354"/>
      <c r="U349" s="1354"/>
      <c r="V349" s="1354"/>
      <c r="W349" s="1354"/>
      <c r="X349" s="1354"/>
      <c r="Y349" s="1354"/>
      <c r="Z349" s="1354"/>
    </row>
    <row r="350" spans="1:26" x14ac:dyDescent="0.35">
      <c r="A350" s="1354" t="s">
        <v>7039</v>
      </c>
      <c r="B350" s="1354" t="s">
        <v>6688</v>
      </c>
      <c r="C350" s="1354" t="s">
        <v>7039</v>
      </c>
      <c r="D350" s="1354" t="s">
        <v>7135</v>
      </c>
      <c r="E350" s="1354" cm="1">
        <f t="array" ref="E350">learners_spfl_delf_takers_f_g9</f>
        <v>0</v>
      </c>
      <c r="F350" s="1354" t="b">
        <v>1</v>
      </c>
      <c r="H350" s="1354"/>
      <c r="I350" s="1354"/>
      <c r="J350" s="1354"/>
      <c r="K350" s="1354"/>
      <c r="L350" s="1354"/>
      <c r="M350" s="1354"/>
      <c r="N350" s="135"/>
      <c r="O350" s="1354"/>
      <c r="P350" s="1354"/>
      <c r="Q350" s="1354"/>
      <c r="R350" s="1354"/>
      <c r="S350" s="1354"/>
      <c r="T350" s="1354"/>
      <c r="U350" s="1354"/>
      <c r="V350" s="1354"/>
      <c r="W350" s="1354"/>
      <c r="X350" s="1354"/>
      <c r="Y350" s="1354"/>
      <c r="Z350" s="1354"/>
    </row>
    <row r="351" spans="1:26" x14ac:dyDescent="0.35">
      <c r="A351" s="1354" t="s">
        <v>7045</v>
      </c>
      <c r="B351" s="1354" t="s">
        <v>6688</v>
      </c>
      <c r="C351" s="1354" t="s">
        <v>7045</v>
      </c>
      <c r="D351" s="1354" t="s">
        <v>7141</v>
      </c>
      <c r="E351" s="1354" cm="1">
        <f t="array" ref="E351">learners_spfl_delf_takers_m_g10</f>
        <v>0</v>
      </c>
      <c r="F351" s="1354" t="b">
        <v>1</v>
      </c>
      <c r="H351" s="1354"/>
      <c r="I351" s="1354"/>
      <c r="J351" s="1354"/>
      <c r="K351" s="1354"/>
      <c r="L351" s="1354"/>
      <c r="M351" s="1354"/>
      <c r="N351" s="135"/>
      <c r="O351" s="1354"/>
      <c r="P351" s="1354"/>
      <c r="Q351" s="1354"/>
      <c r="R351" s="1354"/>
      <c r="S351" s="1354"/>
      <c r="T351" s="1354"/>
      <c r="U351" s="1354"/>
      <c r="V351" s="1354"/>
      <c r="W351" s="1354"/>
      <c r="X351" s="1354"/>
      <c r="Y351" s="1354"/>
      <c r="Z351" s="1354"/>
    </row>
    <row r="352" spans="1:26" x14ac:dyDescent="0.35">
      <c r="A352" s="1354" t="s">
        <v>7051</v>
      </c>
      <c r="B352" s="1354" t="s">
        <v>6688</v>
      </c>
      <c r="C352" s="1354" t="s">
        <v>7051</v>
      </c>
      <c r="D352" s="1354" t="s">
        <v>7147</v>
      </c>
      <c r="E352" s="1354" cm="1">
        <f t="array" ref="E352">learners_spfl_delf_takers_f_g10</f>
        <v>0</v>
      </c>
      <c r="F352" s="1354" t="b">
        <v>1</v>
      </c>
      <c r="H352" s="1354"/>
      <c r="I352" s="1354"/>
      <c r="J352" s="1354"/>
      <c r="K352" s="1354"/>
      <c r="L352" s="1354"/>
      <c r="M352" s="1354"/>
      <c r="N352" s="135"/>
      <c r="O352" s="1354"/>
      <c r="P352" s="1354"/>
      <c r="Q352" s="1354"/>
      <c r="R352" s="1354"/>
      <c r="S352" s="1354"/>
      <c r="T352" s="1354"/>
      <c r="U352" s="1354"/>
      <c r="V352" s="1354"/>
      <c r="W352" s="1354"/>
      <c r="X352" s="1354"/>
      <c r="Y352" s="1354"/>
      <c r="Z352" s="1354"/>
    </row>
    <row r="353" spans="1:26" x14ac:dyDescent="0.35">
      <c r="A353" s="1354" t="s">
        <v>7057</v>
      </c>
      <c r="B353" s="1354" t="s">
        <v>6688</v>
      </c>
      <c r="C353" s="1354" t="s">
        <v>7057</v>
      </c>
      <c r="D353" s="1354" t="s">
        <v>7153</v>
      </c>
      <c r="E353" s="1354" cm="1">
        <f t="array" ref="E353">learners_spfl_delf_passer_m_g7</f>
        <v>0</v>
      </c>
      <c r="F353" s="1354" t="b">
        <v>1</v>
      </c>
      <c r="H353" s="1354"/>
      <c r="I353" s="1354"/>
      <c r="J353" s="1354"/>
      <c r="K353" s="1354"/>
      <c r="L353" s="1354"/>
      <c r="M353" s="1354"/>
      <c r="N353" s="135"/>
      <c r="O353" s="1354"/>
      <c r="P353" s="1354"/>
      <c r="Q353" s="1354"/>
      <c r="R353" s="1354"/>
      <c r="S353" s="1354"/>
      <c r="T353" s="1354"/>
      <c r="U353" s="1354"/>
      <c r="V353" s="1354"/>
      <c r="W353" s="1354"/>
      <c r="X353" s="1354"/>
      <c r="Y353" s="1354"/>
      <c r="Z353" s="1354"/>
    </row>
    <row r="354" spans="1:26" x14ac:dyDescent="0.35">
      <c r="A354" s="1354" t="s">
        <v>7063</v>
      </c>
      <c r="B354" s="1354" t="s">
        <v>6688</v>
      </c>
      <c r="C354" s="1354" t="s">
        <v>7063</v>
      </c>
      <c r="D354" s="1354" t="s">
        <v>7159</v>
      </c>
      <c r="E354" s="1354" cm="1">
        <f t="array" ref="E354">learners_spfl_delf_passer_f_g7</f>
        <v>0</v>
      </c>
      <c r="F354" s="1354" t="b">
        <v>1</v>
      </c>
      <c r="H354" s="1354"/>
      <c r="I354" s="1354"/>
      <c r="J354" s="1354"/>
      <c r="K354" s="1354"/>
      <c r="L354" s="1354"/>
      <c r="M354" s="1354"/>
      <c r="N354" s="135"/>
      <c r="O354" s="1354"/>
      <c r="P354" s="1354"/>
      <c r="Q354" s="1354"/>
      <c r="R354" s="1354"/>
      <c r="S354" s="1354"/>
      <c r="T354" s="1354"/>
      <c r="U354" s="1354"/>
      <c r="V354" s="1354"/>
      <c r="W354" s="1354"/>
      <c r="X354" s="1354"/>
      <c r="Y354" s="1354"/>
      <c r="Z354" s="1354"/>
    </row>
    <row r="355" spans="1:26" x14ac:dyDescent="0.35">
      <c r="A355" s="1354" t="s">
        <v>7069</v>
      </c>
      <c r="B355" s="1354" t="s">
        <v>6688</v>
      </c>
      <c r="C355" s="1354" t="s">
        <v>7069</v>
      </c>
      <c r="D355" s="1354" t="s">
        <v>7165</v>
      </c>
      <c r="E355" s="1354" cm="1">
        <f t="array" ref="E355">learners_spfl_delf_passer_m_g8</f>
        <v>0</v>
      </c>
      <c r="F355" s="1354" t="b">
        <v>1</v>
      </c>
      <c r="H355" s="1354"/>
      <c r="I355" s="1354"/>
      <c r="J355" s="1354"/>
      <c r="K355" s="1354"/>
      <c r="L355" s="1354"/>
      <c r="M355" s="1354"/>
      <c r="N355" s="135"/>
      <c r="O355" s="1354"/>
      <c r="P355" s="1354"/>
      <c r="Q355" s="1354"/>
      <c r="R355" s="1354"/>
      <c r="S355" s="1354"/>
      <c r="T355" s="1354"/>
      <c r="U355" s="1354"/>
      <c r="V355" s="1354"/>
      <c r="W355" s="1354"/>
      <c r="X355" s="1354"/>
      <c r="Y355" s="1354"/>
      <c r="Z355" s="1354"/>
    </row>
    <row r="356" spans="1:26" x14ac:dyDescent="0.35">
      <c r="A356" s="1354" t="s">
        <v>7075</v>
      </c>
      <c r="B356" s="1354" t="s">
        <v>6688</v>
      </c>
      <c r="C356" s="1354" t="s">
        <v>7075</v>
      </c>
      <c r="D356" s="1354" t="s">
        <v>7171</v>
      </c>
      <c r="E356" s="1354" cm="1">
        <f t="array" ref="E356">learners_spfl_delf_passer_f_g8</f>
        <v>0</v>
      </c>
      <c r="F356" s="1354" t="b">
        <v>1</v>
      </c>
      <c r="H356" s="1354"/>
      <c r="I356" s="1354"/>
      <c r="J356" s="1354"/>
      <c r="K356" s="1354"/>
      <c r="L356" s="1354"/>
      <c r="M356" s="1354"/>
      <c r="N356" s="135"/>
      <c r="O356" s="1354"/>
      <c r="P356" s="1354"/>
      <c r="Q356" s="1354"/>
      <c r="R356" s="1354"/>
      <c r="S356" s="1354"/>
      <c r="T356" s="1354"/>
      <c r="U356" s="1354"/>
      <c r="V356" s="1354"/>
      <c r="W356" s="1354"/>
      <c r="X356" s="1354"/>
      <c r="Y356" s="1354"/>
      <c r="Z356" s="1354"/>
    </row>
    <row r="357" spans="1:26" x14ac:dyDescent="0.35">
      <c r="A357" s="1354" t="s">
        <v>7081</v>
      </c>
      <c r="B357" s="1354" t="s">
        <v>6688</v>
      </c>
      <c r="C357" s="1354" t="s">
        <v>7081</v>
      </c>
      <c r="D357" s="1354" t="s">
        <v>7177</v>
      </c>
      <c r="E357" s="1354" cm="1">
        <f t="array" ref="E357">learners_spfl_delf_passer_m_g9</f>
        <v>0</v>
      </c>
      <c r="F357" s="1354" t="b">
        <v>1</v>
      </c>
      <c r="H357" s="1354"/>
      <c r="I357" s="1354"/>
      <c r="J357" s="1354"/>
      <c r="K357" s="1354"/>
      <c r="L357" s="1354"/>
      <c r="M357" s="1354"/>
      <c r="N357" s="135"/>
      <c r="O357" s="1354"/>
      <c r="P357" s="1354"/>
      <c r="Q357" s="1354"/>
      <c r="R357" s="1354"/>
      <c r="S357" s="1354"/>
      <c r="T357" s="1354"/>
      <c r="U357" s="1354"/>
      <c r="V357" s="1354"/>
      <c r="W357" s="1354"/>
      <c r="X357" s="1354"/>
      <c r="Y357" s="1354"/>
      <c r="Z357" s="1354"/>
    </row>
    <row r="358" spans="1:26" x14ac:dyDescent="0.35">
      <c r="A358" s="1354" t="s">
        <v>7087</v>
      </c>
      <c r="B358" s="1354" t="s">
        <v>6688</v>
      </c>
      <c r="C358" s="1354" t="s">
        <v>7087</v>
      </c>
      <c r="D358" s="1354" t="s">
        <v>7183</v>
      </c>
      <c r="E358" s="1354" cm="1">
        <f t="array" ref="E358">learners_spfl_delf_passer_f_g9</f>
        <v>0</v>
      </c>
      <c r="F358" s="1354" t="b">
        <v>1</v>
      </c>
      <c r="H358" s="1354"/>
      <c r="I358" s="1354"/>
      <c r="J358" s="1354"/>
      <c r="K358" s="1354"/>
      <c r="L358" s="1354"/>
      <c r="M358" s="1354"/>
      <c r="N358" s="135"/>
      <c r="O358" s="1354"/>
      <c r="P358" s="1354"/>
      <c r="Q358" s="1354"/>
      <c r="R358" s="1354"/>
      <c r="S358" s="1354"/>
      <c r="T358" s="1354"/>
      <c r="U358" s="1354"/>
      <c r="V358" s="1354"/>
      <c r="W358" s="1354"/>
      <c r="X358" s="1354"/>
      <c r="Y358" s="1354"/>
      <c r="Z358" s="1354"/>
    </row>
    <row r="359" spans="1:26" x14ac:dyDescent="0.35">
      <c r="A359" s="1354" t="s">
        <v>7093</v>
      </c>
      <c r="B359" s="1354" t="s">
        <v>6688</v>
      </c>
      <c r="C359" s="1354" t="s">
        <v>7093</v>
      </c>
      <c r="D359" s="1354" t="s">
        <v>7190</v>
      </c>
      <c r="E359" s="1354" cm="1">
        <f t="array" ref="E359">learners_spfl_delf_passer_m_g10</f>
        <v>0</v>
      </c>
      <c r="F359" s="1354" t="b">
        <v>1</v>
      </c>
      <c r="H359" s="1354"/>
      <c r="I359" s="1354"/>
      <c r="J359" s="1354"/>
      <c r="K359" s="1354"/>
      <c r="L359" s="1354"/>
      <c r="M359" s="1354"/>
      <c r="N359" s="135"/>
      <c r="O359" s="1354"/>
      <c r="P359" s="1354"/>
      <c r="Q359" s="1354"/>
      <c r="R359" s="1354"/>
      <c r="S359" s="1354"/>
      <c r="T359" s="1354"/>
      <c r="U359" s="1354"/>
      <c r="V359" s="1354"/>
      <c r="W359" s="1354"/>
      <c r="X359" s="1354"/>
      <c r="Y359" s="1354"/>
      <c r="Z359" s="1354"/>
    </row>
    <row r="360" spans="1:26" x14ac:dyDescent="0.35">
      <c r="A360" s="1354" t="s">
        <v>7099</v>
      </c>
      <c r="B360" s="1354" t="s">
        <v>6688</v>
      </c>
      <c r="C360" s="1354" t="s">
        <v>7099</v>
      </c>
      <c r="D360" s="1354" t="s">
        <v>7195</v>
      </c>
      <c r="E360" s="1354" cm="1">
        <f t="array" ref="E360">learners_spfl_delf_passer_f_g10</f>
        <v>0</v>
      </c>
      <c r="F360" s="1354" t="b">
        <v>1</v>
      </c>
      <c r="H360" s="1354"/>
      <c r="I360" s="1354"/>
      <c r="J360" s="1354"/>
      <c r="K360" s="1354"/>
      <c r="L360" s="1354"/>
      <c r="M360" s="1354"/>
      <c r="N360" s="135"/>
      <c r="O360" s="1354"/>
      <c r="P360" s="1354"/>
      <c r="Q360" s="1354"/>
      <c r="R360" s="1354"/>
      <c r="S360" s="1354"/>
      <c r="T360" s="1354"/>
      <c r="U360" s="1354"/>
      <c r="V360" s="1354"/>
      <c r="W360" s="1354"/>
      <c r="X360" s="1354"/>
      <c r="Y360" s="1354"/>
      <c r="Z360" s="1354"/>
    </row>
    <row r="361" spans="1:26" x14ac:dyDescent="0.35">
      <c r="A361" s="1354" t="s">
        <v>7022</v>
      </c>
      <c r="B361" s="1354" t="s">
        <v>6688</v>
      </c>
      <c r="C361" s="1354" t="s">
        <v>7022</v>
      </c>
      <c r="D361" s="1354" t="s">
        <v>7106</v>
      </c>
      <c r="E361" s="1354" cm="1">
        <f t="array" ref="E361">learners_spfl_zd_takers_m_g7</f>
        <v>0</v>
      </c>
      <c r="F361" s="1354" t="b">
        <v>1</v>
      </c>
      <c r="H361" s="1354"/>
      <c r="I361" s="1354"/>
      <c r="J361" s="1354"/>
      <c r="K361" s="1354"/>
      <c r="L361" s="1354"/>
      <c r="M361" s="1354"/>
      <c r="N361" s="135"/>
      <c r="O361" s="1354"/>
      <c r="P361" s="1354"/>
      <c r="Q361" s="1354"/>
      <c r="R361" s="1354"/>
      <c r="S361" s="1354"/>
      <c r="T361" s="1354"/>
      <c r="U361" s="1354"/>
      <c r="V361" s="1354"/>
      <c r="W361" s="1354"/>
      <c r="X361" s="1354"/>
      <c r="Y361" s="1354"/>
      <c r="Z361" s="1354"/>
    </row>
    <row r="362" spans="1:26" x14ac:dyDescent="0.35">
      <c r="A362" s="1354" t="s">
        <v>7028</v>
      </c>
      <c r="B362" s="1354" t="s">
        <v>6688</v>
      </c>
      <c r="C362" s="1354" t="s">
        <v>7028</v>
      </c>
      <c r="D362" s="1354" t="s">
        <v>7112</v>
      </c>
      <c r="E362" s="1354" cm="1">
        <f t="array" ref="E362">learners_spfl_zd_takers_f_g7</f>
        <v>0</v>
      </c>
      <c r="F362" s="1354" t="b">
        <v>1</v>
      </c>
      <c r="H362" s="1354"/>
      <c r="I362" s="1354"/>
      <c r="J362" s="1354"/>
      <c r="K362" s="1354"/>
      <c r="L362" s="1354"/>
      <c r="M362" s="1354"/>
      <c r="N362" s="135"/>
      <c r="O362" s="1354"/>
      <c r="P362" s="1354"/>
      <c r="Q362" s="1354"/>
      <c r="R362" s="1354"/>
      <c r="S362" s="1354"/>
      <c r="T362" s="1354"/>
      <c r="U362" s="1354"/>
      <c r="V362" s="1354"/>
      <c r="W362" s="1354"/>
      <c r="X362" s="1354"/>
      <c r="Y362" s="1354"/>
      <c r="Z362" s="1354"/>
    </row>
    <row r="363" spans="1:26" x14ac:dyDescent="0.35">
      <c r="A363" s="1354" t="s">
        <v>7010</v>
      </c>
      <c r="B363" s="1354" t="s">
        <v>6688</v>
      </c>
      <c r="C363" s="1354" t="s">
        <v>7010</v>
      </c>
      <c r="D363" s="1354" t="s">
        <v>7118</v>
      </c>
      <c r="E363" s="1354" cm="1">
        <f t="array" ref="E363">learners_spfl_zd_takers_m_g8</f>
        <v>0</v>
      </c>
      <c r="F363" s="1354" t="b">
        <v>1</v>
      </c>
      <c r="H363" s="1354"/>
      <c r="I363" s="1354"/>
      <c r="J363" s="1354"/>
      <c r="K363" s="1354"/>
      <c r="L363" s="1354"/>
      <c r="M363" s="1354"/>
      <c r="N363" s="135"/>
      <c r="O363" s="1354"/>
      <c r="P363" s="1354"/>
      <c r="Q363" s="1354"/>
      <c r="R363" s="1354"/>
      <c r="S363" s="1354"/>
      <c r="T363" s="1354"/>
      <c r="U363" s="1354"/>
      <c r="V363" s="1354"/>
      <c r="W363" s="1354"/>
      <c r="X363" s="1354"/>
      <c r="Y363" s="1354"/>
      <c r="Z363" s="1354"/>
    </row>
    <row r="364" spans="1:26" x14ac:dyDescent="0.35">
      <c r="A364" s="1354" t="s">
        <v>7016</v>
      </c>
      <c r="B364" s="1354" t="s">
        <v>6688</v>
      </c>
      <c r="C364" s="1354" t="s">
        <v>7016</v>
      </c>
      <c r="D364" s="1354" t="s">
        <v>7124</v>
      </c>
      <c r="E364" s="1354" cm="1">
        <f t="array" ref="E364">learners_spfl_zd_takers_f_g8</f>
        <v>0</v>
      </c>
      <c r="F364" s="1354" t="b">
        <v>1</v>
      </c>
      <c r="H364" s="1354"/>
      <c r="I364" s="1354"/>
      <c r="J364" s="1354"/>
      <c r="K364" s="1354"/>
      <c r="L364" s="1354"/>
      <c r="M364" s="1354"/>
      <c r="N364" s="135"/>
      <c r="O364" s="1354"/>
      <c r="P364" s="1354"/>
      <c r="Q364" s="1354"/>
      <c r="R364" s="1354"/>
      <c r="S364" s="1354"/>
      <c r="T364" s="1354"/>
      <c r="U364" s="1354"/>
      <c r="V364" s="1354"/>
      <c r="W364" s="1354"/>
      <c r="X364" s="1354"/>
      <c r="Y364" s="1354"/>
      <c r="Z364" s="1354"/>
    </row>
    <row r="365" spans="1:26" x14ac:dyDescent="0.35">
      <c r="A365" s="1354" t="s">
        <v>7034</v>
      </c>
      <c r="B365" s="1354" t="s">
        <v>6688</v>
      </c>
      <c r="C365" s="1354" t="s">
        <v>7034</v>
      </c>
      <c r="D365" s="1354" t="s">
        <v>7130</v>
      </c>
      <c r="E365" s="1354" cm="1">
        <f t="array" ref="E365">learners_spfl_zd_takers_m_g9</f>
        <v>0</v>
      </c>
      <c r="F365" s="1354" t="b">
        <v>1</v>
      </c>
      <c r="H365" s="1354"/>
      <c r="I365" s="1354"/>
      <c r="J365" s="1354"/>
      <c r="K365" s="1354"/>
      <c r="L365" s="1354"/>
      <c r="M365" s="1354"/>
      <c r="N365" s="135"/>
      <c r="O365" s="1354"/>
      <c r="P365" s="1354"/>
      <c r="Q365" s="1354"/>
      <c r="R365" s="1354"/>
      <c r="S365" s="1354"/>
      <c r="T365" s="1354"/>
      <c r="U365" s="1354"/>
      <c r="V365" s="1354"/>
      <c r="W365" s="1354"/>
      <c r="X365" s="1354"/>
      <c r="Y365" s="1354"/>
      <c r="Z365" s="1354"/>
    </row>
    <row r="366" spans="1:26" x14ac:dyDescent="0.35">
      <c r="A366" s="1354" t="s">
        <v>7040</v>
      </c>
      <c r="B366" s="1354" t="s">
        <v>6688</v>
      </c>
      <c r="C366" s="1354" t="s">
        <v>7040</v>
      </c>
      <c r="D366" s="1354" t="s">
        <v>7136</v>
      </c>
      <c r="E366" s="1354" cm="1">
        <f t="array" ref="E366">learners_spfl_zd_takers_f_g9</f>
        <v>0</v>
      </c>
      <c r="F366" s="1354" t="b">
        <v>1</v>
      </c>
      <c r="H366" s="1354"/>
      <c r="I366" s="1354"/>
      <c r="J366" s="1354"/>
      <c r="K366" s="1354"/>
      <c r="L366" s="1354"/>
      <c r="M366" s="1354"/>
      <c r="N366" s="135"/>
      <c r="O366" s="1354"/>
      <c r="P366" s="1354"/>
      <c r="Q366" s="1354"/>
      <c r="R366" s="1354"/>
      <c r="S366" s="1354"/>
      <c r="T366" s="1354"/>
      <c r="U366" s="1354"/>
      <c r="V366" s="1354"/>
      <c r="W366" s="1354"/>
      <c r="X366" s="1354"/>
      <c r="Y366" s="1354"/>
      <c r="Z366" s="1354"/>
    </row>
    <row r="367" spans="1:26" x14ac:dyDescent="0.35">
      <c r="A367" s="1354" t="s">
        <v>7046</v>
      </c>
      <c r="B367" s="1354" t="s">
        <v>6688</v>
      </c>
      <c r="C367" s="1354" t="s">
        <v>7046</v>
      </c>
      <c r="D367" s="1354" t="s">
        <v>7142</v>
      </c>
      <c r="E367" s="1354" cm="1">
        <f t="array" ref="E367">learners_spfl_zd_takers_m_g10</f>
        <v>0</v>
      </c>
      <c r="F367" s="1354" t="b">
        <v>1</v>
      </c>
      <c r="H367" s="1354"/>
      <c r="I367" s="1354"/>
      <c r="J367" s="1354"/>
      <c r="K367" s="1354"/>
      <c r="L367" s="1354"/>
      <c r="M367" s="1354"/>
      <c r="N367" s="135"/>
      <c r="O367" s="1354"/>
      <c r="P367" s="1354"/>
      <c r="Q367" s="1354"/>
      <c r="R367" s="1354"/>
      <c r="S367" s="1354"/>
      <c r="T367" s="1354"/>
      <c r="U367" s="1354"/>
      <c r="V367" s="1354"/>
      <c r="W367" s="1354"/>
      <c r="X367" s="1354"/>
      <c r="Y367" s="1354"/>
      <c r="Z367" s="1354"/>
    </row>
    <row r="368" spans="1:26" x14ac:dyDescent="0.35">
      <c r="A368" s="1354" t="s">
        <v>7052</v>
      </c>
      <c r="B368" s="1354" t="s">
        <v>6688</v>
      </c>
      <c r="C368" s="1354" t="s">
        <v>7052</v>
      </c>
      <c r="D368" s="1354" t="s">
        <v>7148</v>
      </c>
      <c r="E368" s="1354" cm="1">
        <f t="array" ref="E368">learners_spfl_zd_takers_f_g10</f>
        <v>0</v>
      </c>
      <c r="F368" s="1354" t="b">
        <v>1</v>
      </c>
      <c r="H368" s="1354"/>
      <c r="I368" s="1354"/>
      <c r="J368" s="1354"/>
      <c r="K368" s="1354"/>
      <c r="L368" s="1354"/>
      <c r="M368" s="1354"/>
      <c r="N368" s="135"/>
      <c r="O368" s="1354"/>
      <c r="P368" s="1354"/>
      <c r="Q368" s="1354"/>
      <c r="R368" s="1354"/>
      <c r="S368" s="1354"/>
      <c r="T368" s="1354"/>
      <c r="U368" s="1354"/>
      <c r="V368" s="1354"/>
      <c r="W368" s="1354"/>
      <c r="X368" s="1354"/>
      <c r="Y368" s="1354"/>
      <c r="Z368" s="1354"/>
    </row>
    <row r="369" spans="1:26" x14ac:dyDescent="0.35">
      <c r="A369" s="1354" t="s">
        <v>7058</v>
      </c>
      <c r="B369" s="1354" t="s">
        <v>6688</v>
      </c>
      <c r="C369" s="1354" t="s">
        <v>7058</v>
      </c>
      <c r="D369" s="1354" t="s">
        <v>7154</v>
      </c>
      <c r="E369" s="1354" cm="1">
        <f t="array" ref="E369">learners_spfl_zd_passer_m_g7</f>
        <v>0</v>
      </c>
      <c r="F369" s="1354" t="b">
        <v>1</v>
      </c>
      <c r="H369" s="1354"/>
      <c r="I369" s="1354"/>
      <c r="J369" s="1354"/>
      <c r="K369" s="1354"/>
      <c r="L369" s="1354"/>
      <c r="M369" s="1354"/>
      <c r="N369" s="135"/>
      <c r="O369" s="1354"/>
      <c r="P369" s="1354"/>
      <c r="Q369" s="1354"/>
      <c r="R369" s="1354"/>
      <c r="S369" s="1354"/>
      <c r="T369" s="1354"/>
      <c r="U369" s="1354"/>
      <c r="V369" s="1354"/>
      <c r="W369" s="1354"/>
      <c r="X369" s="1354"/>
      <c r="Y369" s="1354"/>
      <c r="Z369" s="1354"/>
    </row>
    <row r="370" spans="1:26" x14ac:dyDescent="0.35">
      <c r="A370" s="1354" t="s">
        <v>7064</v>
      </c>
      <c r="B370" s="1354" t="s">
        <v>6688</v>
      </c>
      <c r="C370" s="1354" t="s">
        <v>7064</v>
      </c>
      <c r="D370" s="1354" t="s">
        <v>7160</v>
      </c>
      <c r="E370" s="1354" cm="1">
        <f t="array" ref="E370">learners_spfl_zd_passer_f_g7</f>
        <v>0</v>
      </c>
      <c r="F370" s="1354" t="b">
        <v>1</v>
      </c>
      <c r="H370" s="1354"/>
      <c r="I370" s="1354"/>
      <c r="J370" s="1354"/>
      <c r="K370" s="1354"/>
      <c r="L370" s="1354"/>
      <c r="M370" s="1354"/>
      <c r="N370" s="135"/>
      <c r="O370" s="1354"/>
      <c r="P370" s="1354"/>
      <c r="Q370" s="1354"/>
      <c r="R370" s="1354"/>
      <c r="S370" s="1354"/>
      <c r="T370" s="1354"/>
      <c r="U370" s="1354"/>
      <c r="V370" s="1354"/>
      <c r="W370" s="1354"/>
      <c r="X370" s="1354"/>
      <c r="Y370" s="1354"/>
      <c r="Z370" s="1354"/>
    </row>
    <row r="371" spans="1:26" x14ac:dyDescent="0.35">
      <c r="A371" s="1354" t="s">
        <v>7070</v>
      </c>
      <c r="B371" s="1354" t="s">
        <v>6688</v>
      </c>
      <c r="C371" s="1354" t="s">
        <v>7070</v>
      </c>
      <c r="D371" s="1354" t="s">
        <v>7166</v>
      </c>
      <c r="E371" s="1354" cm="1">
        <f t="array" ref="E371">learners_spfl_zd_passer_m_g8</f>
        <v>0</v>
      </c>
      <c r="F371" s="1354" t="b">
        <v>1</v>
      </c>
      <c r="H371" s="1354"/>
      <c r="I371" s="1354"/>
      <c r="J371" s="1354"/>
      <c r="K371" s="1354"/>
      <c r="L371" s="1354"/>
      <c r="M371" s="1354"/>
      <c r="N371" s="135"/>
      <c r="O371" s="1354"/>
      <c r="P371" s="1354"/>
      <c r="Q371" s="1354"/>
      <c r="R371" s="1354"/>
      <c r="S371" s="1354"/>
      <c r="T371" s="1354"/>
      <c r="U371" s="1354"/>
      <c r="V371" s="1354"/>
      <c r="W371" s="1354"/>
      <c r="X371" s="1354"/>
      <c r="Y371" s="1354"/>
      <c r="Z371" s="1354"/>
    </row>
    <row r="372" spans="1:26" x14ac:dyDescent="0.35">
      <c r="A372" s="1354" t="s">
        <v>7076</v>
      </c>
      <c r="B372" s="1354" t="s">
        <v>6688</v>
      </c>
      <c r="C372" s="1354" t="s">
        <v>7076</v>
      </c>
      <c r="D372" s="1354" t="s">
        <v>7172</v>
      </c>
      <c r="E372" s="1354" cm="1">
        <f t="array" ref="E372">learners_spfl_zd_passer_f_g8</f>
        <v>0</v>
      </c>
      <c r="F372" s="1354" t="b">
        <v>1</v>
      </c>
      <c r="H372" s="1354"/>
      <c r="I372" s="1354"/>
      <c r="J372" s="1354"/>
      <c r="K372" s="1354"/>
      <c r="L372" s="1354"/>
      <c r="M372" s="1354"/>
      <c r="N372" s="135"/>
      <c r="O372" s="1354"/>
      <c r="P372" s="1354"/>
      <c r="Q372" s="1354"/>
      <c r="R372" s="1354"/>
      <c r="S372" s="1354"/>
      <c r="T372" s="1354"/>
      <c r="U372" s="1354"/>
      <c r="V372" s="1354"/>
      <c r="W372" s="1354"/>
      <c r="X372" s="1354"/>
      <c r="Y372" s="1354"/>
      <c r="Z372" s="1354"/>
    </row>
    <row r="373" spans="1:26" x14ac:dyDescent="0.35">
      <c r="A373" s="1354" t="s">
        <v>7082</v>
      </c>
      <c r="B373" s="1354" t="s">
        <v>6688</v>
      </c>
      <c r="C373" s="1354" t="s">
        <v>7082</v>
      </c>
      <c r="D373" s="1354" t="s">
        <v>7178</v>
      </c>
      <c r="E373" s="1354" cm="1">
        <f t="array" ref="E373">learners_spfl_zd_passer_m_g9</f>
        <v>0</v>
      </c>
      <c r="F373" s="1354" t="b">
        <v>1</v>
      </c>
      <c r="H373" s="1354"/>
      <c r="I373" s="1354"/>
      <c r="J373" s="1354"/>
      <c r="K373" s="1354"/>
      <c r="L373" s="1354"/>
      <c r="M373" s="1354"/>
      <c r="N373" s="135"/>
      <c r="O373" s="1354"/>
      <c r="P373" s="1354"/>
      <c r="Q373" s="1354"/>
      <c r="R373" s="1354"/>
      <c r="S373" s="1354"/>
      <c r="T373" s="1354"/>
      <c r="U373" s="1354"/>
      <c r="V373" s="1354"/>
      <c r="W373" s="1354"/>
      <c r="X373" s="1354"/>
      <c r="Y373" s="1354"/>
      <c r="Z373" s="1354"/>
    </row>
    <row r="374" spans="1:26" x14ac:dyDescent="0.35">
      <c r="A374" s="1354" t="s">
        <v>7088</v>
      </c>
      <c r="B374" s="1354" t="s">
        <v>6688</v>
      </c>
      <c r="C374" s="1354" t="s">
        <v>7088</v>
      </c>
      <c r="D374" s="1354" t="s">
        <v>7184</v>
      </c>
      <c r="E374" s="1354" cm="1">
        <f t="array" ref="E374">learners_spfl_zd_passer_f_g9</f>
        <v>0</v>
      </c>
      <c r="F374" s="1354" t="b">
        <v>1</v>
      </c>
      <c r="H374" s="1354"/>
      <c r="I374" s="1354"/>
      <c r="J374" s="1354"/>
      <c r="K374" s="1354"/>
      <c r="L374" s="1354"/>
      <c r="M374" s="1354"/>
      <c r="N374" s="135"/>
      <c r="O374" s="1354"/>
      <c r="P374" s="1354"/>
      <c r="Q374" s="1354"/>
      <c r="R374" s="1354"/>
      <c r="S374" s="1354"/>
      <c r="T374" s="1354"/>
      <c r="U374" s="1354"/>
      <c r="V374" s="1354"/>
      <c r="W374" s="1354"/>
      <c r="X374" s="1354"/>
      <c r="Y374" s="1354"/>
      <c r="Z374" s="1354"/>
    </row>
    <row r="375" spans="1:26" x14ac:dyDescent="0.35">
      <c r="A375" s="1354" t="s">
        <v>7094</v>
      </c>
      <c r="B375" s="1354" t="s">
        <v>6688</v>
      </c>
      <c r="C375" s="1354" t="s">
        <v>7094</v>
      </c>
      <c r="D375" s="1354" t="s">
        <v>7191</v>
      </c>
      <c r="E375" s="1354" cm="1">
        <f t="array" ref="E375">learners_spfl_zd_passer_m_g10</f>
        <v>0</v>
      </c>
      <c r="F375" s="1354" t="b">
        <v>1</v>
      </c>
      <c r="H375" s="1354"/>
      <c r="I375" s="1354"/>
      <c r="J375" s="1354"/>
      <c r="K375" s="1354"/>
      <c r="L375" s="1354"/>
      <c r="M375" s="1354"/>
      <c r="N375" s="135"/>
      <c r="O375" s="1354"/>
      <c r="P375" s="1354"/>
      <c r="Q375" s="1354"/>
      <c r="R375" s="1354"/>
      <c r="S375" s="1354"/>
      <c r="T375" s="1354"/>
      <c r="U375" s="1354"/>
      <c r="V375" s="1354"/>
      <c r="W375" s="1354"/>
      <c r="X375" s="1354"/>
      <c r="Y375" s="1354"/>
      <c r="Z375" s="1354"/>
    </row>
    <row r="376" spans="1:26" x14ac:dyDescent="0.35">
      <c r="A376" s="1354" t="s">
        <v>7100</v>
      </c>
      <c r="B376" s="1354" t="s">
        <v>6688</v>
      </c>
      <c r="C376" s="1354" t="s">
        <v>7100</v>
      </c>
      <c r="D376" s="1354" t="s">
        <v>7196</v>
      </c>
      <c r="E376" s="1354" cm="1">
        <f t="array" ref="E376">learners_spfl_zd_passer_f_g10</f>
        <v>0</v>
      </c>
      <c r="F376" s="1354" t="b">
        <v>1</v>
      </c>
      <c r="H376" s="1354"/>
      <c r="I376" s="1354"/>
      <c r="J376" s="1354"/>
      <c r="K376" s="1354"/>
      <c r="L376" s="1354"/>
      <c r="M376" s="1354"/>
      <c r="N376" s="135"/>
      <c r="O376" s="1354"/>
      <c r="P376" s="1354"/>
      <c r="Q376" s="1354"/>
      <c r="R376" s="1354"/>
      <c r="S376" s="1354"/>
      <c r="T376" s="1354"/>
      <c r="U376" s="1354"/>
      <c r="V376" s="1354"/>
      <c r="W376" s="1354"/>
      <c r="X376" s="1354"/>
      <c r="Y376" s="1354"/>
      <c r="Z376" s="1354"/>
    </row>
    <row r="377" spans="1:26" x14ac:dyDescent="0.35">
      <c r="A377" s="1354" t="s">
        <v>7023</v>
      </c>
      <c r="B377" s="1354" t="s">
        <v>6688</v>
      </c>
      <c r="C377" s="1354" t="s">
        <v>7023</v>
      </c>
      <c r="D377" s="1354" t="s">
        <v>7107</v>
      </c>
      <c r="E377" s="1354" cm="1">
        <f t="array" ref="E377">learners_spfl_jlpt_takers_m_g7</f>
        <v>0</v>
      </c>
      <c r="F377" s="1354" t="b">
        <v>1</v>
      </c>
      <c r="H377" s="1354"/>
      <c r="I377" s="1354"/>
      <c r="J377" s="1354"/>
      <c r="K377" s="1354"/>
      <c r="L377" s="1354"/>
      <c r="M377" s="1354"/>
      <c r="N377" s="135"/>
      <c r="O377" s="1354"/>
      <c r="P377" s="1354"/>
      <c r="Q377" s="1354"/>
      <c r="R377" s="1354"/>
      <c r="S377" s="1354"/>
      <c r="T377" s="1354"/>
      <c r="U377" s="1354"/>
      <c r="V377" s="1354"/>
      <c r="W377" s="1354"/>
      <c r="X377" s="1354"/>
      <c r="Y377" s="1354"/>
      <c r="Z377" s="1354"/>
    </row>
    <row r="378" spans="1:26" x14ac:dyDescent="0.35">
      <c r="A378" s="1354" t="s">
        <v>7029</v>
      </c>
      <c r="B378" s="1354" t="s">
        <v>6688</v>
      </c>
      <c r="C378" s="1354" t="s">
        <v>7029</v>
      </c>
      <c r="D378" s="1354" t="s">
        <v>7113</v>
      </c>
      <c r="E378" s="1354" cm="1">
        <f t="array" ref="E378">learners_spfl_jlpt_takers_f_g7</f>
        <v>0</v>
      </c>
      <c r="F378" s="1354" t="b">
        <v>1</v>
      </c>
      <c r="H378" s="1354"/>
      <c r="I378" s="1354"/>
      <c r="J378" s="1354"/>
      <c r="K378" s="1354"/>
      <c r="L378" s="1354"/>
      <c r="M378" s="1354"/>
      <c r="N378" s="135"/>
      <c r="O378" s="1354"/>
      <c r="P378" s="1354"/>
      <c r="Q378" s="1354"/>
      <c r="R378" s="1354"/>
      <c r="S378" s="1354"/>
      <c r="T378" s="1354"/>
      <c r="U378" s="1354"/>
      <c r="V378" s="1354"/>
      <c r="W378" s="1354"/>
      <c r="X378" s="1354"/>
      <c r="Y378" s="1354"/>
      <c r="Z378" s="1354"/>
    </row>
    <row r="379" spans="1:26" x14ac:dyDescent="0.35">
      <c r="A379" s="1354" t="s">
        <v>7011</v>
      </c>
      <c r="B379" s="1354" t="s">
        <v>6688</v>
      </c>
      <c r="C379" s="1354" t="s">
        <v>7011</v>
      </c>
      <c r="D379" s="1354" t="s">
        <v>7119</v>
      </c>
      <c r="E379" s="1354" cm="1">
        <f t="array" ref="E379">learners_spfl_jlpt_takers_m_g8</f>
        <v>0</v>
      </c>
      <c r="F379" s="1354" t="b">
        <v>1</v>
      </c>
      <c r="H379" s="1354"/>
      <c r="I379" s="1354"/>
      <c r="J379" s="1354"/>
      <c r="K379" s="1354"/>
      <c r="L379" s="1354"/>
      <c r="M379" s="1354"/>
      <c r="N379" s="135"/>
      <c r="O379" s="1354"/>
      <c r="P379" s="1354"/>
      <c r="Q379" s="1354"/>
      <c r="R379" s="1354"/>
      <c r="S379" s="1354"/>
      <c r="T379" s="1354"/>
      <c r="U379" s="1354"/>
      <c r="V379" s="1354"/>
      <c r="W379" s="1354"/>
      <c r="X379" s="1354"/>
      <c r="Y379" s="1354"/>
      <c r="Z379" s="1354"/>
    </row>
    <row r="380" spans="1:26" x14ac:dyDescent="0.35">
      <c r="A380" s="1354" t="s">
        <v>7017</v>
      </c>
      <c r="B380" s="1354" t="s">
        <v>6688</v>
      </c>
      <c r="C380" s="1354" t="s">
        <v>7017</v>
      </c>
      <c r="D380" s="1354" t="s">
        <v>7125</v>
      </c>
      <c r="E380" s="1354" cm="1">
        <f t="array" ref="E380">learners_spfl_jlpt_takers_f_g8</f>
        <v>0</v>
      </c>
      <c r="F380" s="1354" t="b">
        <v>1</v>
      </c>
      <c r="H380" s="1354"/>
      <c r="I380" s="1354"/>
      <c r="J380" s="1354"/>
      <c r="K380" s="1354"/>
      <c r="L380" s="1354"/>
      <c r="M380" s="1354"/>
      <c r="N380" s="135"/>
      <c r="O380" s="1354"/>
      <c r="P380" s="1354"/>
      <c r="Q380" s="1354"/>
      <c r="R380" s="1354"/>
      <c r="S380" s="1354"/>
      <c r="T380" s="1354"/>
      <c r="U380" s="1354"/>
      <c r="V380" s="1354"/>
      <c r="W380" s="1354"/>
      <c r="X380" s="1354"/>
      <c r="Y380" s="1354"/>
      <c r="Z380" s="1354"/>
    </row>
    <row r="381" spans="1:26" x14ac:dyDescent="0.35">
      <c r="A381" s="1354" t="s">
        <v>7035</v>
      </c>
      <c r="B381" s="1354" t="s">
        <v>6688</v>
      </c>
      <c r="C381" s="1354" t="s">
        <v>7035</v>
      </c>
      <c r="D381" s="1354" t="s">
        <v>7131</v>
      </c>
      <c r="E381" s="1354" cm="1">
        <f t="array" ref="E381">learners_spfl_jlpt_takers_m_g9</f>
        <v>0</v>
      </c>
      <c r="F381" s="1354" t="b">
        <v>1</v>
      </c>
      <c r="H381" s="1354"/>
      <c r="I381" s="1354"/>
      <c r="J381" s="1354"/>
      <c r="K381" s="1354"/>
      <c r="L381" s="1354"/>
      <c r="M381" s="1354"/>
      <c r="N381" s="135"/>
      <c r="O381" s="1354"/>
      <c r="P381" s="1354"/>
      <c r="Q381" s="1354"/>
      <c r="R381" s="1354"/>
      <c r="S381" s="1354"/>
      <c r="T381" s="1354"/>
      <c r="U381" s="1354"/>
      <c r="V381" s="1354"/>
      <c r="W381" s="1354"/>
      <c r="X381" s="1354"/>
      <c r="Y381" s="1354"/>
      <c r="Z381" s="1354"/>
    </row>
    <row r="382" spans="1:26" x14ac:dyDescent="0.35">
      <c r="A382" s="1354" t="s">
        <v>7041</v>
      </c>
      <c r="B382" s="1354" t="s">
        <v>6688</v>
      </c>
      <c r="C382" s="1354" t="s">
        <v>7041</v>
      </c>
      <c r="D382" s="1354" t="s">
        <v>7137</v>
      </c>
      <c r="E382" s="1354" cm="1">
        <f t="array" ref="E382">learners_spfl_jlpt_takers_f_g9</f>
        <v>0</v>
      </c>
      <c r="F382" s="1354" t="b">
        <v>1</v>
      </c>
      <c r="H382" s="1354"/>
      <c r="I382" s="1354"/>
      <c r="J382" s="1354"/>
      <c r="K382" s="1354"/>
      <c r="L382" s="1354"/>
      <c r="M382" s="1354"/>
      <c r="N382" s="135"/>
      <c r="O382" s="1354"/>
      <c r="P382" s="1354"/>
      <c r="Q382" s="1354"/>
      <c r="R382" s="1354"/>
      <c r="S382" s="1354"/>
      <c r="T382" s="1354"/>
      <c r="U382" s="1354"/>
      <c r="V382" s="1354"/>
      <c r="W382" s="1354"/>
      <c r="X382" s="1354"/>
      <c r="Y382" s="1354"/>
      <c r="Z382" s="1354"/>
    </row>
    <row r="383" spans="1:26" x14ac:dyDescent="0.35">
      <c r="A383" s="1354" t="s">
        <v>7047</v>
      </c>
      <c r="B383" s="1354" t="s">
        <v>6688</v>
      </c>
      <c r="C383" s="1354" t="s">
        <v>7047</v>
      </c>
      <c r="D383" s="1354" t="s">
        <v>7143</v>
      </c>
      <c r="E383" s="1354" cm="1">
        <f t="array" ref="E383">learners_spfl_jlpt_takers_m_g10</f>
        <v>0</v>
      </c>
      <c r="F383" s="1354" t="b">
        <v>1</v>
      </c>
      <c r="H383" s="1354"/>
      <c r="I383" s="1354"/>
      <c r="J383" s="1354"/>
      <c r="K383" s="1354"/>
      <c r="L383" s="1354"/>
      <c r="M383" s="1354"/>
      <c r="N383" s="135"/>
      <c r="O383" s="1354"/>
      <c r="P383" s="1354"/>
      <c r="Q383" s="1354"/>
      <c r="R383" s="1354"/>
      <c r="S383" s="1354"/>
      <c r="T383" s="1354"/>
      <c r="U383" s="1354"/>
      <c r="V383" s="1354"/>
      <c r="W383" s="1354"/>
      <c r="X383" s="1354"/>
      <c r="Y383" s="1354"/>
      <c r="Z383" s="1354"/>
    </row>
    <row r="384" spans="1:26" x14ac:dyDescent="0.35">
      <c r="A384" s="1354" t="s">
        <v>7053</v>
      </c>
      <c r="B384" s="1354" t="s">
        <v>6688</v>
      </c>
      <c r="C384" s="1354" t="s">
        <v>7053</v>
      </c>
      <c r="D384" s="1354" t="s">
        <v>7149</v>
      </c>
      <c r="E384" s="1354" cm="1">
        <f t="array" ref="E384">learners_spfl_jlpt_takers_f_g10</f>
        <v>0</v>
      </c>
      <c r="F384" s="1354" t="b">
        <v>1</v>
      </c>
      <c r="H384" s="1354"/>
      <c r="I384" s="1354"/>
      <c r="J384" s="1354"/>
      <c r="K384" s="1354"/>
      <c r="L384" s="1354"/>
      <c r="M384" s="1354"/>
      <c r="N384" s="135"/>
      <c r="O384" s="1354"/>
      <c r="P384" s="1354"/>
      <c r="Q384" s="1354"/>
      <c r="R384" s="1354"/>
      <c r="S384" s="1354"/>
      <c r="T384" s="1354"/>
      <c r="U384" s="1354"/>
      <c r="V384" s="1354"/>
      <c r="W384" s="1354"/>
      <c r="X384" s="1354"/>
      <c r="Y384" s="1354"/>
      <c r="Z384" s="1354"/>
    </row>
    <row r="385" spans="1:26" x14ac:dyDescent="0.35">
      <c r="A385" s="1354" t="s">
        <v>7059</v>
      </c>
      <c r="B385" s="1354" t="s">
        <v>6688</v>
      </c>
      <c r="C385" s="1354" t="s">
        <v>7059</v>
      </c>
      <c r="D385" s="1354" t="s">
        <v>7155</v>
      </c>
      <c r="E385" s="1354" cm="1">
        <f t="array" ref="E385">learners_spfl_jlpt_passer_m_g7</f>
        <v>0</v>
      </c>
      <c r="F385" s="1354" t="b">
        <v>1</v>
      </c>
      <c r="H385" s="1354"/>
      <c r="I385" s="1354"/>
      <c r="J385" s="1354"/>
      <c r="K385" s="1354"/>
      <c r="L385" s="1354"/>
      <c r="M385" s="1354"/>
      <c r="N385" s="135"/>
      <c r="O385" s="1354"/>
      <c r="P385" s="1354"/>
      <c r="Q385" s="1354"/>
      <c r="R385" s="1354"/>
      <c r="S385" s="1354"/>
      <c r="T385" s="1354"/>
      <c r="U385" s="1354"/>
      <c r="V385" s="1354"/>
      <c r="W385" s="1354"/>
      <c r="X385" s="1354"/>
      <c r="Y385" s="1354"/>
      <c r="Z385" s="1354"/>
    </row>
    <row r="386" spans="1:26" x14ac:dyDescent="0.35">
      <c r="A386" s="1354" t="s">
        <v>7065</v>
      </c>
      <c r="B386" s="1354" t="s">
        <v>6688</v>
      </c>
      <c r="C386" s="1354" t="s">
        <v>7065</v>
      </c>
      <c r="D386" s="1354" t="s">
        <v>7161</v>
      </c>
      <c r="E386" s="1354" cm="1">
        <f t="array" ref="E386">learners_spfl_jlpt_passer_f_g7</f>
        <v>0</v>
      </c>
      <c r="F386" s="1354" t="b">
        <v>1</v>
      </c>
      <c r="H386" s="1354"/>
      <c r="I386" s="1354"/>
      <c r="J386" s="1354"/>
      <c r="K386" s="1354"/>
      <c r="L386" s="1354"/>
      <c r="M386" s="1354"/>
      <c r="N386" s="135"/>
      <c r="O386" s="1354"/>
      <c r="P386" s="1354"/>
      <c r="Q386" s="1354"/>
      <c r="R386" s="1354"/>
      <c r="S386" s="1354"/>
      <c r="T386" s="1354"/>
      <c r="U386" s="1354"/>
      <c r="V386" s="1354"/>
      <c r="W386" s="1354"/>
      <c r="X386" s="1354"/>
      <c r="Y386" s="1354"/>
      <c r="Z386" s="1354"/>
    </row>
    <row r="387" spans="1:26" x14ac:dyDescent="0.35">
      <c r="A387" s="1354" t="s">
        <v>7071</v>
      </c>
      <c r="B387" s="1354" t="s">
        <v>6688</v>
      </c>
      <c r="C387" s="1354" t="s">
        <v>7071</v>
      </c>
      <c r="D387" s="1354" t="s">
        <v>7167</v>
      </c>
      <c r="E387" s="1354" cm="1">
        <f t="array" ref="E387">learners_spfl_jlpt_passer_m_g8</f>
        <v>0</v>
      </c>
      <c r="F387" s="1354" t="b">
        <v>1</v>
      </c>
      <c r="H387" s="1354"/>
      <c r="I387" s="1354"/>
      <c r="J387" s="1354"/>
      <c r="K387" s="1354"/>
      <c r="L387" s="1354"/>
      <c r="M387" s="1354"/>
      <c r="N387" s="135"/>
      <c r="O387" s="1354"/>
      <c r="P387" s="1354"/>
      <c r="Q387" s="1354"/>
      <c r="R387" s="1354"/>
      <c r="S387" s="1354"/>
      <c r="T387" s="1354"/>
      <c r="U387" s="1354"/>
      <c r="V387" s="1354"/>
      <c r="W387" s="1354"/>
      <c r="X387" s="1354"/>
      <c r="Y387" s="1354"/>
      <c r="Z387" s="1354"/>
    </row>
    <row r="388" spans="1:26" x14ac:dyDescent="0.35">
      <c r="A388" s="1354" t="s">
        <v>7077</v>
      </c>
      <c r="B388" s="1354" t="s">
        <v>6688</v>
      </c>
      <c r="C388" s="1354" t="s">
        <v>7077</v>
      </c>
      <c r="D388" s="1354" t="s">
        <v>7173</v>
      </c>
      <c r="E388" s="1354" cm="1">
        <f t="array" ref="E388">learners_spfl_jlpt_passer_f_g8</f>
        <v>0</v>
      </c>
      <c r="F388" s="1354" t="b">
        <v>1</v>
      </c>
      <c r="H388" s="1354"/>
      <c r="I388" s="1354"/>
      <c r="J388" s="1354"/>
      <c r="K388" s="1354"/>
      <c r="L388" s="1354"/>
      <c r="M388" s="1354"/>
      <c r="N388" s="135"/>
      <c r="O388" s="1354"/>
      <c r="P388" s="1354"/>
      <c r="Q388" s="1354"/>
      <c r="R388" s="1354"/>
      <c r="S388" s="1354"/>
      <c r="T388" s="1354"/>
      <c r="U388" s="1354"/>
      <c r="V388" s="1354"/>
      <c r="W388" s="1354"/>
      <c r="X388" s="1354"/>
      <c r="Y388" s="1354"/>
      <c r="Z388" s="1354"/>
    </row>
    <row r="389" spans="1:26" x14ac:dyDescent="0.35">
      <c r="A389" s="1354" t="s">
        <v>7083</v>
      </c>
      <c r="B389" s="1354" t="s">
        <v>6688</v>
      </c>
      <c r="C389" s="1354" t="s">
        <v>7083</v>
      </c>
      <c r="D389" s="1354" t="s">
        <v>7179</v>
      </c>
      <c r="E389" s="1354" cm="1">
        <f t="array" ref="E389">learners_spfl_jlpt_passer_m_g9</f>
        <v>0</v>
      </c>
      <c r="F389" s="1354" t="b">
        <v>1</v>
      </c>
      <c r="H389" s="1354"/>
      <c r="I389" s="1354"/>
      <c r="J389" s="1354"/>
      <c r="K389" s="1354"/>
      <c r="L389" s="1354"/>
      <c r="M389" s="1354"/>
      <c r="N389" s="135"/>
      <c r="O389" s="1354"/>
      <c r="P389" s="1354"/>
      <c r="Q389" s="1354"/>
      <c r="R389" s="1354"/>
      <c r="S389" s="1354"/>
      <c r="T389" s="1354"/>
      <c r="U389" s="1354"/>
      <c r="V389" s="1354"/>
      <c r="W389" s="1354"/>
      <c r="X389" s="1354"/>
      <c r="Y389" s="1354"/>
      <c r="Z389" s="1354"/>
    </row>
    <row r="390" spans="1:26" x14ac:dyDescent="0.35">
      <c r="A390" s="1354" t="s">
        <v>7089</v>
      </c>
      <c r="B390" s="1354" t="s">
        <v>6688</v>
      </c>
      <c r="C390" s="1354" t="s">
        <v>7089</v>
      </c>
      <c r="D390" s="1354" t="s">
        <v>7185</v>
      </c>
      <c r="E390" s="1354" cm="1">
        <f t="array" ref="E390">learners_spfl_jlpt_passer_f_g9</f>
        <v>0</v>
      </c>
      <c r="F390" s="1354" t="b">
        <v>1</v>
      </c>
      <c r="H390" s="1354"/>
      <c r="I390" s="1354"/>
      <c r="J390" s="1354"/>
      <c r="K390" s="1354"/>
      <c r="L390" s="1354"/>
      <c r="M390" s="1354"/>
      <c r="N390" s="135"/>
      <c r="O390" s="1354"/>
      <c r="P390" s="1354"/>
      <c r="Q390" s="1354"/>
      <c r="R390" s="1354"/>
      <c r="S390" s="1354"/>
      <c r="T390" s="1354"/>
      <c r="U390" s="1354"/>
      <c r="V390" s="1354"/>
      <c r="W390" s="1354"/>
      <c r="X390" s="1354"/>
      <c r="Y390" s="1354"/>
      <c r="Z390" s="1354"/>
    </row>
    <row r="391" spans="1:26" x14ac:dyDescent="0.35">
      <c r="A391" s="1354" t="s">
        <v>7095</v>
      </c>
      <c r="B391" s="1354" t="s">
        <v>6688</v>
      </c>
      <c r="C391" s="1354" t="s">
        <v>7095</v>
      </c>
      <c r="D391" s="1354" t="s">
        <v>7192</v>
      </c>
      <c r="E391" s="1354" cm="1">
        <f t="array" ref="E391">learners_spfl_jlpt_passer_m_g10</f>
        <v>0</v>
      </c>
      <c r="F391" s="1354" t="b">
        <v>1</v>
      </c>
      <c r="H391" s="1354"/>
      <c r="I391" s="1354"/>
      <c r="J391" s="1354"/>
      <c r="K391" s="1354"/>
      <c r="L391" s="1354"/>
      <c r="M391" s="1354"/>
      <c r="N391" s="135"/>
      <c r="O391" s="1354"/>
      <c r="P391" s="1354"/>
      <c r="Q391" s="1354"/>
      <c r="R391" s="1354"/>
      <c r="S391" s="1354"/>
      <c r="T391" s="1354"/>
      <c r="U391" s="1354"/>
      <c r="V391" s="1354"/>
      <c r="W391" s="1354"/>
      <c r="X391" s="1354"/>
      <c r="Y391" s="1354"/>
      <c r="Z391" s="1354"/>
    </row>
    <row r="392" spans="1:26" x14ac:dyDescent="0.35">
      <c r="A392" s="1354" t="s">
        <v>7101</v>
      </c>
      <c r="B392" s="1354" t="s">
        <v>6688</v>
      </c>
      <c r="C392" s="1354" t="s">
        <v>7101</v>
      </c>
      <c r="D392" s="1354" t="s">
        <v>7197</v>
      </c>
      <c r="E392" s="1354" cm="1">
        <f t="array" ref="E392">learners_spfl_jlpt_passer_f_g10</f>
        <v>0</v>
      </c>
      <c r="F392" s="1354" t="b">
        <v>1</v>
      </c>
      <c r="H392" s="1354"/>
      <c r="I392" s="1354"/>
      <c r="J392" s="1354"/>
      <c r="K392" s="1354"/>
      <c r="L392" s="1354"/>
      <c r="M392" s="1354"/>
      <c r="N392" s="135"/>
      <c r="O392" s="1354"/>
      <c r="P392" s="1354"/>
      <c r="Q392" s="1354"/>
      <c r="R392" s="1354"/>
      <c r="S392" s="1354"/>
      <c r="T392" s="1354"/>
      <c r="U392" s="1354"/>
      <c r="V392" s="1354"/>
      <c r="W392" s="1354"/>
      <c r="X392" s="1354"/>
      <c r="Y392" s="1354"/>
      <c r="Z392" s="1354"/>
    </row>
    <row r="393" spans="1:26" x14ac:dyDescent="0.35">
      <c r="A393" s="1354" t="s">
        <v>7024</v>
      </c>
      <c r="B393" s="1354" t="s">
        <v>6688</v>
      </c>
      <c r="C393" s="1354" t="s">
        <v>7024</v>
      </c>
      <c r="D393" s="1354" t="s">
        <v>7108</v>
      </c>
      <c r="E393" s="1354" cm="1">
        <f t="array" ref="E393">learners_spfl_topik_takers_m_g7</f>
        <v>0</v>
      </c>
      <c r="F393" s="1354" t="b">
        <v>1</v>
      </c>
      <c r="H393" s="1354"/>
      <c r="I393" s="1354"/>
      <c r="J393" s="1354"/>
      <c r="K393" s="1354"/>
      <c r="L393" s="1354"/>
      <c r="M393" s="1354"/>
      <c r="N393" s="135"/>
      <c r="O393" s="1354"/>
      <c r="P393" s="1354"/>
      <c r="Q393" s="1354"/>
      <c r="R393" s="1354"/>
      <c r="S393" s="1354"/>
      <c r="T393" s="1354"/>
      <c r="U393" s="1354"/>
      <c r="V393" s="1354"/>
      <c r="W393" s="1354"/>
      <c r="X393" s="1354"/>
      <c r="Y393" s="1354"/>
      <c r="Z393" s="1354"/>
    </row>
    <row r="394" spans="1:26" x14ac:dyDescent="0.35">
      <c r="A394" s="1354" t="s">
        <v>7030</v>
      </c>
      <c r="B394" s="1354" t="s">
        <v>6688</v>
      </c>
      <c r="C394" s="1354" t="s">
        <v>7030</v>
      </c>
      <c r="D394" s="1354" t="s">
        <v>7114</v>
      </c>
      <c r="E394" s="1354" cm="1">
        <f t="array" ref="E394">learners_spfl_topik_takers_f_g7</f>
        <v>0</v>
      </c>
      <c r="F394" s="1354" t="b">
        <v>1</v>
      </c>
      <c r="H394" s="1354"/>
      <c r="I394" s="1354"/>
      <c r="J394" s="1354"/>
      <c r="K394" s="1354"/>
      <c r="L394" s="1354"/>
      <c r="M394" s="1354"/>
      <c r="N394" s="135"/>
      <c r="O394" s="1354"/>
      <c r="P394" s="1354"/>
      <c r="Q394" s="1354"/>
      <c r="R394" s="1354"/>
      <c r="S394" s="1354"/>
      <c r="T394" s="1354"/>
      <c r="U394" s="1354"/>
      <c r="V394" s="1354"/>
      <c r="W394" s="1354"/>
      <c r="X394" s="1354"/>
      <c r="Y394" s="1354"/>
      <c r="Z394" s="1354"/>
    </row>
    <row r="395" spans="1:26" x14ac:dyDescent="0.35">
      <c r="A395" s="1354" t="s">
        <v>7012</v>
      </c>
      <c r="B395" s="1354" t="s">
        <v>6688</v>
      </c>
      <c r="C395" s="1354" t="s">
        <v>7012</v>
      </c>
      <c r="D395" s="1354" t="s">
        <v>7120</v>
      </c>
      <c r="E395" s="1354" cm="1">
        <f t="array" ref="E395">learners_spfl_topik_takers_m_g8</f>
        <v>0</v>
      </c>
      <c r="F395" s="1354" t="b">
        <v>1</v>
      </c>
      <c r="H395" s="1354"/>
      <c r="I395" s="1354"/>
      <c r="J395" s="1354"/>
      <c r="K395" s="1354"/>
      <c r="L395" s="1354"/>
      <c r="M395" s="1354"/>
      <c r="N395" s="135"/>
      <c r="O395" s="1354"/>
      <c r="P395" s="1354"/>
      <c r="Q395" s="1354"/>
      <c r="R395" s="1354"/>
      <c r="S395" s="1354"/>
      <c r="T395" s="1354"/>
      <c r="U395" s="1354"/>
      <c r="V395" s="1354"/>
      <c r="W395" s="1354"/>
      <c r="X395" s="1354"/>
      <c r="Y395" s="1354"/>
      <c r="Z395" s="1354"/>
    </row>
    <row r="396" spans="1:26" x14ac:dyDescent="0.35">
      <c r="A396" s="1354" t="s">
        <v>7018</v>
      </c>
      <c r="B396" s="1354" t="s">
        <v>6688</v>
      </c>
      <c r="C396" s="1354" t="s">
        <v>7018</v>
      </c>
      <c r="D396" s="1354" t="s">
        <v>7126</v>
      </c>
      <c r="E396" s="1354" cm="1">
        <f t="array" ref="E396">learners_spfl_topik_takers_f_g8</f>
        <v>0</v>
      </c>
      <c r="F396" s="1354" t="b">
        <v>1</v>
      </c>
      <c r="H396" s="1354"/>
      <c r="I396" s="1354"/>
      <c r="J396" s="1354"/>
      <c r="K396" s="1354"/>
      <c r="L396" s="1354"/>
      <c r="M396" s="1354"/>
      <c r="N396" s="135"/>
      <c r="O396" s="1354"/>
      <c r="P396" s="1354"/>
      <c r="Q396" s="1354"/>
      <c r="R396" s="1354"/>
      <c r="S396" s="1354"/>
      <c r="T396" s="1354"/>
      <c r="U396" s="1354"/>
      <c r="V396" s="1354"/>
      <c r="W396" s="1354"/>
      <c r="X396" s="1354"/>
      <c r="Y396" s="1354"/>
      <c r="Z396" s="1354"/>
    </row>
    <row r="397" spans="1:26" x14ac:dyDescent="0.35">
      <c r="A397" s="1354" t="s">
        <v>7036</v>
      </c>
      <c r="B397" s="1354" t="s">
        <v>6688</v>
      </c>
      <c r="C397" s="1354" t="s">
        <v>7036</v>
      </c>
      <c r="D397" s="1354" t="s">
        <v>7132</v>
      </c>
      <c r="E397" s="1354" cm="1">
        <f t="array" ref="E397">learners_spfl_topik_takers_m_g9</f>
        <v>0</v>
      </c>
      <c r="F397" s="1354" t="b">
        <v>1</v>
      </c>
      <c r="H397" s="1354"/>
      <c r="I397" s="1354"/>
      <c r="J397" s="1354"/>
      <c r="K397" s="1354"/>
      <c r="L397" s="1354"/>
      <c r="M397" s="1354"/>
      <c r="N397" s="135"/>
      <c r="O397" s="1354"/>
      <c r="P397" s="1354"/>
      <c r="Q397" s="1354"/>
      <c r="R397" s="1354"/>
      <c r="S397" s="1354"/>
      <c r="T397" s="1354"/>
      <c r="U397" s="1354"/>
      <c r="V397" s="1354"/>
      <c r="W397" s="1354"/>
      <c r="X397" s="1354"/>
      <c r="Y397" s="1354"/>
      <c r="Z397" s="1354"/>
    </row>
    <row r="398" spans="1:26" x14ac:dyDescent="0.35">
      <c r="A398" s="1354" t="s">
        <v>7042</v>
      </c>
      <c r="B398" s="1354" t="s">
        <v>6688</v>
      </c>
      <c r="C398" s="1354" t="s">
        <v>7042</v>
      </c>
      <c r="D398" s="1354" t="s">
        <v>7138</v>
      </c>
      <c r="E398" s="1354" cm="1">
        <f t="array" ref="E398">learners_spfl_topik_takers_f_g9</f>
        <v>0</v>
      </c>
      <c r="F398" s="1354" t="b">
        <v>1</v>
      </c>
      <c r="H398" s="1354"/>
      <c r="I398" s="1354"/>
      <c r="J398" s="1354"/>
      <c r="K398" s="1354"/>
      <c r="L398" s="1354"/>
      <c r="M398" s="1354"/>
      <c r="N398" s="135"/>
      <c r="O398" s="1354"/>
      <c r="P398" s="1354"/>
      <c r="Q398" s="1354"/>
      <c r="R398" s="1354"/>
      <c r="S398" s="1354"/>
      <c r="T398" s="1354"/>
      <c r="U398" s="1354"/>
      <c r="V398" s="1354"/>
      <c r="W398" s="1354"/>
      <c r="X398" s="1354"/>
      <c r="Y398" s="1354"/>
      <c r="Z398" s="1354"/>
    </row>
    <row r="399" spans="1:26" x14ac:dyDescent="0.35">
      <c r="A399" s="1354" t="s">
        <v>7048</v>
      </c>
      <c r="B399" s="1354" t="s">
        <v>6688</v>
      </c>
      <c r="C399" s="1354" t="s">
        <v>7048</v>
      </c>
      <c r="D399" s="1354" t="s">
        <v>7144</v>
      </c>
      <c r="E399" s="1354" cm="1">
        <f t="array" ref="E399">learners_spfl_topik_takers_m_g10</f>
        <v>0</v>
      </c>
      <c r="F399" s="1354" t="b">
        <v>1</v>
      </c>
      <c r="H399" s="1354"/>
      <c r="I399" s="1354"/>
      <c r="J399" s="1354"/>
      <c r="K399" s="1354"/>
      <c r="L399" s="1354"/>
      <c r="M399" s="1354"/>
      <c r="N399" s="135"/>
      <c r="O399" s="1354"/>
      <c r="P399" s="1354"/>
      <c r="Q399" s="1354"/>
      <c r="R399" s="1354"/>
      <c r="S399" s="1354"/>
      <c r="T399" s="1354"/>
      <c r="U399" s="1354"/>
      <c r="V399" s="1354"/>
      <c r="W399" s="1354"/>
      <c r="X399" s="1354"/>
      <c r="Y399" s="1354"/>
      <c r="Z399" s="1354"/>
    </row>
    <row r="400" spans="1:26" x14ac:dyDescent="0.35">
      <c r="A400" s="1354" t="s">
        <v>7054</v>
      </c>
      <c r="B400" s="1354" t="s">
        <v>6688</v>
      </c>
      <c r="C400" s="1354" t="s">
        <v>7054</v>
      </c>
      <c r="D400" s="1354" t="s">
        <v>7150</v>
      </c>
      <c r="E400" s="1354" cm="1">
        <f t="array" ref="E400">learners_spfl_topik_takers_f_g10</f>
        <v>0</v>
      </c>
      <c r="F400" s="1354" t="b">
        <v>1</v>
      </c>
      <c r="H400" s="1354"/>
      <c r="I400" s="1354"/>
      <c r="J400" s="1354"/>
      <c r="K400" s="1354"/>
      <c r="L400" s="1354"/>
      <c r="M400" s="1354"/>
      <c r="N400" s="135"/>
      <c r="O400" s="1354"/>
      <c r="P400" s="1354"/>
      <c r="Q400" s="1354"/>
      <c r="R400" s="1354"/>
      <c r="S400" s="1354"/>
      <c r="T400" s="1354"/>
      <c r="U400" s="1354"/>
      <c r="V400" s="1354"/>
      <c r="W400" s="1354"/>
      <c r="X400" s="1354"/>
      <c r="Y400" s="1354"/>
      <c r="Z400" s="1354"/>
    </row>
    <row r="401" spans="1:26" x14ac:dyDescent="0.35">
      <c r="A401" s="1354" t="s">
        <v>7060</v>
      </c>
      <c r="B401" s="1354" t="s">
        <v>6688</v>
      </c>
      <c r="C401" s="1354" t="s">
        <v>7060</v>
      </c>
      <c r="D401" s="1354" t="s">
        <v>7156</v>
      </c>
      <c r="E401" s="1354" cm="1">
        <f t="array" ref="E401">learners_spfl_topik_passer_m_g7</f>
        <v>0</v>
      </c>
      <c r="F401" s="1354" t="b">
        <v>1</v>
      </c>
      <c r="H401" s="1354"/>
      <c r="I401" s="1354"/>
      <c r="J401" s="1354"/>
      <c r="K401" s="1354"/>
      <c r="L401" s="1354"/>
      <c r="M401" s="1354"/>
      <c r="N401" s="135"/>
      <c r="O401" s="1354"/>
      <c r="P401" s="1354"/>
      <c r="Q401" s="1354"/>
      <c r="R401" s="1354"/>
      <c r="S401" s="1354"/>
      <c r="T401" s="1354"/>
      <c r="U401" s="1354"/>
      <c r="V401" s="1354"/>
      <c r="W401" s="1354"/>
      <c r="X401" s="1354"/>
      <c r="Y401" s="1354"/>
      <c r="Z401" s="1354"/>
    </row>
    <row r="402" spans="1:26" x14ac:dyDescent="0.35">
      <c r="A402" s="1354" t="s">
        <v>7066</v>
      </c>
      <c r="B402" s="1354" t="s">
        <v>6688</v>
      </c>
      <c r="C402" s="1354" t="s">
        <v>7066</v>
      </c>
      <c r="D402" s="1354" t="s">
        <v>7162</v>
      </c>
      <c r="E402" s="1354" cm="1">
        <f t="array" ref="E402">learners_spfl_topik_passer_f_g7</f>
        <v>0</v>
      </c>
      <c r="F402" s="1354" t="b">
        <v>1</v>
      </c>
      <c r="H402" s="1354"/>
      <c r="I402" s="1354"/>
      <c r="J402" s="1354"/>
      <c r="K402" s="1354"/>
      <c r="L402" s="1354"/>
      <c r="M402" s="1354"/>
      <c r="N402" s="135"/>
      <c r="O402" s="1354"/>
      <c r="P402" s="1354"/>
      <c r="Q402" s="1354"/>
      <c r="R402" s="1354"/>
      <c r="S402" s="1354"/>
      <c r="T402" s="1354"/>
      <c r="U402" s="1354"/>
      <c r="V402" s="1354"/>
      <c r="W402" s="1354"/>
      <c r="X402" s="1354"/>
      <c r="Y402" s="1354"/>
      <c r="Z402" s="1354"/>
    </row>
    <row r="403" spans="1:26" x14ac:dyDescent="0.35">
      <c r="A403" s="1354" t="s">
        <v>7072</v>
      </c>
      <c r="B403" s="1354" t="s">
        <v>6688</v>
      </c>
      <c r="C403" s="1354" t="s">
        <v>7072</v>
      </c>
      <c r="D403" s="1354" t="s">
        <v>7168</v>
      </c>
      <c r="E403" s="1354" cm="1">
        <f t="array" ref="E403">learners_spfl_topik_passer_m_g8</f>
        <v>0</v>
      </c>
      <c r="F403" s="1354" t="b">
        <v>1</v>
      </c>
      <c r="H403" s="1354"/>
      <c r="I403" s="1354"/>
      <c r="J403" s="1354"/>
      <c r="K403" s="1354"/>
      <c r="L403" s="1354"/>
      <c r="M403" s="1354"/>
      <c r="N403" s="135"/>
      <c r="O403" s="1354"/>
      <c r="P403" s="1354"/>
      <c r="Q403" s="1354"/>
      <c r="R403" s="1354"/>
      <c r="S403" s="1354"/>
      <c r="T403" s="1354"/>
      <c r="U403" s="1354"/>
      <c r="V403" s="1354"/>
      <c r="W403" s="1354"/>
      <c r="X403" s="1354"/>
      <c r="Y403" s="1354"/>
      <c r="Z403" s="1354"/>
    </row>
    <row r="404" spans="1:26" x14ac:dyDescent="0.35">
      <c r="A404" s="1354" t="s">
        <v>7078</v>
      </c>
      <c r="B404" s="1354" t="s">
        <v>6688</v>
      </c>
      <c r="C404" s="1354" t="s">
        <v>7078</v>
      </c>
      <c r="D404" s="1354" t="s">
        <v>7174</v>
      </c>
      <c r="E404" s="1354" cm="1">
        <f t="array" ref="E404">learners_spfl_topik_passer_f_g8</f>
        <v>0</v>
      </c>
      <c r="F404" s="1354" t="b">
        <v>1</v>
      </c>
      <c r="H404" s="1354"/>
      <c r="I404" s="1354"/>
      <c r="J404" s="1354"/>
      <c r="K404" s="1354"/>
      <c r="L404" s="1354"/>
      <c r="M404" s="1354"/>
      <c r="N404" s="135"/>
      <c r="O404" s="1354"/>
      <c r="P404" s="1354"/>
      <c r="Q404" s="1354"/>
      <c r="R404" s="1354"/>
      <c r="S404" s="1354"/>
      <c r="T404" s="1354"/>
      <c r="U404" s="1354"/>
      <c r="V404" s="1354"/>
      <c r="W404" s="1354"/>
      <c r="X404" s="1354"/>
      <c r="Y404" s="1354"/>
      <c r="Z404" s="1354"/>
    </row>
    <row r="405" spans="1:26" x14ac:dyDescent="0.35">
      <c r="A405" s="1354" t="s">
        <v>7084</v>
      </c>
      <c r="B405" s="1354" t="s">
        <v>6688</v>
      </c>
      <c r="C405" s="1354" t="s">
        <v>7084</v>
      </c>
      <c r="D405" s="1354" t="s">
        <v>7180</v>
      </c>
      <c r="E405" s="1354" cm="1">
        <f t="array" ref="E405">learners_spfl_topik_passer_m_g9</f>
        <v>0</v>
      </c>
      <c r="F405" s="1354" t="b">
        <v>1</v>
      </c>
      <c r="H405" s="1354"/>
      <c r="I405" s="1354"/>
      <c r="J405" s="1354"/>
      <c r="K405" s="1354"/>
      <c r="L405" s="1354"/>
      <c r="M405" s="1354"/>
      <c r="N405" s="135"/>
      <c r="O405" s="1354"/>
      <c r="P405" s="1354"/>
      <c r="Q405" s="1354"/>
      <c r="R405" s="1354"/>
      <c r="S405" s="1354"/>
      <c r="T405" s="1354"/>
      <c r="U405" s="1354"/>
      <c r="V405" s="1354"/>
      <c r="W405" s="1354"/>
      <c r="X405" s="1354"/>
      <c r="Y405" s="1354"/>
      <c r="Z405" s="1354"/>
    </row>
    <row r="406" spans="1:26" x14ac:dyDescent="0.35">
      <c r="A406" s="1354" t="s">
        <v>7090</v>
      </c>
      <c r="B406" s="1354" t="s">
        <v>6688</v>
      </c>
      <c r="C406" s="1354" t="s">
        <v>7090</v>
      </c>
      <c r="D406" s="1354" t="s">
        <v>7186</v>
      </c>
      <c r="E406" s="1354" cm="1">
        <f t="array" ref="E406">learners_spfl_topik_passer_f_g9</f>
        <v>0</v>
      </c>
      <c r="F406" s="1354" t="b">
        <v>1</v>
      </c>
      <c r="H406" s="1354"/>
      <c r="I406" s="1354"/>
      <c r="J406" s="1354"/>
      <c r="K406" s="1354"/>
      <c r="L406" s="1354"/>
      <c r="M406" s="1354"/>
      <c r="N406" s="135"/>
      <c r="O406" s="1354"/>
      <c r="P406" s="1354"/>
      <c r="Q406" s="1354"/>
      <c r="R406" s="1354"/>
      <c r="S406" s="1354"/>
      <c r="T406" s="1354"/>
      <c r="U406" s="1354"/>
      <c r="V406" s="1354"/>
      <c r="W406" s="1354"/>
      <c r="X406" s="1354"/>
      <c r="Y406" s="1354"/>
      <c r="Z406" s="1354"/>
    </row>
    <row r="407" spans="1:26" x14ac:dyDescent="0.35">
      <c r="A407" s="1354" t="s">
        <v>7096</v>
      </c>
      <c r="B407" s="1354" t="s">
        <v>6688</v>
      </c>
      <c r="C407" s="1354" t="s">
        <v>7096</v>
      </c>
      <c r="D407" s="1354" t="s">
        <v>7193</v>
      </c>
      <c r="E407" s="1354" cm="1">
        <f t="array" ref="E407">learners_spfl_topik_passer_m_g10</f>
        <v>0</v>
      </c>
      <c r="F407" s="1354" t="b">
        <v>1</v>
      </c>
      <c r="H407" s="1354"/>
      <c r="I407" s="1354"/>
      <c r="J407" s="1354"/>
      <c r="K407" s="1354"/>
      <c r="L407" s="1354"/>
      <c r="M407" s="1354"/>
      <c r="N407" s="135"/>
      <c r="O407" s="1354"/>
      <c r="P407" s="1354"/>
      <c r="Q407" s="1354"/>
      <c r="R407" s="1354"/>
      <c r="S407" s="1354"/>
      <c r="T407" s="1354"/>
      <c r="U407" s="1354"/>
      <c r="V407" s="1354"/>
      <c r="W407" s="1354"/>
      <c r="X407" s="1354"/>
      <c r="Y407" s="1354"/>
      <c r="Z407" s="1354"/>
    </row>
    <row r="408" spans="1:26" x14ac:dyDescent="0.35">
      <c r="A408" s="1354" t="s">
        <v>7102</v>
      </c>
      <c r="B408" s="1354" t="s">
        <v>6688</v>
      </c>
      <c r="C408" s="1354" t="s">
        <v>7102</v>
      </c>
      <c r="D408" s="1354" t="s">
        <v>7198</v>
      </c>
      <c r="E408" s="1354" cm="1">
        <f t="array" ref="E408">learners_spfl_topik_passer_f_g10</f>
        <v>0</v>
      </c>
      <c r="F408" s="1354" t="b">
        <v>1</v>
      </c>
      <c r="H408" s="1354"/>
      <c r="I408" s="1354"/>
      <c r="J408" s="1354"/>
      <c r="K408" s="1354"/>
      <c r="L408" s="1354"/>
      <c r="M408" s="1354"/>
      <c r="N408" s="135"/>
      <c r="O408" s="1354"/>
      <c r="P408" s="1354"/>
      <c r="Q408" s="1354"/>
      <c r="R408" s="1354"/>
      <c r="S408" s="1354"/>
      <c r="T408" s="1354"/>
      <c r="U408" s="1354"/>
      <c r="V408" s="1354"/>
      <c r="W408" s="1354"/>
      <c r="X408" s="1354"/>
      <c r="Y408" s="1354"/>
      <c r="Z408" s="1354"/>
    </row>
    <row r="409" spans="1:26" x14ac:dyDescent="0.35">
      <c r="A409" s="1354" t="s">
        <v>7025</v>
      </c>
      <c r="B409" s="1354" t="s">
        <v>6688</v>
      </c>
      <c r="C409" s="1354" t="s">
        <v>7025</v>
      </c>
      <c r="D409" s="1354" t="s">
        <v>7109</v>
      </c>
      <c r="E409" s="1354" cm="1">
        <f t="array" ref="E409">learners_spfl_dele_takers_m_g7</f>
        <v>0</v>
      </c>
      <c r="F409" s="1354" t="b">
        <v>1</v>
      </c>
      <c r="H409" s="1354"/>
      <c r="I409" s="1354"/>
      <c r="J409" s="1354"/>
      <c r="K409" s="1354"/>
      <c r="L409" s="1354"/>
      <c r="M409" s="1354"/>
      <c r="N409" s="135"/>
      <c r="O409" s="1354"/>
      <c r="P409" s="1354"/>
      <c r="Q409" s="1354"/>
      <c r="R409" s="1354"/>
      <c r="S409" s="1354"/>
      <c r="T409" s="1354"/>
      <c r="U409" s="1354"/>
      <c r="V409" s="1354"/>
      <c r="W409" s="1354"/>
      <c r="X409" s="1354"/>
      <c r="Y409" s="1354"/>
      <c r="Z409" s="1354"/>
    </row>
    <row r="410" spans="1:26" x14ac:dyDescent="0.35">
      <c r="A410" s="1354" t="s">
        <v>7031</v>
      </c>
      <c r="B410" s="1354" t="s">
        <v>6688</v>
      </c>
      <c r="C410" s="1354" t="s">
        <v>7031</v>
      </c>
      <c r="D410" s="1354" t="s">
        <v>7115</v>
      </c>
      <c r="E410" s="1354" cm="1">
        <f t="array" ref="E410">learners_spfl_dele_takers_f_g7</f>
        <v>0</v>
      </c>
      <c r="F410" s="1354" t="b">
        <v>1</v>
      </c>
      <c r="H410" s="1354"/>
      <c r="I410" s="1354"/>
      <c r="J410" s="1354"/>
      <c r="K410" s="1354"/>
      <c r="L410" s="1354"/>
      <c r="M410" s="1354"/>
      <c r="N410" s="135"/>
      <c r="O410" s="1354"/>
      <c r="P410" s="1354"/>
      <c r="Q410" s="1354"/>
      <c r="R410" s="1354"/>
      <c r="S410" s="1354"/>
      <c r="T410" s="1354"/>
      <c r="U410" s="1354"/>
      <c r="V410" s="1354"/>
      <c r="W410" s="1354"/>
      <c r="X410" s="1354"/>
      <c r="Y410" s="1354"/>
      <c r="Z410" s="1354"/>
    </row>
    <row r="411" spans="1:26" x14ac:dyDescent="0.35">
      <c r="A411" s="1354" t="s">
        <v>7013</v>
      </c>
      <c r="B411" s="1354" t="s">
        <v>6688</v>
      </c>
      <c r="C411" s="1354" t="s">
        <v>7013</v>
      </c>
      <c r="D411" s="1354" t="s">
        <v>7121</v>
      </c>
      <c r="E411" s="1354" cm="1">
        <f t="array" ref="E411">learners_spfl_dele_takers_m_g8</f>
        <v>0</v>
      </c>
      <c r="F411" s="1354" t="b">
        <v>1</v>
      </c>
      <c r="H411" s="1354"/>
      <c r="I411" s="1354"/>
      <c r="J411" s="1354"/>
      <c r="K411" s="1354"/>
      <c r="L411" s="1354"/>
      <c r="M411" s="1354"/>
      <c r="N411" s="135"/>
      <c r="O411" s="1354"/>
      <c r="P411" s="1354"/>
      <c r="Q411" s="1354"/>
      <c r="R411" s="1354"/>
      <c r="S411" s="1354"/>
      <c r="T411" s="1354"/>
      <c r="U411" s="1354"/>
      <c r="V411" s="1354"/>
      <c r="W411" s="1354"/>
      <c r="X411" s="1354"/>
      <c r="Y411" s="1354"/>
      <c r="Z411" s="1354"/>
    </row>
    <row r="412" spans="1:26" x14ac:dyDescent="0.35">
      <c r="A412" s="1354" t="s">
        <v>7019</v>
      </c>
      <c r="B412" s="1354" t="s">
        <v>6688</v>
      </c>
      <c r="C412" s="1354" t="s">
        <v>7019</v>
      </c>
      <c r="D412" s="1354" t="s">
        <v>7127</v>
      </c>
      <c r="E412" s="1354" cm="1">
        <f t="array" ref="E412">learners_spfl_dele_takers_f_g8</f>
        <v>0</v>
      </c>
      <c r="F412" s="1354" t="b">
        <v>1</v>
      </c>
      <c r="H412" s="1354"/>
      <c r="I412" s="1354"/>
      <c r="J412" s="1354"/>
      <c r="K412" s="1354"/>
      <c r="L412" s="1354"/>
      <c r="M412" s="1354"/>
      <c r="N412" s="135"/>
      <c r="O412" s="1354"/>
      <c r="P412" s="1354"/>
      <c r="Q412" s="1354"/>
      <c r="R412" s="1354"/>
      <c r="S412" s="1354"/>
      <c r="T412" s="1354"/>
      <c r="U412" s="1354"/>
      <c r="V412" s="1354"/>
      <c r="W412" s="1354"/>
      <c r="X412" s="1354"/>
      <c r="Y412" s="1354"/>
      <c r="Z412" s="1354"/>
    </row>
    <row r="413" spans="1:26" x14ac:dyDescent="0.35">
      <c r="A413" s="1354" t="s">
        <v>7037</v>
      </c>
      <c r="B413" s="1354" t="s">
        <v>6688</v>
      </c>
      <c r="C413" s="1354" t="s">
        <v>7037</v>
      </c>
      <c r="D413" s="1354" t="s">
        <v>7133</v>
      </c>
      <c r="E413" s="1354" cm="1">
        <f t="array" ref="E413">learners_spfl_dele_takers_m_g9</f>
        <v>0</v>
      </c>
      <c r="F413" s="1354" t="b">
        <v>1</v>
      </c>
      <c r="H413" s="1354"/>
      <c r="I413" s="1354"/>
      <c r="J413" s="1354"/>
      <c r="K413" s="1354"/>
      <c r="L413" s="1354"/>
      <c r="M413" s="1354"/>
      <c r="N413" s="135"/>
      <c r="O413" s="1354"/>
      <c r="P413" s="1354"/>
      <c r="Q413" s="1354"/>
      <c r="R413" s="1354"/>
      <c r="S413" s="1354"/>
      <c r="T413" s="1354"/>
      <c r="U413" s="1354"/>
      <c r="V413" s="1354"/>
      <c r="W413" s="1354"/>
      <c r="X413" s="1354"/>
      <c r="Y413" s="1354"/>
      <c r="Z413" s="1354"/>
    </row>
    <row r="414" spans="1:26" x14ac:dyDescent="0.35">
      <c r="A414" s="1354" t="s">
        <v>7043</v>
      </c>
      <c r="B414" s="1354" t="s">
        <v>6688</v>
      </c>
      <c r="C414" s="1354" t="s">
        <v>7043</v>
      </c>
      <c r="D414" s="1354" t="s">
        <v>7139</v>
      </c>
      <c r="E414" s="1354" cm="1">
        <f t="array" ref="E414">learners_spfl_dele_takers_f_g9</f>
        <v>0</v>
      </c>
      <c r="F414" s="1354" t="b">
        <v>1</v>
      </c>
      <c r="H414" s="1354"/>
      <c r="I414" s="1354"/>
      <c r="J414" s="1354"/>
      <c r="K414" s="1354"/>
      <c r="L414" s="1354"/>
      <c r="M414" s="1354"/>
      <c r="N414" s="135"/>
      <c r="O414" s="1354"/>
      <c r="P414" s="1354"/>
      <c r="Q414" s="1354"/>
      <c r="R414" s="1354"/>
      <c r="S414" s="1354"/>
      <c r="T414" s="1354"/>
      <c r="U414" s="1354"/>
      <c r="V414" s="1354"/>
      <c r="W414" s="1354"/>
      <c r="X414" s="1354"/>
      <c r="Y414" s="1354"/>
      <c r="Z414" s="1354"/>
    </row>
    <row r="415" spans="1:26" x14ac:dyDescent="0.35">
      <c r="A415" s="1354" t="s">
        <v>7049</v>
      </c>
      <c r="B415" s="1354" t="s">
        <v>6688</v>
      </c>
      <c r="C415" s="1354" t="s">
        <v>7049</v>
      </c>
      <c r="D415" s="1354" t="s">
        <v>7145</v>
      </c>
      <c r="E415" s="1354" cm="1">
        <f t="array" ref="E415">learners_spfl_dele_takers_m_g10</f>
        <v>0</v>
      </c>
      <c r="F415" s="1354" t="b">
        <v>1</v>
      </c>
      <c r="H415" s="1354"/>
      <c r="I415" s="1354"/>
      <c r="J415" s="1354"/>
      <c r="K415" s="1354"/>
      <c r="L415" s="1354"/>
      <c r="M415" s="1354"/>
      <c r="N415" s="135"/>
      <c r="O415" s="1354"/>
      <c r="P415" s="1354"/>
      <c r="Q415" s="1354"/>
      <c r="R415" s="1354"/>
      <c r="S415" s="1354"/>
      <c r="T415" s="1354"/>
      <c r="U415" s="1354"/>
      <c r="V415" s="1354"/>
      <c r="W415" s="1354"/>
      <c r="X415" s="1354"/>
      <c r="Y415" s="1354"/>
      <c r="Z415" s="1354"/>
    </row>
    <row r="416" spans="1:26" x14ac:dyDescent="0.35">
      <c r="A416" s="1354" t="s">
        <v>7055</v>
      </c>
      <c r="B416" s="1354" t="s">
        <v>6688</v>
      </c>
      <c r="C416" s="1354" t="s">
        <v>7055</v>
      </c>
      <c r="D416" s="1354" t="s">
        <v>7151</v>
      </c>
      <c r="E416" s="1354" cm="1">
        <f t="array" ref="E416">learners_spfl_dele_takers_f_g10</f>
        <v>0</v>
      </c>
      <c r="F416" s="1354" t="b">
        <v>1</v>
      </c>
      <c r="H416" s="1354"/>
      <c r="I416" s="1354"/>
      <c r="J416" s="1354"/>
      <c r="K416" s="1354"/>
      <c r="L416" s="1354"/>
      <c r="M416" s="1354"/>
      <c r="N416" s="135"/>
      <c r="O416" s="1354"/>
      <c r="P416" s="1354"/>
      <c r="Q416" s="1354"/>
      <c r="R416" s="1354"/>
      <c r="S416" s="1354"/>
      <c r="T416" s="1354"/>
      <c r="U416" s="1354"/>
      <c r="V416" s="1354"/>
      <c r="W416" s="1354"/>
      <c r="X416" s="1354"/>
      <c r="Y416" s="1354"/>
      <c r="Z416" s="1354"/>
    </row>
    <row r="417" spans="1:34" x14ac:dyDescent="0.35">
      <c r="A417" s="1354" t="s">
        <v>7061</v>
      </c>
      <c r="B417" s="1354" t="s">
        <v>6688</v>
      </c>
      <c r="C417" s="1354" t="s">
        <v>7061</v>
      </c>
      <c r="D417" s="1354" t="s">
        <v>7157</v>
      </c>
      <c r="E417" s="1354" cm="1">
        <f t="array" ref="E417">learners_spfl_dele_passer_m_g7</f>
        <v>0</v>
      </c>
      <c r="F417" s="1354" t="b">
        <v>1</v>
      </c>
      <c r="H417" s="1354"/>
      <c r="I417" s="1354"/>
      <c r="J417" s="1354"/>
      <c r="K417" s="1354"/>
      <c r="L417" s="1354"/>
      <c r="M417" s="1354"/>
      <c r="N417" s="135"/>
      <c r="O417" s="1354"/>
      <c r="P417" s="1354"/>
      <c r="Q417" s="1354"/>
      <c r="R417" s="1354"/>
      <c r="S417" s="1354"/>
      <c r="T417" s="1354"/>
      <c r="U417" s="1354"/>
      <c r="V417" s="1354"/>
      <c r="W417" s="1354"/>
      <c r="X417" s="1354"/>
      <c r="Y417" s="1354"/>
      <c r="Z417" s="1354"/>
    </row>
    <row r="418" spans="1:34" x14ac:dyDescent="0.35">
      <c r="A418" s="1354" t="s">
        <v>7067</v>
      </c>
      <c r="B418" s="1354" t="s">
        <v>6688</v>
      </c>
      <c r="C418" s="1354" t="s">
        <v>7067</v>
      </c>
      <c r="D418" s="1354" t="s">
        <v>7163</v>
      </c>
      <c r="E418" s="1354" cm="1">
        <f t="array" ref="E418">learners_spfl_dele_passer_f_g7</f>
        <v>0</v>
      </c>
      <c r="F418" s="1354" t="b">
        <v>1</v>
      </c>
      <c r="H418" s="1354"/>
      <c r="I418" s="1354"/>
      <c r="J418" s="1354"/>
      <c r="K418" s="1354"/>
      <c r="L418" s="1354"/>
      <c r="M418" s="1354"/>
      <c r="N418" s="135"/>
      <c r="O418" s="1354"/>
      <c r="P418" s="1354"/>
      <c r="Q418" s="1354"/>
      <c r="R418" s="1354"/>
      <c r="S418" s="1354"/>
      <c r="T418" s="1354"/>
      <c r="U418" s="1354"/>
      <c r="V418" s="1354"/>
      <c r="W418" s="1354"/>
      <c r="X418" s="1354"/>
      <c r="Y418" s="1354"/>
      <c r="Z418" s="1354"/>
    </row>
    <row r="419" spans="1:34" x14ac:dyDescent="0.35">
      <c r="A419" s="1354" t="s">
        <v>7073</v>
      </c>
      <c r="B419" s="1354" t="s">
        <v>6688</v>
      </c>
      <c r="C419" s="1354" t="s">
        <v>7073</v>
      </c>
      <c r="D419" s="1354" t="s">
        <v>7169</v>
      </c>
      <c r="E419" s="1354" cm="1">
        <f t="array" ref="E419">learners_spfl_dele_passer_m_g8</f>
        <v>0</v>
      </c>
      <c r="F419" s="1354" t="b">
        <v>1</v>
      </c>
      <c r="H419" s="1354"/>
      <c r="I419" s="1354"/>
      <c r="J419" s="1354"/>
      <c r="K419" s="1354"/>
      <c r="L419" s="1354"/>
      <c r="M419" s="1354"/>
      <c r="N419" s="135"/>
      <c r="O419" s="1354"/>
      <c r="P419" s="1354"/>
      <c r="Q419" s="1354"/>
      <c r="R419" s="1354"/>
      <c r="S419" s="1354"/>
      <c r="T419" s="1354"/>
      <c r="U419" s="1354"/>
      <c r="V419" s="1354"/>
      <c r="W419" s="1354"/>
      <c r="X419" s="1354"/>
      <c r="Y419" s="1354"/>
      <c r="Z419" s="1354"/>
    </row>
    <row r="420" spans="1:34" x14ac:dyDescent="0.35">
      <c r="A420" s="1354" t="s">
        <v>7079</v>
      </c>
      <c r="B420" s="1354" t="s">
        <v>6688</v>
      </c>
      <c r="C420" s="1354" t="s">
        <v>7079</v>
      </c>
      <c r="D420" s="1354" t="s">
        <v>7175</v>
      </c>
      <c r="E420" s="1354" cm="1">
        <f t="array" ref="E420">learners_spfl_dele_passer_f_g8</f>
        <v>0</v>
      </c>
      <c r="F420" s="1354" t="b">
        <v>1</v>
      </c>
      <c r="H420" s="1354"/>
      <c r="I420" s="1354"/>
      <c r="J420" s="1354"/>
      <c r="K420" s="1354"/>
      <c r="L420" s="1354"/>
      <c r="M420" s="1354"/>
      <c r="N420" s="135"/>
      <c r="O420" s="1354"/>
      <c r="P420" s="1354"/>
      <c r="Q420" s="1354"/>
      <c r="R420" s="1354"/>
      <c r="S420" s="1354"/>
      <c r="T420" s="1354"/>
      <c r="U420" s="1354"/>
      <c r="V420" s="1354"/>
      <c r="W420" s="1354"/>
      <c r="X420" s="1354"/>
      <c r="Y420" s="1354"/>
      <c r="Z420" s="1354"/>
    </row>
    <row r="421" spans="1:34" x14ac:dyDescent="0.35">
      <c r="A421" s="1354" t="s">
        <v>7085</v>
      </c>
      <c r="B421" s="1354" t="s">
        <v>6688</v>
      </c>
      <c r="C421" s="1354" t="s">
        <v>7085</v>
      </c>
      <c r="D421" s="1354" t="s">
        <v>7181</v>
      </c>
      <c r="E421" s="1354" cm="1">
        <f t="array" ref="E421">learners_spfl_dele_passer_m_g9</f>
        <v>0</v>
      </c>
      <c r="F421" s="1354" t="b">
        <v>1</v>
      </c>
      <c r="H421" s="1354"/>
      <c r="I421" s="1354"/>
      <c r="J421" s="1354"/>
      <c r="K421" s="1354"/>
      <c r="L421" s="1354"/>
      <c r="M421" s="1354"/>
      <c r="N421" s="135"/>
      <c r="O421" s="1354"/>
      <c r="P421" s="1354"/>
      <c r="Q421" s="1354"/>
      <c r="R421" s="1354"/>
      <c r="S421" s="1354"/>
      <c r="T421" s="1354"/>
      <c r="U421" s="1354"/>
      <c r="V421" s="1354"/>
      <c r="W421" s="1354"/>
      <c r="X421" s="1354"/>
      <c r="Y421" s="1354"/>
      <c r="Z421" s="1354"/>
    </row>
    <row r="422" spans="1:34" x14ac:dyDescent="0.35">
      <c r="A422" s="1354" t="s">
        <v>7091</v>
      </c>
      <c r="B422" s="1354" t="s">
        <v>6688</v>
      </c>
      <c r="C422" s="1354" t="s">
        <v>7091</v>
      </c>
      <c r="D422" s="1354" t="s">
        <v>7187</v>
      </c>
      <c r="E422" s="1354" cm="1">
        <f t="array" ref="E422">learners_spfl_dele_passer_f_g9</f>
        <v>0</v>
      </c>
      <c r="F422" s="1354" t="b">
        <v>1</v>
      </c>
      <c r="H422" s="1354"/>
      <c r="I422" s="1354"/>
      <c r="J422" s="1354"/>
      <c r="K422" s="1354"/>
      <c r="L422" s="1354"/>
      <c r="M422" s="1354"/>
      <c r="N422" s="135"/>
      <c r="O422" s="1354"/>
      <c r="P422" s="1354"/>
      <c r="Q422" s="1354"/>
      <c r="R422" s="1354"/>
      <c r="S422" s="1354"/>
      <c r="T422" s="1354"/>
      <c r="U422" s="1354"/>
      <c r="V422" s="1354"/>
      <c r="W422" s="1354"/>
      <c r="X422" s="1354"/>
      <c r="Y422" s="1354"/>
      <c r="Z422" s="1354"/>
    </row>
    <row r="423" spans="1:34" x14ac:dyDescent="0.35">
      <c r="A423" s="1354" t="s">
        <v>7097</v>
      </c>
      <c r="B423" s="1354" t="s">
        <v>6688</v>
      </c>
      <c r="C423" s="1354" t="s">
        <v>7097</v>
      </c>
      <c r="D423" s="1354" t="s">
        <v>7188</v>
      </c>
      <c r="E423" s="1354" cm="1">
        <f t="array" ref="E423">learners_spfl_dele_passer_m_g10</f>
        <v>0</v>
      </c>
      <c r="F423" s="1354" t="b">
        <v>1</v>
      </c>
      <c r="H423" s="1354"/>
      <c r="I423" s="1354"/>
      <c r="J423" s="1354"/>
      <c r="K423" s="1354"/>
      <c r="L423" s="1354"/>
      <c r="M423" s="1354"/>
      <c r="N423" s="135"/>
      <c r="O423" s="1354"/>
      <c r="P423" s="1354"/>
      <c r="Q423" s="1354"/>
      <c r="R423" s="1354"/>
      <c r="S423" s="1354"/>
      <c r="T423" s="1354"/>
      <c r="U423" s="1354"/>
      <c r="V423" s="1354"/>
      <c r="W423" s="1354"/>
      <c r="X423" s="1354"/>
      <c r="Y423" s="1354"/>
      <c r="Z423" s="1354"/>
    </row>
    <row r="424" spans="1:34" s="1348" customFormat="1" ht="16" thickBot="1" x14ac:dyDescent="0.4">
      <c r="A424" s="1356" t="s">
        <v>7103</v>
      </c>
      <c r="B424" s="1356" t="s">
        <v>6688</v>
      </c>
      <c r="C424" s="1356" t="s">
        <v>7103</v>
      </c>
      <c r="D424" s="1356" t="s">
        <v>7199</v>
      </c>
      <c r="E424" s="1356" cm="1">
        <f t="array" ref="E424">learners_spfl_dele_passer_f_g10</f>
        <v>0</v>
      </c>
      <c r="F424" s="1356" t="b">
        <v>1</v>
      </c>
      <c r="H424" s="1356"/>
      <c r="I424" s="1356"/>
      <c r="J424" s="1356"/>
      <c r="K424" s="1356"/>
      <c r="L424" s="1356"/>
      <c r="M424" s="1356"/>
      <c r="N424" s="145"/>
      <c r="O424" s="1356"/>
      <c r="P424" s="1356"/>
      <c r="Q424" s="1356"/>
      <c r="R424" s="1356"/>
      <c r="S424" s="1356"/>
      <c r="T424" s="1356"/>
      <c r="U424" s="1356"/>
      <c r="V424" s="1356"/>
      <c r="W424" s="1356"/>
      <c r="X424" s="1356"/>
      <c r="Y424" s="1356"/>
      <c r="Z424" s="1356"/>
    </row>
    <row r="425" spans="1:34" x14ac:dyDescent="0.35">
      <c r="A425" s="1372" t="s">
        <v>2549</v>
      </c>
      <c r="B425" s="1372" t="s">
        <v>2427</v>
      </c>
      <c r="C425" s="1372" t="s">
        <v>2549</v>
      </c>
      <c r="D425" s="1372" t="s">
        <v>7347</v>
      </c>
      <c r="E425" s="1372">
        <f>learners_tle_he_beautycare_m_g7</f>
        <v>0</v>
      </c>
      <c r="F425" s="1372" t="b">
        <v>1</v>
      </c>
      <c r="H425" s="1372"/>
      <c r="I425" s="1372"/>
      <c r="J425" s="1372"/>
      <c r="K425" s="1372"/>
      <c r="L425" s="1372"/>
      <c r="M425" s="1372"/>
      <c r="N425" s="1373"/>
      <c r="O425" s="1372"/>
      <c r="P425" s="1372"/>
      <c r="Q425" s="1372"/>
      <c r="R425" s="1372"/>
      <c r="S425" s="1372"/>
      <c r="T425" s="1372"/>
      <c r="U425" s="1372"/>
      <c r="V425" s="1372"/>
      <c r="W425" s="1372"/>
      <c r="X425" s="1372"/>
      <c r="Y425" s="1372"/>
      <c r="Z425" s="1372"/>
      <c r="AA425" s="1372"/>
      <c r="AB425" s="1372"/>
      <c r="AC425" s="1372"/>
      <c r="AD425" s="1372"/>
      <c r="AE425" s="1372"/>
      <c r="AF425" s="1372"/>
      <c r="AG425" s="1372"/>
      <c r="AH425" s="1372"/>
    </row>
    <row r="426" spans="1:34" x14ac:dyDescent="0.35">
      <c r="A426" t="s">
        <v>2574</v>
      </c>
      <c r="B426" s="1371" t="s">
        <v>2427</v>
      </c>
      <c r="C426" s="1371" t="s">
        <v>2574</v>
      </c>
      <c r="D426" s="1372" t="s">
        <v>7356</v>
      </c>
      <c r="E426" s="1371">
        <f>learners_tle_he_beautycare_f_g7</f>
        <v>0</v>
      </c>
      <c r="F426" s="1371" t="b">
        <v>1</v>
      </c>
      <c r="H426" s="1371"/>
      <c r="I426" s="1371"/>
      <c r="J426" s="1371"/>
      <c r="K426" s="1371"/>
      <c r="L426" s="1371"/>
      <c r="M426" s="1371"/>
      <c r="N426" s="1374"/>
      <c r="O426" s="1371"/>
      <c r="P426" s="1371"/>
      <c r="Q426" s="1371"/>
      <c r="R426" s="1371"/>
      <c r="S426" s="1371"/>
      <c r="T426" s="1371"/>
      <c r="U426" s="1371"/>
      <c r="V426" s="1371"/>
      <c r="W426" s="1371"/>
      <c r="X426" s="1371"/>
      <c r="Y426" s="1371"/>
      <c r="Z426" s="1371"/>
      <c r="AA426" s="1371"/>
      <c r="AB426" s="1371"/>
      <c r="AC426" s="1371"/>
      <c r="AD426" s="1371"/>
      <c r="AE426" s="1371"/>
      <c r="AF426" s="1371"/>
      <c r="AG426" s="1371"/>
      <c r="AH426" s="1371"/>
    </row>
    <row r="427" spans="1:34" x14ac:dyDescent="0.35">
      <c r="A427" t="s">
        <v>2599</v>
      </c>
      <c r="B427" s="1371" t="s">
        <v>2427</v>
      </c>
      <c r="C427" s="1371" t="s">
        <v>2599</v>
      </c>
      <c r="D427" s="1372" t="s">
        <v>7223</v>
      </c>
      <c r="E427" s="1371">
        <f>learners_tle_he_beautycare_m_g8</f>
        <v>0</v>
      </c>
      <c r="F427" s="1371" t="b">
        <v>1</v>
      </c>
      <c r="H427" s="1371"/>
      <c r="I427" s="1371"/>
      <c r="J427" s="1371"/>
      <c r="K427" s="1371"/>
      <c r="L427" s="1371"/>
      <c r="M427" s="1371"/>
      <c r="N427" s="1374"/>
      <c r="O427" s="1371"/>
      <c r="P427" s="1371"/>
      <c r="Q427" s="1371"/>
      <c r="R427" s="1371"/>
      <c r="S427" s="1371"/>
      <c r="T427" s="1371"/>
      <c r="U427" s="1371"/>
      <c r="V427" s="1371"/>
      <c r="W427" s="1371"/>
      <c r="X427" s="1371"/>
      <c r="Y427" s="1371"/>
      <c r="Z427" s="1371"/>
      <c r="AA427" s="1371"/>
      <c r="AB427" s="1371"/>
      <c r="AC427" s="1371"/>
      <c r="AD427" s="1371"/>
      <c r="AE427" s="1371"/>
      <c r="AF427" s="1371"/>
      <c r="AG427" s="1371"/>
      <c r="AH427" s="1371"/>
    </row>
    <row r="428" spans="1:34" x14ac:dyDescent="0.35">
      <c r="A428" t="s">
        <v>12653</v>
      </c>
      <c r="B428" s="1371" t="s">
        <v>2427</v>
      </c>
      <c r="C428" t="s">
        <v>12653</v>
      </c>
      <c r="D428" s="1372" t="s">
        <v>12652</v>
      </c>
      <c r="E428">
        <f>learners_tle_he_beautycare_f_g8</f>
        <v>0</v>
      </c>
      <c r="F428" s="1371" t="b">
        <v>1</v>
      </c>
    </row>
    <row r="429" spans="1:34" x14ac:dyDescent="0.35">
      <c r="A429" t="s">
        <v>2449</v>
      </c>
      <c r="B429" t="s">
        <v>2427</v>
      </c>
      <c r="C429" t="s">
        <v>2449</v>
      </c>
      <c r="D429" s="1372" t="s">
        <v>7247</v>
      </c>
      <c r="E429">
        <f>learners_tle_he_beautycare_m_g9</f>
        <v>0</v>
      </c>
      <c r="F429" t="b">
        <v>1</v>
      </c>
    </row>
    <row r="430" spans="1:34" x14ac:dyDescent="0.35">
      <c r="A430" t="s">
        <v>2474</v>
      </c>
      <c r="B430" t="s">
        <v>2427</v>
      </c>
      <c r="C430" t="s">
        <v>2474</v>
      </c>
      <c r="D430" s="1372" t="s">
        <v>7272</v>
      </c>
      <c r="E430">
        <f>learners_tle_he_beautycare_f_g9</f>
        <v>0</v>
      </c>
      <c r="F430" t="b">
        <v>1</v>
      </c>
    </row>
    <row r="431" spans="1:34" x14ac:dyDescent="0.35">
      <c r="A431" t="s">
        <v>2499</v>
      </c>
      <c r="B431" t="s">
        <v>2427</v>
      </c>
      <c r="C431" t="s">
        <v>2499</v>
      </c>
      <c r="D431" s="1372" t="s">
        <v>7297</v>
      </c>
      <c r="E431">
        <f>learners_tle_he_beautycare_m_g10</f>
        <v>0</v>
      </c>
      <c r="F431" t="b">
        <v>1</v>
      </c>
    </row>
    <row r="432" spans="1:34" x14ac:dyDescent="0.35">
      <c r="A432" t="s">
        <v>2524</v>
      </c>
      <c r="B432" t="s">
        <v>2427</v>
      </c>
      <c r="C432" t="s">
        <v>2524</v>
      </c>
      <c r="D432" s="1372" t="s">
        <v>7322</v>
      </c>
      <c r="E432">
        <f>learners_tle_he_beautycare_f_g10</f>
        <v>0</v>
      </c>
      <c r="F432" t="b">
        <v>1</v>
      </c>
    </row>
    <row r="433" spans="1:6" x14ac:dyDescent="0.35">
      <c r="A433" t="s">
        <v>2550</v>
      </c>
      <c r="B433" t="s">
        <v>2427</v>
      </c>
      <c r="C433" t="s">
        <v>2550</v>
      </c>
      <c r="D433" s="1372" t="s">
        <v>7348</v>
      </c>
      <c r="E433">
        <f>learners_tle_he_caregiving_m_g7</f>
        <v>0</v>
      </c>
      <c r="F433" t="b">
        <v>1</v>
      </c>
    </row>
    <row r="434" spans="1:6" x14ac:dyDescent="0.35">
      <c r="A434" t="s">
        <v>2575</v>
      </c>
      <c r="B434" t="s">
        <v>2427</v>
      </c>
      <c r="C434" t="s">
        <v>2575</v>
      </c>
      <c r="D434" s="1372" t="s">
        <v>7373</v>
      </c>
      <c r="E434">
        <f>learners_tle_he_caregiving_f_g7</f>
        <v>0</v>
      </c>
      <c r="F434" t="b">
        <v>1</v>
      </c>
    </row>
    <row r="435" spans="1:6" x14ac:dyDescent="0.35">
      <c r="A435" t="s">
        <v>2600</v>
      </c>
      <c r="B435" t="s">
        <v>2427</v>
      </c>
      <c r="C435" t="s">
        <v>2600</v>
      </c>
      <c r="D435" s="1372" t="s">
        <v>7224</v>
      </c>
      <c r="E435">
        <f>learners_tle_he_caregiving_m_g8</f>
        <v>0</v>
      </c>
      <c r="F435" t="b">
        <v>1</v>
      </c>
    </row>
    <row r="436" spans="1:6" x14ac:dyDescent="0.35">
      <c r="A436" t="s">
        <v>12654</v>
      </c>
      <c r="B436" t="s">
        <v>2427</v>
      </c>
      <c r="C436" t="s">
        <v>12654</v>
      </c>
      <c r="D436" s="1372" t="s">
        <v>12655</v>
      </c>
      <c r="E436">
        <f>learners_tle_he_caregiving_f_g8</f>
        <v>0</v>
      </c>
      <c r="F436" t="b">
        <v>1</v>
      </c>
    </row>
    <row r="437" spans="1:6" x14ac:dyDescent="0.35">
      <c r="A437" t="s">
        <v>2450</v>
      </c>
      <c r="B437" t="s">
        <v>2427</v>
      </c>
      <c r="C437" t="s">
        <v>2450</v>
      </c>
      <c r="D437" s="1372" t="s">
        <v>7248</v>
      </c>
      <c r="E437">
        <f>learners_tle_he_caregiving_m_g9</f>
        <v>0</v>
      </c>
      <c r="F437" t="b">
        <v>1</v>
      </c>
    </row>
    <row r="438" spans="1:6" x14ac:dyDescent="0.35">
      <c r="A438" t="s">
        <v>2475</v>
      </c>
      <c r="B438" t="s">
        <v>2427</v>
      </c>
      <c r="C438" t="s">
        <v>2475</v>
      </c>
      <c r="D438" s="1372" t="s">
        <v>7273</v>
      </c>
      <c r="E438">
        <f>learners_tle_he_caregiving_f_g9</f>
        <v>0</v>
      </c>
      <c r="F438" t="b">
        <v>1</v>
      </c>
    </row>
    <row r="439" spans="1:6" x14ac:dyDescent="0.35">
      <c r="A439" t="s">
        <v>2500</v>
      </c>
      <c r="B439" t="s">
        <v>2427</v>
      </c>
      <c r="C439" t="s">
        <v>2500</v>
      </c>
      <c r="D439" s="1372" t="s">
        <v>7298</v>
      </c>
      <c r="E439">
        <f>learners_tle_he_caregiving_m_g10</f>
        <v>0</v>
      </c>
      <c r="F439" t="b">
        <v>1</v>
      </c>
    </row>
    <row r="440" spans="1:6" x14ac:dyDescent="0.35">
      <c r="A440" t="s">
        <v>2525</v>
      </c>
      <c r="B440" t="s">
        <v>2427</v>
      </c>
      <c r="C440" t="s">
        <v>2525</v>
      </c>
      <c r="D440" s="1372" t="s">
        <v>7323</v>
      </c>
      <c r="E440">
        <f>learners_tle_he_caregiving_f_g10</f>
        <v>0</v>
      </c>
      <c r="F440" t="b">
        <v>1</v>
      </c>
    </row>
    <row r="441" spans="1:6" x14ac:dyDescent="0.35">
      <c r="A441" t="s">
        <v>2551</v>
      </c>
      <c r="B441" t="s">
        <v>2427</v>
      </c>
      <c r="C441" t="s">
        <v>2551</v>
      </c>
      <c r="D441" s="1372" t="s">
        <v>7349</v>
      </c>
      <c r="E441">
        <f>learners_tle_he_cookery_m_g7</f>
        <v>0</v>
      </c>
      <c r="F441" t="b">
        <v>1</v>
      </c>
    </row>
    <row r="442" spans="1:6" x14ac:dyDescent="0.35">
      <c r="A442" t="s">
        <v>2576</v>
      </c>
      <c r="B442" t="s">
        <v>2427</v>
      </c>
      <c r="C442" t="s">
        <v>2576</v>
      </c>
      <c r="D442" s="1372" t="s">
        <v>7374</v>
      </c>
      <c r="E442">
        <f>learners_tle_he_cookery_f_g7</f>
        <v>0</v>
      </c>
      <c r="F442" t="b">
        <v>1</v>
      </c>
    </row>
    <row r="443" spans="1:6" x14ac:dyDescent="0.35">
      <c r="A443" t="s">
        <v>2601</v>
      </c>
      <c r="B443" t="s">
        <v>2427</v>
      </c>
      <c r="C443" t="s">
        <v>2601</v>
      </c>
      <c r="D443" s="1372" t="s">
        <v>7200</v>
      </c>
      <c r="E443">
        <f>learners_tle_he_cookery_m_g8</f>
        <v>0</v>
      </c>
      <c r="F443" t="b">
        <v>1</v>
      </c>
    </row>
    <row r="444" spans="1:6" x14ac:dyDescent="0.35">
      <c r="A444" t="s">
        <v>12656</v>
      </c>
      <c r="B444" t="s">
        <v>2427</v>
      </c>
      <c r="C444" t="s">
        <v>12656</v>
      </c>
      <c r="D444" s="1372" t="s">
        <v>12657</v>
      </c>
      <c r="E444">
        <f>learners_tle_he_cookery_f_g8</f>
        <v>0</v>
      </c>
      <c r="F444" t="b">
        <v>1</v>
      </c>
    </row>
    <row r="445" spans="1:6" x14ac:dyDescent="0.35">
      <c r="A445" t="s">
        <v>2451</v>
      </c>
      <c r="B445" t="s">
        <v>2427</v>
      </c>
      <c r="C445" t="s">
        <v>2451</v>
      </c>
      <c r="D445" s="1372" t="s">
        <v>7249</v>
      </c>
      <c r="E445">
        <f>learners_tle_he_cookery_m_g9</f>
        <v>0</v>
      </c>
      <c r="F445" t="b">
        <v>1</v>
      </c>
    </row>
    <row r="446" spans="1:6" x14ac:dyDescent="0.35">
      <c r="A446" t="s">
        <v>2476</v>
      </c>
      <c r="B446" t="s">
        <v>2427</v>
      </c>
      <c r="C446" t="s">
        <v>2476</v>
      </c>
      <c r="D446" s="1372" t="s">
        <v>7274</v>
      </c>
      <c r="E446">
        <f>learners_tle_he_cookery_f_g9</f>
        <v>0</v>
      </c>
      <c r="F446" t="b">
        <v>1</v>
      </c>
    </row>
    <row r="447" spans="1:6" x14ac:dyDescent="0.35">
      <c r="A447" t="s">
        <v>2501</v>
      </c>
      <c r="B447" t="s">
        <v>2427</v>
      </c>
      <c r="C447" t="s">
        <v>2501</v>
      </c>
      <c r="D447" s="1372" t="s">
        <v>7299</v>
      </c>
      <c r="E447">
        <f>learners_tle_he_cookery_m_g10</f>
        <v>0</v>
      </c>
      <c r="F447" t="b">
        <v>1</v>
      </c>
    </row>
    <row r="448" spans="1:6" x14ac:dyDescent="0.35">
      <c r="A448" t="s">
        <v>2526</v>
      </c>
      <c r="B448" t="s">
        <v>2427</v>
      </c>
      <c r="C448" t="s">
        <v>2526</v>
      </c>
      <c r="D448" s="1372" t="s">
        <v>7324</v>
      </c>
      <c r="E448">
        <f>learners_tle_he_cookery_f_g10</f>
        <v>0</v>
      </c>
      <c r="F448" t="b">
        <v>1</v>
      </c>
    </row>
    <row r="449" spans="1:6" x14ac:dyDescent="0.35">
      <c r="A449" t="s">
        <v>2527</v>
      </c>
      <c r="B449" t="s">
        <v>2427</v>
      </c>
      <c r="C449" t="s">
        <v>2527</v>
      </c>
      <c r="D449" s="1372" t="s">
        <v>7325</v>
      </c>
      <c r="E449">
        <f>learners_tle_he_dressmaking_m_g7</f>
        <v>0</v>
      </c>
      <c r="F449" t="b">
        <v>1</v>
      </c>
    </row>
    <row r="450" spans="1:6" x14ac:dyDescent="0.35">
      <c r="A450" t="s">
        <v>2552</v>
      </c>
      <c r="B450" t="s">
        <v>2427</v>
      </c>
      <c r="C450" t="s">
        <v>2552</v>
      </c>
      <c r="D450" s="1372" t="s">
        <v>7350</v>
      </c>
      <c r="E450">
        <f>learners_tle_he_dressmaking_f_g7</f>
        <v>0</v>
      </c>
      <c r="F450" t="b">
        <v>1</v>
      </c>
    </row>
    <row r="451" spans="1:6" x14ac:dyDescent="0.35">
      <c r="A451" t="s">
        <v>2577</v>
      </c>
      <c r="B451" t="s">
        <v>2427</v>
      </c>
      <c r="C451" t="s">
        <v>2577</v>
      </c>
      <c r="D451" s="1372" t="s">
        <v>7201</v>
      </c>
      <c r="E451">
        <f>learners_tle_he_dressmaking_m_g8</f>
        <v>0</v>
      </c>
      <c r="F451" t="b">
        <v>1</v>
      </c>
    </row>
    <row r="452" spans="1:6" x14ac:dyDescent="0.35">
      <c r="A452" t="s">
        <v>2602</v>
      </c>
      <c r="B452" t="s">
        <v>2427</v>
      </c>
      <c r="C452" t="s">
        <v>2602</v>
      </c>
      <c r="D452" s="1372" t="s">
        <v>7375</v>
      </c>
      <c r="E452">
        <f>learners_tle_he_dressmaking_f_g8</f>
        <v>0</v>
      </c>
      <c r="F452" t="b">
        <v>1</v>
      </c>
    </row>
    <row r="453" spans="1:6" x14ac:dyDescent="0.35">
      <c r="A453" t="s">
        <v>2426</v>
      </c>
      <c r="B453" t="s">
        <v>2427</v>
      </c>
      <c r="C453" t="s">
        <v>2426</v>
      </c>
      <c r="D453" t="s">
        <v>7225</v>
      </c>
      <c r="E453">
        <f>learners_tle_he_dressmaking_m_g9</f>
        <v>0</v>
      </c>
      <c r="F453" t="b">
        <v>1</v>
      </c>
    </row>
    <row r="454" spans="1:6" x14ac:dyDescent="0.35">
      <c r="A454" t="s">
        <v>2452</v>
      </c>
      <c r="B454" t="s">
        <v>2427</v>
      </c>
      <c r="C454" t="s">
        <v>2452</v>
      </c>
      <c r="D454" t="s">
        <v>7250</v>
      </c>
      <c r="E454">
        <f>learners_tle_he_dressmaking_f_g9</f>
        <v>0</v>
      </c>
      <c r="F454" t="b">
        <v>1</v>
      </c>
    </row>
    <row r="455" spans="1:6" x14ac:dyDescent="0.35">
      <c r="A455" t="s">
        <v>2477</v>
      </c>
      <c r="B455" t="s">
        <v>2427</v>
      </c>
      <c r="C455" t="s">
        <v>2477</v>
      </c>
      <c r="D455" t="s">
        <v>7275</v>
      </c>
      <c r="E455">
        <f>learners_tle_he_dressmaking_m_g10</f>
        <v>0</v>
      </c>
      <c r="F455" t="b">
        <v>1</v>
      </c>
    </row>
    <row r="456" spans="1:6" x14ac:dyDescent="0.35">
      <c r="A456" t="s">
        <v>2502</v>
      </c>
      <c r="B456" t="s">
        <v>2427</v>
      </c>
      <c r="C456" t="s">
        <v>2502</v>
      </c>
      <c r="D456" t="s">
        <v>7300</v>
      </c>
      <c r="E456">
        <f>learners_tle_he_dressmaking_f_g10</f>
        <v>0</v>
      </c>
      <c r="F456" t="b">
        <v>1</v>
      </c>
    </row>
    <row r="457" spans="1:6" x14ac:dyDescent="0.35">
      <c r="A457" t="s">
        <v>2528</v>
      </c>
      <c r="B457" t="s">
        <v>2427</v>
      </c>
      <c r="C457" t="s">
        <v>2528</v>
      </c>
      <c r="D457" t="s">
        <v>7326</v>
      </c>
      <c r="E457">
        <f>learners_tle_he_frontofficesrvc_m_g7</f>
        <v>0</v>
      </c>
      <c r="F457" t="b">
        <v>1</v>
      </c>
    </row>
    <row r="458" spans="1:6" x14ac:dyDescent="0.35">
      <c r="A458" t="s">
        <v>2553</v>
      </c>
      <c r="B458" t="s">
        <v>2427</v>
      </c>
      <c r="C458" t="s">
        <v>2553</v>
      </c>
      <c r="D458" t="s">
        <v>7351</v>
      </c>
      <c r="E458">
        <f>learners_tle_he_frontofficesrvc_f_g7</f>
        <v>0</v>
      </c>
      <c r="F458" t="b">
        <v>1</v>
      </c>
    </row>
    <row r="459" spans="1:6" x14ac:dyDescent="0.35">
      <c r="A459" t="s">
        <v>2578</v>
      </c>
      <c r="B459" t="s">
        <v>2427</v>
      </c>
      <c r="C459" t="s">
        <v>2578</v>
      </c>
      <c r="D459" t="s">
        <v>7202</v>
      </c>
      <c r="E459">
        <f>learners_tle_he_frontofficesrvc_m_g8</f>
        <v>0</v>
      </c>
      <c r="F459" t="b">
        <v>1</v>
      </c>
    </row>
    <row r="460" spans="1:6" x14ac:dyDescent="0.35">
      <c r="A460" t="s">
        <v>2603</v>
      </c>
      <c r="B460" t="s">
        <v>2427</v>
      </c>
      <c r="C460" t="s">
        <v>2603</v>
      </c>
      <c r="D460" t="s">
        <v>7376</v>
      </c>
      <c r="E460">
        <f>learners_tle_he_frontofficesrvc_f_g8</f>
        <v>0</v>
      </c>
      <c r="F460" t="b">
        <v>1</v>
      </c>
    </row>
    <row r="461" spans="1:6" x14ac:dyDescent="0.35">
      <c r="A461" t="s">
        <v>2428</v>
      </c>
      <c r="B461" t="s">
        <v>2427</v>
      </c>
      <c r="C461" t="s">
        <v>2428</v>
      </c>
      <c r="D461" t="s">
        <v>7226</v>
      </c>
      <c r="E461">
        <f>learners_tle_he_frontofficesrvc_m_g9</f>
        <v>0</v>
      </c>
      <c r="F461" t="b">
        <v>1</v>
      </c>
    </row>
    <row r="462" spans="1:6" x14ac:dyDescent="0.35">
      <c r="A462" t="s">
        <v>2453</v>
      </c>
      <c r="B462" t="s">
        <v>2427</v>
      </c>
      <c r="C462" t="s">
        <v>2453</v>
      </c>
      <c r="D462" t="s">
        <v>7251</v>
      </c>
      <c r="E462">
        <f>learners_tle_he_frontofficesrvc_f_g9</f>
        <v>0</v>
      </c>
      <c r="F462" t="b">
        <v>1</v>
      </c>
    </row>
    <row r="463" spans="1:6" x14ac:dyDescent="0.35">
      <c r="A463" t="s">
        <v>2478</v>
      </c>
      <c r="B463" t="s">
        <v>2427</v>
      </c>
      <c r="C463" t="s">
        <v>2478</v>
      </c>
      <c r="D463" t="s">
        <v>7276</v>
      </c>
      <c r="E463">
        <f>learners_tle_he_frontofficesrvc_m_g10</f>
        <v>0</v>
      </c>
      <c r="F463" t="b">
        <v>1</v>
      </c>
    </row>
    <row r="464" spans="1:6" x14ac:dyDescent="0.35">
      <c r="A464" t="s">
        <v>2503</v>
      </c>
      <c r="B464" t="s">
        <v>2427</v>
      </c>
      <c r="C464" t="s">
        <v>2503</v>
      </c>
      <c r="D464" t="s">
        <v>7301</v>
      </c>
      <c r="E464">
        <f>learners_tle_he_frontofficesrvc_f_g10</f>
        <v>0</v>
      </c>
      <c r="F464" t="b">
        <v>1</v>
      </c>
    </row>
    <row r="465" spans="1:14" x14ac:dyDescent="0.35">
      <c r="A465" t="s">
        <v>2529</v>
      </c>
      <c r="B465" t="s">
        <v>2427</v>
      </c>
      <c r="C465" t="s">
        <v>2529</v>
      </c>
      <c r="D465" t="s">
        <v>7327</v>
      </c>
      <c r="E465">
        <f>learners_tle_he_handicraft_m_g7</f>
        <v>0</v>
      </c>
      <c r="F465" t="b">
        <v>1</v>
      </c>
    </row>
    <row r="466" spans="1:14" x14ac:dyDescent="0.35">
      <c r="A466" t="s">
        <v>2554</v>
      </c>
      <c r="B466" t="s">
        <v>2427</v>
      </c>
      <c r="C466" t="s">
        <v>2554</v>
      </c>
      <c r="D466" t="s">
        <v>7352</v>
      </c>
      <c r="E466">
        <f>learners_tle_he_handicraft_f_g7</f>
        <v>0</v>
      </c>
      <c r="F466" t="b">
        <v>1</v>
      </c>
    </row>
    <row r="467" spans="1:14" x14ac:dyDescent="0.35">
      <c r="A467" t="s">
        <v>2579</v>
      </c>
      <c r="B467" t="s">
        <v>2427</v>
      </c>
      <c r="C467" t="s">
        <v>2579</v>
      </c>
      <c r="D467" t="s">
        <v>7203</v>
      </c>
      <c r="E467">
        <f>learners_tle_he_handicraft_m_g8</f>
        <v>0</v>
      </c>
      <c r="F467" t="b">
        <v>1</v>
      </c>
    </row>
    <row r="468" spans="1:14" x14ac:dyDescent="0.35">
      <c r="A468" t="s">
        <v>2604</v>
      </c>
      <c r="B468" t="s">
        <v>2427</v>
      </c>
      <c r="C468" t="s">
        <v>2604</v>
      </c>
      <c r="D468" t="s">
        <v>7377</v>
      </c>
      <c r="E468">
        <f>learners_tle_he_handicraft_f_g8</f>
        <v>0</v>
      </c>
      <c r="F468" t="b">
        <v>1</v>
      </c>
    </row>
    <row r="469" spans="1:14" x14ac:dyDescent="0.35">
      <c r="A469" t="s">
        <v>2429</v>
      </c>
      <c r="B469" t="s">
        <v>2427</v>
      </c>
      <c r="C469" t="s">
        <v>2429</v>
      </c>
      <c r="D469" t="s">
        <v>7227</v>
      </c>
      <c r="E469">
        <f>learners_tle_he_handicraft_m_g9</f>
        <v>0</v>
      </c>
      <c r="F469" t="b">
        <v>1</v>
      </c>
    </row>
    <row r="470" spans="1:14" x14ac:dyDescent="0.35">
      <c r="A470" t="s">
        <v>2454</v>
      </c>
      <c r="B470" t="s">
        <v>2427</v>
      </c>
      <c r="C470" t="s">
        <v>2454</v>
      </c>
      <c r="D470" t="s">
        <v>7252</v>
      </c>
      <c r="E470">
        <f>learners_tle_he_handicraft_f_g9</f>
        <v>0</v>
      </c>
      <c r="F470" t="b">
        <v>1</v>
      </c>
    </row>
    <row r="471" spans="1:14" x14ac:dyDescent="0.35">
      <c r="A471" t="s">
        <v>2479</v>
      </c>
      <c r="B471" t="s">
        <v>2427</v>
      </c>
      <c r="C471" t="s">
        <v>2479</v>
      </c>
      <c r="D471" t="s">
        <v>7277</v>
      </c>
      <c r="E471">
        <f>learners_tle_he_handicraft_m_g10</f>
        <v>0</v>
      </c>
      <c r="F471" t="b">
        <v>1</v>
      </c>
    </row>
    <row r="472" spans="1:14" x14ac:dyDescent="0.35">
      <c r="A472" t="s">
        <v>2504</v>
      </c>
      <c r="B472" t="s">
        <v>2427</v>
      </c>
      <c r="C472" t="s">
        <v>2504</v>
      </c>
      <c r="D472" t="s">
        <v>7302</v>
      </c>
      <c r="E472">
        <f>learners_tle_he_handicraft_f_g10</f>
        <v>0</v>
      </c>
      <c r="F472" t="b">
        <v>1</v>
      </c>
    </row>
    <row r="473" spans="1:14" x14ac:dyDescent="0.35">
      <c r="A473" t="s">
        <v>2530</v>
      </c>
      <c r="B473" t="s">
        <v>2427</v>
      </c>
      <c r="C473" t="s">
        <v>2530</v>
      </c>
      <c r="D473" t="s">
        <v>7328</v>
      </c>
      <c r="E473">
        <f>learners_tle_he_householdsrvc_m_g7</f>
        <v>0</v>
      </c>
      <c r="F473" t="b">
        <v>1</v>
      </c>
    </row>
    <row r="474" spans="1:14" x14ac:dyDescent="0.35">
      <c r="A474" t="s">
        <v>2555</v>
      </c>
      <c r="B474" t="s">
        <v>2427</v>
      </c>
      <c r="C474" t="s">
        <v>2555</v>
      </c>
      <c r="D474" t="s">
        <v>7353</v>
      </c>
      <c r="E474">
        <f>learners_tle_he_householdsrvc_f_g7</f>
        <v>0</v>
      </c>
      <c r="F474" t="b">
        <v>1</v>
      </c>
    </row>
    <row r="475" spans="1:14" x14ac:dyDescent="0.35">
      <c r="A475" t="s">
        <v>2580</v>
      </c>
      <c r="B475" t="s">
        <v>2427</v>
      </c>
      <c r="C475" t="s">
        <v>2580</v>
      </c>
      <c r="D475" t="s">
        <v>7204</v>
      </c>
      <c r="E475">
        <f>learners_tle_he_householdsrvc_m_g8</f>
        <v>0</v>
      </c>
      <c r="F475" t="b">
        <v>1</v>
      </c>
    </row>
    <row r="476" spans="1:14" x14ac:dyDescent="0.35">
      <c r="A476" t="s">
        <v>2605</v>
      </c>
      <c r="B476" t="s">
        <v>2427</v>
      </c>
      <c r="C476" t="s">
        <v>2605</v>
      </c>
      <c r="D476" t="s">
        <v>7378</v>
      </c>
      <c r="E476">
        <f>learners_tle_he_householdsrvc_f_g8</f>
        <v>0</v>
      </c>
      <c r="F476" t="b">
        <v>1</v>
      </c>
    </row>
    <row r="477" spans="1:14" x14ac:dyDescent="0.35">
      <c r="A477" t="s">
        <v>2430</v>
      </c>
      <c r="B477" t="s">
        <v>2427</v>
      </c>
      <c r="C477" t="s">
        <v>2430</v>
      </c>
      <c r="D477" t="s">
        <v>7228</v>
      </c>
      <c r="E477">
        <f>learners_tle_he_householdsrvc_m_g9</f>
        <v>0</v>
      </c>
      <c r="F477" t="b">
        <v>1</v>
      </c>
    </row>
    <row r="478" spans="1:14" x14ac:dyDescent="0.35">
      <c r="A478" t="s">
        <v>2455</v>
      </c>
      <c r="B478" t="s">
        <v>2427</v>
      </c>
      <c r="C478" t="s">
        <v>2455</v>
      </c>
      <c r="D478" t="s">
        <v>7253</v>
      </c>
      <c r="E478">
        <f>learners_tle_he_householdsrvc_f_g9</f>
        <v>0</v>
      </c>
      <c r="F478" t="b">
        <v>1</v>
      </c>
      <c r="N478" s="133"/>
    </row>
    <row r="479" spans="1:14" x14ac:dyDescent="0.35">
      <c r="A479" t="s">
        <v>2480</v>
      </c>
      <c r="B479" t="s">
        <v>2427</v>
      </c>
      <c r="C479" t="s">
        <v>2480</v>
      </c>
      <c r="D479" t="s">
        <v>7278</v>
      </c>
      <c r="E479">
        <f>learners_tle_he_householdsrvc_m_g10</f>
        <v>0</v>
      </c>
      <c r="F479" t="b">
        <v>1</v>
      </c>
      <c r="N479" s="133"/>
    </row>
    <row r="480" spans="1:14" x14ac:dyDescent="0.35">
      <c r="A480" t="s">
        <v>2505</v>
      </c>
      <c r="B480" t="s">
        <v>2427</v>
      </c>
      <c r="C480" t="s">
        <v>2505</v>
      </c>
      <c r="D480" t="s">
        <v>7303</v>
      </c>
      <c r="E480">
        <f>learners_tle_he_householdsrvc_f_g10</f>
        <v>0</v>
      </c>
      <c r="F480" t="b">
        <v>1</v>
      </c>
      <c r="N480" s="133"/>
    </row>
    <row r="481" spans="1:14" x14ac:dyDescent="0.35">
      <c r="A481" t="s">
        <v>2531</v>
      </c>
      <c r="B481" t="s">
        <v>2427</v>
      </c>
      <c r="C481" t="s">
        <v>2531</v>
      </c>
      <c r="D481" t="s">
        <v>7329</v>
      </c>
      <c r="E481">
        <f>learners_tle_he_travelservices_m_g7</f>
        <v>0</v>
      </c>
      <c r="F481" t="b">
        <v>1</v>
      </c>
      <c r="N481" s="133"/>
    </row>
    <row r="482" spans="1:14" x14ac:dyDescent="0.35">
      <c r="A482" t="s">
        <v>2556</v>
      </c>
      <c r="B482" t="s">
        <v>2427</v>
      </c>
      <c r="C482" t="s">
        <v>2556</v>
      </c>
      <c r="D482" t="s">
        <v>7354</v>
      </c>
      <c r="E482">
        <f>learners_tle_he_travelservices_f_g7</f>
        <v>0</v>
      </c>
      <c r="F482" t="b">
        <v>1</v>
      </c>
      <c r="N482" s="133"/>
    </row>
    <row r="483" spans="1:14" x14ac:dyDescent="0.35">
      <c r="A483" t="s">
        <v>2581</v>
      </c>
      <c r="B483" t="s">
        <v>2427</v>
      </c>
      <c r="C483" t="s">
        <v>2581</v>
      </c>
      <c r="D483" t="s">
        <v>7205</v>
      </c>
      <c r="E483">
        <f>learners_tle_he_travelservices_m_g8</f>
        <v>0</v>
      </c>
      <c r="F483" t="b">
        <v>1</v>
      </c>
      <c r="N483" s="133"/>
    </row>
    <row r="484" spans="1:14" x14ac:dyDescent="0.35">
      <c r="A484" t="s">
        <v>2606</v>
      </c>
      <c r="B484" t="s">
        <v>2427</v>
      </c>
      <c r="C484" t="s">
        <v>2606</v>
      </c>
      <c r="D484" t="s">
        <v>7379</v>
      </c>
      <c r="E484">
        <f>learners_tle_he_travelservices_f_g8</f>
        <v>0</v>
      </c>
      <c r="F484" t="b">
        <v>1</v>
      </c>
      <c r="N484" s="133"/>
    </row>
    <row r="485" spans="1:14" x14ac:dyDescent="0.35">
      <c r="A485" t="s">
        <v>2431</v>
      </c>
      <c r="B485" t="s">
        <v>2427</v>
      </c>
      <c r="C485" t="s">
        <v>2431</v>
      </c>
      <c r="D485" t="s">
        <v>7229</v>
      </c>
      <c r="E485">
        <f>learners_tle_he_travelservices_m_g9</f>
        <v>0</v>
      </c>
      <c r="F485" t="b">
        <v>1</v>
      </c>
      <c r="N485" s="133"/>
    </row>
    <row r="486" spans="1:14" x14ac:dyDescent="0.35">
      <c r="A486" t="s">
        <v>2456</v>
      </c>
      <c r="B486" t="s">
        <v>2427</v>
      </c>
      <c r="C486" t="s">
        <v>2456</v>
      </c>
      <c r="D486" t="s">
        <v>7254</v>
      </c>
      <c r="E486">
        <f>learners_tle_he_travelservices_f_g9</f>
        <v>0</v>
      </c>
      <c r="F486" t="b">
        <v>1</v>
      </c>
      <c r="N486" s="133"/>
    </row>
    <row r="487" spans="1:14" x14ac:dyDescent="0.35">
      <c r="A487" t="s">
        <v>2481</v>
      </c>
      <c r="B487" t="s">
        <v>2427</v>
      </c>
      <c r="C487" t="s">
        <v>2481</v>
      </c>
      <c r="D487" t="s">
        <v>7279</v>
      </c>
      <c r="E487">
        <f>learners_tle_he_travelservices_m_g10</f>
        <v>0</v>
      </c>
      <c r="F487" t="b">
        <v>1</v>
      </c>
      <c r="N487" s="133"/>
    </row>
    <row r="488" spans="1:14" x14ac:dyDescent="0.35">
      <c r="A488" t="s">
        <v>2506</v>
      </c>
      <c r="B488" t="s">
        <v>2427</v>
      </c>
      <c r="C488" t="s">
        <v>2506</v>
      </c>
      <c r="D488" t="s">
        <v>7304</v>
      </c>
      <c r="E488">
        <f>learners_tle_he_travelservices_f_g10</f>
        <v>0</v>
      </c>
      <c r="F488" t="b">
        <v>1</v>
      </c>
      <c r="N488" s="133"/>
    </row>
    <row r="489" spans="1:14" x14ac:dyDescent="0.35">
      <c r="A489" t="s">
        <v>2532</v>
      </c>
      <c r="B489" t="s">
        <v>2427</v>
      </c>
      <c r="C489" t="s">
        <v>2532</v>
      </c>
      <c r="D489" t="s">
        <v>7330</v>
      </c>
      <c r="E489">
        <f>learners_tle_he_wellness_m_g7</f>
        <v>0</v>
      </c>
      <c r="F489" t="b">
        <v>1</v>
      </c>
      <c r="N489" s="133"/>
    </row>
    <row r="490" spans="1:14" x14ac:dyDescent="0.35">
      <c r="A490" t="s">
        <v>2557</v>
      </c>
      <c r="B490" t="s">
        <v>2427</v>
      </c>
      <c r="C490" t="s">
        <v>2557</v>
      </c>
      <c r="D490" t="s">
        <v>7355</v>
      </c>
      <c r="E490">
        <f>learners_tle_he_wellness_f_g7</f>
        <v>0</v>
      </c>
      <c r="F490" t="b">
        <v>1</v>
      </c>
      <c r="N490" s="133"/>
    </row>
    <row r="491" spans="1:14" x14ac:dyDescent="0.35">
      <c r="A491" t="s">
        <v>2582</v>
      </c>
      <c r="B491" t="s">
        <v>2427</v>
      </c>
      <c r="C491" t="s">
        <v>2582</v>
      </c>
      <c r="D491" t="s">
        <v>7206</v>
      </c>
      <c r="E491">
        <f>learners_tle_he_wellness_m_g8</f>
        <v>0</v>
      </c>
      <c r="F491" t="b">
        <v>1</v>
      </c>
      <c r="N491" s="133"/>
    </row>
    <row r="492" spans="1:14" x14ac:dyDescent="0.35">
      <c r="A492" t="s">
        <v>2607</v>
      </c>
      <c r="B492" t="s">
        <v>2427</v>
      </c>
      <c r="C492" t="s">
        <v>2607</v>
      </c>
      <c r="D492" t="s">
        <v>7380</v>
      </c>
      <c r="E492">
        <f>learners_tle_he_wellness_f_g8</f>
        <v>0</v>
      </c>
      <c r="F492" t="b">
        <v>1</v>
      </c>
      <c r="N492" s="133"/>
    </row>
    <row r="493" spans="1:14" x14ac:dyDescent="0.35">
      <c r="A493" t="s">
        <v>2432</v>
      </c>
      <c r="B493" t="s">
        <v>2427</v>
      </c>
      <c r="C493" t="s">
        <v>2432</v>
      </c>
      <c r="D493" t="s">
        <v>7230</v>
      </c>
      <c r="E493">
        <f>learners_tle_he_wellness_m_g9</f>
        <v>0</v>
      </c>
      <c r="F493" t="b">
        <v>1</v>
      </c>
      <c r="N493" s="133"/>
    </row>
    <row r="494" spans="1:14" x14ac:dyDescent="0.35">
      <c r="A494" t="s">
        <v>2457</v>
      </c>
      <c r="B494" t="s">
        <v>2427</v>
      </c>
      <c r="C494" t="s">
        <v>2457</v>
      </c>
      <c r="D494" t="s">
        <v>7255</v>
      </c>
      <c r="E494">
        <f>learners_tle_he_wellness_f_g9</f>
        <v>0</v>
      </c>
      <c r="F494" t="b">
        <v>1</v>
      </c>
      <c r="N494" s="133"/>
    </row>
    <row r="495" spans="1:14" x14ac:dyDescent="0.35">
      <c r="A495" t="s">
        <v>2482</v>
      </c>
      <c r="B495" t="s">
        <v>2427</v>
      </c>
      <c r="C495" t="s">
        <v>2482</v>
      </c>
      <c r="D495" t="s">
        <v>7280</v>
      </c>
      <c r="E495">
        <f>learners_tle_he_wellness_m_g10</f>
        <v>0</v>
      </c>
      <c r="F495" t="b">
        <v>1</v>
      </c>
      <c r="N495" s="133"/>
    </row>
    <row r="496" spans="1:14" x14ac:dyDescent="0.35">
      <c r="A496" t="s">
        <v>2507</v>
      </c>
      <c r="B496" t="s">
        <v>2427</v>
      </c>
      <c r="C496" t="s">
        <v>2507</v>
      </c>
      <c r="D496" t="s">
        <v>7305</v>
      </c>
      <c r="E496">
        <f>learners_tle_he_wellness_f_g10</f>
        <v>0</v>
      </c>
      <c r="F496" t="b">
        <v>1</v>
      </c>
      <c r="N496" s="133"/>
    </row>
    <row r="497" spans="1:14" x14ac:dyDescent="0.35">
      <c r="A497" t="s">
        <v>2533</v>
      </c>
      <c r="B497" t="s">
        <v>2427</v>
      </c>
      <c r="C497" t="s">
        <v>2533</v>
      </c>
      <c r="D497" t="s">
        <v>7331</v>
      </c>
      <c r="E497">
        <f>learners_tle_afa_agricrops_m_g7</f>
        <v>42</v>
      </c>
      <c r="F497" t="b">
        <v>1</v>
      </c>
      <c r="N497" s="133"/>
    </row>
    <row r="498" spans="1:14" x14ac:dyDescent="0.35">
      <c r="A498" t="s">
        <v>2558</v>
      </c>
      <c r="B498" t="s">
        <v>2427</v>
      </c>
      <c r="C498" t="s">
        <v>2558</v>
      </c>
      <c r="D498" t="s">
        <v>7357</v>
      </c>
      <c r="E498">
        <f>learners_tle_afa_agricrops_f_g7</f>
        <v>24</v>
      </c>
      <c r="F498" t="b">
        <v>1</v>
      </c>
      <c r="N498" s="133"/>
    </row>
    <row r="499" spans="1:14" x14ac:dyDescent="0.35">
      <c r="A499" t="s">
        <v>2583</v>
      </c>
      <c r="B499" t="s">
        <v>2427</v>
      </c>
      <c r="C499" t="s">
        <v>2583</v>
      </c>
      <c r="D499" t="s">
        <v>7207</v>
      </c>
      <c r="E499">
        <f>learners_tle_afa_agricrops_m_g8</f>
        <v>29</v>
      </c>
      <c r="F499" t="b">
        <v>1</v>
      </c>
      <c r="N499" s="133"/>
    </row>
    <row r="500" spans="1:14" x14ac:dyDescent="0.35">
      <c r="A500" t="s">
        <v>2608</v>
      </c>
      <c r="B500" t="s">
        <v>2427</v>
      </c>
      <c r="C500" t="s">
        <v>2608</v>
      </c>
      <c r="D500" t="s">
        <v>7381</v>
      </c>
      <c r="E500">
        <f>learners_tle_afa_agricrops_f_g8</f>
        <v>11</v>
      </c>
      <c r="F500" t="b">
        <v>1</v>
      </c>
      <c r="N500" s="133"/>
    </row>
    <row r="501" spans="1:14" x14ac:dyDescent="0.35">
      <c r="A501" t="s">
        <v>2433</v>
      </c>
      <c r="B501" t="s">
        <v>2427</v>
      </c>
      <c r="C501" t="s">
        <v>2433</v>
      </c>
      <c r="D501" t="s">
        <v>7231</v>
      </c>
      <c r="E501">
        <f>learners_tle_afa_agricrops_m_g9</f>
        <v>21</v>
      </c>
      <c r="F501" t="b">
        <v>1</v>
      </c>
      <c r="N501" s="133"/>
    </row>
    <row r="502" spans="1:14" x14ac:dyDescent="0.35">
      <c r="A502" t="s">
        <v>2458</v>
      </c>
      <c r="B502" t="s">
        <v>2427</v>
      </c>
      <c r="C502" t="s">
        <v>2458</v>
      </c>
      <c r="D502" t="s">
        <v>7256</v>
      </c>
      <c r="E502">
        <f>learners_tle_afa_agricrops_f_g9</f>
        <v>12</v>
      </c>
      <c r="F502" t="b">
        <v>1</v>
      </c>
      <c r="N502" s="133"/>
    </row>
    <row r="503" spans="1:14" x14ac:dyDescent="0.35">
      <c r="A503" t="s">
        <v>2483</v>
      </c>
      <c r="B503" t="s">
        <v>2427</v>
      </c>
      <c r="C503" t="s">
        <v>2483</v>
      </c>
      <c r="D503" t="s">
        <v>7281</v>
      </c>
      <c r="E503">
        <f>learners_tle_afa_agricrops_m_g10</f>
        <v>20</v>
      </c>
      <c r="F503" t="b">
        <v>1</v>
      </c>
      <c r="N503" s="133"/>
    </row>
    <row r="504" spans="1:14" x14ac:dyDescent="0.35">
      <c r="A504" t="s">
        <v>2508</v>
      </c>
      <c r="B504" t="s">
        <v>2427</v>
      </c>
      <c r="C504" t="s">
        <v>2508</v>
      </c>
      <c r="D504" t="s">
        <v>7306</v>
      </c>
      <c r="E504">
        <f>learners_tle_afa_agricrops_f_g10</f>
        <v>19</v>
      </c>
      <c r="F504" t="b">
        <v>1</v>
      </c>
      <c r="N504" s="133"/>
    </row>
    <row r="505" spans="1:14" x14ac:dyDescent="0.35">
      <c r="A505" t="s">
        <v>2534</v>
      </c>
      <c r="B505" t="s">
        <v>2427</v>
      </c>
      <c r="C505" t="s">
        <v>2534</v>
      </c>
      <c r="D505" t="s">
        <v>7332</v>
      </c>
      <c r="E505">
        <f>learners_tle_afa_animalprod_m_g7</f>
        <v>0</v>
      </c>
      <c r="F505" t="b">
        <v>1</v>
      </c>
      <c r="N505" s="133"/>
    </row>
    <row r="506" spans="1:14" x14ac:dyDescent="0.35">
      <c r="A506" t="s">
        <v>2559</v>
      </c>
      <c r="B506" t="s">
        <v>2427</v>
      </c>
      <c r="C506" t="s">
        <v>2559</v>
      </c>
      <c r="D506" t="s">
        <v>7358</v>
      </c>
      <c r="E506">
        <f>learners_tle_afa_animalprod_f_g7</f>
        <v>0</v>
      </c>
      <c r="F506" t="b">
        <v>1</v>
      </c>
      <c r="N506" s="133"/>
    </row>
    <row r="507" spans="1:14" x14ac:dyDescent="0.35">
      <c r="A507" t="s">
        <v>2584</v>
      </c>
      <c r="B507" t="s">
        <v>2427</v>
      </c>
      <c r="C507" t="s">
        <v>2584</v>
      </c>
      <c r="D507" t="s">
        <v>7208</v>
      </c>
      <c r="E507">
        <f>learners_tle_afa_animalprod_m_g8</f>
        <v>0</v>
      </c>
      <c r="F507" t="b">
        <v>1</v>
      </c>
      <c r="N507" s="133"/>
    </row>
    <row r="508" spans="1:14" x14ac:dyDescent="0.35">
      <c r="A508" t="s">
        <v>2609</v>
      </c>
      <c r="B508" t="s">
        <v>2427</v>
      </c>
      <c r="C508" t="s">
        <v>2609</v>
      </c>
      <c r="D508" t="s">
        <v>7382</v>
      </c>
      <c r="E508">
        <f>learners_tle_afa_animalprod_f_g8</f>
        <v>0</v>
      </c>
      <c r="F508" t="b">
        <v>1</v>
      </c>
      <c r="N508" s="133"/>
    </row>
    <row r="509" spans="1:14" x14ac:dyDescent="0.35">
      <c r="A509" t="s">
        <v>2434</v>
      </c>
      <c r="B509" t="s">
        <v>2427</v>
      </c>
      <c r="C509" t="s">
        <v>2434</v>
      </c>
      <c r="D509" t="s">
        <v>7232</v>
      </c>
      <c r="E509">
        <f>learners_tle_afa_animalprod_m_g9</f>
        <v>0</v>
      </c>
      <c r="F509" t="b">
        <v>1</v>
      </c>
      <c r="N509" s="133"/>
    </row>
    <row r="510" spans="1:14" x14ac:dyDescent="0.35">
      <c r="A510" t="s">
        <v>2459</v>
      </c>
      <c r="B510" t="s">
        <v>2427</v>
      </c>
      <c r="C510" t="s">
        <v>2459</v>
      </c>
      <c r="D510" t="s">
        <v>7257</v>
      </c>
      <c r="E510">
        <f>learners_tle_afa_animalprod_f_g9</f>
        <v>0</v>
      </c>
      <c r="F510" t="b">
        <v>1</v>
      </c>
      <c r="N510" s="133"/>
    </row>
    <row r="511" spans="1:14" x14ac:dyDescent="0.35">
      <c r="A511" t="s">
        <v>2484</v>
      </c>
      <c r="B511" t="s">
        <v>2427</v>
      </c>
      <c r="C511" t="s">
        <v>2484</v>
      </c>
      <c r="D511" t="s">
        <v>7282</v>
      </c>
      <c r="E511">
        <f>learners_tle_afa_animalprod_m_g10</f>
        <v>0</v>
      </c>
      <c r="F511" t="b">
        <v>1</v>
      </c>
      <c r="N511" s="133"/>
    </row>
    <row r="512" spans="1:14" x14ac:dyDescent="0.35">
      <c r="A512" t="s">
        <v>2509</v>
      </c>
      <c r="B512" t="s">
        <v>2427</v>
      </c>
      <c r="C512" t="s">
        <v>2509</v>
      </c>
      <c r="D512" t="s">
        <v>7307</v>
      </c>
      <c r="E512">
        <f>learners_tle_afa_animalprod_f_g10</f>
        <v>0</v>
      </c>
      <c r="F512" t="b">
        <v>1</v>
      </c>
      <c r="N512" s="133"/>
    </row>
    <row r="513" spans="1:14" x14ac:dyDescent="0.35">
      <c r="A513" t="s">
        <v>2535</v>
      </c>
      <c r="B513" t="s">
        <v>2427</v>
      </c>
      <c r="C513" t="s">
        <v>2535</v>
      </c>
      <c r="D513" t="s">
        <v>7333</v>
      </c>
      <c r="E513">
        <f>learners_tle_afa_aquaculture_m_g7</f>
        <v>0</v>
      </c>
      <c r="F513" t="b">
        <v>1</v>
      </c>
      <c r="N513" s="133"/>
    </row>
    <row r="514" spans="1:14" x14ac:dyDescent="0.35">
      <c r="A514" t="s">
        <v>2560</v>
      </c>
      <c r="B514" t="s">
        <v>2427</v>
      </c>
      <c r="C514" t="s">
        <v>2560</v>
      </c>
      <c r="D514" t="s">
        <v>7359</v>
      </c>
      <c r="E514">
        <f>learners_tle_afa_aquaculture_f_g7</f>
        <v>0</v>
      </c>
      <c r="F514" t="b">
        <v>1</v>
      </c>
      <c r="N514" s="133"/>
    </row>
    <row r="515" spans="1:14" x14ac:dyDescent="0.35">
      <c r="A515" t="s">
        <v>2585</v>
      </c>
      <c r="B515" t="s">
        <v>2427</v>
      </c>
      <c r="C515" t="s">
        <v>2585</v>
      </c>
      <c r="D515" t="s">
        <v>7222</v>
      </c>
      <c r="E515">
        <f>learners_tle_afa_aquaculture_m_g8</f>
        <v>0</v>
      </c>
      <c r="F515" t="b">
        <v>1</v>
      </c>
      <c r="N515" s="133"/>
    </row>
    <row r="516" spans="1:14" x14ac:dyDescent="0.35">
      <c r="A516" t="s">
        <v>2610</v>
      </c>
      <c r="B516" t="s">
        <v>2427</v>
      </c>
      <c r="C516" t="s">
        <v>2610</v>
      </c>
      <c r="D516" t="s">
        <v>7383</v>
      </c>
      <c r="E516">
        <f>learners_tle_afa_aquaculture_f_g8</f>
        <v>0</v>
      </c>
      <c r="F516" t="b">
        <v>1</v>
      </c>
      <c r="N516" s="133"/>
    </row>
    <row r="517" spans="1:14" x14ac:dyDescent="0.35">
      <c r="A517" t="s">
        <v>2435</v>
      </c>
      <c r="B517" t="s">
        <v>2427</v>
      </c>
      <c r="C517" t="s">
        <v>2435</v>
      </c>
      <c r="D517" t="s">
        <v>7233</v>
      </c>
      <c r="E517">
        <f>learners_tle_afa_aquaculture_m_g9</f>
        <v>0</v>
      </c>
      <c r="F517" t="b">
        <v>1</v>
      </c>
      <c r="N517" s="133"/>
    </row>
    <row r="518" spans="1:14" x14ac:dyDescent="0.35">
      <c r="A518" t="s">
        <v>2460</v>
      </c>
      <c r="B518" t="s">
        <v>2427</v>
      </c>
      <c r="C518" t="s">
        <v>2460</v>
      </c>
      <c r="D518" t="s">
        <v>7258</v>
      </c>
      <c r="E518">
        <f>learners_tle_afa_aquaculture_f_g9</f>
        <v>0</v>
      </c>
      <c r="F518" t="b">
        <v>1</v>
      </c>
      <c r="N518" s="133"/>
    </row>
    <row r="519" spans="1:14" x14ac:dyDescent="0.35">
      <c r="A519" t="s">
        <v>2485</v>
      </c>
      <c r="B519" t="s">
        <v>2427</v>
      </c>
      <c r="C519" t="s">
        <v>2485</v>
      </c>
      <c r="D519" t="s">
        <v>7283</v>
      </c>
      <c r="E519">
        <f>learners_tle_afa_aquaculture_m_g10</f>
        <v>0</v>
      </c>
      <c r="F519" t="b">
        <v>1</v>
      </c>
      <c r="N519" s="133"/>
    </row>
    <row r="520" spans="1:14" x14ac:dyDescent="0.35">
      <c r="A520" t="s">
        <v>2510</v>
      </c>
      <c r="B520" t="s">
        <v>2427</v>
      </c>
      <c r="C520" t="s">
        <v>2510</v>
      </c>
      <c r="D520" t="s">
        <v>7308</v>
      </c>
      <c r="E520">
        <f>learners_tle_afa_aquaculture_f_g10</f>
        <v>0</v>
      </c>
      <c r="F520" t="b">
        <v>1</v>
      </c>
      <c r="N520" s="133"/>
    </row>
    <row r="521" spans="1:14" x14ac:dyDescent="0.35">
      <c r="A521" t="s">
        <v>2536</v>
      </c>
      <c r="B521" t="s">
        <v>2427</v>
      </c>
      <c r="C521" t="s">
        <v>2536</v>
      </c>
      <c r="D521" t="s">
        <v>7334</v>
      </c>
      <c r="E521">
        <f>learners_tle_afa_fishprocessing_m_g7</f>
        <v>0</v>
      </c>
      <c r="F521" t="b">
        <v>1</v>
      </c>
      <c r="N521" s="133"/>
    </row>
    <row r="522" spans="1:14" x14ac:dyDescent="0.35">
      <c r="A522" t="s">
        <v>2561</v>
      </c>
      <c r="B522" t="s">
        <v>2427</v>
      </c>
      <c r="C522" t="s">
        <v>2561</v>
      </c>
      <c r="D522" t="s">
        <v>7360</v>
      </c>
      <c r="E522">
        <f>learners_tle_afa_fishprocessing_f_g7</f>
        <v>0</v>
      </c>
      <c r="F522" t="b">
        <v>1</v>
      </c>
      <c r="N522" s="133"/>
    </row>
    <row r="523" spans="1:14" x14ac:dyDescent="0.35">
      <c r="A523" t="s">
        <v>2586</v>
      </c>
      <c r="B523" t="s">
        <v>2427</v>
      </c>
      <c r="C523" t="s">
        <v>2586</v>
      </c>
      <c r="D523" t="s">
        <v>7221</v>
      </c>
      <c r="E523">
        <f>learners_tle_afa_fishprocessing_m_g8</f>
        <v>0</v>
      </c>
      <c r="F523" t="b">
        <v>1</v>
      </c>
      <c r="N523" s="133"/>
    </row>
    <row r="524" spans="1:14" x14ac:dyDescent="0.35">
      <c r="A524" t="s">
        <v>2611</v>
      </c>
      <c r="B524" t="s">
        <v>2427</v>
      </c>
      <c r="C524" t="s">
        <v>2611</v>
      </c>
      <c r="D524" t="s">
        <v>7384</v>
      </c>
      <c r="E524">
        <f>learners_tle_afa_fishprocessing_f_g8</f>
        <v>0</v>
      </c>
      <c r="F524" t="b">
        <v>1</v>
      </c>
      <c r="N524" s="133"/>
    </row>
    <row r="525" spans="1:14" x14ac:dyDescent="0.35">
      <c r="A525" t="s">
        <v>2436</v>
      </c>
      <c r="B525" t="s">
        <v>2427</v>
      </c>
      <c r="C525" t="s">
        <v>2436</v>
      </c>
      <c r="D525" t="s">
        <v>7234</v>
      </c>
      <c r="E525">
        <f>learners_tle_afa_fishprocessing_m_g9</f>
        <v>0</v>
      </c>
      <c r="F525" t="b">
        <v>1</v>
      </c>
      <c r="N525" s="133"/>
    </row>
    <row r="526" spans="1:14" x14ac:dyDescent="0.35">
      <c r="A526" t="s">
        <v>2461</v>
      </c>
      <c r="B526" t="s">
        <v>2427</v>
      </c>
      <c r="C526" t="s">
        <v>2461</v>
      </c>
      <c r="D526" t="s">
        <v>7259</v>
      </c>
      <c r="E526">
        <f>learners_tle_afa_fishprocessing_f_g9</f>
        <v>0</v>
      </c>
      <c r="F526" t="b">
        <v>1</v>
      </c>
      <c r="N526" s="133"/>
    </row>
    <row r="527" spans="1:14" x14ac:dyDescent="0.35">
      <c r="A527" t="s">
        <v>2486</v>
      </c>
      <c r="B527" t="s">
        <v>2427</v>
      </c>
      <c r="C527" t="s">
        <v>2486</v>
      </c>
      <c r="D527" t="s">
        <v>7284</v>
      </c>
      <c r="E527">
        <f>learners_tle_afa_fishprocessing_m_g10</f>
        <v>0</v>
      </c>
      <c r="F527" t="b">
        <v>1</v>
      </c>
      <c r="N527" s="133"/>
    </row>
    <row r="528" spans="1:14" x14ac:dyDescent="0.35">
      <c r="A528" t="s">
        <v>2511</v>
      </c>
      <c r="B528" t="s">
        <v>2427</v>
      </c>
      <c r="C528" t="s">
        <v>2511</v>
      </c>
      <c r="D528" t="s">
        <v>7309</v>
      </c>
      <c r="E528">
        <f>learners_tle_afa_fishprocessing_f_g10</f>
        <v>0</v>
      </c>
      <c r="F528" t="b">
        <v>1</v>
      </c>
    </row>
    <row r="529" spans="1:6" x14ac:dyDescent="0.35">
      <c r="A529" t="s">
        <v>2537</v>
      </c>
      <c r="B529" t="s">
        <v>2427</v>
      </c>
      <c r="C529" t="s">
        <v>2537</v>
      </c>
      <c r="D529" t="s">
        <v>7335</v>
      </c>
      <c r="E529">
        <f>learners_tle_ia_automotiveservicing_m_g7</f>
        <v>0</v>
      </c>
      <c r="F529" t="b">
        <v>1</v>
      </c>
    </row>
    <row r="530" spans="1:6" x14ac:dyDescent="0.35">
      <c r="A530" t="s">
        <v>2562</v>
      </c>
      <c r="B530" t="s">
        <v>2427</v>
      </c>
      <c r="C530" t="s">
        <v>2562</v>
      </c>
      <c r="D530" t="s">
        <v>7361</v>
      </c>
      <c r="E530">
        <f>learners_tle_ia_automotiveservicing_f_g7</f>
        <v>0</v>
      </c>
      <c r="F530" t="b">
        <v>1</v>
      </c>
    </row>
    <row r="531" spans="1:6" x14ac:dyDescent="0.35">
      <c r="A531" t="s">
        <v>2587</v>
      </c>
      <c r="B531" t="s">
        <v>2427</v>
      </c>
      <c r="C531" t="s">
        <v>2587</v>
      </c>
      <c r="D531" t="s">
        <v>7209</v>
      </c>
      <c r="E531">
        <f>learners_tle_ia_automotiveservicing_m_g8</f>
        <v>0</v>
      </c>
      <c r="F531" t="b">
        <v>1</v>
      </c>
    </row>
    <row r="532" spans="1:6" x14ac:dyDescent="0.35">
      <c r="A532" t="s">
        <v>2612</v>
      </c>
      <c r="B532" t="s">
        <v>2427</v>
      </c>
      <c r="C532" t="s">
        <v>2612</v>
      </c>
      <c r="D532" t="s">
        <v>7385</v>
      </c>
      <c r="E532">
        <f>learners_tle_ia_automotiveservicing_f_g8</f>
        <v>0</v>
      </c>
      <c r="F532" t="b">
        <v>1</v>
      </c>
    </row>
    <row r="533" spans="1:6" x14ac:dyDescent="0.35">
      <c r="A533" t="s">
        <v>2437</v>
      </c>
      <c r="B533" t="s">
        <v>2427</v>
      </c>
      <c r="C533" t="s">
        <v>2437</v>
      </c>
      <c r="D533" t="s">
        <v>7235</v>
      </c>
      <c r="E533">
        <f>learners_tle_ia_automotiveservicing_m_g9</f>
        <v>0</v>
      </c>
      <c r="F533" t="b">
        <v>1</v>
      </c>
    </row>
    <row r="534" spans="1:6" x14ac:dyDescent="0.35">
      <c r="A534" t="s">
        <v>2462</v>
      </c>
      <c r="B534" t="s">
        <v>2427</v>
      </c>
      <c r="C534" t="s">
        <v>2462</v>
      </c>
      <c r="D534" t="s">
        <v>7260</v>
      </c>
      <c r="E534">
        <f>learners_tle_ia_automotiveservicing_f_g9</f>
        <v>0</v>
      </c>
      <c r="F534" t="b">
        <v>1</v>
      </c>
    </row>
    <row r="535" spans="1:6" x14ac:dyDescent="0.35">
      <c r="A535" t="s">
        <v>2487</v>
      </c>
      <c r="B535" t="s">
        <v>2427</v>
      </c>
      <c r="C535" t="s">
        <v>2487</v>
      </c>
      <c r="D535" t="s">
        <v>7285</v>
      </c>
      <c r="E535">
        <f>learners_tle_ia_automotiveservicing_m_g10</f>
        <v>0</v>
      </c>
      <c r="F535" t="b">
        <v>1</v>
      </c>
    </row>
    <row r="536" spans="1:6" x14ac:dyDescent="0.35">
      <c r="A536" t="s">
        <v>2512</v>
      </c>
      <c r="B536" t="s">
        <v>2427</v>
      </c>
      <c r="C536" t="s">
        <v>2512</v>
      </c>
      <c r="D536" t="s">
        <v>7310</v>
      </c>
      <c r="E536">
        <f>learners_tle_ia_automotiveservicing_f_g10</f>
        <v>0</v>
      </c>
      <c r="F536" t="b">
        <v>1</v>
      </c>
    </row>
    <row r="537" spans="1:6" x14ac:dyDescent="0.35">
      <c r="A537" t="s">
        <v>2538</v>
      </c>
      <c r="B537" t="s">
        <v>2427</v>
      </c>
      <c r="C537" t="s">
        <v>2538</v>
      </c>
      <c r="D537" t="s">
        <v>7336</v>
      </c>
      <c r="E537">
        <f>learners_tle_ia_carpentry_m_g7</f>
        <v>0</v>
      </c>
      <c r="F537" t="b">
        <v>1</v>
      </c>
    </row>
    <row r="538" spans="1:6" x14ac:dyDescent="0.35">
      <c r="A538" t="s">
        <v>2563</v>
      </c>
      <c r="B538" t="s">
        <v>2427</v>
      </c>
      <c r="C538" t="s">
        <v>2563</v>
      </c>
      <c r="D538" t="s">
        <v>7362</v>
      </c>
      <c r="E538">
        <f>learners_tle_ia_carpentry_f_g7</f>
        <v>0</v>
      </c>
      <c r="F538" t="b">
        <v>1</v>
      </c>
    </row>
    <row r="539" spans="1:6" x14ac:dyDescent="0.35">
      <c r="A539" t="s">
        <v>2588</v>
      </c>
      <c r="B539" t="s">
        <v>2427</v>
      </c>
      <c r="C539" t="s">
        <v>2588</v>
      </c>
      <c r="D539" t="s">
        <v>7210</v>
      </c>
      <c r="E539">
        <f>learners_tle_ia_carpentry_m_g8</f>
        <v>0</v>
      </c>
      <c r="F539" t="b">
        <v>1</v>
      </c>
    </row>
    <row r="540" spans="1:6" x14ac:dyDescent="0.35">
      <c r="A540" t="s">
        <v>2613</v>
      </c>
      <c r="B540" t="s">
        <v>2427</v>
      </c>
      <c r="C540" t="s">
        <v>2613</v>
      </c>
      <c r="D540" t="s">
        <v>7386</v>
      </c>
      <c r="E540">
        <f>learners_tle_ia_carpentry_f_g8</f>
        <v>0</v>
      </c>
      <c r="F540" t="b">
        <v>1</v>
      </c>
    </row>
    <row r="541" spans="1:6" x14ac:dyDescent="0.35">
      <c r="A541" t="s">
        <v>2438</v>
      </c>
      <c r="B541" t="s">
        <v>2427</v>
      </c>
      <c r="C541" t="s">
        <v>2438</v>
      </c>
      <c r="D541" t="s">
        <v>7236</v>
      </c>
      <c r="E541">
        <f>learners_tle_ia_carpentry_m_g9</f>
        <v>0</v>
      </c>
      <c r="F541" t="b">
        <v>1</v>
      </c>
    </row>
    <row r="542" spans="1:6" x14ac:dyDescent="0.35">
      <c r="A542" t="s">
        <v>2463</v>
      </c>
      <c r="B542" t="s">
        <v>2427</v>
      </c>
      <c r="C542" t="s">
        <v>2463</v>
      </c>
      <c r="D542" t="s">
        <v>7261</v>
      </c>
      <c r="E542">
        <f>learners_tle_ia_carpentry_f_g9</f>
        <v>0</v>
      </c>
      <c r="F542" t="b">
        <v>1</v>
      </c>
    </row>
    <row r="543" spans="1:6" x14ac:dyDescent="0.35">
      <c r="A543" t="s">
        <v>2488</v>
      </c>
      <c r="B543" t="s">
        <v>2427</v>
      </c>
      <c r="C543" t="s">
        <v>2488</v>
      </c>
      <c r="D543" t="s">
        <v>7286</v>
      </c>
      <c r="E543">
        <f>learners_tle_ia_carpentry_m_g10</f>
        <v>0</v>
      </c>
      <c r="F543" t="b">
        <v>1</v>
      </c>
    </row>
    <row r="544" spans="1:6" x14ac:dyDescent="0.35">
      <c r="A544" t="s">
        <v>2513</v>
      </c>
      <c r="B544" t="s">
        <v>2427</v>
      </c>
      <c r="C544" t="s">
        <v>2513</v>
      </c>
      <c r="D544" t="s">
        <v>7311</v>
      </c>
      <c r="E544">
        <f>learners_tle_ia_carpentry_f_g10</f>
        <v>0</v>
      </c>
      <c r="F544" t="b">
        <v>1</v>
      </c>
    </row>
    <row r="545" spans="1:6" x14ac:dyDescent="0.35">
      <c r="A545" t="s">
        <v>2539</v>
      </c>
      <c r="B545" t="s">
        <v>2427</v>
      </c>
      <c r="C545" t="s">
        <v>2539</v>
      </c>
      <c r="D545" t="s">
        <v>7337</v>
      </c>
      <c r="E545">
        <f>learners_tle_ia_elecinstallation_m_g7</f>
        <v>0</v>
      </c>
      <c r="F545" t="b">
        <v>1</v>
      </c>
    </row>
    <row r="546" spans="1:6" x14ac:dyDescent="0.35">
      <c r="A546" t="s">
        <v>2564</v>
      </c>
      <c r="B546" t="s">
        <v>2427</v>
      </c>
      <c r="C546" t="s">
        <v>2564</v>
      </c>
      <c r="D546" t="s">
        <v>7363</v>
      </c>
      <c r="E546">
        <f>learners_tle_ia_elecinstallation_f_g7</f>
        <v>0</v>
      </c>
      <c r="F546" t="b">
        <v>1</v>
      </c>
    </row>
    <row r="547" spans="1:6" x14ac:dyDescent="0.35">
      <c r="A547" t="s">
        <v>2589</v>
      </c>
      <c r="B547" t="s">
        <v>2427</v>
      </c>
      <c r="C547" t="s">
        <v>2589</v>
      </c>
      <c r="D547" t="s">
        <v>7211</v>
      </c>
      <c r="E547">
        <f>learners_tle_ia_elecinstallation_m_g8</f>
        <v>0</v>
      </c>
      <c r="F547" t="b">
        <v>1</v>
      </c>
    </row>
    <row r="548" spans="1:6" x14ac:dyDescent="0.35">
      <c r="A548" t="s">
        <v>2614</v>
      </c>
      <c r="B548" t="s">
        <v>2427</v>
      </c>
      <c r="C548" t="s">
        <v>2614</v>
      </c>
      <c r="D548" t="s">
        <v>7387</v>
      </c>
      <c r="E548">
        <f>learners_tle_ia_elecinstallation_f_g8</f>
        <v>0</v>
      </c>
      <c r="F548" t="b">
        <v>1</v>
      </c>
    </row>
    <row r="549" spans="1:6" x14ac:dyDescent="0.35">
      <c r="A549" t="s">
        <v>2439</v>
      </c>
      <c r="B549" t="s">
        <v>2427</v>
      </c>
      <c r="C549" t="s">
        <v>2439</v>
      </c>
      <c r="D549" t="s">
        <v>7237</v>
      </c>
      <c r="E549">
        <f>learners_tle_ia_elecinstallation_m_g9</f>
        <v>0</v>
      </c>
      <c r="F549" t="b">
        <v>1</v>
      </c>
    </row>
    <row r="550" spans="1:6" x14ac:dyDescent="0.35">
      <c r="A550" t="s">
        <v>2464</v>
      </c>
      <c r="B550" t="s">
        <v>2427</v>
      </c>
      <c r="C550" t="s">
        <v>2464</v>
      </c>
      <c r="D550" t="s">
        <v>7262</v>
      </c>
      <c r="E550">
        <f>learners_tle_ia_elecinstallation_f_g9</f>
        <v>0</v>
      </c>
      <c r="F550" t="b">
        <v>1</v>
      </c>
    </row>
    <row r="551" spans="1:6" x14ac:dyDescent="0.35">
      <c r="A551" t="s">
        <v>2489</v>
      </c>
      <c r="B551" t="s">
        <v>2427</v>
      </c>
      <c r="C551" t="s">
        <v>2489</v>
      </c>
      <c r="D551" t="s">
        <v>7287</v>
      </c>
      <c r="E551">
        <f>learners_tle_ia_elecinstallation_m_g10</f>
        <v>0</v>
      </c>
      <c r="F551" t="b">
        <v>1</v>
      </c>
    </row>
    <row r="552" spans="1:6" x14ac:dyDescent="0.35">
      <c r="A552" t="s">
        <v>2514</v>
      </c>
      <c r="B552" t="s">
        <v>2427</v>
      </c>
      <c r="C552" t="s">
        <v>2514</v>
      </c>
      <c r="D552" t="s">
        <v>7312</v>
      </c>
      <c r="E552">
        <f>learners_tle_ia_elecinstallation_f_g10</f>
        <v>0</v>
      </c>
      <c r="F552" t="b">
        <v>1</v>
      </c>
    </row>
    <row r="553" spans="1:6" x14ac:dyDescent="0.35">
      <c r="A553" t="s">
        <v>2540</v>
      </c>
      <c r="B553" t="s">
        <v>2427</v>
      </c>
      <c r="C553" t="s">
        <v>2540</v>
      </c>
      <c r="D553" t="s">
        <v>7338</v>
      </c>
      <c r="E553">
        <f>learners_tle_ia_elecproduction_m_g7</f>
        <v>0</v>
      </c>
      <c r="F553" t="b">
        <v>1</v>
      </c>
    </row>
    <row r="554" spans="1:6" x14ac:dyDescent="0.35">
      <c r="A554" t="s">
        <v>2565</v>
      </c>
      <c r="B554" t="s">
        <v>2427</v>
      </c>
      <c r="C554" t="s">
        <v>2565</v>
      </c>
      <c r="D554" t="s">
        <v>7364</v>
      </c>
      <c r="E554">
        <f>learners_tle_ia_elecproduction_f_g7</f>
        <v>0</v>
      </c>
      <c r="F554" t="b">
        <v>1</v>
      </c>
    </row>
    <row r="555" spans="1:6" x14ac:dyDescent="0.35">
      <c r="A555" t="s">
        <v>2590</v>
      </c>
      <c r="B555" t="s">
        <v>2427</v>
      </c>
      <c r="C555" t="s">
        <v>2590</v>
      </c>
      <c r="D555" t="s">
        <v>7212</v>
      </c>
      <c r="E555">
        <f>learners_tle_ia_elecproduction_m_g8</f>
        <v>0</v>
      </c>
      <c r="F555" t="b">
        <v>1</v>
      </c>
    </row>
    <row r="556" spans="1:6" x14ac:dyDescent="0.35">
      <c r="A556" t="s">
        <v>2615</v>
      </c>
      <c r="B556" t="s">
        <v>2427</v>
      </c>
      <c r="C556" t="s">
        <v>2615</v>
      </c>
      <c r="D556" t="s">
        <v>7388</v>
      </c>
      <c r="E556">
        <f>learners_tle_ia_elecproduction_f_g8</f>
        <v>0</v>
      </c>
      <c r="F556" t="b">
        <v>1</v>
      </c>
    </row>
    <row r="557" spans="1:6" x14ac:dyDescent="0.35">
      <c r="A557" t="s">
        <v>2440</v>
      </c>
      <c r="B557" t="s">
        <v>2427</v>
      </c>
      <c r="C557" t="s">
        <v>2440</v>
      </c>
      <c r="D557" t="s">
        <v>7238</v>
      </c>
      <c r="E557">
        <f>learners_tle_ia_elecproduction_m_g9</f>
        <v>0</v>
      </c>
      <c r="F557" t="b">
        <v>1</v>
      </c>
    </row>
    <row r="558" spans="1:6" x14ac:dyDescent="0.35">
      <c r="A558" t="s">
        <v>2465</v>
      </c>
      <c r="B558" t="s">
        <v>2427</v>
      </c>
      <c r="C558" t="s">
        <v>2465</v>
      </c>
      <c r="D558" t="s">
        <v>7263</v>
      </c>
      <c r="E558">
        <f>learners_tle_ia_elecproduction_f_g9</f>
        <v>0</v>
      </c>
      <c r="F558" t="b">
        <v>1</v>
      </c>
    </row>
    <row r="559" spans="1:6" x14ac:dyDescent="0.35">
      <c r="A559" t="s">
        <v>2490</v>
      </c>
      <c r="B559" t="s">
        <v>2427</v>
      </c>
      <c r="C559" t="s">
        <v>2490</v>
      </c>
      <c r="D559" t="s">
        <v>7288</v>
      </c>
      <c r="E559">
        <f>learners_tle_ia_elecproduction_m_g10</f>
        <v>0</v>
      </c>
      <c r="F559" t="b">
        <v>1</v>
      </c>
    </row>
    <row r="560" spans="1:6" x14ac:dyDescent="0.35">
      <c r="A560" t="s">
        <v>2515</v>
      </c>
      <c r="B560" t="s">
        <v>2427</v>
      </c>
      <c r="C560" t="s">
        <v>2515</v>
      </c>
      <c r="D560" t="s">
        <v>7313</v>
      </c>
      <c r="E560">
        <f>learners_tle_ia_elecproduction_f_g10</f>
        <v>0</v>
      </c>
      <c r="F560" t="b">
        <v>1</v>
      </c>
    </row>
    <row r="561" spans="1:6" x14ac:dyDescent="0.35">
      <c r="A561" t="s">
        <v>2541</v>
      </c>
      <c r="B561" t="s">
        <v>2427</v>
      </c>
      <c r="C561" t="s">
        <v>2541</v>
      </c>
      <c r="D561" t="s">
        <v>7339</v>
      </c>
      <c r="E561">
        <f>learners_tle_ia_masonry_m_g7</f>
        <v>0</v>
      </c>
      <c r="F561" t="b">
        <v>1</v>
      </c>
    </row>
    <row r="562" spans="1:6" x14ac:dyDescent="0.35">
      <c r="A562" t="s">
        <v>2566</v>
      </c>
      <c r="B562" t="s">
        <v>2427</v>
      </c>
      <c r="C562" t="s">
        <v>2566</v>
      </c>
      <c r="D562" t="s">
        <v>7365</v>
      </c>
      <c r="E562">
        <f>learners_tle_ia_masonry_f_g7</f>
        <v>0</v>
      </c>
      <c r="F562" t="b">
        <v>1</v>
      </c>
    </row>
    <row r="563" spans="1:6" x14ac:dyDescent="0.35">
      <c r="A563" t="s">
        <v>2591</v>
      </c>
      <c r="B563" t="s">
        <v>2427</v>
      </c>
      <c r="C563" t="s">
        <v>2591</v>
      </c>
      <c r="D563" t="s">
        <v>7213</v>
      </c>
      <c r="E563">
        <f>learners_tle_ia_masonry_m_g8</f>
        <v>0</v>
      </c>
      <c r="F563" t="b">
        <v>1</v>
      </c>
    </row>
    <row r="564" spans="1:6" x14ac:dyDescent="0.35">
      <c r="A564" t="s">
        <v>2616</v>
      </c>
      <c r="B564" t="s">
        <v>2427</v>
      </c>
      <c r="C564" t="s">
        <v>2616</v>
      </c>
      <c r="D564" t="s">
        <v>7389</v>
      </c>
      <c r="E564">
        <f>learners_tle_ia_masonry_f_g8</f>
        <v>0</v>
      </c>
      <c r="F564" t="b">
        <v>1</v>
      </c>
    </row>
    <row r="565" spans="1:6" x14ac:dyDescent="0.35">
      <c r="A565" t="s">
        <v>2441</v>
      </c>
      <c r="B565" t="s">
        <v>2427</v>
      </c>
      <c r="C565" t="s">
        <v>2441</v>
      </c>
      <c r="D565" t="s">
        <v>7239</v>
      </c>
      <c r="E565">
        <f>learners_tle_ia_masonry_m_g9</f>
        <v>0</v>
      </c>
      <c r="F565" t="b">
        <v>1</v>
      </c>
    </row>
    <row r="566" spans="1:6" x14ac:dyDescent="0.35">
      <c r="A566" t="s">
        <v>2466</v>
      </c>
      <c r="B566" t="s">
        <v>2427</v>
      </c>
      <c r="C566" t="s">
        <v>2466</v>
      </c>
      <c r="D566" t="s">
        <v>7264</v>
      </c>
      <c r="E566">
        <f>learners_tle_ia_masonry_f_g9</f>
        <v>0</v>
      </c>
      <c r="F566" t="b">
        <v>1</v>
      </c>
    </row>
    <row r="567" spans="1:6" x14ac:dyDescent="0.35">
      <c r="A567" t="s">
        <v>2491</v>
      </c>
      <c r="B567" t="s">
        <v>2427</v>
      </c>
      <c r="C567" t="s">
        <v>2491</v>
      </c>
      <c r="D567" t="s">
        <v>7289</v>
      </c>
      <c r="E567">
        <f>learners_tle_ia_masonry_m_g10</f>
        <v>0</v>
      </c>
      <c r="F567" t="b">
        <v>1</v>
      </c>
    </row>
    <row r="568" spans="1:6" x14ac:dyDescent="0.35">
      <c r="A568" t="s">
        <v>2516</v>
      </c>
      <c r="B568" t="s">
        <v>2427</v>
      </c>
      <c r="C568" t="s">
        <v>2516</v>
      </c>
      <c r="D568" t="s">
        <v>7314</v>
      </c>
      <c r="E568">
        <f>learners_tle_ia_masonry_f_g10</f>
        <v>0</v>
      </c>
      <c r="F568" t="b">
        <v>1</v>
      </c>
    </row>
    <row r="569" spans="1:6" x14ac:dyDescent="0.35">
      <c r="A569" t="s">
        <v>2542</v>
      </c>
      <c r="B569" t="s">
        <v>2427</v>
      </c>
      <c r="C569" t="s">
        <v>2542</v>
      </c>
      <c r="D569" t="s">
        <v>7340</v>
      </c>
      <c r="E569">
        <f>learners_tle_ia_plumbing_m_g7</f>
        <v>0</v>
      </c>
      <c r="F569" t="b">
        <v>1</v>
      </c>
    </row>
    <row r="570" spans="1:6" x14ac:dyDescent="0.35">
      <c r="A570" t="s">
        <v>2567</v>
      </c>
      <c r="B570" t="s">
        <v>2427</v>
      </c>
      <c r="C570" t="s">
        <v>2567</v>
      </c>
      <c r="D570" t="s">
        <v>7366</v>
      </c>
      <c r="E570">
        <f>learners_tle_ia_plumbing_f_g7</f>
        <v>0</v>
      </c>
      <c r="F570" t="b">
        <v>1</v>
      </c>
    </row>
    <row r="571" spans="1:6" x14ac:dyDescent="0.35">
      <c r="A571" t="s">
        <v>2592</v>
      </c>
      <c r="B571" t="s">
        <v>2427</v>
      </c>
      <c r="C571" t="s">
        <v>2592</v>
      </c>
      <c r="D571" t="s">
        <v>7214</v>
      </c>
      <c r="E571">
        <f>learners_tle_ia_plumbing_m_g8</f>
        <v>0</v>
      </c>
      <c r="F571" t="b">
        <v>1</v>
      </c>
    </row>
    <row r="572" spans="1:6" x14ac:dyDescent="0.35">
      <c r="A572" t="s">
        <v>2617</v>
      </c>
      <c r="B572" t="s">
        <v>2427</v>
      </c>
      <c r="C572" t="s">
        <v>2617</v>
      </c>
      <c r="D572" t="s">
        <v>7390</v>
      </c>
      <c r="E572">
        <f>learners_tle_ia_plumbing_f_g8</f>
        <v>0</v>
      </c>
      <c r="F572" t="b">
        <v>1</v>
      </c>
    </row>
    <row r="573" spans="1:6" x14ac:dyDescent="0.35">
      <c r="A573" t="s">
        <v>2442</v>
      </c>
      <c r="B573" t="s">
        <v>2427</v>
      </c>
      <c r="C573" t="s">
        <v>2442</v>
      </c>
      <c r="D573" t="s">
        <v>7240</v>
      </c>
      <c r="E573">
        <f>learners_tle_ia_plumbing_m_g9</f>
        <v>0</v>
      </c>
      <c r="F573" t="b">
        <v>1</v>
      </c>
    </row>
    <row r="574" spans="1:6" x14ac:dyDescent="0.35">
      <c r="A574" t="s">
        <v>2467</v>
      </c>
      <c r="B574" t="s">
        <v>2427</v>
      </c>
      <c r="C574" t="s">
        <v>2467</v>
      </c>
      <c r="D574" t="s">
        <v>7265</v>
      </c>
      <c r="E574">
        <f>learners_tle_ia_plumbing_f_g9</f>
        <v>0</v>
      </c>
      <c r="F574" t="b">
        <v>1</v>
      </c>
    </row>
    <row r="575" spans="1:6" x14ac:dyDescent="0.35">
      <c r="A575" t="s">
        <v>2492</v>
      </c>
      <c r="B575" t="s">
        <v>2427</v>
      </c>
      <c r="C575" t="s">
        <v>2492</v>
      </c>
      <c r="D575" t="s">
        <v>7290</v>
      </c>
      <c r="E575">
        <f>learners_tle_ia_plumbing_m_g10</f>
        <v>0</v>
      </c>
      <c r="F575" t="b">
        <v>1</v>
      </c>
    </row>
    <row r="576" spans="1:6" x14ac:dyDescent="0.35">
      <c r="A576" t="s">
        <v>2517</v>
      </c>
      <c r="B576" t="s">
        <v>2427</v>
      </c>
      <c r="C576" t="s">
        <v>2517</v>
      </c>
      <c r="D576" t="s">
        <v>7315</v>
      </c>
      <c r="E576">
        <f>learners_tle_ia_plumbing_f_g10</f>
        <v>0</v>
      </c>
      <c r="F576" t="b">
        <v>1</v>
      </c>
    </row>
    <row r="577" spans="1:14" x14ac:dyDescent="0.35">
      <c r="A577" t="s">
        <v>2543</v>
      </c>
      <c r="B577" t="s">
        <v>2427</v>
      </c>
      <c r="C577" t="s">
        <v>2543</v>
      </c>
      <c r="D577" t="s">
        <v>7341</v>
      </c>
      <c r="E577">
        <f>learners_tle_ia_refnairconditioning_m_g7</f>
        <v>0</v>
      </c>
      <c r="F577" t="b">
        <v>1</v>
      </c>
    </row>
    <row r="578" spans="1:14" x14ac:dyDescent="0.35">
      <c r="A578" t="s">
        <v>2568</v>
      </c>
      <c r="B578" t="s">
        <v>2427</v>
      </c>
      <c r="C578" t="s">
        <v>2568</v>
      </c>
      <c r="D578" t="s">
        <v>7367</v>
      </c>
      <c r="E578">
        <f>learners_tle_ia_refnairconditioning_f_g7</f>
        <v>0</v>
      </c>
      <c r="F578" t="b">
        <v>1</v>
      </c>
      <c r="N578" s="133"/>
    </row>
    <row r="579" spans="1:14" x14ac:dyDescent="0.35">
      <c r="A579" t="s">
        <v>2593</v>
      </c>
      <c r="B579" t="s">
        <v>2427</v>
      </c>
      <c r="C579" t="s">
        <v>2593</v>
      </c>
      <c r="D579" t="s">
        <v>7215</v>
      </c>
      <c r="E579">
        <f>learners_tle_ia_refnairconditioning_m_g8</f>
        <v>0</v>
      </c>
      <c r="F579" t="b">
        <v>1</v>
      </c>
      <c r="N579" s="133"/>
    </row>
    <row r="580" spans="1:14" x14ac:dyDescent="0.35">
      <c r="A580" t="s">
        <v>2618</v>
      </c>
      <c r="B580" t="s">
        <v>2427</v>
      </c>
      <c r="C580" t="s">
        <v>2618</v>
      </c>
      <c r="D580" t="s">
        <v>7391</v>
      </c>
      <c r="E580">
        <f>learners_tle_ia_refnairconditioning_f_g8</f>
        <v>0</v>
      </c>
      <c r="F580" t="b">
        <v>1</v>
      </c>
      <c r="N580" s="133"/>
    </row>
    <row r="581" spans="1:14" x14ac:dyDescent="0.35">
      <c r="A581" t="s">
        <v>2443</v>
      </c>
      <c r="B581" t="s">
        <v>2427</v>
      </c>
      <c r="C581" t="s">
        <v>2443</v>
      </c>
      <c r="D581" t="s">
        <v>7241</v>
      </c>
      <c r="E581">
        <f>learners_tle_ia_refnairconditioning_m_g9</f>
        <v>0</v>
      </c>
      <c r="F581" t="b">
        <v>1</v>
      </c>
      <c r="N581" s="133"/>
    </row>
    <row r="582" spans="1:14" x14ac:dyDescent="0.35">
      <c r="A582" t="s">
        <v>2468</v>
      </c>
      <c r="B582" t="s">
        <v>2427</v>
      </c>
      <c r="C582" t="s">
        <v>2468</v>
      </c>
      <c r="D582" t="s">
        <v>7266</v>
      </c>
      <c r="E582">
        <f>learners_tle_ia_refnairconditioning_f_g9</f>
        <v>0</v>
      </c>
      <c r="F582" t="b">
        <v>1</v>
      </c>
      <c r="N582" s="133"/>
    </row>
    <row r="583" spans="1:14" x14ac:dyDescent="0.35">
      <c r="A583" t="s">
        <v>2493</v>
      </c>
      <c r="B583" t="s">
        <v>2427</v>
      </c>
      <c r="C583" t="s">
        <v>2493</v>
      </c>
      <c r="D583" t="s">
        <v>7291</v>
      </c>
      <c r="E583">
        <f>learners_tle_ia_refnairconditioning_m_g10</f>
        <v>0</v>
      </c>
      <c r="F583" t="b">
        <v>1</v>
      </c>
      <c r="N583" s="133"/>
    </row>
    <row r="584" spans="1:14" x14ac:dyDescent="0.35">
      <c r="A584" t="s">
        <v>2518</v>
      </c>
      <c r="B584" t="s">
        <v>2427</v>
      </c>
      <c r="C584" t="s">
        <v>2518</v>
      </c>
      <c r="D584" t="s">
        <v>7316</v>
      </c>
      <c r="E584">
        <f>learners_tle_ia_refnairconditioning_f_g10</f>
        <v>0</v>
      </c>
      <c r="F584" t="b">
        <v>1</v>
      </c>
      <c r="N584" s="133"/>
    </row>
    <row r="585" spans="1:14" x14ac:dyDescent="0.35">
      <c r="A585" t="s">
        <v>2544</v>
      </c>
      <c r="B585" t="s">
        <v>2427</v>
      </c>
      <c r="C585" t="s">
        <v>2544</v>
      </c>
      <c r="D585" t="s">
        <v>7342</v>
      </c>
      <c r="E585">
        <f>learners_tle_ia_shieldedmetalwelding_m_g7</f>
        <v>0</v>
      </c>
      <c r="F585" t="b">
        <v>1</v>
      </c>
      <c r="N585" s="133"/>
    </row>
    <row r="586" spans="1:14" x14ac:dyDescent="0.35">
      <c r="A586" t="s">
        <v>2569</v>
      </c>
      <c r="B586" t="s">
        <v>2427</v>
      </c>
      <c r="C586" t="s">
        <v>2569</v>
      </c>
      <c r="D586" t="s">
        <v>7368</v>
      </c>
      <c r="E586">
        <f>learners_tle_ia_shieldedmetalwelding_f_g7</f>
        <v>0</v>
      </c>
      <c r="F586" t="b">
        <v>1</v>
      </c>
      <c r="N586" s="133"/>
    </row>
    <row r="587" spans="1:14" x14ac:dyDescent="0.35">
      <c r="A587" t="s">
        <v>2594</v>
      </c>
      <c r="B587" t="s">
        <v>2427</v>
      </c>
      <c r="C587" t="s">
        <v>2594</v>
      </c>
      <c r="D587" t="s">
        <v>7220</v>
      </c>
      <c r="E587">
        <f>learners_tle_ia_shieldedmetalwelding_m_g8</f>
        <v>0</v>
      </c>
      <c r="F587" t="b">
        <v>1</v>
      </c>
      <c r="N587" s="133"/>
    </row>
    <row r="588" spans="1:14" x14ac:dyDescent="0.35">
      <c r="A588" t="s">
        <v>2619</v>
      </c>
      <c r="B588" t="s">
        <v>2427</v>
      </c>
      <c r="C588" t="s">
        <v>2619</v>
      </c>
      <c r="D588" t="s">
        <v>7392</v>
      </c>
      <c r="E588">
        <f>learners_tle_ia_shieldedmetalwelding_f_g8</f>
        <v>0</v>
      </c>
      <c r="F588" t="b">
        <v>1</v>
      </c>
      <c r="N588" s="133"/>
    </row>
    <row r="589" spans="1:14" x14ac:dyDescent="0.35">
      <c r="A589" t="s">
        <v>2444</v>
      </c>
      <c r="B589" t="s">
        <v>2427</v>
      </c>
      <c r="C589" t="s">
        <v>2444</v>
      </c>
      <c r="D589" t="s">
        <v>7242</v>
      </c>
      <c r="E589">
        <f>learners_tle_ia_shieldedmetalwelding_m_g9</f>
        <v>0</v>
      </c>
      <c r="F589" t="b">
        <v>1</v>
      </c>
      <c r="N589" s="133"/>
    </row>
    <row r="590" spans="1:14" x14ac:dyDescent="0.35">
      <c r="A590" t="s">
        <v>2469</v>
      </c>
      <c r="B590" t="s">
        <v>2427</v>
      </c>
      <c r="C590" t="s">
        <v>2469</v>
      </c>
      <c r="D590" t="s">
        <v>7267</v>
      </c>
      <c r="E590">
        <f>learners_tle_ia_shieldedmetalwelding_f_g9</f>
        <v>0</v>
      </c>
      <c r="F590" t="b">
        <v>1</v>
      </c>
      <c r="N590" s="133"/>
    </row>
    <row r="591" spans="1:14" x14ac:dyDescent="0.35">
      <c r="A591" t="s">
        <v>2494</v>
      </c>
      <c r="B591" t="s">
        <v>2427</v>
      </c>
      <c r="C591" t="s">
        <v>2494</v>
      </c>
      <c r="D591" t="s">
        <v>7292</v>
      </c>
      <c r="E591">
        <f>learners_tle_ia_shieldedmetalwelding_m_g10</f>
        <v>0</v>
      </c>
      <c r="F591" t="b">
        <v>1</v>
      </c>
      <c r="N591" s="133"/>
    </row>
    <row r="592" spans="1:14" x14ac:dyDescent="0.35">
      <c r="A592" t="s">
        <v>2519</v>
      </c>
      <c r="B592" t="s">
        <v>2427</v>
      </c>
      <c r="C592" t="s">
        <v>2519</v>
      </c>
      <c r="D592" t="s">
        <v>7317</v>
      </c>
      <c r="E592">
        <f>learners_tle_ia_shieldedmetalwelding_f_g10</f>
        <v>0</v>
      </c>
      <c r="F592" t="b">
        <v>1</v>
      </c>
      <c r="N592" s="133"/>
    </row>
    <row r="593" spans="1:14" x14ac:dyDescent="0.35">
      <c r="A593" t="s">
        <v>2545</v>
      </c>
      <c r="B593" t="s">
        <v>2427</v>
      </c>
      <c r="C593" t="s">
        <v>2545</v>
      </c>
      <c r="D593" t="s">
        <v>7343</v>
      </c>
      <c r="E593">
        <f>learners_tle_ict_compsystemservicing_m_g7</f>
        <v>0</v>
      </c>
      <c r="F593" t="b">
        <v>1</v>
      </c>
      <c r="N593" s="133"/>
    </row>
    <row r="594" spans="1:14" x14ac:dyDescent="0.35">
      <c r="A594" t="s">
        <v>2570</v>
      </c>
      <c r="B594" t="s">
        <v>2427</v>
      </c>
      <c r="C594" t="s">
        <v>2570</v>
      </c>
      <c r="D594" t="s">
        <v>7369</v>
      </c>
      <c r="E594">
        <f>learners_tle_ict_compsystemservicing_f_g7</f>
        <v>0</v>
      </c>
      <c r="F594" t="b">
        <v>1</v>
      </c>
      <c r="N594" s="133"/>
    </row>
    <row r="595" spans="1:14" x14ac:dyDescent="0.35">
      <c r="A595" t="s">
        <v>2595</v>
      </c>
      <c r="B595" t="s">
        <v>2427</v>
      </c>
      <c r="C595" t="s">
        <v>2595</v>
      </c>
      <c r="D595" t="s">
        <v>7216</v>
      </c>
      <c r="E595">
        <f>learners_tle_ict_compsystemservicing_m_g8</f>
        <v>0</v>
      </c>
      <c r="F595" t="b">
        <v>1</v>
      </c>
      <c r="N595" s="133"/>
    </row>
    <row r="596" spans="1:14" x14ac:dyDescent="0.35">
      <c r="A596" t="s">
        <v>12658</v>
      </c>
      <c r="B596" t="s">
        <v>2427</v>
      </c>
      <c r="C596" t="s">
        <v>12658</v>
      </c>
      <c r="D596" t="s">
        <v>12659</v>
      </c>
      <c r="E596">
        <f>learners_tle_ict_compsystemservicing_f_g8</f>
        <v>0</v>
      </c>
      <c r="F596" t="b">
        <v>1</v>
      </c>
      <c r="N596" s="133"/>
    </row>
    <row r="597" spans="1:14" x14ac:dyDescent="0.35">
      <c r="A597" t="s">
        <v>2445</v>
      </c>
      <c r="B597" t="s">
        <v>2427</v>
      </c>
      <c r="C597" t="s">
        <v>2445</v>
      </c>
      <c r="D597" t="s">
        <v>7243</v>
      </c>
      <c r="E597">
        <f>learners_tle_ict_compsystemservicing_m_g9</f>
        <v>0</v>
      </c>
      <c r="F597" t="b">
        <v>1</v>
      </c>
      <c r="N597" s="133"/>
    </row>
    <row r="598" spans="1:14" x14ac:dyDescent="0.35">
      <c r="A598" t="s">
        <v>2470</v>
      </c>
      <c r="B598" t="s">
        <v>2427</v>
      </c>
      <c r="C598" t="s">
        <v>2470</v>
      </c>
      <c r="D598" t="s">
        <v>7268</v>
      </c>
      <c r="E598">
        <f>learners_tle_ict_compsystemservicing_f_g9</f>
        <v>0</v>
      </c>
      <c r="F598" t="b">
        <v>1</v>
      </c>
      <c r="N598" s="133"/>
    </row>
    <row r="599" spans="1:14" x14ac:dyDescent="0.35">
      <c r="A599" t="s">
        <v>2495</v>
      </c>
      <c r="B599" t="s">
        <v>2427</v>
      </c>
      <c r="C599" t="s">
        <v>2495</v>
      </c>
      <c r="D599" t="s">
        <v>7293</v>
      </c>
      <c r="E599">
        <f>learners_tle_ict_compsystemservicing_m_g10</f>
        <v>0</v>
      </c>
      <c r="F599" t="b">
        <v>1</v>
      </c>
      <c r="N599" s="133"/>
    </row>
    <row r="600" spans="1:14" x14ac:dyDescent="0.35">
      <c r="A600" t="s">
        <v>2520</v>
      </c>
      <c r="B600" t="s">
        <v>2427</v>
      </c>
      <c r="C600" t="s">
        <v>2520</v>
      </c>
      <c r="D600" t="s">
        <v>7318</v>
      </c>
      <c r="E600">
        <f>learners_tle_ict_compsystemservicing_f_g10</f>
        <v>0</v>
      </c>
      <c r="F600" t="b">
        <v>1</v>
      </c>
      <c r="N600" s="133"/>
    </row>
    <row r="601" spans="1:14" x14ac:dyDescent="0.35">
      <c r="A601" t="s">
        <v>2546</v>
      </c>
      <c r="B601" t="s">
        <v>2427</v>
      </c>
      <c r="C601" t="s">
        <v>2546</v>
      </c>
      <c r="D601" t="s">
        <v>7344</v>
      </c>
      <c r="E601">
        <f>learners_tle_ict_contactcenterservices_m_g7</f>
        <v>0</v>
      </c>
      <c r="F601" t="b">
        <v>1</v>
      </c>
      <c r="N601" s="133"/>
    </row>
    <row r="602" spans="1:14" x14ac:dyDescent="0.35">
      <c r="A602" t="s">
        <v>2571</v>
      </c>
      <c r="B602" t="s">
        <v>2427</v>
      </c>
      <c r="C602" t="s">
        <v>2571</v>
      </c>
      <c r="D602" t="s">
        <v>7370</v>
      </c>
      <c r="E602">
        <f>learners_tle_ict_contactcenterservices_f_g7</f>
        <v>0</v>
      </c>
      <c r="F602" t="b">
        <v>1</v>
      </c>
      <c r="N602" s="133"/>
    </row>
    <row r="603" spans="1:14" x14ac:dyDescent="0.35">
      <c r="A603" t="s">
        <v>2596</v>
      </c>
      <c r="B603" t="s">
        <v>2427</v>
      </c>
      <c r="C603" t="s">
        <v>2596</v>
      </c>
      <c r="D603" t="s">
        <v>7217</v>
      </c>
      <c r="E603">
        <f>learners_tle_ict_contactcenterservices_m_g8</f>
        <v>0</v>
      </c>
      <c r="F603" t="b">
        <v>1</v>
      </c>
      <c r="N603" s="133"/>
    </row>
    <row r="604" spans="1:14" x14ac:dyDescent="0.35">
      <c r="A604" t="s">
        <v>12660</v>
      </c>
      <c r="B604" t="s">
        <v>2427</v>
      </c>
      <c r="C604" t="s">
        <v>12660</v>
      </c>
      <c r="D604" t="s">
        <v>12661</v>
      </c>
      <c r="E604">
        <f>learners_tle_ict_contactcenterservices_f_g8</f>
        <v>0</v>
      </c>
      <c r="F604" t="b">
        <v>1</v>
      </c>
      <c r="N604" s="133"/>
    </row>
    <row r="605" spans="1:14" x14ac:dyDescent="0.35">
      <c r="A605" t="s">
        <v>2446</v>
      </c>
      <c r="B605" t="s">
        <v>2427</v>
      </c>
      <c r="C605" t="s">
        <v>2446</v>
      </c>
      <c r="D605" t="s">
        <v>7244</v>
      </c>
      <c r="E605">
        <f>learners_tle_ict_contactcenterservices_m_g9</f>
        <v>0</v>
      </c>
      <c r="F605" t="b">
        <v>1</v>
      </c>
      <c r="N605" s="133"/>
    </row>
    <row r="606" spans="1:14" x14ac:dyDescent="0.35">
      <c r="A606" t="s">
        <v>2471</v>
      </c>
      <c r="B606" t="s">
        <v>2427</v>
      </c>
      <c r="C606" t="s">
        <v>2471</v>
      </c>
      <c r="D606" t="s">
        <v>7269</v>
      </c>
      <c r="E606">
        <f>learners_tle_ict_contactcenterservices_f_g9</f>
        <v>0</v>
      </c>
      <c r="F606" t="b">
        <v>1</v>
      </c>
      <c r="N606" s="133"/>
    </row>
    <row r="607" spans="1:14" x14ac:dyDescent="0.35">
      <c r="A607" t="s">
        <v>2496</v>
      </c>
      <c r="B607" t="s">
        <v>2427</v>
      </c>
      <c r="C607" t="s">
        <v>2496</v>
      </c>
      <c r="D607" t="s">
        <v>7294</v>
      </c>
      <c r="E607">
        <f>learners_tle_ict_contactcenterservices_m_g10</f>
        <v>0</v>
      </c>
      <c r="F607" t="b">
        <v>1</v>
      </c>
      <c r="N607" s="133"/>
    </row>
    <row r="608" spans="1:14" x14ac:dyDescent="0.35">
      <c r="A608" t="s">
        <v>2521</v>
      </c>
      <c r="B608" t="s">
        <v>2427</v>
      </c>
      <c r="C608" t="s">
        <v>2521</v>
      </c>
      <c r="D608" t="s">
        <v>7319</v>
      </c>
      <c r="E608">
        <f>learners_tle_ict_contactcenterservices_f_g10</f>
        <v>0</v>
      </c>
      <c r="F608" t="b">
        <v>1</v>
      </c>
      <c r="N608" s="133"/>
    </row>
    <row r="609" spans="1:14" x14ac:dyDescent="0.35">
      <c r="A609" t="s">
        <v>2547</v>
      </c>
      <c r="B609" t="s">
        <v>2427</v>
      </c>
      <c r="C609" t="s">
        <v>2547</v>
      </c>
      <c r="D609" t="s">
        <v>7345</v>
      </c>
      <c r="E609">
        <f>learners_tle_ict_illustration_m_g7</f>
        <v>0</v>
      </c>
      <c r="F609" t="b">
        <v>1</v>
      </c>
      <c r="N609" s="133"/>
    </row>
    <row r="610" spans="1:14" x14ac:dyDescent="0.35">
      <c r="A610" t="s">
        <v>2572</v>
      </c>
      <c r="B610" t="s">
        <v>2427</v>
      </c>
      <c r="C610" t="s">
        <v>2572</v>
      </c>
      <c r="D610" t="s">
        <v>7371</v>
      </c>
      <c r="E610">
        <f>learners_tle_ict_illustration_f_g7</f>
        <v>0</v>
      </c>
      <c r="F610" t="b">
        <v>1</v>
      </c>
      <c r="N610" s="133"/>
    </row>
    <row r="611" spans="1:14" x14ac:dyDescent="0.35">
      <c r="A611" t="s">
        <v>2597</v>
      </c>
      <c r="B611" t="s">
        <v>2427</v>
      </c>
      <c r="C611" t="s">
        <v>2597</v>
      </c>
      <c r="D611" t="s">
        <v>7218</v>
      </c>
      <c r="E611">
        <f>learners_tle_ict_illustration_m_g8</f>
        <v>0</v>
      </c>
      <c r="F611" t="b">
        <v>1</v>
      </c>
      <c r="N611" s="133"/>
    </row>
    <row r="612" spans="1:14" x14ac:dyDescent="0.35">
      <c r="A612" t="s">
        <v>12662</v>
      </c>
      <c r="B612" t="s">
        <v>2427</v>
      </c>
      <c r="C612" t="s">
        <v>12662</v>
      </c>
      <c r="D612" t="s">
        <v>12663</v>
      </c>
      <c r="E612">
        <f>learners_tle_ict_illustration_f_g8</f>
        <v>0</v>
      </c>
      <c r="F612" t="b">
        <v>1</v>
      </c>
      <c r="N612" s="133"/>
    </row>
    <row r="613" spans="1:14" x14ac:dyDescent="0.35">
      <c r="A613" t="s">
        <v>2447</v>
      </c>
      <c r="B613" t="s">
        <v>2427</v>
      </c>
      <c r="C613" t="s">
        <v>2447</v>
      </c>
      <c r="D613" t="s">
        <v>7245</v>
      </c>
      <c r="E613">
        <f>learners_tle_ict_illustration_m_g9</f>
        <v>0</v>
      </c>
      <c r="F613" t="b">
        <v>1</v>
      </c>
      <c r="N613" s="133"/>
    </row>
    <row r="614" spans="1:14" x14ac:dyDescent="0.35">
      <c r="A614" t="s">
        <v>2472</v>
      </c>
      <c r="B614" t="s">
        <v>2427</v>
      </c>
      <c r="C614" t="s">
        <v>2472</v>
      </c>
      <c r="D614" t="s">
        <v>7270</v>
      </c>
      <c r="E614">
        <f>learners_tle_ict_illustration_f_g9</f>
        <v>0</v>
      </c>
      <c r="F614" t="b">
        <v>1</v>
      </c>
      <c r="N614" s="133"/>
    </row>
    <row r="615" spans="1:14" x14ac:dyDescent="0.35">
      <c r="A615" t="s">
        <v>2497</v>
      </c>
      <c r="B615" t="s">
        <v>2427</v>
      </c>
      <c r="C615" t="s">
        <v>2497</v>
      </c>
      <c r="D615" t="s">
        <v>7295</v>
      </c>
      <c r="E615">
        <f>learners_tle_ict_illustration_m_g10</f>
        <v>0</v>
      </c>
      <c r="F615" t="b">
        <v>1</v>
      </c>
      <c r="N615" s="133"/>
    </row>
    <row r="616" spans="1:14" x14ac:dyDescent="0.35">
      <c r="A616" t="s">
        <v>2522</v>
      </c>
      <c r="B616" t="s">
        <v>2427</v>
      </c>
      <c r="C616" t="s">
        <v>2522</v>
      </c>
      <c r="D616" t="s">
        <v>7320</v>
      </c>
      <c r="E616">
        <f>learners_tle_ict_illustration_f_g10</f>
        <v>0</v>
      </c>
      <c r="F616" t="b">
        <v>1</v>
      </c>
      <c r="N616" s="133"/>
    </row>
    <row r="617" spans="1:14" x14ac:dyDescent="0.35">
      <c r="A617" t="s">
        <v>2548</v>
      </c>
      <c r="B617" t="s">
        <v>2427</v>
      </c>
      <c r="C617" t="s">
        <v>2548</v>
      </c>
      <c r="D617" t="s">
        <v>7346</v>
      </c>
      <c r="E617">
        <f>learners_tle_ict_techdrafting_m_g7</f>
        <v>0</v>
      </c>
      <c r="F617" t="b">
        <v>1</v>
      </c>
      <c r="N617" s="133"/>
    </row>
    <row r="618" spans="1:14" x14ac:dyDescent="0.35">
      <c r="A618" t="s">
        <v>2573</v>
      </c>
      <c r="B618" t="s">
        <v>2427</v>
      </c>
      <c r="C618" t="s">
        <v>2573</v>
      </c>
      <c r="D618" t="s">
        <v>7372</v>
      </c>
      <c r="E618">
        <f>learners_tle_ict_techdrafting_f_g7</f>
        <v>0</v>
      </c>
      <c r="F618" t="b">
        <v>1</v>
      </c>
      <c r="N618" s="133"/>
    </row>
    <row r="619" spans="1:14" x14ac:dyDescent="0.35">
      <c r="A619" t="s">
        <v>2598</v>
      </c>
      <c r="B619" t="s">
        <v>2427</v>
      </c>
      <c r="C619" t="s">
        <v>2598</v>
      </c>
      <c r="D619" t="s">
        <v>7219</v>
      </c>
      <c r="E619">
        <f>learners_tle_ict_techdrafting_m_g8</f>
        <v>0</v>
      </c>
      <c r="F619" t="b">
        <v>1</v>
      </c>
      <c r="N619" s="133"/>
    </row>
    <row r="620" spans="1:14" x14ac:dyDescent="0.35">
      <c r="A620" t="s">
        <v>12664</v>
      </c>
      <c r="B620" t="s">
        <v>2427</v>
      </c>
      <c r="C620" t="s">
        <v>12664</v>
      </c>
      <c r="D620" t="s">
        <v>12665</v>
      </c>
      <c r="E620">
        <f>learners_tle_ict_techdrafting_f_g8</f>
        <v>0</v>
      </c>
      <c r="F620" t="b">
        <v>1</v>
      </c>
      <c r="N620" s="133"/>
    </row>
    <row r="621" spans="1:14" x14ac:dyDescent="0.35">
      <c r="A621" t="s">
        <v>2448</v>
      </c>
      <c r="B621" t="s">
        <v>2427</v>
      </c>
      <c r="C621" t="s">
        <v>2448</v>
      </c>
      <c r="D621" t="s">
        <v>7246</v>
      </c>
      <c r="E621">
        <f>learners_tle_ict_techdrafting_m_g9</f>
        <v>0</v>
      </c>
      <c r="F621" t="b">
        <v>1</v>
      </c>
      <c r="N621" s="133"/>
    </row>
    <row r="622" spans="1:14" x14ac:dyDescent="0.35">
      <c r="A622" t="s">
        <v>2473</v>
      </c>
      <c r="B622" t="s">
        <v>2427</v>
      </c>
      <c r="C622" t="s">
        <v>2473</v>
      </c>
      <c r="D622" t="s">
        <v>7271</v>
      </c>
      <c r="E622">
        <f>learners_tle_ict_techdrafting_f_g9</f>
        <v>0</v>
      </c>
      <c r="F622" t="b">
        <v>1</v>
      </c>
      <c r="N622" s="133"/>
    </row>
    <row r="623" spans="1:14" x14ac:dyDescent="0.35">
      <c r="A623" t="s">
        <v>2498</v>
      </c>
      <c r="B623" t="s">
        <v>2427</v>
      </c>
      <c r="C623" t="s">
        <v>2498</v>
      </c>
      <c r="D623" t="s">
        <v>7296</v>
      </c>
      <c r="E623">
        <f>learners_tle_ict_techdrafting_m_g10</f>
        <v>0</v>
      </c>
      <c r="F623" t="b">
        <v>1</v>
      </c>
      <c r="N623" s="133"/>
    </row>
    <row r="624" spans="1:14" s="1348" customFormat="1" ht="16" thickBot="1" x14ac:dyDescent="0.4">
      <c r="A624" s="1348" t="s">
        <v>2523</v>
      </c>
      <c r="B624" s="1348" t="s">
        <v>2427</v>
      </c>
      <c r="C624" s="1348" t="s">
        <v>2523</v>
      </c>
      <c r="D624" s="1348" t="s">
        <v>7321</v>
      </c>
      <c r="E624" s="1348">
        <f>learners_tle_ict_techdrafting_f_g10</f>
        <v>0</v>
      </c>
      <c r="F624" s="1348" t="b">
        <v>1</v>
      </c>
      <c r="N624" s="1375"/>
    </row>
    <row r="625" spans="1:14" x14ac:dyDescent="0.35">
      <c r="A625" t="s">
        <v>2855</v>
      </c>
      <c r="B625" t="s">
        <v>2621</v>
      </c>
      <c r="C625" t="s">
        <v>2855</v>
      </c>
      <c r="D625" t="s">
        <v>2856</v>
      </c>
      <c r="E625">
        <f>learners_wd_uhhbp_wdlms_home_vi_12to15</f>
        <v>0</v>
      </c>
      <c r="F625" t="b">
        <v>1</v>
      </c>
      <c r="N625" s="133"/>
    </row>
    <row r="626" spans="1:14" x14ac:dyDescent="0.35">
      <c r="A626" t="s">
        <v>2895</v>
      </c>
      <c r="B626" t="s">
        <v>2621</v>
      </c>
      <c r="C626" t="s">
        <v>2895</v>
      </c>
      <c r="D626" t="s">
        <v>2896</v>
      </c>
      <c r="E626">
        <f>learners_wd_uhhbp_wdlms_home_vi_16to20</f>
        <v>0</v>
      </c>
      <c r="F626" t="b">
        <v>1</v>
      </c>
      <c r="N626" s="133"/>
    </row>
    <row r="627" spans="1:14" x14ac:dyDescent="0.35">
      <c r="A627" t="s">
        <v>2935</v>
      </c>
      <c r="B627" t="s">
        <v>2621</v>
      </c>
      <c r="C627" t="s">
        <v>2935</v>
      </c>
      <c r="D627" t="s">
        <v>2936</v>
      </c>
      <c r="E627">
        <f>learners_wd_uhhbp_wdlms_home_vi_21to25</f>
        <v>0</v>
      </c>
      <c r="F627" t="b">
        <v>1</v>
      </c>
      <c r="N627" s="133"/>
    </row>
    <row r="628" spans="1:14" x14ac:dyDescent="0.35">
      <c r="A628" t="s">
        <v>2655</v>
      </c>
      <c r="B628" t="s">
        <v>2621</v>
      </c>
      <c r="C628" t="s">
        <v>2655</v>
      </c>
      <c r="D628" t="s">
        <v>2656</v>
      </c>
      <c r="E628">
        <f>learners_wd_uhhbp_wdlms_home_vi_tp</f>
        <v>0</v>
      </c>
      <c r="F628" t="b">
        <v>1</v>
      </c>
      <c r="N628" s="133"/>
    </row>
    <row r="629" spans="1:14" x14ac:dyDescent="0.35">
      <c r="A629" t="s">
        <v>2695</v>
      </c>
      <c r="B629" t="s">
        <v>2621</v>
      </c>
      <c r="C629" t="s">
        <v>2695</v>
      </c>
      <c r="D629" t="s">
        <v>2696</v>
      </c>
      <c r="E629">
        <f>learners_wd_uhhbp_wdlms_home_vi_g7tog10</f>
        <v>0</v>
      </c>
      <c r="F629" t="b">
        <v>1</v>
      </c>
      <c r="N629" s="133"/>
    </row>
    <row r="630" spans="1:14" x14ac:dyDescent="0.35">
      <c r="A630" t="s">
        <v>2719</v>
      </c>
      <c r="B630" t="s">
        <v>2621</v>
      </c>
      <c r="C630" t="s">
        <v>2719</v>
      </c>
      <c r="D630" t="s">
        <v>2720</v>
      </c>
      <c r="E630">
        <f>learners_wd_uhhbp_wdlms_hosp_vi_12to15</f>
        <v>0</v>
      </c>
      <c r="F630" t="b">
        <v>1</v>
      </c>
      <c r="N630" s="133"/>
    </row>
    <row r="631" spans="1:14" x14ac:dyDescent="0.35">
      <c r="A631" t="s">
        <v>2743</v>
      </c>
      <c r="B631" t="s">
        <v>2621</v>
      </c>
      <c r="C631" t="s">
        <v>2743</v>
      </c>
      <c r="D631" t="s">
        <v>2744</v>
      </c>
      <c r="E631">
        <f>learners_wd_uhhbp_wdlms_hosp_vi_16to20</f>
        <v>0</v>
      </c>
      <c r="F631" t="b">
        <v>1</v>
      </c>
      <c r="N631" s="133"/>
    </row>
    <row r="632" spans="1:14" x14ac:dyDescent="0.35">
      <c r="A632" t="s">
        <v>2767</v>
      </c>
      <c r="B632" t="s">
        <v>2621</v>
      </c>
      <c r="C632" t="s">
        <v>2767</v>
      </c>
      <c r="D632" t="s">
        <v>2768</v>
      </c>
      <c r="E632">
        <f>learners_wd_uhhbp_wdlms_hosp_vi_21to25</f>
        <v>0</v>
      </c>
      <c r="F632" t="b">
        <v>1</v>
      </c>
      <c r="N632" s="133"/>
    </row>
    <row r="633" spans="1:14" x14ac:dyDescent="0.35">
      <c r="A633" t="s">
        <v>2791</v>
      </c>
      <c r="B633" t="s">
        <v>2621</v>
      </c>
      <c r="C633" t="s">
        <v>2791</v>
      </c>
      <c r="D633" t="s">
        <v>2792</v>
      </c>
      <c r="E633">
        <f>learners_wd_uhhbp_wdlms_hosp_vi_tp</f>
        <v>0</v>
      </c>
      <c r="F633" t="b">
        <v>1</v>
      </c>
      <c r="N633" s="133"/>
    </row>
    <row r="634" spans="1:14" x14ac:dyDescent="0.35">
      <c r="A634" t="s">
        <v>2815</v>
      </c>
      <c r="B634" t="s">
        <v>2621</v>
      </c>
      <c r="C634" t="s">
        <v>2815</v>
      </c>
      <c r="D634" t="s">
        <v>2816</v>
      </c>
      <c r="E634">
        <f>learners_wd_uhhbp_wdlms_hosp_vi_g7tog10</f>
        <v>0</v>
      </c>
      <c r="F634" t="b">
        <v>1</v>
      </c>
      <c r="N634" s="133"/>
    </row>
    <row r="635" spans="1:14" x14ac:dyDescent="0.35">
      <c r="A635" t="s">
        <v>2857</v>
      </c>
      <c r="B635" t="s">
        <v>2621</v>
      </c>
      <c r="C635" t="s">
        <v>2857</v>
      </c>
      <c r="D635" t="s">
        <v>2858</v>
      </c>
      <c r="E635">
        <f>learners_wd_uhhbp_wdlms_home_hi_12to15</f>
        <v>0</v>
      </c>
      <c r="F635" t="b">
        <v>1</v>
      </c>
      <c r="N635" s="133"/>
    </row>
    <row r="636" spans="1:14" x14ac:dyDescent="0.35">
      <c r="A636" t="s">
        <v>2897</v>
      </c>
      <c r="B636" t="s">
        <v>2621</v>
      </c>
      <c r="C636" t="s">
        <v>2897</v>
      </c>
      <c r="D636" t="s">
        <v>2898</v>
      </c>
      <c r="E636">
        <f>learners_wd_uhhbp_wdlms_home_hi_16to20</f>
        <v>0</v>
      </c>
      <c r="F636" t="b">
        <v>1</v>
      </c>
      <c r="N636" s="133"/>
    </row>
    <row r="637" spans="1:14" x14ac:dyDescent="0.35">
      <c r="A637" t="s">
        <v>2937</v>
      </c>
      <c r="B637" t="s">
        <v>2621</v>
      </c>
      <c r="C637" t="s">
        <v>2937</v>
      </c>
      <c r="D637" t="s">
        <v>2938</v>
      </c>
      <c r="E637">
        <f>learners_wd_uhhbp_wdlms_home_hi_21to25</f>
        <v>0</v>
      </c>
      <c r="F637" t="b">
        <v>1</v>
      </c>
      <c r="N637" s="133"/>
    </row>
    <row r="638" spans="1:14" x14ac:dyDescent="0.35">
      <c r="A638" t="s">
        <v>2657</v>
      </c>
      <c r="B638" t="s">
        <v>2621</v>
      </c>
      <c r="C638" t="s">
        <v>2657</v>
      </c>
      <c r="D638" t="s">
        <v>2658</v>
      </c>
      <c r="E638">
        <f>learners_wd_uhhbp_wdlms_home_hi_tp</f>
        <v>0</v>
      </c>
      <c r="F638" t="b">
        <v>1</v>
      </c>
      <c r="N638" s="133"/>
    </row>
    <row r="639" spans="1:14" x14ac:dyDescent="0.35">
      <c r="A639" t="s">
        <v>2697</v>
      </c>
      <c r="B639" t="s">
        <v>2621</v>
      </c>
      <c r="C639" t="s">
        <v>2697</v>
      </c>
      <c r="D639" t="s">
        <v>2698</v>
      </c>
      <c r="E639">
        <f>learners_wd_uhhbp_wdlms_home_hi_g7tog10</f>
        <v>0</v>
      </c>
      <c r="F639" t="b">
        <v>1</v>
      </c>
      <c r="N639" s="133"/>
    </row>
    <row r="640" spans="1:14" x14ac:dyDescent="0.35">
      <c r="A640" t="s">
        <v>2721</v>
      </c>
      <c r="B640" t="s">
        <v>2621</v>
      </c>
      <c r="C640" t="s">
        <v>2721</v>
      </c>
      <c r="D640" t="s">
        <v>2722</v>
      </c>
      <c r="E640">
        <f>learners_wd_uhhbp_wdlms_hosp_hi_12to15</f>
        <v>0</v>
      </c>
      <c r="F640" t="b">
        <v>1</v>
      </c>
      <c r="N640" s="133"/>
    </row>
    <row r="641" spans="1:14" x14ac:dyDescent="0.35">
      <c r="A641" t="s">
        <v>2745</v>
      </c>
      <c r="B641" t="s">
        <v>2621</v>
      </c>
      <c r="C641" t="s">
        <v>2745</v>
      </c>
      <c r="D641" t="s">
        <v>2746</v>
      </c>
      <c r="E641">
        <f>learners_wd_uhhbp_wdlms_hosp_hi_16to20</f>
        <v>0</v>
      </c>
      <c r="F641" t="b">
        <v>1</v>
      </c>
      <c r="N641" s="133"/>
    </row>
    <row r="642" spans="1:14" x14ac:dyDescent="0.35">
      <c r="A642" t="s">
        <v>2769</v>
      </c>
      <c r="B642" t="s">
        <v>2621</v>
      </c>
      <c r="C642" t="s">
        <v>2769</v>
      </c>
      <c r="D642" t="s">
        <v>2770</v>
      </c>
      <c r="E642">
        <f>learners_wd_uhhbp_wdlms_hosp_hi_21to25</f>
        <v>0</v>
      </c>
      <c r="F642" t="b">
        <v>1</v>
      </c>
      <c r="N642" s="133"/>
    </row>
    <row r="643" spans="1:14" x14ac:dyDescent="0.35">
      <c r="A643" t="s">
        <v>2793</v>
      </c>
      <c r="B643" t="s">
        <v>2621</v>
      </c>
      <c r="C643" t="s">
        <v>2793</v>
      </c>
      <c r="D643" t="s">
        <v>2794</v>
      </c>
      <c r="E643">
        <f>learners_wd_uhhbp_wdlms_hosp_hi_tp</f>
        <v>0</v>
      </c>
      <c r="F643" t="b">
        <v>1</v>
      </c>
      <c r="N643" s="133"/>
    </row>
    <row r="644" spans="1:14" x14ac:dyDescent="0.35">
      <c r="A644" t="s">
        <v>2817</v>
      </c>
      <c r="B644" t="s">
        <v>2621</v>
      </c>
      <c r="C644" t="s">
        <v>2817</v>
      </c>
      <c r="D644" t="s">
        <v>2818</v>
      </c>
      <c r="E644">
        <f>learners_wd_uhhbp_wdlms_hosp_hi_g7tog10</f>
        <v>0</v>
      </c>
      <c r="F644" t="b">
        <v>1</v>
      </c>
      <c r="N644" s="133"/>
    </row>
    <row r="645" spans="1:14" x14ac:dyDescent="0.35">
      <c r="A645" t="s">
        <v>2859</v>
      </c>
      <c r="B645" t="s">
        <v>2621</v>
      </c>
      <c r="C645" t="s">
        <v>2859</v>
      </c>
      <c r="D645" t="s">
        <v>2860</v>
      </c>
      <c r="E645">
        <f>learners_wd_uhhbp_wdlms_home_ld_12to15</f>
        <v>0</v>
      </c>
      <c r="F645" t="b">
        <v>1</v>
      </c>
      <c r="N645" s="133"/>
    </row>
    <row r="646" spans="1:14" x14ac:dyDescent="0.35">
      <c r="A646" t="s">
        <v>2899</v>
      </c>
      <c r="B646" t="s">
        <v>2621</v>
      </c>
      <c r="C646" t="s">
        <v>2899</v>
      </c>
      <c r="D646" t="s">
        <v>2900</v>
      </c>
      <c r="E646">
        <f>learners_wd_uhhbp_wdlms_home_ld_16to20</f>
        <v>0</v>
      </c>
      <c r="F646" t="b">
        <v>1</v>
      </c>
      <c r="N646" s="133"/>
    </row>
    <row r="647" spans="1:14" x14ac:dyDescent="0.35">
      <c r="A647" t="s">
        <v>2939</v>
      </c>
      <c r="B647" t="s">
        <v>2621</v>
      </c>
      <c r="C647" t="s">
        <v>2939</v>
      </c>
      <c r="D647" t="s">
        <v>2940</v>
      </c>
      <c r="E647">
        <f>learners_wd_uhhbp_wdlms_home_ld_21to25</f>
        <v>0</v>
      </c>
      <c r="F647" t="b">
        <v>1</v>
      </c>
      <c r="N647" s="133"/>
    </row>
    <row r="648" spans="1:14" x14ac:dyDescent="0.35">
      <c r="A648" t="s">
        <v>2659</v>
      </c>
      <c r="B648" t="s">
        <v>2621</v>
      </c>
      <c r="C648" t="s">
        <v>2659</v>
      </c>
      <c r="D648" t="s">
        <v>2660</v>
      </c>
      <c r="E648">
        <f>learners_wd_uhhbp_wdlms_home_ld_tp</f>
        <v>0</v>
      </c>
      <c r="F648" t="b">
        <v>1</v>
      </c>
      <c r="N648" s="133"/>
    </row>
    <row r="649" spans="1:14" x14ac:dyDescent="0.35">
      <c r="A649" t="s">
        <v>2699</v>
      </c>
      <c r="B649" t="s">
        <v>2621</v>
      </c>
      <c r="C649" t="s">
        <v>2699</v>
      </c>
      <c r="D649" t="s">
        <v>2700</v>
      </c>
      <c r="E649">
        <f>learners_wd_uhhbp_wdlms_home_ld_g7tog10</f>
        <v>0</v>
      </c>
      <c r="F649" t="b">
        <v>1</v>
      </c>
      <c r="N649" s="133"/>
    </row>
    <row r="650" spans="1:14" x14ac:dyDescent="0.35">
      <c r="A650" t="s">
        <v>2723</v>
      </c>
      <c r="B650" t="s">
        <v>2621</v>
      </c>
      <c r="C650" t="s">
        <v>2723</v>
      </c>
      <c r="D650" t="s">
        <v>2724</v>
      </c>
      <c r="E650">
        <f>learners_wd_uhhbp_wdlms_hosp_ld_12to15</f>
        <v>0</v>
      </c>
      <c r="F650" t="b">
        <v>1</v>
      </c>
      <c r="N650" s="133"/>
    </row>
    <row r="651" spans="1:14" x14ac:dyDescent="0.35">
      <c r="A651" t="s">
        <v>2747</v>
      </c>
      <c r="B651" t="s">
        <v>2621</v>
      </c>
      <c r="C651" t="s">
        <v>2747</v>
      </c>
      <c r="D651" t="s">
        <v>2748</v>
      </c>
      <c r="E651">
        <f>learners_wd_uhhbp_wdlms_hosp_ld_16to20</f>
        <v>0</v>
      </c>
      <c r="F651" t="b">
        <v>1</v>
      </c>
      <c r="N651" s="133"/>
    </row>
    <row r="652" spans="1:14" x14ac:dyDescent="0.35">
      <c r="A652" t="s">
        <v>2771</v>
      </c>
      <c r="B652" t="s">
        <v>2621</v>
      </c>
      <c r="C652" t="s">
        <v>2771</v>
      </c>
      <c r="D652" t="s">
        <v>2772</v>
      </c>
      <c r="E652">
        <f>learners_wd_uhhbp_wdlms_hosp_ld_21to25</f>
        <v>0</v>
      </c>
      <c r="F652" t="b">
        <v>1</v>
      </c>
      <c r="N652" s="133"/>
    </row>
    <row r="653" spans="1:14" x14ac:dyDescent="0.35">
      <c r="A653" t="s">
        <v>2795</v>
      </c>
      <c r="B653" t="s">
        <v>2621</v>
      </c>
      <c r="C653" t="s">
        <v>2795</v>
      </c>
      <c r="D653" t="s">
        <v>2796</v>
      </c>
      <c r="E653">
        <f>learners_wd_uhhbp_wdlms_hosp_ld_tp</f>
        <v>0</v>
      </c>
      <c r="F653" t="b">
        <v>1</v>
      </c>
      <c r="N653" s="133"/>
    </row>
    <row r="654" spans="1:14" x14ac:dyDescent="0.35">
      <c r="A654" t="s">
        <v>2819</v>
      </c>
      <c r="B654" t="s">
        <v>2621</v>
      </c>
      <c r="C654" t="s">
        <v>2819</v>
      </c>
      <c r="D654" t="s">
        <v>2820</v>
      </c>
      <c r="E654">
        <f>learners_wd_uhhbp_wdlms_hosp_ld_g7tog10</f>
        <v>0</v>
      </c>
      <c r="F654" t="b">
        <v>1</v>
      </c>
      <c r="N654" s="133"/>
    </row>
    <row r="655" spans="1:14" x14ac:dyDescent="0.35">
      <c r="A655" t="s">
        <v>2821</v>
      </c>
      <c r="B655" t="s">
        <v>2621</v>
      </c>
      <c r="C655" t="s">
        <v>2821</v>
      </c>
      <c r="D655" t="s">
        <v>2822</v>
      </c>
      <c r="E655">
        <f>learners_wd_uhhbp_wdlms_home_id_12to15</f>
        <v>0</v>
      </c>
      <c r="F655" t="b">
        <v>1</v>
      </c>
      <c r="N655" s="133"/>
    </row>
    <row r="656" spans="1:14" x14ac:dyDescent="0.35">
      <c r="A656" t="s">
        <v>2861</v>
      </c>
      <c r="B656" t="s">
        <v>2621</v>
      </c>
      <c r="C656" t="s">
        <v>2861</v>
      </c>
      <c r="D656" t="s">
        <v>2862</v>
      </c>
      <c r="E656">
        <f>learners_wd_uhhbp_wdlms_home_id_16to20</f>
        <v>0</v>
      </c>
      <c r="F656" t="b">
        <v>1</v>
      </c>
      <c r="N656" s="133"/>
    </row>
    <row r="657" spans="1:14" x14ac:dyDescent="0.35">
      <c r="A657" t="s">
        <v>2901</v>
      </c>
      <c r="B657" t="s">
        <v>2621</v>
      </c>
      <c r="C657" t="s">
        <v>2901</v>
      </c>
      <c r="D657" t="s">
        <v>2902</v>
      </c>
      <c r="E657">
        <f>learners_wd_uhhbp_wdlms_home_id_21to25</f>
        <v>0</v>
      </c>
      <c r="F657" t="b">
        <v>1</v>
      </c>
      <c r="N657" s="133"/>
    </row>
    <row r="658" spans="1:14" x14ac:dyDescent="0.35">
      <c r="A658" t="s">
        <v>2620</v>
      </c>
      <c r="B658" t="s">
        <v>2621</v>
      </c>
      <c r="C658" t="s">
        <v>2620</v>
      </c>
      <c r="D658" t="s">
        <v>2622</v>
      </c>
      <c r="E658">
        <f>learners_wd_uhhbp_wdlms_home_id_tp</f>
        <v>0</v>
      </c>
      <c r="F658" t="b">
        <v>1</v>
      </c>
      <c r="N658" s="133"/>
    </row>
    <row r="659" spans="1:14" x14ac:dyDescent="0.35">
      <c r="A659" t="s">
        <v>2661</v>
      </c>
      <c r="B659" t="s">
        <v>2621</v>
      </c>
      <c r="C659" t="s">
        <v>2661</v>
      </c>
      <c r="D659" t="s">
        <v>2662</v>
      </c>
      <c r="E659">
        <f>learners_wd_uhhbp_wdlms_home_id_g7tog10</f>
        <v>0</v>
      </c>
      <c r="F659" t="b">
        <v>1</v>
      </c>
      <c r="N659" s="133"/>
    </row>
    <row r="660" spans="1:14" x14ac:dyDescent="0.35">
      <c r="A660" t="s">
        <v>2701</v>
      </c>
      <c r="B660" t="s">
        <v>2621</v>
      </c>
      <c r="C660" t="s">
        <v>2701</v>
      </c>
      <c r="D660" t="s">
        <v>2702</v>
      </c>
      <c r="E660">
        <f>learners_wd_uhhbp_wdlms_hosp_id_12to15</f>
        <v>0</v>
      </c>
      <c r="F660" t="b">
        <v>1</v>
      </c>
      <c r="N660" s="133"/>
    </row>
    <row r="661" spans="1:14" x14ac:dyDescent="0.35">
      <c r="A661" t="s">
        <v>2725</v>
      </c>
      <c r="B661" t="s">
        <v>2621</v>
      </c>
      <c r="C661" t="s">
        <v>2725</v>
      </c>
      <c r="D661" t="s">
        <v>2726</v>
      </c>
      <c r="E661">
        <f>learners_wd_uhhbp_wdlms_hosp_id_16to20</f>
        <v>0</v>
      </c>
      <c r="F661" t="b">
        <v>1</v>
      </c>
      <c r="N661" s="133"/>
    </row>
    <row r="662" spans="1:14" x14ac:dyDescent="0.35">
      <c r="A662" t="s">
        <v>2749</v>
      </c>
      <c r="B662" t="s">
        <v>2621</v>
      </c>
      <c r="C662" t="s">
        <v>2749</v>
      </c>
      <c r="D662" t="s">
        <v>2750</v>
      </c>
      <c r="E662">
        <f>learners_wd_uhhbp_wdlms_hosp_id_21to25</f>
        <v>0</v>
      </c>
      <c r="F662" t="b">
        <v>1</v>
      </c>
      <c r="N662" s="133"/>
    </row>
    <row r="663" spans="1:14" x14ac:dyDescent="0.35">
      <c r="A663" t="s">
        <v>2773</v>
      </c>
      <c r="B663" t="s">
        <v>2621</v>
      </c>
      <c r="C663" t="s">
        <v>2773</v>
      </c>
      <c r="D663" t="s">
        <v>2774</v>
      </c>
      <c r="E663">
        <f>learners_wd_uhhbp_wdlms_hosp_id_tp</f>
        <v>0</v>
      </c>
      <c r="F663" t="b">
        <v>1</v>
      </c>
      <c r="N663" s="133"/>
    </row>
    <row r="664" spans="1:14" x14ac:dyDescent="0.35">
      <c r="A664" t="s">
        <v>2797</v>
      </c>
      <c r="B664" t="s">
        <v>2621</v>
      </c>
      <c r="C664" t="s">
        <v>2797</v>
      </c>
      <c r="D664" t="s">
        <v>2798</v>
      </c>
      <c r="E664">
        <f>learners_wd_uhhbp_wdlms_hosp_id_g7tog10</f>
        <v>0</v>
      </c>
      <c r="F664" t="b">
        <v>1</v>
      </c>
      <c r="N664" s="133"/>
    </row>
    <row r="665" spans="1:14" x14ac:dyDescent="0.35">
      <c r="A665" t="s">
        <v>2823</v>
      </c>
      <c r="B665" t="s">
        <v>2621</v>
      </c>
      <c r="C665" t="s">
        <v>2823</v>
      </c>
      <c r="D665" t="s">
        <v>2824</v>
      </c>
      <c r="E665">
        <f>learners_wd_uhhbp_wdlms_home_asd_12to15</f>
        <v>0</v>
      </c>
      <c r="F665" t="b">
        <v>1</v>
      </c>
      <c r="N665" s="133"/>
    </row>
    <row r="666" spans="1:14" x14ac:dyDescent="0.35">
      <c r="A666" t="s">
        <v>2863</v>
      </c>
      <c r="B666" t="s">
        <v>2621</v>
      </c>
      <c r="C666" t="s">
        <v>2863</v>
      </c>
      <c r="D666" t="s">
        <v>2864</v>
      </c>
      <c r="E666">
        <f>learners_wd_uhhbp_wdlms_home_asd_16to20</f>
        <v>0</v>
      </c>
      <c r="F666" t="b">
        <v>1</v>
      </c>
      <c r="N666" s="133"/>
    </row>
    <row r="667" spans="1:14" x14ac:dyDescent="0.35">
      <c r="A667" t="s">
        <v>2903</v>
      </c>
      <c r="B667" t="s">
        <v>2621</v>
      </c>
      <c r="C667" t="s">
        <v>2903</v>
      </c>
      <c r="D667" t="s">
        <v>2904</v>
      </c>
      <c r="E667">
        <f>learners_wd_uhhbp_wdlms_home_asd_21to25</f>
        <v>0</v>
      </c>
      <c r="F667" t="b">
        <v>1</v>
      </c>
      <c r="N667" s="133"/>
    </row>
    <row r="668" spans="1:14" x14ac:dyDescent="0.35">
      <c r="A668" t="s">
        <v>2623</v>
      </c>
      <c r="B668" t="s">
        <v>2621</v>
      </c>
      <c r="C668" t="s">
        <v>2623</v>
      </c>
      <c r="D668" t="s">
        <v>2624</v>
      </c>
      <c r="E668">
        <f>learners_wd_uhhbp_wdlms_home_asd_tp</f>
        <v>0</v>
      </c>
      <c r="F668" t="b">
        <v>1</v>
      </c>
      <c r="N668" s="133"/>
    </row>
    <row r="669" spans="1:14" x14ac:dyDescent="0.35">
      <c r="A669" t="s">
        <v>2663</v>
      </c>
      <c r="B669" t="s">
        <v>2621</v>
      </c>
      <c r="C669" t="s">
        <v>2663</v>
      </c>
      <c r="D669" t="s">
        <v>2664</v>
      </c>
      <c r="E669">
        <f>learners_wd_uhhbp_wdlms_home_asd_g7tog10</f>
        <v>0</v>
      </c>
      <c r="F669" t="b">
        <v>1</v>
      </c>
      <c r="N669" s="133"/>
    </row>
    <row r="670" spans="1:14" x14ac:dyDescent="0.35">
      <c r="A670" t="s">
        <v>2703</v>
      </c>
      <c r="B670" t="s">
        <v>2621</v>
      </c>
      <c r="C670" t="s">
        <v>2703</v>
      </c>
      <c r="D670" t="s">
        <v>2704</v>
      </c>
      <c r="E670">
        <f>learners_wd_uhhbp_wdlms_hosp_asd_12to15</f>
        <v>0</v>
      </c>
      <c r="F670" t="b">
        <v>1</v>
      </c>
      <c r="N670" s="133"/>
    </row>
    <row r="671" spans="1:14" x14ac:dyDescent="0.35">
      <c r="A671" t="s">
        <v>2727</v>
      </c>
      <c r="B671" t="s">
        <v>2621</v>
      </c>
      <c r="C671" t="s">
        <v>2727</v>
      </c>
      <c r="D671" t="s">
        <v>2728</v>
      </c>
      <c r="E671">
        <f>learners_wd_uhhbp_wdlms_hosp_asd_16to20</f>
        <v>0</v>
      </c>
      <c r="F671" t="b">
        <v>1</v>
      </c>
      <c r="N671" s="133"/>
    </row>
    <row r="672" spans="1:14" x14ac:dyDescent="0.35">
      <c r="A672" t="s">
        <v>2751</v>
      </c>
      <c r="B672" t="s">
        <v>2621</v>
      </c>
      <c r="C672" t="s">
        <v>2751</v>
      </c>
      <c r="D672" t="s">
        <v>2752</v>
      </c>
      <c r="E672">
        <f>learners_wd_uhhbp_wdlms_hosp_asd_21to25</f>
        <v>0</v>
      </c>
      <c r="F672" t="b">
        <v>1</v>
      </c>
      <c r="N672" s="133"/>
    </row>
    <row r="673" spans="1:14" x14ac:dyDescent="0.35">
      <c r="A673" t="s">
        <v>2775</v>
      </c>
      <c r="B673" t="s">
        <v>2621</v>
      </c>
      <c r="C673" t="s">
        <v>2775</v>
      </c>
      <c r="D673" t="s">
        <v>2776</v>
      </c>
      <c r="E673">
        <f>learners_wd_uhhbp_wdlms_hosp_asd_tp</f>
        <v>0</v>
      </c>
      <c r="F673" t="b">
        <v>1</v>
      </c>
      <c r="N673" s="133"/>
    </row>
    <row r="674" spans="1:14" x14ac:dyDescent="0.35">
      <c r="A674" t="s">
        <v>2799</v>
      </c>
      <c r="B674" t="s">
        <v>2621</v>
      </c>
      <c r="C674" t="s">
        <v>2799</v>
      </c>
      <c r="D674" t="s">
        <v>2800</v>
      </c>
      <c r="E674">
        <f>learners_wd_uhhbp_wdlms_hosp_asd_g7tog10</f>
        <v>0</v>
      </c>
      <c r="F674" t="b">
        <v>1</v>
      </c>
      <c r="N674" s="133"/>
    </row>
    <row r="675" spans="1:14" x14ac:dyDescent="0.35">
      <c r="A675" t="s">
        <v>2825</v>
      </c>
      <c r="B675" t="s">
        <v>2621</v>
      </c>
      <c r="C675" t="s">
        <v>2825</v>
      </c>
      <c r="D675" t="s">
        <v>2826</v>
      </c>
      <c r="E675">
        <f>learners_wd_uhhbp_wdlms_home_ebd_12to15</f>
        <v>0</v>
      </c>
      <c r="F675" t="b">
        <v>1</v>
      </c>
      <c r="N675" s="133"/>
    </row>
    <row r="676" spans="1:14" x14ac:dyDescent="0.35">
      <c r="A676" t="s">
        <v>2865</v>
      </c>
      <c r="B676" t="s">
        <v>2621</v>
      </c>
      <c r="C676" t="s">
        <v>2865</v>
      </c>
      <c r="D676" t="s">
        <v>2866</v>
      </c>
      <c r="E676">
        <f>learners_wd_uhhbp_wdlms_home_ebd_16to20</f>
        <v>0</v>
      </c>
      <c r="F676" t="b">
        <v>1</v>
      </c>
      <c r="N676" s="133"/>
    </row>
    <row r="677" spans="1:14" x14ac:dyDescent="0.35">
      <c r="A677" t="s">
        <v>2905</v>
      </c>
      <c r="B677" t="s">
        <v>2621</v>
      </c>
      <c r="C677" t="s">
        <v>2905</v>
      </c>
      <c r="D677" t="s">
        <v>2906</v>
      </c>
      <c r="E677">
        <f>learners_wd_uhhbp_wdlms_home_ebd_21to25</f>
        <v>0</v>
      </c>
      <c r="F677" t="b">
        <v>1</v>
      </c>
      <c r="N677" s="133"/>
    </row>
    <row r="678" spans="1:14" x14ac:dyDescent="0.35">
      <c r="A678" t="s">
        <v>2625</v>
      </c>
      <c r="B678" t="s">
        <v>2621</v>
      </c>
      <c r="C678" t="s">
        <v>2625</v>
      </c>
      <c r="D678" t="s">
        <v>2626</v>
      </c>
      <c r="E678">
        <f>learners_wd_uhhbp_wdlms_home_ebd_tp</f>
        <v>0</v>
      </c>
      <c r="F678" t="b">
        <v>1</v>
      </c>
      <c r="N678" s="133"/>
    </row>
    <row r="679" spans="1:14" x14ac:dyDescent="0.35">
      <c r="A679" t="s">
        <v>2665</v>
      </c>
      <c r="B679" t="s">
        <v>2621</v>
      </c>
      <c r="C679" t="s">
        <v>2665</v>
      </c>
      <c r="D679" t="s">
        <v>2666</v>
      </c>
      <c r="E679">
        <f>learners_wd_uhhbp_wdlms_home_ebd_g7tog10</f>
        <v>0</v>
      </c>
      <c r="F679" t="b">
        <v>1</v>
      </c>
      <c r="N679" s="133"/>
    </row>
    <row r="680" spans="1:14" x14ac:dyDescent="0.35">
      <c r="A680" t="s">
        <v>2705</v>
      </c>
      <c r="B680" t="s">
        <v>2621</v>
      </c>
      <c r="C680" t="s">
        <v>2705</v>
      </c>
      <c r="D680" t="s">
        <v>2706</v>
      </c>
      <c r="E680">
        <f>learners_wd_uhhbp_wdlms_hosp_ebd_12to15</f>
        <v>0</v>
      </c>
      <c r="F680" t="b">
        <v>1</v>
      </c>
      <c r="N680" s="133"/>
    </row>
    <row r="681" spans="1:14" x14ac:dyDescent="0.35">
      <c r="A681" t="s">
        <v>2729</v>
      </c>
      <c r="B681" t="s">
        <v>2621</v>
      </c>
      <c r="C681" t="s">
        <v>2729</v>
      </c>
      <c r="D681" t="s">
        <v>2730</v>
      </c>
      <c r="E681">
        <f>learners_wd_uhhbp_wdlms_hosp_ebd_16to20</f>
        <v>0</v>
      </c>
      <c r="F681" t="b">
        <v>1</v>
      </c>
      <c r="N681" s="133"/>
    </row>
    <row r="682" spans="1:14" x14ac:dyDescent="0.35">
      <c r="A682" t="s">
        <v>2753</v>
      </c>
      <c r="B682" t="s">
        <v>2621</v>
      </c>
      <c r="C682" t="s">
        <v>2753</v>
      </c>
      <c r="D682" t="s">
        <v>2754</v>
      </c>
      <c r="E682">
        <f>learners_wd_uhhbp_wdlms_hosp_ebd_21to25</f>
        <v>0</v>
      </c>
      <c r="F682" t="b">
        <v>1</v>
      </c>
      <c r="N682" s="133"/>
    </row>
    <row r="683" spans="1:14" x14ac:dyDescent="0.35">
      <c r="A683" t="s">
        <v>2777</v>
      </c>
      <c r="B683" t="s">
        <v>2621</v>
      </c>
      <c r="C683" t="s">
        <v>2777</v>
      </c>
      <c r="D683" t="s">
        <v>2778</v>
      </c>
      <c r="E683">
        <f>learners_wd_uhhbp_wdlms_hosp_ebd_tp</f>
        <v>0</v>
      </c>
      <c r="F683" t="b">
        <v>1</v>
      </c>
      <c r="N683" s="133"/>
    </row>
    <row r="684" spans="1:14" x14ac:dyDescent="0.35">
      <c r="A684" t="s">
        <v>2801</v>
      </c>
      <c r="B684" t="s">
        <v>2621</v>
      </c>
      <c r="C684" t="s">
        <v>2801</v>
      </c>
      <c r="D684" t="s">
        <v>2802</v>
      </c>
      <c r="E684">
        <f>learners_wd_uhhbp_wdlms_hosp_ebd_g7tog10</f>
        <v>0</v>
      </c>
      <c r="F684" t="b">
        <v>1</v>
      </c>
      <c r="N684" s="133"/>
    </row>
    <row r="685" spans="1:14" x14ac:dyDescent="0.35">
      <c r="A685" t="s">
        <v>2827</v>
      </c>
      <c r="B685" t="s">
        <v>2621</v>
      </c>
      <c r="C685" t="s">
        <v>2827</v>
      </c>
      <c r="D685" t="s">
        <v>2828</v>
      </c>
      <c r="E685">
        <f>learners_wd_uhhbp_wdlms_home_oph_12to15</f>
        <v>0</v>
      </c>
      <c r="F685" t="b">
        <v>1</v>
      </c>
      <c r="N685" s="133"/>
    </row>
    <row r="686" spans="1:14" x14ac:dyDescent="0.35">
      <c r="A686" t="s">
        <v>2867</v>
      </c>
      <c r="B686" t="s">
        <v>2621</v>
      </c>
      <c r="C686" t="s">
        <v>2867</v>
      </c>
      <c r="D686" t="s">
        <v>2868</v>
      </c>
      <c r="E686">
        <f>learners_wd_uhhbp_wdlms_home_oph_16to20</f>
        <v>0</v>
      </c>
      <c r="F686" t="b">
        <v>1</v>
      </c>
      <c r="N686" s="133"/>
    </row>
    <row r="687" spans="1:14" x14ac:dyDescent="0.35">
      <c r="A687" t="s">
        <v>2907</v>
      </c>
      <c r="B687" t="s">
        <v>2621</v>
      </c>
      <c r="C687" t="s">
        <v>2907</v>
      </c>
      <c r="D687" t="s">
        <v>2908</v>
      </c>
      <c r="E687">
        <f>learners_wd_uhhbp_wdlms_home_oph_21to25</f>
        <v>0</v>
      </c>
      <c r="F687" t="b">
        <v>1</v>
      </c>
      <c r="N687" s="133"/>
    </row>
    <row r="688" spans="1:14" x14ac:dyDescent="0.35">
      <c r="A688" t="s">
        <v>2627</v>
      </c>
      <c r="B688" t="s">
        <v>2621</v>
      </c>
      <c r="C688" t="s">
        <v>2627</v>
      </c>
      <c r="D688" t="s">
        <v>2628</v>
      </c>
      <c r="E688">
        <f>learners_wd_uhhbp_wdlms_home_oph_tp</f>
        <v>0</v>
      </c>
      <c r="F688" t="b">
        <v>1</v>
      </c>
      <c r="N688" s="133"/>
    </row>
    <row r="689" spans="1:14" x14ac:dyDescent="0.35">
      <c r="A689" t="s">
        <v>2667</v>
      </c>
      <c r="B689" t="s">
        <v>2621</v>
      </c>
      <c r="C689" t="s">
        <v>2667</v>
      </c>
      <c r="D689" t="s">
        <v>2668</v>
      </c>
      <c r="E689">
        <f>learners_wd_uhhbp_wdlms_home_oph_g7tog10</f>
        <v>0</v>
      </c>
      <c r="F689" t="b">
        <v>1</v>
      </c>
      <c r="N689" s="133"/>
    </row>
    <row r="690" spans="1:14" x14ac:dyDescent="0.35">
      <c r="A690" t="s">
        <v>2707</v>
      </c>
      <c r="B690" t="s">
        <v>2621</v>
      </c>
      <c r="C690" t="s">
        <v>2707</v>
      </c>
      <c r="D690" t="s">
        <v>2708</v>
      </c>
      <c r="E690">
        <f>learners_wd_uhhbp_wdlms_hosp_oph_12to15</f>
        <v>0</v>
      </c>
      <c r="F690" t="b">
        <v>1</v>
      </c>
      <c r="N690" s="133"/>
    </row>
    <row r="691" spans="1:14" x14ac:dyDescent="0.35">
      <c r="A691" t="s">
        <v>2731</v>
      </c>
      <c r="B691" t="s">
        <v>2621</v>
      </c>
      <c r="C691" t="s">
        <v>2731</v>
      </c>
      <c r="D691" t="s">
        <v>2732</v>
      </c>
      <c r="E691">
        <f>learners_wd_uhhbp_wdlms_hosp_oph_16to20</f>
        <v>0</v>
      </c>
      <c r="F691" t="b">
        <v>1</v>
      </c>
      <c r="N691" s="133"/>
    </row>
    <row r="692" spans="1:14" x14ac:dyDescent="0.35">
      <c r="A692" t="s">
        <v>2755</v>
      </c>
      <c r="B692" t="s">
        <v>2621</v>
      </c>
      <c r="C692" t="s">
        <v>2755</v>
      </c>
      <c r="D692" t="s">
        <v>2756</v>
      </c>
      <c r="E692">
        <f>learners_wd_uhhbp_wdlms_hosp_oph_21to25</f>
        <v>0</v>
      </c>
      <c r="F692" t="b">
        <v>1</v>
      </c>
      <c r="N692" s="133"/>
    </row>
    <row r="693" spans="1:14" x14ac:dyDescent="0.35">
      <c r="A693" t="s">
        <v>2779</v>
      </c>
      <c r="B693" t="s">
        <v>2621</v>
      </c>
      <c r="C693" t="s">
        <v>2779</v>
      </c>
      <c r="D693" t="s">
        <v>2780</v>
      </c>
      <c r="E693">
        <f>learners_wd_uhhbp_wdlms_hosp_oph_tp</f>
        <v>0</v>
      </c>
      <c r="F693" t="b">
        <v>1</v>
      </c>
      <c r="N693" s="133"/>
    </row>
    <row r="694" spans="1:14" x14ac:dyDescent="0.35">
      <c r="A694" t="s">
        <v>2803</v>
      </c>
      <c r="B694" t="s">
        <v>2621</v>
      </c>
      <c r="C694" t="s">
        <v>2803</v>
      </c>
      <c r="D694" t="s">
        <v>2804</v>
      </c>
      <c r="E694">
        <f>learners_wd_uhhbp_wdlms_hosp_oph_g7tog10</f>
        <v>0</v>
      </c>
      <c r="F694" t="b">
        <v>1</v>
      </c>
      <c r="N694" s="133"/>
    </row>
    <row r="695" spans="1:14" x14ac:dyDescent="0.35">
      <c r="A695" t="s">
        <v>2829</v>
      </c>
      <c r="B695" t="s">
        <v>2621</v>
      </c>
      <c r="C695" t="s">
        <v>2829</v>
      </c>
      <c r="D695" t="s">
        <v>2830</v>
      </c>
      <c r="E695">
        <f>learners_wd_uhhbp_wdlms_home_sld_12to15</f>
        <v>0</v>
      </c>
      <c r="F695" t="b">
        <v>1</v>
      </c>
      <c r="N695" s="133"/>
    </row>
    <row r="696" spans="1:14" x14ac:dyDescent="0.35">
      <c r="A696" t="s">
        <v>2869</v>
      </c>
      <c r="B696" t="s">
        <v>2621</v>
      </c>
      <c r="C696" t="s">
        <v>2869</v>
      </c>
      <c r="D696" t="s">
        <v>2870</v>
      </c>
      <c r="E696">
        <f>learners_wd_uhhbp_wdlms_home_sld_16to20</f>
        <v>0</v>
      </c>
      <c r="F696" t="b">
        <v>1</v>
      </c>
      <c r="N696" s="133"/>
    </row>
    <row r="697" spans="1:14" x14ac:dyDescent="0.35">
      <c r="A697" t="s">
        <v>2909</v>
      </c>
      <c r="B697" t="s">
        <v>2621</v>
      </c>
      <c r="C697" t="s">
        <v>2909</v>
      </c>
      <c r="D697" t="s">
        <v>2910</v>
      </c>
      <c r="E697">
        <f>learners_wd_uhhbp_wdlms_home_sld_21to25</f>
        <v>0</v>
      </c>
      <c r="F697" t="b">
        <v>1</v>
      </c>
      <c r="N697" s="133"/>
    </row>
    <row r="698" spans="1:14" x14ac:dyDescent="0.35">
      <c r="A698" t="s">
        <v>2629</v>
      </c>
      <c r="B698" t="s">
        <v>2621</v>
      </c>
      <c r="C698" t="s">
        <v>2629</v>
      </c>
      <c r="D698" t="s">
        <v>2630</v>
      </c>
      <c r="E698">
        <f>learners_wd_uhhbp_wdlms_home_sld_tp</f>
        <v>0</v>
      </c>
      <c r="F698" t="b">
        <v>1</v>
      </c>
      <c r="N698" s="133"/>
    </row>
    <row r="699" spans="1:14" x14ac:dyDescent="0.35">
      <c r="A699" t="s">
        <v>2669</v>
      </c>
      <c r="B699" t="s">
        <v>2621</v>
      </c>
      <c r="C699" t="s">
        <v>2669</v>
      </c>
      <c r="D699" t="s">
        <v>2670</v>
      </c>
      <c r="E699">
        <f>learners_wd_uhhbp_wdlms_home_sld_g7tog10</f>
        <v>0</v>
      </c>
      <c r="F699" t="b">
        <v>1</v>
      </c>
      <c r="N699" s="133"/>
    </row>
    <row r="700" spans="1:14" x14ac:dyDescent="0.35">
      <c r="A700" t="s">
        <v>2709</v>
      </c>
      <c r="B700" t="s">
        <v>2621</v>
      </c>
      <c r="C700" t="s">
        <v>2709</v>
      </c>
      <c r="D700" t="s">
        <v>2710</v>
      </c>
      <c r="E700">
        <f>learners_wd_uhhbp_wdlms_hosp_sld_12to15</f>
        <v>0</v>
      </c>
      <c r="F700" t="b">
        <v>1</v>
      </c>
      <c r="N700" s="133"/>
    </row>
    <row r="701" spans="1:14" x14ac:dyDescent="0.35">
      <c r="A701" t="s">
        <v>2733</v>
      </c>
      <c r="B701" t="s">
        <v>2621</v>
      </c>
      <c r="C701" t="s">
        <v>2733</v>
      </c>
      <c r="D701" t="s">
        <v>2734</v>
      </c>
      <c r="E701">
        <f>learners_wd_uhhbp_wdlms_hosp_sld_16to20</f>
        <v>0</v>
      </c>
      <c r="F701" t="b">
        <v>1</v>
      </c>
      <c r="N701" s="133"/>
    </row>
    <row r="702" spans="1:14" x14ac:dyDescent="0.35">
      <c r="A702" t="s">
        <v>2757</v>
      </c>
      <c r="B702" t="s">
        <v>2621</v>
      </c>
      <c r="C702" t="s">
        <v>2757</v>
      </c>
      <c r="D702" t="s">
        <v>2758</v>
      </c>
      <c r="E702">
        <f>learners_wd_uhhbp_wdlms_hosp_sld_21to25</f>
        <v>0</v>
      </c>
      <c r="F702" t="b">
        <v>1</v>
      </c>
      <c r="N702" s="133"/>
    </row>
    <row r="703" spans="1:14" x14ac:dyDescent="0.35">
      <c r="A703" t="s">
        <v>2781</v>
      </c>
      <c r="B703" t="s">
        <v>2621</v>
      </c>
      <c r="C703" t="s">
        <v>2781</v>
      </c>
      <c r="D703" t="s">
        <v>2782</v>
      </c>
      <c r="E703">
        <f>learners_wd_uhhbp_wdlms_hosp_sld_tp</f>
        <v>0</v>
      </c>
      <c r="F703" t="b">
        <v>1</v>
      </c>
      <c r="N703" s="133"/>
    </row>
    <row r="704" spans="1:14" x14ac:dyDescent="0.35">
      <c r="A704" t="s">
        <v>2805</v>
      </c>
      <c r="B704" t="s">
        <v>2621</v>
      </c>
      <c r="C704" t="s">
        <v>2805</v>
      </c>
      <c r="D704" t="s">
        <v>2806</v>
      </c>
      <c r="E704">
        <f>learners_wd_uhhbp_wdlms_hosp_sld_g7tog10</f>
        <v>0</v>
      </c>
      <c r="F704" t="b">
        <v>1</v>
      </c>
      <c r="N704" s="133"/>
    </row>
    <row r="705" spans="1:14" x14ac:dyDescent="0.35">
      <c r="A705" t="s">
        <v>2831</v>
      </c>
      <c r="B705" t="s">
        <v>2621</v>
      </c>
      <c r="C705" t="s">
        <v>2831</v>
      </c>
      <c r="D705" t="s">
        <v>2832</v>
      </c>
      <c r="E705">
        <f>learners_wd_uhhbp_wdlms_home_cp_12to15</f>
        <v>0</v>
      </c>
      <c r="F705" t="b">
        <v>1</v>
      </c>
      <c r="N705" s="133"/>
    </row>
    <row r="706" spans="1:14" x14ac:dyDescent="0.35">
      <c r="A706" t="s">
        <v>2871</v>
      </c>
      <c r="B706" t="s">
        <v>2621</v>
      </c>
      <c r="C706" t="s">
        <v>2871</v>
      </c>
      <c r="D706" t="s">
        <v>2872</v>
      </c>
      <c r="E706">
        <f>learners_wd_uhhbp_wdlms_home_cp_16to20</f>
        <v>0</v>
      </c>
      <c r="F706" t="b">
        <v>1</v>
      </c>
      <c r="N706" s="133"/>
    </row>
    <row r="707" spans="1:14" x14ac:dyDescent="0.35">
      <c r="A707" t="s">
        <v>2911</v>
      </c>
      <c r="B707" t="s">
        <v>2621</v>
      </c>
      <c r="C707" t="s">
        <v>2911</v>
      </c>
      <c r="D707" t="s">
        <v>2912</v>
      </c>
      <c r="E707">
        <f>learners_wd_uhhbp_wdlms_home_cp_21to25</f>
        <v>0</v>
      </c>
      <c r="F707" t="b">
        <v>1</v>
      </c>
      <c r="N707" s="133"/>
    </row>
    <row r="708" spans="1:14" x14ac:dyDescent="0.35">
      <c r="A708" t="s">
        <v>2631</v>
      </c>
      <c r="B708" t="s">
        <v>2621</v>
      </c>
      <c r="C708" t="s">
        <v>2631</v>
      </c>
      <c r="D708" t="s">
        <v>2632</v>
      </c>
      <c r="E708">
        <f>learners_wd_uhhbp_wdlms_home_cp_tp</f>
        <v>0</v>
      </c>
      <c r="F708" t="b">
        <v>1</v>
      </c>
      <c r="N708" s="133"/>
    </row>
    <row r="709" spans="1:14" x14ac:dyDescent="0.35">
      <c r="A709" t="s">
        <v>2671</v>
      </c>
      <c r="B709" t="s">
        <v>2621</v>
      </c>
      <c r="C709" t="s">
        <v>2671</v>
      </c>
      <c r="D709" t="s">
        <v>2672</v>
      </c>
      <c r="E709">
        <f>learners_wd_uhhbp_wdlms_home_cp_g7tog10</f>
        <v>0</v>
      </c>
      <c r="F709" t="b">
        <v>1</v>
      </c>
      <c r="N709" s="133"/>
    </row>
    <row r="710" spans="1:14" x14ac:dyDescent="0.35">
      <c r="A710" t="s">
        <v>2711</v>
      </c>
      <c r="B710" t="s">
        <v>2621</v>
      </c>
      <c r="C710" t="s">
        <v>2711</v>
      </c>
      <c r="D710" t="s">
        <v>2712</v>
      </c>
      <c r="E710">
        <f>learners_wd_uhhbp_wdlms_hosp_cp_12to15</f>
        <v>0</v>
      </c>
      <c r="F710" t="b">
        <v>1</v>
      </c>
      <c r="N710" s="133"/>
    </row>
    <row r="711" spans="1:14" x14ac:dyDescent="0.35">
      <c r="A711" t="s">
        <v>2735</v>
      </c>
      <c r="B711" t="s">
        <v>2621</v>
      </c>
      <c r="C711" t="s">
        <v>2735</v>
      </c>
      <c r="D711" t="s">
        <v>2736</v>
      </c>
      <c r="E711">
        <f>learners_wd_uhhbp_wdlms_hosp_cp_16to20</f>
        <v>0</v>
      </c>
      <c r="F711" t="b">
        <v>1</v>
      </c>
      <c r="N711" s="133"/>
    </row>
    <row r="712" spans="1:14" x14ac:dyDescent="0.35">
      <c r="A712" t="s">
        <v>2759</v>
      </c>
      <c r="B712" t="s">
        <v>2621</v>
      </c>
      <c r="C712" t="s">
        <v>2759</v>
      </c>
      <c r="D712" t="s">
        <v>2760</v>
      </c>
      <c r="E712">
        <f>learners_wd_uhhbp_wdlms_hosp_cp_21to25</f>
        <v>0</v>
      </c>
      <c r="F712" t="b">
        <v>1</v>
      </c>
      <c r="N712" s="133"/>
    </row>
    <row r="713" spans="1:14" x14ac:dyDescent="0.35">
      <c r="A713" t="s">
        <v>2783</v>
      </c>
      <c r="B713" t="s">
        <v>2621</v>
      </c>
      <c r="C713" t="s">
        <v>2783</v>
      </c>
      <c r="D713" t="s">
        <v>2784</v>
      </c>
      <c r="E713">
        <f>learners_wd_uhhbp_wdlms_hosp_cp_tp</f>
        <v>0</v>
      </c>
      <c r="F713" t="b">
        <v>1</v>
      </c>
      <c r="N713" s="133"/>
    </row>
    <row r="714" spans="1:14" x14ac:dyDescent="0.35">
      <c r="A714" t="s">
        <v>2807</v>
      </c>
      <c r="B714" t="s">
        <v>2621</v>
      </c>
      <c r="C714" t="s">
        <v>2807</v>
      </c>
      <c r="D714" t="s">
        <v>2808</v>
      </c>
      <c r="E714">
        <f>learners_wd_uhhbp_wdlms_hosp_cp_g7tog10</f>
        <v>0</v>
      </c>
      <c r="F714" t="b">
        <v>1</v>
      </c>
      <c r="N714" s="133"/>
    </row>
    <row r="715" spans="1:14" x14ac:dyDescent="0.35">
      <c r="A715" t="s">
        <v>2833</v>
      </c>
      <c r="B715" t="s">
        <v>2621</v>
      </c>
      <c r="C715" t="s">
        <v>2833</v>
      </c>
      <c r="D715" t="s">
        <v>2834</v>
      </c>
      <c r="E715">
        <f>learners_wd_uhhbp_wdlms_home_shpcd_12to15</f>
        <v>0</v>
      </c>
      <c r="F715" t="b">
        <v>1</v>
      </c>
      <c r="N715" s="133"/>
    </row>
    <row r="716" spans="1:14" x14ac:dyDescent="0.35">
      <c r="A716" t="s">
        <v>2873</v>
      </c>
      <c r="B716" t="s">
        <v>2621</v>
      </c>
      <c r="C716" t="s">
        <v>2873</v>
      </c>
      <c r="D716" t="s">
        <v>2874</v>
      </c>
      <c r="E716">
        <f>learners_wd_uhhbp_wdlms_home_shpcd_16to20</f>
        <v>0</v>
      </c>
      <c r="F716" t="b">
        <v>1</v>
      </c>
      <c r="N716" s="133"/>
    </row>
    <row r="717" spans="1:14" x14ac:dyDescent="0.35">
      <c r="A717" t="s">
        <v>2913</v>
      </c>
      <c r="B717" t="s">
        <v>2621</v>
      </c>
      <c r="C717" t="s">
        <v>2913</v>
      </c>
      <c r="D717" t="s">
        <v>2914</v>
      </c>
      <c r="E717">
        <f>learners_wd_uhhbp_wdlms_home_shpcd_21to25</f>
        <v>0</v>
      </c>
      <c r="F717" t="b">
        <v>1</v>
      </c>
      <c r="N717" s="133"/>
    </row>
    <row r="718" spans="1:14" x14ac:dyDescent="0.35">
      <c r="A718" t="s">
        <v>2633</v>
      </c>
      <c r="B718" t="s">
        <v>2621</v>
      </c>
      <c r="C718" t="s">
        <v>2633</v>
      </c>
      <c r="D718" t="s">
        <v>2634</v>
      </c>
      <c r="E718">
        <f>learners_wd_uhhbp_wdlms_home_shpcd_tp</f>
        <v>0</v>
      </c>
      <c r="F718" t="b">
        <v>1</v>
      </c>
      <c r="N718" s="133"/>
    </row>
    <row r="719" spans="1:14" x14ac:dyDescent="0.35">
      <c r="A719" t="s">
        <v>2673</v>
      </c>
      <c r="B719" t="s">
        <v>2621</v>
      </c>
      <c r="C719" t="s">
        <v>2673</v>
      </c>
      <c r="D719" t="s">
        <v>2674</v>
      </c>
      <c r="E719">
        <f>learners_wd_uhhbp_wdlms_home_shpcd_g7tog10</f>
        <v>0</v>
      </c>
      <c r="F719" t="b">
        <v>1</v>
      </c>
      <c r="N719" s="133"/>
    </row>
    <row r="720" spans="1:14" x14ac:dyDescent="0.35">
      <c r="A720" t="s">
        <v>2713</v>
      </c>
      <c r="B720" t="s">
        <v>2621</v>
      </c>
      <c r="C720" t="s">
        <v>2713</v>
      </c>
      <c r="D720" t="s">
        <v>2714</v>
      </c>
      <c r="E720">
        <f>learners_wd_uhhbp_wdlms_hosp_shpcd_12to15</f>
        <v>0</v>
      </c>
      <c r="F720" t="b">
        <v>1</v>
      </c>
      <c r="N720" s="133"/>
    </row>
    <row r="721" spans="1:14" x14ac:dyDescent="0.35">
      <c r="A721" t="s">
        <v>2737</v>
      </c>
      <c r="B721" t="s">
        <v>2621</v>
      </c>
      <c r="C721" t="s">
        <v>2737</v>
      </c>
      <c r="D721" t="s">
        <v>2738</v>
      </c>
      <c r="E721">
        <f>learners_wd_uhhbp_wdlms_hosp_shpcd_16to20</f>
        <v>0</v>
      </c>
      <c r="F721" t="b">
        <v>1</v>
      </c>
      <c r="N721" s="133"/>
    </row>
    <row r="722" spans="1:14" x14ac:dyDescent="0.35">
      <c r="A722" t="s">
        <v>2761</v>
      </c>
      <c r="B722" t="s">
        <v>2621</v>
      </c>
      <c r="C722" t="s">
        <v>2761</v>
      </c>
      <c r="D722" t="s">
        <v>2762</v>
      </c>
      <c r="E722">
        <f>learners_wd_uhhbp_wdlms_hosp_shpcd_21to25</f>
        <v>0</v>
      </c>
      <c r="F722" t="b">
        <v>1</v>
      </c>
    </row>
    <row r="723" spans="1:14" x14ac:dyDescent="0.35">
      <c r="A723" t="s">
        <v>2785</v>
      </c>
      <c r="B723" t="s">
        <v>2621</v>
      </c>
      <c r="C723" t="s">
        <v>2785</v>
      </c>
      <c r="D723" t="s">
        <v>2786</v>
      </c>
      <c r="E723">
        <f>learners_wd_uhhbp_wdlms_hosp_shpcd_tp</f>
        <v>0</v>
      </c>
      <c r="F723" t="b">
        <v>1</v>
      </c>
    </row>
    <row r="724" spans="1:14" x14ac:dyDescent="0.35">
      <c r="A724" t="s">
        <v>2809</v>
      </c>
      <c r="B724" t="s">
        <v>2621</v>
      </c>
      <c r="C724" t="s">
        <v>2809</v>
      </c>
      <c r="D724" t="s">
        <v>2810</v>
      </c>
      <c r="E724">
        <f>learners_wd_uhhbp_wdlms_hosp_shpcd_g7tog10</f>
        <v>0</v>
      </c>
      <c r="F724" t="b">
        <v>1</v>
      </c>
    </row>
    <row r="725" spans="1:14" x14ac:dyDescent="0.35">
      <c r="A725" t="s">
        <v>2835</v>
      </c>
      <c r="B725" t="s">
        <v>2621</v>
      </c>
      <c r="C725" t="s">
        <v>2835</v>
      </c>
      <c r="D725" t="s">
        <v>2836</v>
      </c>
      <c r="E725">
        <f>learners_wd_uhhbp_wdlms_home_ca_12to15</f>
        <v>0</v>
      </c>
      <c r="F725" t="b">
        <v>1</v>
      </c>
    </row>
    <row r="726" spans="1:14" x14ac:dyDescent="0.35">
      <c r="A726" t="s">
        <v>2875</v>
      </c>
      <c r="B726" t="s">
        <v>2621</v>
      </c>
      <c r="C726" t="s">
        <v>2875</v>
      </c>
      <c r="D726" t="s">
        <v>2876</v>
      </c>
      <c r="E726">
        <f>learners_wd_uhhbp_wdlms_home_ca_16to20</f>
        <v>0</v>
      </c>
      <c r="F726" t="b">
        <v>1</v>
      </c>
    </row>
    <row r="727" spans="1:14" x14ac:dyDescent="0.35">
      <c r="A727" t="s">
        <v>2915</v>
      </c>
      <c r="B727" t="s">
        <v>2621</v>
      </c>
      <c r="C727" t="s">
        <v>2915</v>
      </c>
      <c r="D727" t="s">
        <v>2916</v>
      </c>
      <c r="E727">
        <f>learners_wd_uhhbp_wdlms_home_ca_21to25</f>
        <v>0</v>
      </c>
      <c r="F727" t="b">
        <v>1</v>
      </c>
    </row>
    <row r="728" spans="1:14" x14ac:dyDescent="0.35">
      <c r="A728" t="s">
        <v>2635</v>
      </c>
      <c r="B728" t="s">
        <v>2621</v>
      </c>
      <c r="C728" t="s">
        <v>2635</v>
      </c>
      <c r="D728" t="s">
        <v>2636</v>
      </c>
      <c r="E728">
        <f>learners_wd_uhhbp_wdlms_home_ca_tp</f>
        <v>0</v>
      </c>
      <c r="F728" t="b">
        <v>1</v>
      </c>
    </row>
    <row r="729" spans="1:14" x14ac:dyDescent="0.35">
      <c r="A729" t="s">
        <v>2675</v>
      </c>
      <c r="B729" t="s">
        <v>2621</v>
      </c>
      <c r="C729" t="s">
        <v>2675</v>
      </c>
      <c r="D729" t="s">
        <v>2676</v>
      </c>
      <c r="E729">
        <f>learners_wd_uhhbp_wdlms_home_ca_g7tog10</f>
        <v>0</v>
      </c>
      <c r="F729" t="b">
        <v>1</v>
      </c>
    </row>
    <row r="730" spans="1:14" x14ac:dyDescent="0.35">
      <c r="A730" t="s">
        <v>2715</v>
      </c>
      <c r="B730" t="s">
        <v>2621</v>
      </c>
      <c r="C730" t="s">
        <v>2715</v>
      </c>
      <c r="D730" t="s">
        <v>2716</v>
      </c>
      <c r="E730">
        <f>learners_wd_uhhbp_wdlms_hosp_ca_12to15</f>
        <v>0</v>
      </c>
      <c r="F730" t="b">
        <v>1</v>
      </c>
    </row>
    <row r="731" spans="1:14" x14ac:dyDescent="0.35">
      <c r="A731" t="s">
        <v>2739</v>
      </c>
      <c r="B731" t="s">
        <v>2621</v>
      </c>
      <c r="C731" t="s">
        <v>2739</v>
      </c>
      <c r="D731" t="s">
        <v>2740</v>
      </c>
      <c r="E731">
        <f>learners_wd_uhhbp_wdlms_hosp_ca_16to20</f>
        <v>0</v>
      </c>
      <c r="F731" t="b">
        <v>1</v>
      </c>
    </row>
    <row r="732" spans="1:14" x14ac:dyDescent="0.35">
      <c r="A732" t="s">
        <v>2763</v>
      </c>
      <c r="B732" t="s">
        <v>2621</v>
      </c>
      <c r="C732" t="s">
        <v>2763</v>
      </c>
      <c r="D732" t="s">
        <v>2764</v>
      </c>
      <c r="E732">
        <f>learners_wd_uhhbp_wdlms_hosp_ca_21to25</f>
        <v>0</v>
      </c>
      <c r="F732" t="b">
        <v>1</v>
      </c>
    </row>
    <row r="733" spans="1:14" x14ac:dyDescent="0.35">
      <c r="A733" t="s">
        <v>2787</v>
      </c>
      <c r="B733" t="s">
        <v>2621</v>
      </c>
      <c r="C733" t="s">
        <v>2787</v>
      </c>
      <c r="D733" t="s">
        <v>2788</v>
      </c>
      <c r="E733">
        <f>learners_wd_uhhbp_wdlms_hosp_ca_tp</f>
        <v>0</v>
      </c>
      <c r="F733" t="b">
        <v>1</v>
      </c>
    </row>
    <row r="734" spans="1:14" x14ac:dyDescent="0.35">
      <c r="A734" t="s">
        <v>2811</v>
      </c>
      <c r="B734" t="s">
        <v>2621</v>
      </c>
      <c r="C734" t="s">
        <v>2811</v>
      </c>
      <c r="D734" t="s">
        <v>2812</v>
      </c>
      <c r="E734">
        <f>learners_wd_uhhbp_wdlms_hosp_ca_g7tog10</f>
        <v>0</v>
      </c>
      <c r="F734" t="b">
        <v>1</v>
      </c>
    </row>
    <row r="735" spans="1:14" x14ac:dyDescent="0.35">
      <c r="A735" t="s">
        <v>2837</v>
      </c>
      <c r="B735" t="s">
        <v>2621</v>
      </c>
      <c r="C735" t="s">
        <v>2837</v>
      </c>
      <c r="D735" t="s">
        <v>2838</v>
      </c>
      <c r="E735">
        <f>learners_wd_uhhbp_wdlms_home_md_12to15</f>
        <v>0</v>
      </c>
      <c r="F735" t="b">
        <v>1</v>
      </c>
    </row>
    <row r="736" spans="1:14" x14ac:dyDescent="0.35">
      <c r="A736" t="s">
        <v>2877</v>
      </c>
      <c r="B736" t="s">
        <v>2621</v>
      </c>
      <c r="C736" t="s">
        <v>2877</v>
      </c>
      <c r="D736" t="s">
        <v>2878</v>
      </c>
      <c r="E736">
        <f>learners_wd_uhhbp_wdlms_home_md_16to20</f>
        <v>0</v>
      </c>
      <c r="F736" t="b">
        <v>1</v>
      </c>
    </row>
    <row r="737" spans="1:6" x14ac:dyDescent="0.35">
      <c r="A737" t="s">
        <v>2917</v>
      </c>
      <c r="B737" t="s">
        <v>2621</v>
      </c>
      <c r="C737" t="s">
        <v>2917</v>
      </c>
      <c r="D737" t="s">
        <v>2918</v>
      </c>
      <c r="E737">
        <f>learners_wd_uhhbp_wdlms_home_md_21to25</f>
        <v>0</v>
      </c>
      <c r="F737" t="b">
        <v>1</v>
      </c>
    </row>
    <row r="738" spans="1:6" x14ac:dyDescent="0.35">
      <c r="A738" t="s">
        <v>2637</v>
      </c>
      <c r="B738" t="s">
        <v>2621</v>
      </c>
      <c r="C738" t="s">
        <v>2637</v>
      </c>
      <c r="D738" t="s">
        <v>2638</v>
      </c>
      <c r="E738">
        <f>learners_wd_uhhbp_wdlms_home_md_tp</f>
        <v>0</v>
      </c>
      <c r="F738" t="b">
        <v>1</v>
      </c>
    </row>
    <row r="739" spans="1:6" x14ac:dyDescent="0.35">
      <c r="A739" t="s">
        <v>2677</v>
      </c>
      <c r="B739" t="s">
        <v>2621</v>
      </c>
      <c r="C739" t="s">
        <v>2677</v>
      </c>
      <c r="D739" t="s">
        <v>2678</v>
      </c>
      <c r="E739">
        <f>learners_wd_uhhbp_wdlms_home_md_g7tog10</f>
        <v>0</v>
      </c>
      <c r="F739" t="b">
        <v>1</v>
      </c>
    </row>
    <row r="740" spans="1:6" x14ac:dyDescent="0.35">
      <c r="A740" t="s">
        <v>2717</v>
      </c>
      <c r="B740" t="s">
        <v>2621</v>
      </c>
      <c r="C740" t="s">
        <v>2717</v>
      </c>
      <c r="D740" t="s">
        <v>2718</v>
      </c>
      <c r="E740">
        <f>learners_wd_uhhbp_wdlms_hosp_md_12to15</f>
        <v>0</v>
      </c>
      <c r="F740" t="b">
        <v>1</v>
      </c>
    </row>
    <row r="741" spans="1:6" x14ac:dyDescent="0.35">
      <c r="A741" t="s">
        <v>2741</v>
      </c>
      <c r="B741" t="s">
        <v>2621</v>
      </c>
      <c r="C741" t="s">
        <v>2741</v>
      </c>
      <c r="D741" t="s">
        <v>2742</v>
      </c>
      <c r="E741">
        <f>learners_wd_uhhbp_wdlms_hosp_md_16to20</f>
        <v>0</v>
      </c>
      <c r="F741" t="b">
        <v>1</v>
      </c>
    </row>
    <row r="742" spans="1:6" x14ac:dyDescent="0.35">
      <c r="A742" t="s">
        <v>2765</v>
      </c>
      <c r="B742" t="s">
        <v>2621</v>
      </c>
      <c r="C742" t="s">
        <v>2765</v>
      </c>
      <c r="D742" t="s">
        <v>2766</v>
      </c>
      <c r="E742">
        <f>learners_wd_uhhbp_wdlms_hosp_md_21to25</f>
        <v>0</v>
      </c>
      <c r="F742" t="b">
        <v>1</v>
      </c>
    </row>
    <row r="743" spans="1:6" x14ac:dyDescent="0.35">
      <c r="A743" t="s">
        <v>2789</v>
      </c>
      <c r="B743" t="s">
        <v>2621</v>
      </c>
      <c r="C743" t="s">
        <v>2789</v>
      </c>
      <c r="D743" t="s">
        <v>2790</v>
      </c>
      <c r="E743">
        <f>learners_wd_uhhbp_wdlms_hosp_md_tp</f>
        <v>0</v>
      </c>
      <c r="F743" t="b">
        <v>1</v>
      </c>
    </row>
    <row r="744" spans="1:6" x14ac:dyDescent="0.35">
      <c r="A744" t="s">
        <v>2813</v>
      </c>
      <c r="B744" t="s">
        <v>2621</v>
      </c>
      <c r="C744" t="s">
        <v>2813</v>
      </c>
      <c r="D744" t="s">
        <v>2814</v>
      </c>
      <c r="E744">
        <f>learners_wd_uhhbp_wdlms_hosp_md_g7tog10</f>
        <v>0</v>
      </c>
      <c r="F744" t="b">
        <v>1</v>
      </c>
    </row>
    <row r="745" spans="1:6" x14ac:dyDescent="0.35">
      <c r="A745" t="s">
        <v>2839</v>
      </c>
      <c r="B745" t="s">
        <v>2621</v>
      </c>
      <c r="C745" t="s">
        <v>2839</v>
      </c>
      <c r="D745" t="s">
        <v>2840</v>
      </c>
      <c r="E745">
        <f>learners_wd_uhhbp_wm_home_ds_12to15</f>
        <v>0</v>
      </c>
      <c r="F745" t="b">
        <v>1</v>
      </c>
    </row>
    <row r="746" spans="1:6" x14ac:dyDescent="0.35">
      <c r="A746" t="s">
        <v>2879</v>
      </c>
      <c r="B746" t="s">
        <v>2621</v>
      </c>
      <c r="C746" t="s">
        <v>2879</v>
      </c>
      <c r="D746" t="s">
        <v>2880</v>
      </c>
      <c r="E746">
        <f>learners_wd_uhhbp_wm_home_ds_16to20</f>
        <v>0</v>
      </c>
      <c r="F746" t="b">
        <v>1</v>
      </c>
    </row>
    <row r="747" spans="1:6" x14ac:dyDescent="0.35">
      <c r="A747" t="s">
        <v>2919</v>
      </c>
      <c r="B747" t="s">
        <v>2621</v>
      </c>
      <c r="C747" t="s">
        <v>2919</v>
      </c>
      <c r="D747" t="s">
        <v>2920</v>
      </c>
      <c r="E747">
        <f>learners_wd_uhhbp_wm_home_ds_21to25</f>
        <v>0</v>
      </c>
      <c r="F747" t="b">
        <v>1</v>
      </c>
    </row>
    <row r="748" spans="1:6" x14ac:dyDescent="0.35">
      <c r="A748" t="s">
        <v>2639</v>
      </c>
      <c r="B748" t="s">
        <v>2621</v>
      </c>
      <c r="C748" t="s">
        <v>2639</v>
      </c>
      <c r="D748" t="s">
        <v>2640</v>
      </c>
      <c r="E748">
        <f>learners_wd_uhhbp_wm_home_ds_tp</f>
        <v>0</v>
      </c>
      <c r="F748" t="b">
        <v>1</v>
      </c>
    </row>
    <row r="749" spans="1:6" x14ac:dyDescent="0.35">
      <c r="A749" t="s">
        <v>2679</v>
      </c>
      <c r="B749" t="s">
        <v>2621</v>
      </c>
      <c r="C749" t="s">
        <v>2679</v>
      </c>
      <c r="D749" t="s">
        <v>2680</v>
      </c>
      <c r="E749">
        <f>learners_wd_uhhbp_wm_home_ds_g7tog10</f>
        <v>0</v>
      </c>
      <c r="F749" t="b">
        <v>1</v>
      </c>
    </row>
    <row r="750" spans="1:6" x14ac:dyDescent="0.35">
      <c r="A750" t="s">
        <v>2841</v>
      </c>
      <c r="B750" t="s">
        <v>2621</v>
      </c>
      <c r="C750" t="s">
        <v>2841</v>
      </c>
      <c r="D750" t="s">
        <v>2842</v>
      </c>
      <c r="E750">
        <f>learners_wd_uhhbp_wm_home_dh_12to15</f>
        <v>0</v>
      </c>
      <c r="F750" t="b">
        <v>1</v>
      </c>
    </row>
    <row r="751" spans="1:6" x14ac:dyDescent="0.35">
      <c r="A751" t="s">
        <v>2881</v>
      </c>
      <c r="B751" t="s">
        <v>2621</v>
      </c>
      <c r="C751" t="s">
        <v>2881</v>
      </c>
      <c r="D751" t="s">
        <v>2882</v>
      </c>
      <c r="E751">
        <f>learners_wd_uhhbp_wm_home_dh_16to20</f>
        <v>0</v>
      </c>
      <c r="F751" t="b">
        <v>1</v>
      </c>
    </row>
    <row r="752" spans="1:6" x14ac:dyDescent="0.35">
      <c r="A752" t="s">
        <v>2921</v>
      </c>
      <c r="B752" t="s">
        <v>2621</v>
      </c>
      <c r="C752" t="s">
        <v>2921</v>
      </c>
      <c r="D752" t="s">
        <v>2922</v>
      </c>
      <c r="E752">
        <f>learners_wd_uhhbp_wm_home_dh_21to25</f>
        <v>0</v>
      </c>
      <c r="F752" t="b">
        <v>1</v>
      </c>
    </row>
    <row r="753" spans="1:6" x14ac:dyDescent="0.35">
      <c r="A753" t="s">
        <v>2641</v>
      </c>
      <c r="B753" t="s">
        <v>2621</v>
      </c>
      <c r="C753" t="s">
        <v>2641</v>
      </c>
      <c r="D753" t="s">
        <v>2642</v>
      </c>
      <c r="E753">
        <f>learners_wd_uhhbp_wm_home_dh_tp</f>
        <v>0</v>
      </c>
      <c r="F753" t="b">
        <v>1</v>
      </c>
    </row>
    <row r="754" spans="1:6" x14ac:dyDescent="0.35">
      <c r="A754" t="s">
        <v>2681</v>
      </c>
      <c r="B754" t="s">
        <v>2621</v>
      </c>
      <c r="C754" t="s">
        <v>2681</v>
      </c>
      <c r="D754" t="s">
        <v>2682</v>
      </c>
      <c r="E754">
        <f>learners_wd_uhhbp_wm_home_dh_g7tog10</f>
        <v>0</v>
      </c>
      <c r="F754" t="b">
        <v>1</v>
      </c>
    </row>
    <row r="755" spans="1:6" x14ac:dyDescent="0.35">
      <c r="A755" t="s">
        <v>2843</v>
      </c>
      <c r="B755" t="s">
        <v>2621</v>
      </c>
      <c r="C755" t="s">
        <v>2843</v>
      </c>
      <c r="D755" t="s">
        <v>2844</v>
      </c>
      <c r="E755">
        <f>learners_wd_uhhbp_wm_home_dak_12to15</f>
        <v>0</v>
      </c>
      <c r="F755" t="b">
        <v>1</v>
      </c>
    </row>
    <row r="756" spans="1:6" x14ac:dyDescent="0.35">
      <c r="A756" t="s">
        <v>2883</v>
      </c>
      <c r="B756" t="s">
        <v>2621</v>
      </c>
      <c r="C756" t="s">
        <v>2883</v>
      </c>
      <c r="D756" t="s">
        <v>2884</v>
      </c>
      <c r="E756">
        <f>learners_wd_uhhbp_wm_home_dak_16to20</f>
        <v>0</v>
      </c>
      <c r="F756" t="b">
        <v>1</v>
      </c>
    </row>
    <row r="757" spans="1:6" x14ac:dyDescent="0.35">
      <c r="A757" t="s">
        <v>2923</v>
      </c>
      <c r="B757" t="s">
        <v>2621</v>
      </c>
      <c r="C757" t="s">
        <v>2923</v>
      </c>
      <c r="D757" t="s">
        <v>2924</v>
      </c>
      <c r="E757">
        <f>learners_wd_uhhbp_wm_home_dak_21to25</f>
        <v>0</v>
      </c>
      <c r="F757" t="b">
        <v>1</v>
      </c>
    </row>
    <row r="758" spans="1:6" x14ac:dyDescent="0.35">
      <c r="A758" t="s">
        <v>2643</v>
      </c>
      <c r="B758" t="s">
        <v>2621</v>
      </c>
      <c r="C758" t="s">
        <v>2643</v>
      </c>
      <c r="D758" t="s">
        <v>2644</v>
      </c>
      <c r="E758">
        <f>learners_wd_uhhbp_wm_home_dak_tp</f>
        <v>0</v>
      </c>
      <c r="F758" t="b">
        <v>1</v>
      </c>
    </row>
    <row r="759" spans="1:6" x14ac:dyDescent="0.35">
      <c r="A759" t="s">
        <v>2683</v>
      </c>
      <c r="B759" t="s">
        <v>2621</v>
      </c>
      <c r="C759" t="s">
        <v>2683</v>
      </c>
      <c r="D759" t="s">
        <v>2684</v>
      </c>
      <c r="E759">
        <f>learners_wd_uhhbp_wm_home_dak_g7tog10</f>
        <v>0</v>
      </c>
      <c r="F759" t="b">
        <v>1</v>
      </c>
    </row>
    <row r="760" spans="1:6" x14ac:dyDescent="0.35">
      <c r="A760" t="s">
        <v>2845</v>
      </c>
      <c r="B760" t="s">
        <v>2621</v>
      </c>
      <c r="C760" t="s">
        <v>2845</v>
      </c>
      <c r="D760" t="s">
        <v>2846</v>
      </c>
      <c r="E760">
        <f>learners_wd_uhhbp_wm_home_drcpau_12to15</f>
        <v>0</v>
      </c>
      <c r="F760" t="b">
        <v>1</v>
      </c>
    </row>
    <row r="761" spans="1:6" x14ac:dyDescent="0.35">
      <c r="A761" t="s">
        <v>2885</v>
      </c>
      <c r="B761" t="s">
        <v>2621</v>
      </c>
      <c r="C761" t="s">
        <v>2885</v>
      </c>
      <c r="D761" t="s">
        <v>2886</v>
      </c>
      <c r="E761">
        <f>learners_wd_uhhbp_wm_home_drcpau_16to20</f>
        <v>0</v>
      </c>
      <c r="F761" t="b">
        <v>1</v>
      </c>
    </row>
    <row r="762" spans="1:6" x14ac:dyDescent="0.35">
      <c r="A762" t="s">
        <v>2925</v>
      </c>
      <c r="B762" t="s">
        <v>2621</v>
      </c>
      <c r="C762" t="s">
        <v>2925</v>
      </c>
      <c r="D762" t="s">
        <v>2926</v>
      </c>
      <c r="E762">
        <f>learners_wd_uhhbp_wm_home_drcpau_21to25</f>
        <v>0</v>
      </c>
      <c r="F762" t="b">
        <v>1</v>
      </c>
    </row>
    <row r="763" spans="1:6" x14ac:dyDescent="0.35">
      <c r="A763" t="s">
        <v>2645</v>
      </c>
      <c r="B763" t="s">
        <v>2621</v>
      </c>
      <c r="C763" t="s">
        <v>2645</v>
      </c>
      <c r="D763" t="s">
        <v>2646</v>
      </c>
      <c r="E763">
        <f>learners_wd_uhhbp_wm_home_drcpau_tp</f>
        <v>0</v>
      </c>
      <c r="F763" t="b">
        <v>1</v>
      </c>
    </row>
    <row r="764" spans="1:6" x14ac:dyDescent="0.35">
      <c r="A764" t="s">
        <v>2685</v>
      </c>
      <c r="B764" t="s">
        <v>2621</v>
      </c>
      <c r="C764" t="s">
        <v>2685</v>
      </c>
      <c r="D764" t="s">
        <v>2686</v>
      </c>
      <c r="E764">
        <f>learners_wd_uhhbp_wm_home_drcpau_g7tog10</f>
        <v>0</v>
      </c>
      <c r="F764" t="b">
        <v>1</v>
      </c>
    </row>
    <row r="765" spans="1:6" x14ac:dyDescent="0.35">
      <c r="A765" t="s">
        <v>2847</v>
      </c>
      <c r="B765" t="s">
        <v>2621</v>
      </c>
      <c r="C765" t="s">
        <v>2847</v>
      </c>
      <c r="D765" t="s">
        <v>2848</v>
      </c>
      <c r="E765">
        <f>learners_wd_uhhbp_wm_home_daas_12to15</f>
        <v>0</v>
      </c>
      <c r="F765" t="b">
        <v>1</v>
      </c>
    </row>
    <row r="766" spans="1:6" x14ac:dyDescent="0.35">
      <c r="A766" t="s">
        <v>2887</v>
      </c>
      <c r="B766" t="s">
        <v>2621</v>
      </c>
      <c r="C766" t="s">
        <v>2887</v>
      </c>
      <c r="D766" t="s">
        <v>2888</v>
      </c>
      <c r="E766">
        <f>learners_wd_uhhbp_wm_home_daas_16to20</f>
        <v>0</v>
      </c>
      <c r="F766" t="b">
        <v>1</v>
      </c>
    </row>
    <row r="767" spans="1:6" x14ac:dyDescent="0.35">
      <c r="A767" t="s">
        <v>2927</v>
      </c>
      <c r="B767" t="s">
        <v>2621</v>
      </c>
      <c r="C767" t="s">
        <v>2927</v>
      </c>
      <c r="D767" t="s">
        <v>2928</v>
      </c>
      <c r="E767">
        <f>learners_wd_uhhbp_wm_home_daas_21to25</f>
        <v>0</v>
      </c>
      <c r="F767" t="b">
        <v>1</v>
      </c>
    </row>
    <row r="768" spans="1:6" x14ac:dyDescent="0.35">
      <c r="A768" t="s">
        <v>2647</v>
      </c>
      <c r="B768" t="s">
        <v>2621</v>
      </c>
      <c r="C768" t="s">
        <v>2647</v>
      </c>
      <c r="D768" t="s">
        <v>2648</v>
      </c>
      <c r="E768">
        <f>learners_wd_uhhbp_wm_home_daas_tp</f>
        <v>0</v>
      </c>
      <c r="F768" t="b">
        <v>1</v>
      </c>
    </row>
    <row r="769" spans="1:6" x14ac:dyDescent="0.35">
      <c r="A769" t="s">
        <v>2687</v>
      </c>
      <c r="B769" t="s">
        <v>2621</v>
      </c>
      <c r="C769" t="s">
        <v>2687</v>
      </c>
      <c r="D769" t="s">
        <v>2688</v>
      </c>
      <c r="E769">
        <f>learners_wd_uhhbp_wm_home_daas_g7tog10</f>
        <v>0</v>
      </c>
      <c r="F769" t="b">
        <v>1</v>
      </c>
    </row>
    <row r="770" spans="1:6" x14ac:dyDescent="0.35">
      <c r="A770" t="s">
        <v>2849</v>
      </c>
      <c r="B770" t="s">
        <v>2621</v>
      </c>
      <c r="C770" t="s">
        <v>2849</v>
      </c>
      <c r="D770" t="s">
        <v>2850</v>
      </c>
      <c r="E770">
        <f>learners_wd_uhhbp_wm_home_ddipb_12to15</f>
        <v>0</v>
      </c>
      <c r="F770" t="b">
        <v>1</v>
      </c>
    </row>
    <row r="771" spans="1:6" x14ac:dyDescent="0.35">
      <c r="A771" t="s">
        <v>2889</v>
      </c>
      <c r="B771" t="s">
        <v>2621</v>
      </c>
      <c r="C771" t="s">
        <v>2889</v>
      </c>
      <c r="D771" t="s">
        <v>2890</v>
      </c>
      <c r="E771">
        <f>learners_wd_uhhbp_wm_home_ddipb_16to20</f>
        <v>0</v>
      </c>
      <c r="F771" t="b">
        <v>1</v>
      </c>
    </row>
    <row r="772" spans="1:6" x14ac:dyDescent="0.35">
      <c r="A772" t="s">
        <v>2929</v>
      </c>
      <c r="B772" t="s">
        <v>2621</v>
      </c>
      <c r="C772" t="s">
        <v>2929</v>
      </c>
      <c r="D772" t="s">
        <v>2930</v>
      </c>
      <c r="E772">
        <f>learners_wd_uhhbp_wm_home_ddipb_21to25</f>
        <v>0</v>
      </c>
      <c r="F772" t="b">
        <v>1</v>
      </c>
    </row>
    <row r="773" spans="1:6" x14ac:dyDescent="0.35">
      <c r="A773" t="s">
        <v>2649</v>
      </c>
      <c r="B773" t="s">
        <v>2621</v>
      </c>
      <c r="C773" t="s">
        <v>2649</v>
      </c>
      <c r="D773" t="s">
        <v>2650</v>
      </c>
      <c r="E773">
        <f>learners_wd_uhhbp_wm_home_ddipb_tp</f>
        <v>0</v>
      </c>
      <c r="F773" t="b">
        <v>1</v>
      </c>
    </row>
    <row r="774" spans="1:6" x14ac:dyDescent="0.35">
      <c r="A774" t="s">
        <v>2689</v>
      </c>
      <c r="B774" t="s">
        <v>2621</v>
      </c>
      <c r="C774" t="s">
        <v>2689</v>
      </c>
      <c r="D774" t="s">
        <v>2690</v>
      </c>
      <c r="E774">
        <f>learners_wd_uhhbp_wm_home_ddipb_g7tog10</f>
        <v>0</v>
      </c>
      <c r="F774" t="b">
        <v>1</v>
      </c>
    </row>
    <row r="775" spans="1:6" x14ac:dyDescent="0.35">
      <c r="A775" t="s">
        <v>2851</v>
      </c>
      <c r="B775" t="s">
        <v>2621</v>
      </c>
      <c r="C775" t="s">
        <v>2851</v>
      </c>
      <c r="D775" t="s">
        <v>2852</v>
      </c>
      <c r="E775">
        <f>learners_wd_uhhbp_wm_home_dm_12to15</f>
        <v>0</v>
      </c>
      <c r="F775" t="b">
        <v>1</v>
      </c>
    </row>
    <row r="776" spans="1:6" x14ac:dyDescent="0.35">
      <c r="A776" t="s">
        <v>2891</v>
      </c>
      <c r="B776" t="s">
        <v>2621</v>
      </c>
      <c r="C776" t="s">
        <v>2891</v>
      </c>
      <c r="D776" t="s">
        <v>2892</v>
      </c>
      <c r="E776">
        <f>learners_wd_uhhbp_wm_home_dm_16to20</f>
        <v>0</v>
      </c>
      <c r="F776" t="b">
        <v>1</v>
      </c>
    </row>
    <row r="777" spans="1:6" x14ac:dyDescent="0.35">
      <c r="A777" t="s">
        <v>2931</v>
      </c>
      <c r="B777" t="s">
        <v>2621</v>
      </c>
      <c r="C777" t="s">
        <v>2931</v>
      </c>
      <c r="D777" t="s">
        <v>2932</v>
      </c>
      <c r="E777">
        <f>learners_wd_uhhbp_wm_home_dm_21to25</f>
        <v>0</v>
      </c>
      <c r="F777" t="b">
        <v>1</v>
      </c>
    </row>
    <row r="778" spans="1:6" x14ac:dyDescent="0.35">
      <c r="A778" t="s">
        <v>2651</v>
      </c>
      <c r="B778" t="s">
        <v>2621</v>
      </c>
      <c r="C778" t="s">
        <v>2651</v>
      </c>
      <c r="D778" t="s">
        <v>2652</v>
      </c>
      <c r="E778">
        <f>learners_wd_uhhbp_wm_home_dm_tp</f>
        <v>0</v>
      </c>
      <c r="F778" t="b">
        <v>1</v>
      </c>
    </row>
    <row r="779" spans="1:6" x14ac:dyDescent="0.35">
      <c r="A779" t="s">
        <v>2691</v>
      </c>
      <c r="B779" t="s">
        <v>2621</v>
      </c>
      <c r="C779" t="s">
        <v>2691</v>
      </c>
      <c r="D779" t="s">
        <v>2692</v>
      </c>
      <c r="E779">
        <f>learners_wd_uhhbp_wm_home_dm_g7tog10</f>
        <v>0</v>
      </c>
      <c r="F779" t="b">
        <v>1</v>
      </c>
    </row>
    <row r="780" spans="1:6" x14ac:dyDescent="0.35">
      <c r="A780" t="s">
        <v>2853</v>
      </c>
      <c r="B780" t="s">
        <v>2621</v>
      </c>
      <c r="C780" t="s">
        <v>2853</v>
      </c>
      <c r="D780" t="s">
        <v>2854</v>
      </c>
      <c r="E780">
        <f>learners_wd_uhhbp_wm_home_dc_12to15</f>
        <v>0</v>
      </c>
      <c r="F780" t="b">
        <v>1</v>
      </c>
    </row>
    <row r="781" spans="1:6" x14ac:dyDescent="0.35">
      <c r="A781" t="s">
        <v>2893</v>
      </c>
      <c r="B781" t="s">
        <v>2621</v>
      </c>
      <c r="C781" t="s">
        <v>2893</v>
      </c>
      <c r="D781" t="s">
        <v>2894</v>
      </c>
      <c r="E781">
        <f>learners_wd_uhhbp_wm_home_dc_16to20</f>
        <v>0</v>
      </c>
      <c r="F781" t="b">
        <v>1</v>
      </c>
    </row>
    <row r="782" spans="1:6" x14ac:dyDescent="0.35">
      <c r="A782" t="s">
        <v>2933</v>
      </c>
      <c r="B782" t="s">
        <v>2621</v>
      </c>
      <c r="C782" t="s">
        <v>2933</v>
      </c>
      <c r="D782" t="s">
        <v>2934</v>
      </c>
      <c r="E782">
        <f>learners_wd_uhhbp_wm_home_dc_21to25</f>
        <v>0</v>
      </c>
      <c r="F782" t="b">
        <v>1</v>
      </c>
    </row>
    <row r="783" spans="1:6" x14ac:dyDescent="0.35">
      <c r="A783" t="s">
        <v>2653</v>
      </c>
      <c r="B783" t="s">
        <v>2621</v>
      </c>
      <c r="C783" t="s">
        <v>2653</v>
      </c>
      <c r="D783" t="s">
        <v>2654</v>
      </c>
      <c r="E783">
        <f>learners_wd_uhhbp_wm_home_dc_tp</f>
        <v>0</v>
      </c>
      <c r="F783" t="b">
        <v>1</v>
      </c>
    </row>
    <row r="784" spans="1:6" x14ac:dyDescent="0.35">
      <c r="A784" t="s">
        <v>2693</v>
      </c>
      <c r="B784" t="s">
        <v>2621</v>
      </c>
      <c r="C784" t="s">
        <v>2693</v>
      </c>
      <c r="D784" t="s">
        <v>2694</v>
      </c>
      <c r="E784">
        <f>learners_wd_uhhbp_wm_home_dc_g7tog10</f>
        <v>0</v>
      </c>
      <c r="F784" t="b">
        <v>1</v>
      </c>
    </row>
    <row r="785" spans="1:14" x14ac:dyDescent="0.35">
      <c r="A785" t="s">
        <v>2941</v>
      </c>
      <c r="B785" t="s">
        <v>2621</v>
      </c>
      <c r="C785" t="s">
        <v>2941</v>
      </c>
      <c r="D785" t="s">
        <v>7393</v>
      </c>
      <c r="E785" t="str">
        <f>do_sped_coor_name</f>
        <v>RONE RAY M. PORTACION  /  March 17, 2023</v>
      </c>
      <c r="F785" t="b">
        <v>1</v>
      </c>
    </row>
    <row r="786" spans="1:14" ht="16" thickBot="1" x14ac:dyDescent="0.4">
      <c r="A786" t="s">
        <v>2942</v>
      </c>
      <c r="B786" t="s">
        <v>2621</v>
      </c>
      <c r="C786" t="s">
        <v>2942</v>
      </c>
      <c r="D786" t="s">
        <v>7394</v>
      </c>
      <c r="E786" t="str">
        <f>do_sped_coor_pos</f>
        <v>Education Program Supervisor</v>
      </c>
      <c r="F786" t="b">
        <v>1</v>
      </c>
    </row>
    <row r="787" spans="1:14" s="1350" customFormat="1" x14ac:dyDescent="0.35">
      <c r="A787" s="1350" t="s">
        <v>2943</v>
      </c>
      <c r="B787" s="1350" t="s">
        <v>2944</v>
      </c>
      <c r="C787" s="1350" t="s">
        <v>2943</v>
      </c>
      <c r="D787" s="1350" t="s">
        <v>2946</v>
      </c>
      <c r="E787" s="1350">
        <f>learners_wd_fataad_atd</f>
        <v>0</v>
      </c>
      <c r="F787" s="1350" t="b">
        <v>1</v>
      </c>
      <c r="N787" s="1357"/>
    </row>
    <row r="788" spans="1:14" s="1348" customFormat="1" ht="16" thickBot="1" x14ac:dyDescent="0.4">
      <c r="A788" s="1348" t="s">
        <v>2945</v>
      </c>
      <c r="B788" s="1348" t="s">
        <v>2944</v>
      </c>
      <c r="C788" s="1348" t="s">
        <v>2945</v>
      </c>
      <c r="D788" s="1348" t="s">
        <v>7395</v>
      </c>
      <c r="E788" s="1348">
        <f>learners_wd_fataad_ad</f>
        <v>0</v>
      </c>
      <c r="F788" s="1348" t="b">
        <v>1</v>
      </c>
      <c r="N788" s="1358"/>
    </row>
    <row r="789" spans="1:14" s="1350" customFormat="1" x14ac:dyDescent="0.35">
      <c r="A789" s="1350" t="s">
        <v>2947</v>
      </c>
      <c r="B789" s="1350" t="s">
        <v>2948</v>
      </c>
      <c r="C789" s="1350" t="s">
        <v>2947</v>
      </c>
      <c r="D789" s="1351" t="s">
        <v>2949</v>
      </c>
      <c r="E789" s="1350">
        <f>locfundteach_sef_prov</f>
        <v>0</v>
      </c>
      <c r="F789" s="1350" t="b">
        <v>1</v>
      </c>
      <c r="N789" s="1357"/>
    </row>
    <row r="790" spans="1:14" x14ac:dyDescent="0.35">
      <c r="A790" t="s">
        <v>2950</v>
      </c>
      <c r="B790" t="s">
        <v>2948</v>
      </c>
      <c r="C790" t="s">
        <v>2950</v>
      </c>
      <c r="D790" s="1353" t="s">
        <v>2951</v>
      </c>
      <c r="E790">
        <f>locfundteach_sef_muni</f>
        <v>0</v>
      </c>
      <c r="F790" t="b">
        <v>1</v>
      </c>
    </row>
    <row r="791" spans="1:14" x14ac:dyDescent="0.35">
      <c r="A791" t="s">
        <v>2952</v>
      </c>
      <c r="B791" t="s">
        <v>2948</v>
      </c>
      <c r="C791" t="s">
        <v>2952</v>
      </c>
      <c r="D791" s="1353" t="s">
        <v>2953</v>
      </c>
      <c r="E791">
        <f>locfundteach_lgu</f>
        <v>0</v>
      </c>
      <c r="F791" t="b">
        <v>1</v>
      </c>
    </row>
    <row r="792" spans="1:14" x14ac:dyDescent="0.35">
      <c r="A792" t="s">
        <v>2954</v>
      </c>
      <c r="B792" t="s">
        <v>2948</v>
      </c>
      <c r="C792" t="s">
        <v>2954</v>
      </c>
      <c r="D792" s="1353" t="s">
        <v>2955</v>
      </c>
      <c r="E792">
        <f>locfundteach_others</f>
        <v>0</v>
      </c>
      <c r="F792" t="b">
        <v>1</v>
      </c>
    </row>
    <row r="793" spans="1:14" x14ac:dyDescent="0.35">
      <c r="A793" t="s">
        <v>2956</v>
      </c>
      <c r="B793" t="s">
        <v>2948</v>
      </c>
      <c r="C793" t="s">
        <v>2956</v>
      </c>
      <c r="D793" s="1353" t="s">
        <v>12472</v>
      </c>
      <c r="E793" t="str">
        <f>do_hr_name</f>
        <v>ELMA CEZARIE Y. ROMERO  /  May 17, 2023</v>
      </c>
      <c r="F793" t="b">
        <v>1</v>
      </c>
    </row>
    <row r="794" spans="1:14" s="1348" customFormat="1" ht="16" thickBot="1" x14ac:dyDescent="0.4">
      <c r="A794" s="1348" t="s">
        <v>2957</v>
      </c>
      <c r="B794" s="1348" t="s">
        <v>2948</v>
      </c>
      <c r="C794" s="1348" t="s">
        <v>2957</v>
      </c>
      <c r="D794" s="1355" t="s">
        <v>12473</v>
      </c>
      <c r="E794" s="1348" t="str">
        <f>do_hr_post</f>
        <v>Administrative Officer</v>
      </c>
      <c r="F794" s="1348" t="b">
        <v>1</v>
      </c>
      <c r="N794" s="1358"/>
    </row>
    <row r="795" spans="1:14" x14ac:dyDescent="0.35">
      <c r="A795" t="s">
        <v>2958</v>
      </c>
      <c r="B795" t="s">
        <v>2959</v>
      </c>
      <c r="C795" t="s">
        <v>2958</v>
      </c>
      <c r="D795" s="1353" t="s">
        <v>2960</v>
      </c>
      <c r="E795">
        <f>jhs_locfundteacher_m_q</f>
        <v>0</v>
      </c>
      <c r="F795" t="b">
        <v>1</v>
      </c>
    </row>
    <row r="796" spans="1:14" x14ac:dyDescent="0.35">
      <c r="A796" t="s">
        <v>2961</v>
      </c>
      <c r="B796" t="s">
        <v>2959</v>
      </c>
      <c r="C796" t="s">
        <v>2961</v>
      </c>
      <c r="D796" s="1353" t="s">
        <v>2962</v>
      </c>
      <c r="E796">
        <f>jhs_locfundteacher_f_q</f>
        <v>0</v>
      </c>
      <c r="F796" t="b">
        <v>1</v>
      </c>
    </row>
    <row r="797" spans="1:14" x14ac:dyDescent="0.35">
      <c r="A797" t="s">
        <v>2963</v>
      </c>
      <c r="B797" t="s">
        <v>2959</v>
      </c>
      <c r="C797" t="s">
        <v>2963</v>
      </c>
      <c r="D797" s="1353" t="s">
        <v>2964</v>
      </c>
      <c r="E797">
        <f>jhs_locfundteacher_m_t</f>
        <v>0</v>
      </c>
      <c r="F797" t="b">
        <v>1</v>
      </c>
    </row>
    <row r="798" spans="1:14" x14ac:dyDescent="0.35">
      <c r="A798" t="s">
        <v>2965</v>
      </c>
      <c r="B798" t="s">
        <v>2959</v>
      </c>
      <c r="C798" t="s">
        <v>2965</v>
      </c>
      <c r="D798" s="1353" t="s">
        <v>2966</v>
      </c>
      <c r="E798">
        <f>jhs_locfundteacher_f_t</f>
        <v>0</v>
      </c>
      <c r="F798" t="b">
        <v>1</v>
      </c>
    </row>
    <row r="799" spans="1:14" s="1348" customFormat="1" ht="16" thickBot="1" x14ac:dyDescent="0.4">
      <c r="A799" s="1348" t="s">
        <v>2967</v>
      </c>
      <c r="B799" s="1348" t="s">
        <v>2959</v>
      </c>
      <c r="C799" s="1348" t="s">
        <v>2967</v>
      </c>
      <c r="D799" s="1355" t="s">
        <v>2968</v>
      </c>
      <c r="E799" s="1348" t="str">
        <f>do_seps_hrtd_name</f>
        <v>ELMA CEZARIE Y. ROMERO  /  May 17, 2023</v>
      </c>
      <c r="F799" s="1348" t="b">
        <v>1</v>
      </c>
      <c r="N799" s="1358"/>
    </row>
    <row r="800" spans="1:14" x14ac:dyDescent="0.35">
      <c r="A800" t="s">
        <v>3514</v>
      </c>
      <c r="B800" t="s">
        <v>2970</v>
      </c>
      <c r="C800" t="s">
        <v>3514</v>
      </c>
      <c r="D800" t="s">
        <v>3515</v>
      </c>
      <c r="E800">
        <f>personnel_nonteach_vsa3_psipop</f>
        <v>0</v>
      </c>
      <c r="F800" t="b">
        <v>1</v>
      </c>
    </row>
    <row r="801" spans="1:6" x14ac:dyDescent="0.35">
      <c r="A801" t="s">
        <v>3516</v>
      </c>
      <c r="B801" t="s">
        <v>2970</v>
      </c>
      <c r="C801" t="s">
        <v>3516</v>
      </c>
      <c r="D801" t="s">
        <v>3517</v>
      </c>
      <c r="E801">
        <f>personnel_nonteach_vsa3_actual_m</f>
        <v>0</v>
      </c>
      <c r="F801" t="b">
        <v>1</v>
      </c>
    </row>
    <row r="802" spans="1:6" x14ac:dyDescent="0.35">
      <c r="A802" t="s">
        <v>3670</v>
      </c>
      <c r="B802" t="s">
        <v>2970</v>
      </c>
      <c r="C802" t="s">
        <v>3670</v>
      </c>
      <c r="D802" t="s">
        <v>3671</v>
      </c>
      <c r="E802">
        <f>personnel_nonteach_vsa3_actual_f</f>
        <v>0</v>
      </c>
      <c r="F802" t="b">
        <v>1</v>
      </c>
    </row>
    <row r="803" spans="1:6" x14ac:dyDescent="0.35">
      <c r="A803" t="s">
        <v>3748</v>
      </c>
      <c r="B803" t="s">
        <v>2970</v>
      </c>
      <c r="C803" t="s">
        <v>3748</v>
      </c>
      <c r="D803" t="s">
        <v>3749</v>
      </c>
      <c r="E803">
        <f>personnel_nonteach_vsa3_onleave</f>
        <v>0</v>
      </c>
      <c r="F803" t="b">
        <v>1</v>
      </c>
    </row>
    <row r="804" spans="1:6" x14ac:dyDescent="0.35">
      <c r="A804" t="s">
        <v>3046</v>
      </c>
      <c r="B804" t="s">
        <v>2970</v>
      </c>
      <c r="C804" t="s">
        <v>3046</v>
      </c>
      <c r="D804" t="s">
        <v>3047</v>
      </c>
      <c r="E804">
        <f>personnel_nonteach_vsa3_vacant</f>
        <v>0</v>
      </c>
      <c r="F804" t="b">
        <v>1</v>
      </c>
    </row>
    <row r="805" spans="1:6" x14ac:dyDescent="0.35">
      <c r="A805" t="s">
        <v>3124</v>
      </c>
      <c r="B805" t="s">
        <v>2970</v>
      </c>
      <c r="C805" t="s">
        <v>3124</v>
      </c>
      <c r="D805" t="s">
        <v>3125</v>
      </c>
      <c r="E805">
        <f>personnel_nonteach_vsa3_detailed_hs</f>
        <v>0</v>
      </c>
      <c r="F805" t="b">
        <v>1</v>
      </c>
    </row>
    <row r="806" spans="1:6" x14ac:dyDescent="0.35">
      <c r="A806" t="s">
        <v>3202</v>
      </c>
      <c r="B806" t="s">
        <v>2970</v>
      </c>
      <c r="C806" t="s">
        <v>3202</v>
      </c>
      <c r="D806" t="s">
        <v>3203</v>
      </c>
      <c r="E806">
        <f>personnel_nonteach_vsa3_detailed_es</f>
        <v>0</v>
      </c>
      <c r="F806" t="b">
        <v>1</v>
      </c>
    </row>
    <row r="807" spans="1:6" x14ac:dyDescent="0.35">
      <c r="A807" t="s">
        <v>3280</v>
      </c>
      <c r="B807" t="s">
        <v>2970</v>
      </c>
      <c r="C807" t="s">
        <v>3280</v>
      </c>
      <c r="D807" t="s">
        <v>3281</v>
      </c>
      <c r="E807">
        <f>personnel_nonteach_vsa3_detailed_outdiv</f>
        <v>0</v>
      </c>
      <c r="F807" t="b">
        <v>1</v>
      </c>
    </row>
    <row r="808" spans="1:6" x14ac:dyDescent="0.35">
      <c r="A808" t="s">
        <v>3358</v>
      </c>
      <c r="B808" t="s">
        <v>2970</v>
      </c>
      <c r="C808" t="s">
        <v>3358</v>
      </c>
      <c r="D808" t="s">
        <v>3359</v>
      </c>
      <c r="E808">
        <f>personnel_nonteach_vsa3_borrowed_m</f>
        <v>0</v>
      </c>
      <c r="F808" t="b">
        <v>1</v>
      </c>
    </row>
    <row r="809" spans="1:6" x14ac:dyDescent="0.35">
      <c r="A809" t="s">
        <v>3436</v>
      </c>
      <c r="B809" t="s">
        <v>2970</v>
      </c>
      <c r="C809" t="s">
        <v>3436</v>
      </c>
      <c r="D809" t="s">
        <v>3437</v>
      </c>
      <c r="E809">
        <f>personnel_nonteach_vsa3_borrowed_f</f>
        <v>0</v>
      </c>
      <c r="F809" t="b">
        <v>1</v>
      </c>
    </row>
    <row r="810" spans="1:6" x14ac:dyDescent="0.35">
      <c r="A810" t="s">
        <v>3438</v>
      </c>
      <c r="B810" t="s">
        <v>2970</v>
      </c>
      <c r="C810" t="s">
        <v>3438</v>
      </c>
      <c r="D810" t="s">
        <v>3439</v>
      </c>
      <c r="E810">
        <f>personnel_nonteach_vsa2_psipop</f>
        <v>0</v>
      </c>
      <c r="F810" t="b">
        <v>1</v>
      </c>
    </row>
    <row r="811" spans="1:6" x14ac:dyDescent="0.35">
      <c r="A811" t="s">
        <v>3518</v>
      </c>
      <c r="B811" t="s">
        <v>2970</v>
      </c>
      <c r="C811" t="s">
        <v>3518</v>
      </c>
      <c r="D811" t="s">
        <v>3519</v>
      </c>
      <c r="E811">
        <f>personnel_nonteach_vsa2_actual_m</f>
        <v>0</v>
      </c>
      <c r="F811" t="b">
        <v>1</v>
      </c>
    </row>
    <row r="812" spans="1:6" x14ac:dyDescent="0.35">
      <c r="A812" t="s">
        <v>3594</v>
      </c>
      <c r="B812" t="s">
        <v>2970</v>
      </c>
      <c r="C812" t="s">
        <v>3594</v>
      </c>
      <c r="D812" t="s">
        <v>3595</v>
      </c>
      <c r="E812">
        <f>personnel_nonteach_vsa2_actual_f</f>
        <v>0</v>
      </c>
      <c r="F812" t="b">
        <v>1</v>
      </c>
    </row>
    <row r="813" spans="1:6" x14ac:dyDescent="0.35">
      <c r="A813" t="s">
        <v>3672</v>
      </c>
      <c r="B813" t="s">
        <v>2970</v>
      </c>
      <c r="C813" t="s">
        <v>3672</v>
      </c>
      <c r="D813" t="s">
        <v>3673</v>
      </c>
      <c r="E813">
        <f>personnel_nonteach_vsa2_onleave</f>
        <v>0</v>
      </c>
      <c r="F813" t="b">
        <v>1</v>
      </c>
    </row>
    <row r="814" spans="1:6" x14ac:dyDescent="0.35">
      <c r="A814" t="s">
        <v>2969</v>
      </c>
      <c r="B814" t="s">
        <v>2970</v>
      </c>
      <c r="C814" t="s">
        <v>2969</v>
      </c>
      <c r="D814" t="s">
        <v>2971</v>
      </c>
      <c r="E814">
        <f>personnel_nonteach_vsa2_vacant</f>
        <v>0</v>
      </c>
      <c r="F814" t="b">
        <v>1</v>
      </c>
    </row>
    <row r="815" spans="1:6" x14ac:dyDescent="0.35">
      <c r="A815" t="s">
        <v>3048</v>
      </c>
      <c r="B815" t="s">
        <v>2970</v>
      </c>
      <c r="C815" t="s">
        <v>3048</v>
      </c>
      <c r="D815" t="s">
        <v>3049</v>
      </c>
      <c r="E815">
        <f>personnel_nonteach_vsa2_detailed_hs</f>
        <v>0</v>
      </c>
      <c r="F815" t="b">
        <v>1</v>
      </c>
    </row>
    <row r="816" spans="1:6" x14ac:dyDescent="0.35">
      <c r="A816" t="s">
        <v>3126</v>
      </c>
      <c r="B816" t="s">
        <v>2970</v>
      </c>
      <c r="C816" t="s">
        <v>3126</v>
      </c>
      <c r="D816" t="s">
        <v>3127</v>
      </c>
      <c r="E816">
        <f>personnel_nonteach_vsa2_detailed_es</f>
        <v>0</v>
      </c>
      <c r="F816" t="b">
        <v>1</v>
      </c>
    </row>
    <row r="817" spans="1:6" x14ac:dyDescent="0.35">
      <c r="A817" t="s">
        <v>3204</v>
      </c>
      <c r="B817" t="s">
        <v>2970</v>
      </c>
      <c r="C817" t="s">
        <v>3204</v>
      </c>
      <c r="D817" t="s">
        <v>3205</v>
      </c>
      <c r="E817">
        <f>personnel_nonteach_vsa2_detailed_outdiv</f>
        <v>0</v>
      </c>
      <c r="F817" t="b">
        <v>1</v>
      </c>
    </row>
    <row r="818" spans="1:6" x14ac:dyDescent="0.35">
      <c r="A818" t="s">
        <v>3282</v>
      </c>
      <c r="B818" t="s">
        <v>2970</v>
      </c>
      <c r="C818" t="s">
        <v>3282</v>
      </c>
      <c r="D818" t="s">
        <v>3283</v>
      </c>
      <c r="E818">
        <f>personnel_nonteach_vsa2_borrowed_m</f>
        <v>0</v>
      </c>
      <c r="F818" t="b">
        <v>1</v>
      </c>
    </row>
    <row r="819" spans="1:6" x14ac:dyDescent="0.35">
      <c r="A819" t="s">
        <v>3360</v>
      </c>
      <c r="B819" t="s">
        <v>2970</v>
      </c>
      <c r="C819" t="s">
        <v>3360</v>
      </c>
      <c r="D819" t="s">
        <v>3361</v>
      </c>
      <c r="E819">
        <f>personnel_nonteach_vsa2_borrowed_f</f>
        <v>0</v>
      </c>
      <c r="F819" t="b">
        <v>1</v>
      </c>
    </row>
    <row r="820" spans="1:6" x14ac:dyDescent="0.35">
      <c r="A820" t="s">
        <v>3440</v>
      </c>
      <c r="B820" t="s">
        <v>2970</v>
      </c>
      <c r="C820" t="s">
        <v>3440</v>
      </c>
      <c r="D820" t="s">
        <v>3441</v>
      </c>
      <c r="E820">
        <f>personnel_nonteach_vsa1_psipop</f>
        <v>0</v>
      </c>
      <c r="F820" t="b">
        <v>1</v>
      </c>
    </row>
    <row r="821" spans="1:6" x14ac:dyDescent="0.35">
      <c r="A821" t="s">
        <v>3520</v>
      </c>
      <c r="B821" t="s">
        <v>2970</v>
      </c>
      <c r="C821" t="s">
        <v>3520</v>
      </c>
      <c r="D821" t="s">
        <v>3521</v>
      </c>
      <c r="E821">
        <f>personnel_nonteach_vsa1_actual_m</f>
        <v>0</v>
      </c>
      <c r="F821" t="b">
        <v>1</v>
      </c>
    </row>
    <row r="822" spans="1:6" x14ac:dyDescent="0.35">
      <c r="A822" t="s">
        <v>3596</v>
      </c>
      <c r="B822" t="s">
        <v>2970</v>
      </c>
      <c r="C822" t="s">
        <v>3596</v>
      </c>
      <c r="D822" t="s">
        <v>3597</v>
      </c>
      <c r="E822">
        <f>personnel_nonteach_vsa1_actual_f</f>
        <v>0</v>
      </c>
      <c r="F822" t="b">
        <v>1</v>
      </c>
    </row>
    <row r="823" spans="1:6" x14ac:dyDescent="0.35">
      <c r="A823" t="s">
        <v>3674</v>
      </c>
      <c r="B823" t="s">
        <v>2970</v>
      </c>
      <c r="C823" t="s">
        <v>3674</v>
      </c>
      <c r="D823" t="s">
        <v>3675</v>
      </c>
      <c r="E823">
        <f>personnel_nonteach_vsa1_onleave</f>
        <v>0</v>
      </c>
      <c r="F823" t="b">
        <v>1</v>
      </c>
    </row>
    <row r="824" spans="1:6" x14ac:dyDescent="0.35">
      <c r="A824" t="s">
        <v>2972</v>
      </c>
      <c r="B824" t="s">
        <v>2970</v>
      </c>
      <c r="C824" t="s">
        <v>2972</v>
      </c>
      <c r="D824" t="s">
        <v>2973</v>
      </c>
      <c r="E824">
        <f>personnel_nonteach_vsa1_vacant</f>
        <v>0</v>
      </c>
      <c r="F824" t="b">
        <v>1</v>
      </c>
    </row>
    <row r="825" spans="1:6" x14ac:dyDescent="0.35">
      <c r="A825" t="s">
        <v>3050</v>
      </c>
      <c r="B825" t="s">
        <v>2970</v>
      </c>
      <c r="C825" t="s">
        <v>3050</v>
      </c>
      <c r="D825" t="s">
        <v>3051</v>
      </c>
      <c r="E825">
        <f>personnel_nonteach_vsa1_detailed_hs</f>
        <v>0</v>
      </c>
      <c r="F825" t="b">
        <v>1</v>
      </c>
    </row>
    <row r="826" spans="1:6" x14ac:dyDescent="0.35">
      <c r="A826" t="s">
        <v>3128</v>
      </c>
      <c r="B826" t="s">
        <v>2970</v>
      </c>
      <c r="C826" t="s">
        <v>3128</v>
      </c>
      <c r="D826" t="s">
        <v>3129</v>
      </c>
      <c r="E826">
        <f>personnel_nonteach_vsa1_detailed_es</f>
        <v>0</v>
      </c>
      <c r="F826" t="b">
        <v>1</v>
      </c>
    </row>
    <row r="827" spans="1:6" x14ac:dyDescent="0.35">
      <c r="A827" t="s">
        <v>3206</v>
      </c>
      <c r="B827" t="s">
        <v>2970</v>
      </c>
      <c r="C827" t="s">
        <v>3206</v>
      </c>
      <c r="D827" t="s">
        <v>3207</v>
      </c>
      <c r="E827">
        <f>personnel_nonteach_vsa1_detailed_outdiv</f>
        <v>0</v>
      </c>
      <c r="F827" t="b">
        <v>1</v>
      </c>
    </row>
    <row r="828" spans="1:6" x14ac:dyDescent="0.35">
      <c r="A828" t="s">
        <v>3284</v>
      </c>
      <c r="B828" t="s">
        <v>2970</v>
      </c>
      <c r="C828" t="s">
        <v>3284</v>
      </c>
      <c r="D828" t="s">
        <v>3285</v>
      </c>
      <c r="E828">
        <f>personnel_nonteach_vsa1_borrowed_m</f>
        <v>0</v>
      </c>
      <c r="F828" t="b">
        <v>1</v>
      </c>
    </row>
    <row r="829" spans="1:6" x14ac:dyDescent="0.35">
      <c r="A829" t="s">
        <v>3362</v>
      </c>
      <c r="B829" t="s">
        <v>2970</v>
      </c>
      <c r="C829" t="s">
        <v>3362</v>
      </c>
      <c r="D829" t="s">
        <v>3363</v>
      </c>
      <c r="E829">
        <f>personnel_nonteach_vsa1_borrowed_f</f>
        <v>0</v>
      </c>
      <c r="F829" t="b">
        <v>1</v>
      </c>
    </row>
    <row r="830" spans="1:6" x14ac:dyDescent="0.35">
      <c r="A830" t="s">
        <v>3442</v>
      </c>
      <c r="B830" t="s">
        <v>2970</v>
      </c>
      <c r="C830" t="s">
        <v>3442</v>
      </c>
      <c r="D830" t="s">
        <v>3443</v>
      </c>
      <c r="E830">
        <f>personnel_nonteach_sp4_psipop</f>
        <v>0</v>
      </c>
      <c r="F830" t="b">
        <v>1</v>
      </c>
    </row>
    <row r="831" spans="1:6" x14ac:dyDescent="0.35">
      <c r="A831" t="s">
        <v>3522</v>
      </c>
      <c r="B831" t="s">
        <v>2970</v>
      </c>
      <c r="C831" t="s">
        <v>3522</v>
      </c>
      <c r="D831" t="s">
        <v>3523</v>
      </c>
      <c r="E831">
        <f>personnel_nonteach_sp4_actual_m</f>
        <v>0</v>
      </c>
      <c r="F831" t="b">
        <v>1</v>
      </c>
    </row>
    <row r="832" spans="1:6" x14ac:dyDescent="0.35">
      <c r="A832" t="s">
        <v>3598</v>
      </c>
      <c r="B832" t="s">
        <v>2970</v>
      </c>
      <c r="C832" t="s">
        <v>3598</v>
      </c>
      <c r="D832" t="s">
        <v>3599</v>
      </c>
      <c r="E832">
        <f>personnel_nonteach_sp4_actual_f</f>
        <v>0</v>
      </c>
      <c r="F832" t="b">
        <v>1</v>
      </c>
    </row>
    <row r="833" spans="1:6" x14ac:dyDescent="0.35">
      <c r="A833" t="s">
        <v>3676</v>
      </c>
      <c r="B833" t="s">
        <v>2970</v>
      </c>
      <c r="C833" t="s">
        <v>3676</v>
      </c>
      <c r="D833" t="s">
        <v>3677</v>
      </c>
      <c r="E833">
        <f>personnel_nonteach_sp4_onleave</f>
        <v>0</v>
      </c>
      <c r="F833" t="b">
        <v>1</v>
      </c>
    </row>
    <row r="834" spans="1:6" x14ac:dyDescent="0.35">
      <c r="A834" t="s">
        <v>2974</v>
      </c>
      <c r="B834" t="s">
        <v>2970</v>
      </c>
      <c r="C834" t="s">
        <v>2974</v>
      </c>
      <c r="D834" t="s">
        <v>2975</v>
      </c>
      <c r="E834">
        <f>personnel_nonteach_sp4_vacant</f>
        <v>0</v>
      </c>
      <c r="F834" t="b">
        <v>1</v>
      </c>
    </row>
    <row r="835" spans="1:6" x14ac:dyDescent="0.35">
      <c r="A835" t="s">
        <v>3052</v>
      </c>
      <c r="B835" t="s">
        <v>2970</v>
      </c>
      <c r="C835" t="s">
        <v>3052</v>
      </c>
      <c r="D835" t="s">
        <v>3053</v>
      </c>
      <c r="E835">
        <f>personnel_nonteach_sp4_detailed_hs</f>
        <v>0</v>
      </c>
      <c r="F835" t="b">
        <v>1</v>
      </c>
    </row>
    <row r="836" spans="1:6" x14ac:dyDescent="0.35">
      <c r="A836" t="s">
        <v>3130</v>
      </c>
      <c r="B836" t="s">
        <v>2970</v>
      </c>
      <c r="C836" t="s">
        <v>3130</v>
      </c>
      <c r="D836" t="s">
        <v>3131</v>
      </c>
      <c r="E836">
        <f>personnel_nonteach_sp4_detailed_es</f>
        <v>0</v>
      </c>
      <c r="F836" t="b">
        <v>1</v>
      </c>
    </row>
    <row r="837" spans="1:6" x14ac:dyDescent="0.35">
      <c r="A837" t="s">
        <v>3208</v>
      </c>
      <c r="B837" t="s">
        <v>2970</v>
      </c>
      <c r="C837" t="s">
        <v>3208</v>
      </c>
      <c r="D837" t="s">
        <v>3209</v>
      </c>
      <c r="E837">
        <f>personnel_nonteach_sp4_detailed_outdiv</f>
        <v>0</v>
      </c>
      <c r="F837" t="b">
        <v>1</v>
      </c>
    </row>
    <row r="838" spans="1:6" x14ac:dyDescent="0.35">
      <c r="A838" t="s">
        <v>3286</v>
      </c>
      <c r="B838" t="s">
        <v>2970</v>
      </c>
      <c r="C838" t="s">
        <v>3286</v>
      </c>
      <c r="D838" t="s">
        <v>3287</v>
      </c>
      <c r="E838">
        <f>personnel_nonteach_sp4_borrowed_m</f>
        <v>1</v>
      </c>
      <c r="F838" t="b">
        <v>1</v>
      </c>
    </row>
    <row r="839" spans="1:6" x14ac:dyDescent="0.35">
      <c r="A839" t="s">
        <v>3364</v>
      </c>
      <c r="B839" t="s">
        <v>2970</v>
      </c>
      <c r="C839" t="s">
        <v>3364</v>
      </c>
      <c r="D839" t="s">
        <v>3365</v>
      </c>
      <c r="E839">
        <f>personnel_nonteach_sp4_borrowed_f</f>
        <v>0</v>
      </c>
      <c r="F839" t="b">
        <v>1</v>
      </c>
    </row>
    <row r="840" spans="1:6" x14ac:dyDescent="0.35">
      <c r="A840" t="s">
        <v>3444</v>
      </c>
      <c r="B840" t="s">
        <v>2970</v>
      </c>
      <c r="C840" t="s">
        <v>3444</v>
      </c>
      <c r="D840" t="s">
        <v>3445</v>
      </c>
      <c r="E840">
        <f>personnel_nonteach_sp3_psipop</f>
        <v>0</v>
      </c>
      <c r="F840" t="b">
        <v>1</v>
      </c>
    </row>
    <row r="841" spans="1:6" x14ac:dyDescent="0.35">
      <c r="A841" t="s">
        <v>3524</v>
      </c>
      <c r="B841" t="s">
        <v>2970</v>
      </c>
      <c r="C841" t="s">
        <v>3524</v>
      </c>
      <c r="D841" t="s">
        <v>3525</v>
      </c>
      <c r="E841">
        <f>personnel_nonteach_sp3_actual_m</f>
        <v>0</v>
      </c>
      <c r="F841" t="b">
        <v>1</v>
      </c>
    </row>
    <row r="842" spans="1:6" x14ac:dyDescent="0.35">
      <c r="A842" t="s">
        <v>3600</v>
      </c>
      <c r="B842" t="s">
        <v>2970</v>
      </c>
      <c r="C842" t="s">
        <v>3600</v>
      </c>
      <c r="D842" t="s">
        <v>3601</v>
      </c>
      <c r="E842">
        <f>personnel_nonteach_sp3_actual_f</f>
        <v>0</v>
      </c>
      <c r="F842" t="b">
        <v>1</v>
      </c>
    </row>
    <row r="843" spans="1:6" x14ac:dyDescent="0.35">
      <c r="A843" t="s">
        <v>3678</v>
      </c>
      <c r="B843" t="s">
        <v>2970</v>
      </c>
      <c r="C843" t="s">
        <v>3678</v>
      </c>
      <c r="D843" t="s">
        <v>3679</v>
      </c>
      <c r="E843">
        <f>personnel_nonteach_sp3_onleave</f>
        <v>0</v>
      </c>
      <c r="F843" t="b">
        <v>1</v>
      </c>
    </row>
    <row r="844" spans="1:6" x14ac:dyDescent="0.35">
      <c r="A844" t="s">
        <v>2976</v>
      </c>
      <c r="B844" t="s">
        <v>2970</v>
      </c>
      <c r="C844" t="s">
        <v>2976</v>
      </c>
      <c r="D844" t="s">
        <v>2977</v>
      </c>
      <c r="E844">
        <f>personnel_nonteach_sp3_vacant</f>
        <v>0</v>
      </c>
      <c r="F844" t="b">
        <v>1</v>
      </c>
    </row>
    <row r="845" spans="1:6" x14ac:dyDescent="0.35">
      <c r="A845" t="s">
        <v>3054</v>
      </c>
      <c r="B845" t="s">
        <v>2970</v>
      </c>
      <c r="C845" t="s">
        <v>3054</v>
      </c>
      <c r="D845" t="s">
        <v>3055</v>
      </c>
      <c r="E845">
        <f>personnel_nonteach_sp3_detailed_hs</f>
        <v>0</v>
      </c>
      <c r="F845" t="b">
        <v>1</v>
      </c>
    </row>
    <row r="846" spans="1:6" x14ac:dyDescent="0.35">
      <c r="A846" t="s">
        <v>3132</v>
      </c>
      <c r="B846" t="s">
        <v>2970</v>
      </c>
      <c r="C846" t="s">
        <v>3132</v>
      </c>
      <c r="D846" t="s">
        <v>3133</v>
      </c>
      <c r="E846">
        <f>personnel_nonteach_sp3_detailed_es</f>
        <v>0</v>
      </c>
      <c r="F846" t="b">
        <v>1</v>
      </c>
    </row>
    <row r="847" spans="1:6" x14ac:dyDescent="0.35">
      <c r="A847" t="s">
        <v>3210</v>
      </c>
      <c r="B847" t="s">
        <v>2970</v>
      </c>
      <c r="C847" t="s">
        <v>3210</v>
      </c>
      <c r="D847" t="s">
        <v>3211</v>
      </c>
      <c r="E847">
        <f>personnel_nonteach_sp3_detailed_outdiv</f>
        <v>0</v>
      </c>
      <c r="F847" t="b">
        <v>1</v>
      </c>
    </row>
    <row r="848" spans="1:6" x14ac:dyDescent="0.35">
      <c r="A848" t="s">
        <v>3288</v>
      </c>
      <c r="B848" t="s">
        <v>2970</v>
      </c>
      <c r="C848" t="s">
        <v>3288</v>
      </c>
      <c r="D848" t="s">
        <v>3289</v>
      </c>
      <c r="E848">
        <f>personnel_nonteach_sp3_borrowed_m</f>
        <v>0</v>
      </c>
      <c r="F848" t="b">
        <v>1</v>
      </c>
    </row>
    <row r="849" spans="1:6" x14ac:dyDescent="0.35">
      <c r="A849" t="s">
        <v>3366</v>
      </c>
      <c r="B849" t="s">
        <v>2970</v>
      </c>
      <c r="C849" t="s">
        <v>3366</v>
      </c>
      <c r="D849" t="s">
        <v>3367</v>
      </c>
      <c r="E849">
        <f>personnel_nonteach_sp3_borrowed_f</f>
        <v>0</v>
      </c>
      <c r="F849" t="b">
        <v>1</v>
      </c>
    </row>
    <row r="850" spans="1:6" x14ac:dyDescent="0.35">
      <c r="A850" t="s">
        <v>3446</v>
      </c>
      <c r="B850" t="s">
        <v>2970</v>
      </c>
      <c r="C850" t="s">
        <v>3446</v>
      </c>
      <c r="D850" t="s">
        <v>3447</v>
      </c>
      <c r="E850">
        <f>personnel_nonteach_sp2_psipop</f>
        <v>1</v>
      </c>
      <c r="F850" t="b">
        <v>1</v>
      </c>
    </row>
    <row r="851" spans="1:6" x14ac:dyDescent="0.35">
      <c r="A851" t="s">
        <v>3526</v>
      </c>
      <c r="B851" t="s">
        <v>2970</v>
      </c>
      <c r="C851" t="s">
        <v>3526</v>
      </c>
      <c r="D851" t="s">
        <v>3527</v>
      </c>
      <c r="E851">
        <f>personnel_nonteach_sp2_actual_m</f>
        <v>0</v>
      </c>
      <c r="F851" t="b">
        <v>1</v>
      </c>
    </row>
    <row r="852" spans="1:6" x14ac:dyDescent="0.35">
      <c r="A852" t="s">
        <v>3602</v>
      </c>
      <c r="B852" t="s">
        <v>2970</v>
      </c>
      <c r="C852" t="s">
        <v>3602</v>
      </c>
      <c r="D852" t="s">
        <v>3603</v>
      </c>
      <c r="E852">
        <f>personnel_nonteach_sp2_actual_f</f>
        <v>0</v>
      </c>
      <c r="F852" t="b">
        <v>1</v>
      </c>
    </row>
    <row r="853" spans="1:6" x14ac:dyDescent="0.35">
      <c r="A853" t="s">
        <v>3680</v>
      </c>
      <c r="B853" t="s">
        <v>2970</v>
      </c>
      <c r="C853" t="s">
        <v>3680</v>
      </c>
      <c r="D853" t="s">
        <v>3681</v>
      </c>
      <c r="E853">
        <f>personnel_nonteach_sp2_onleave</f>
        <v>0</v>
      </c>
      <c r="F853" t="b">
        <v>1</v>
      </c>
    </row>
    <row r="854" spans="1:6" x14ac:dyDescent="0.35">
      <c r="A854" t="s">
        <v>2978</v>
      </c>
      <c r="B854" t="s">
        <v>2970</v>
      </c>
      <c r="C854" t="s">
        <v>2978</v>
      </c>
      <c r="D854" t="s">
        <v>2979</v>
      </c>
      <c r="E854">
        <f>personnel_nonteach_sp2_vacant</f>
        <v>0</v>
      </c>
      <c r="F854" t="b">
        <v>1</v>
      </c>
    </row>
    <row r="855" spans="1:6" x14ac:dyDescent="0.35">
      <c r="A855" t="s">
        <v>3056</v>
      </c>
      <c r="B855" t="s">
        <v>2970</v>
      </c>
      <c r="C855" t="s">
        <v>3056</v>
      </c>
      <c r="D855" t="s">
        <v>3057</v>
      </c>
      <c r="E855">
        <f>personnel_nonteach_sp2_detailed_hs</f>
        <v>1</v>
      </c>
      <c r="F855" t="b">
        <v>1</v>
      </c>
    </row>
    <row r="856" spans="1:6" x14ac:dyDescent="0.35">
      <c r="A856" t="s">
        <v>3134</v>
      </c>
      <c r="B856" t="s">
        <v>2970</v>
      </c>
      <c r="C856" t="s">
        <v>3134</v>
      </c>
      <c r="D856" t="s">
        <v>3135</v>
      </c>
      <c r="E856">
        <f>personnel_nonteach_sp2_detailed_es</f>
        <v>0</v>
      </c>
      <c r="F856" t="b">
        <v>1</v>
      </c>
    </row>
    <row r="857" spans="1:6" x14ac:dyDescent="0.35">
      <c r="A857" t="s">
        <v>3212</v>
      </c>
      <c r="B857" t="s">
        <v>2970</v>
      </c>
      <c r="C857" t="s">
        <v>3212</v>
      </c>
      <c r="D857" t="s">
        <v>3213</v>
      </c>
      <c r="E857">
        <f>personnel_nonteach_sp2_detailed_outdiv</f>
        <v>0</v>
      </c>
      <c r="F857" t="b">
        <v>1</v>
      </c>
    </row>
    <row r="858" spans="1:6" x14ac:dyDescent="0.35">
      <c r="A858" t="s">
        <v>3290</v>
      </c>
      <c r="B858" t="s">
        <v>2970</v>
      </c>
      <c r="C858" t="s">
        <v>3290</v>
      </c>
      <c r="D858" t="s">
        <v>3291</v>
      </c>
      <c r="E858">
        <f>personnel_nonteach_sp2_borrowed_m</f>
        <v>0</v>
      </c>
      <c r="F858" t="b">
        <v>1</v>
      </c>
    </row>
    <row r="859" spans="1:6" x14ac:dyDescent="0.35">
      <c r="A859" t="s">
        <v>3368</v>
      </c>
      <c r="B859" t="s">
        <v>2970</v>
      </c>
      <c r="C859" t="s">
        <v>3368</v>
      </c>
      <c r="D859" t="s">
        <v>3369</v>
      </c>
      <c r="E859">
        <f>personnel_nonteach_sp2_borrowed_f</f>
        <v>0</v>
      </c>
      <c r="F859" t="b">
        <v>1</v>
      </c>
    </row>
    <row r="860" spans="1:6" x14ac:dyDescent="0.35">
      <c r="A860" t="s">
        <v>3448</v>
      </c>
      <c r="B860" t="s">
        <v>2970</v>
      </c>
      <c r="C860" t="s">
        <v>3448</v>
      </c>
      <c r="D860" t="s">
        <v>3449</v>
      </c>
      <c r="E860">
        <f>personnel_nonteach_sp1_psipop</f>
        <v>0</v>
      </c>
      <c r="F860" t="b">
        <v>1</v>
      </c>
    </row>
    <row r="861" spans="1:6" x14ac:dyDescent="0.35">
      <c r="A861" t="s">
        <v>3528</v>
      </c>
      <c r="B861" t="s">
        <v>2970</v>
      </c>
      <c r="C861" t="s">
        <v>3528</v>
      </c>
      <c r="D861" t="s">
        <v>3529</v>
      </c>
      <c r="E861">
        <f>personnel_nonteach_sp1_actual_m</f>
        <v>0</v>
      </c>
      <c r="F861" t="b">
        <v>1</v>
      </c>
    </row>
    <row r="862" spans="1:6" x14ac:dyDescent="0.35">
      <c r="A862" t="s">
        <v>3604</v>
      </c>
      <c r="B862" t="s">
        <v>2970</v>
      </c>
      <c r="C862" t="s">
        <v>3604</v>
      </c>
      <c r="D862" t="s">
        <v>3605</v>
      </c>
      <c r="E862">
        <f>personnel_nonteach_sp1_actual_f</f>
        <v>0</v>
      </c>
      <c r="F862" t="b">
        <v>1</v>
      </c>
    </row>
    <row r="863" spans="1:6" x14ac:dyDescent="0.35">
      <c r="A863" t="s">
        <v>3682</v>
      </c>
      <c r="B863" t="s">
        <v>2970</v>
      </c>
      <c r="C863" t="s">
        <v>3682</v>
      </c>
      <c r="D863" t="s">
        <v>3683</v>
      </c>
      <c r="E863">
        <f>personnel_nonteach_sp1_onleave</f>
        <v>0</v>
      </c>
      <c r="F863" t="b">
        <v>1</v>
      </c>
    </row>
    <row r="864" spans="1:6" x14ac:dyDescent="0.35">
      <c r="A864" t="s">
        <v>2980</v>
      </c>
      <c r="B864" t="s">
        <v>2970</v>
      </c>
      <c r="C864" t="s">
        <v>2980</v>
      </c>
      <c r="D864" t="s">
        <v>2981</v>
      </c>
      <c r="E864">
        <f>personnel_nonteach_sp1_vacant</f>
        <v>0</v>
      </c>
      <c r="F864" t="b">
        <v>1</v>
      </c>
    </row>
    <row r="865" spans="1:6" x14ac:dyDescent="0.35">
      <c r="A865" t="s">
        <v>3058</v>
      </c>
      <c r="B865" t="s">
        <v>2970</v>
      </c>
      <c r="C865" t="s">
        <v>3058</v>
      </c>
      <c r="D865" t="s">
        <v>3059</v>
      </c>
      <c r="E865">
        <f>personnel_nonteach_sp1_detailed_hs</f>
        <v>0</v>
      </c>
      <c r="F865" t="b">
        <v>1</v>
      </c>
    </row>
    <row r="866" spans="1:6" x14ac:dyDescent="0.35">
      <c r="A866" t="s">
        <v>3136</v>
      </c>
      <c r="B866" t="s">
        <v>2970</v>
      </c>
      <c r="C866" t="s">
        <v>3136</v>
      </c>
      <c r="D866" t="s">
        <v>3137</v>
      </c>
      <c r="E866">
        <f>personnel_nonteach_sp1_detailed_es</f>
        <v>0</v>
      </c>
      <c r="F866" t="b">
        <v>1</v>
      </c>
    </row>
    <row r="867" spans="1:6" x14ac:dyDescent="0.35">
      <c r="A867" t="s">
        <v>3214</v>
      </c>
      <c r="B867" t="s">
        <v>2970</v>
      </c>
      <c r="C867" t="s">
        <v>3214</v>
      </c>
      <c r="D867" t="s">
        <v>3215</v>
      </c>
      <c r="E867">
        <f>personnel_nonteach_sp1_detailed_outdiv</f>
        <v>0</v>
      </c>
      <c r="F867" t="b">
        <v>1</v>
      </c>
    </row>
    <row r="868" spans="1:6" x14ac:dyDescent="0.35">
      <c r="A868" t="s">
        <v>3292</v>
      </c>
      <c r="B868" t="s">
        <v>2970</v>
      </c>
      <c r="C868" t="s">
        <v>3292</v>
      </c>
      <c r="D868" t="s">
        <v>3293</v>
      </c>
      <c r="E868">
        <f>personnel_nonteach_sp1_borrowed_m</f>
        <v>0</v>
      </c>
      <c r="F868" t="b">
        <v>1</v>
      </c>
    </row>
    <row r="869" spans="1:6" x14ac:dyDescent="0.35">
      <c r="A869" t="s">
        <v>3370</v>
      </c>
      <c r="B869" t="s">
        <v>2970</v>
      </c>
      <c r="C869" t="s">
        <v>3370</v>
      </c>
      <c r="D869" t="s">
        <v>3371</v>
      </c>
      <c r="E869">
        <f>personnel_nonteach_sp1_borrowed_f</f>
        <v>0</v>
      </c>
      <c r="F869" t="b">
        <v>1</v>
      </c>
    </row>
    <row r="870" spans="1:6" x14ac:dyDescent="0.35">
      <c r="A870" t="s">
        <v>3450</v>
      </c>
      <c r="B870" t="s">
        <v>2970</v>
      </c>
      <c r="C870" t="s">
        <v>3450</v>
      </c>
      <c r="D870" t="s">
        <v>3451</v>
      </c>
      <c r="E870">
        <f>personnel_nonteach_ap3_psipop</f>
        <v>0</v>
      </c>
      <c r="F870" t="b">
        <v>1</v>
      </c>
    </row>
    <row r="871" spans="1:6" x14ac:dyDescent="0.35">
      <c r="A871" t="s">
        <v>3530</v>
      </c>
      <c r="B871" t="s">
        <v>2970</v>
      </c>
      <c r="C871" t="s">
        <v>3530</v>
      </c>
      <c r="D871" t="s">
        <v>3531</v>
      </c>
      <c r="E871">
        <f>personnel_nonteach_ap3_actual_m</f>
        <v>0</v>
      </c>
      <c r="F871" t="b">
        <v>1</v>
      </c>
    </row>
    <row r="872" spans="1:6" x14ac:dyDescent="0.35">
      <c r="A872" t="s">
        <v>3606</v>
      </c>
      <c r="B872" t="s">
        <v>2970</v>
      </c>
      <c r="C872" t="s">
        <v>3606</v>
      </c>
      <c r="D872" t="s">
        <v>3607</v>
      </c>
      <c r="E872">
        <f>personnel_nonteach_ap3_actual_f</f>
        <v>0</v>
      </c>
      <c r="F872" t="b">
        <v>1</v>
      </c>
    </row>
    <row r="873" spans="1:6" x14ac:dyDescent="0.35">
      <c r="A873" t="s">
        <v>3684</v>
      </c>
      <c r="B873" t="s">
        <v>2970</v>
      </c>
      <c r="C873" t="s">
        <v>3684</v>
      </c>
      <c r="D873" t="s">
        <v>3685</v>
      </c>
      <c r="E873">
        <f>personnel_nonteach_ap3_onleave</f>
        <v>0</v>
      </c>
      <c r="F873" t="b">
        <v>1</v>
      </c>
    </row>
    <row r="874" spans="1:6" x14ac:dyDescent="0.35">
      <c r="A874" t="s">
        <v>2982</v>
      </c>
      <c r="B874" t="s">
        <v>2970</v>
      </c>
      <c r="C874" t="s">
        <v>2982</v>
      </c>
      <c r="D874" t="s">
        <v>2983</v>
      </c>
      <c r="E874">
        <f>personnel_nonteach_ap3_vacant</f>
        <v>0</v>
      </c>
      <c r="F874" t="b">
        <v>1</v>
      </c>
    </row>
    <row r="875" spans="1:6" x14ac:dyDescent="0.35">
      <c r="A875" t="s">
        <v>3060</v>
      </c>
      <c r="B875" t="s">
        <v>2970</v>
      </c>
      <c r="C875" t="s">
        <v>3060</v>
      </c>
      <c r="D875" t="s">
        <v>3061</v>
      </c>
      <c r="E875">
        <f>personnel_nonteach_ap3_detailed_hs</f>
        <v>0</v>
      </c>
      <c r="F875" t="b">
        <v>1</v>
      </c>
    </row>
    <row r="876" spans="1:6" x14ac:dyDescent="0.35">
      <c r="A876" t="s">
        <v>3138</v>
      </c>
      <c r="B876" t="s">
        <v>2970</v>
      </c>
      <c r="C876" t="s">
        <v>3138</v>
      </c>
      <c r="D876" t="s">
        <v>3139</v>
      </c>
      <c r="E876">
        <f>personnel_nonteach_ap3_detailed_es</f>
        <v>0</v>
      </c>
      <c r="F876" t="b">
        <v>1</v>
      </c>
    </row>
    <row r="877" spans="1:6" x14ac:dyDescent="0.35">
      <c r="A877" t="s">
        <v>3216</v>
      </c>
      <c r="B877" t="s">
        <v>2970</v>
      </c>
      <c r="C877" t="s">
        <v>3216</v>
      </c>
      <c r="D877" t="s">
        <v>3217</v>
      </c>
      <c r="E877">
        <f>personnel_nonteach_ap3_detailed_outdiv</f>
        <v>0</v>
      </c>
      <c r="F877" t="b">
        <v>1</v>
      </c>
    </row>
    <row r="878" spans="1:6" x14ac:dyDescent="0.35">
      <c r="A878" t="s">
        <v>3294</v>
      </c>
      <c r="B878" t="s">
        <v>2970</v>
      </c>
      <c r="C878" t="s">
        <v>3294</v>
      </c>
      <c r="D878" t="s">
        <v>3295</v>
      </c>
      <c r="E878">
        <f>personnel_nonteach_ap3_borrowed_m</f>
        <v>0</v>
      </c>
      <c r="F878" t="b">
        <v>1</v>
      </c>
    </row>
    <row r="879" spans="1:6" x14ac:dyDescent="0.35">
      <c r="A879" t="s">
        <v>3372</v>
      </c>
      <c r="B879" t="s">
        <v>2970</v>
      </c>
      <c r="C879" t="s">
        <v>3372</v>
      </c>
      <c r="D879" t="s">
        <v>3373</v>
      </c>
      <c r="E879">
        <f>personnel_nonteach_ap3_borrowed_f</f>
        <v>0</v>
      </c>
      <c r="F879" t="b">
        <v>1</v>
      </c>
    </row>
    <row r="880" spans="1:6" x14ac:dyDescent="0.35">
      <c r="A880" t="s">
        <v>3452</v>
      </c>
      <c r="B880" t="s">
        <v>2970</v>
      </c>
      <c r="C880" t="s">
        <v>3452</v>
      </c>
      <c r="D880" t="s">
        <v>3453</v>
      </c>
      <c r="E880">
        <f>personnel_nonteach_ap2_psipop</f>
        <v>0</v>
      </c>
      <c r="F880" t="b">
        <v>1</v>
      </c>
    </row>
    <row r="881" spans="1:6" x14ac:dyDescent="0.35">
      <c r="A881" t="s">
        <v>3532</v>
      </c>
      <c r="B881" t="s">
        <v>2970</v>
      </c>
      <c r="C881" t="s">
        <v>3532</v>
      </c>
      <c r="D881" t="s">
        <v>3533</v>
      </c>
      <c r="E881">
        <f>personnel_nonteach_ap2_actual_m</f>
        <v>0</v>
      </c>
      <c r="F881" t="b">
        <v>1</v>
      </c>
    </row>
    <row r="882" spans="1:6" x14ac:dyDescent="0.35">
      <c r="A882" t="s">
        <v>3608</v>
      </c>
      <c r="B882" t="s">
        <v>2970</v>
      </c>
      <c r="C882" t="s">
        <v>3608</v>
      </c>
      <c r="D882" t="s">
        <v>3609</v>
      </c>
      <c r="E882">
        <f>personnel_nonteach_ap2_actual_f</f>
        <v>0</v>
      </c>
      <c r="F882" t="b">
        <v>1</v>
      </c>
    </row>
    <row r="883" spans="1:6" x14ac:dyDescent="0.35">
      <c r="A883" t="s">
        <v>3686</v>
      </c>
      <c r="B883" t="s">
        <v>2970</v>
      </c>
      <c r="C883" t="s">
        <v>3686</v>
      </c>
      <c r="D883" t="s">
        <v>3687</v>
      </c>
      <c r="E883">
        <f>personnel_nonteach_ap2_onleave</f>
        <v>0</v>
      </c>
      <c r="F883" t="b">
        <v>1</v>
      </c>
    </row>
    <row r="884" spans="1:6" x14ac:dyDescent="0.35">
      <c r="A884" t="s">
        <v>2984</v>
      </c>
      <c r="B884" t="s">
        <v>2970</v>
      </c>
      <c r="C884" t="s">
        <v>2984</v>
      </c>
      <c r="D884" t="s">
        <v>2985</v>
      </c>
      <c r="E884">
        <f>personnel_nonteach_ap2_vacant</f>
        <v>0</v>
      </c>
      <c r="F884" t="b">
        <v>1</v>
      </c>
    </row>
    <row r="885" spans="1:6" x14ac:dyDescent="0.35">
      <c r="A885" t="s">
        <v>3062</v>
      </c>
      <c r="B885" t="s">
        <v>2970</v>
      </c>
      <c r="C885" t="s">
        <v>3062</v>
      </c>
      <c r="D885" t="s">
        <v>3063</v>
      </c>
      <c r="E885">
        <f>personnel_nonteach_ap2_detailed_hs</f>
        <v>0</v>
      </c>
      <c r="F885" t="b">
        <v>1</v>
      </c>
    </row>
    <row r="886" spans="1:6" x14ac:dyDescent="0.35">
      <c r="A886" t="s">
        <v>3140</v>
      </c>
      <c r="B886" t="s">
        <v>2970</v>
      </c>
      <c r="C886" t="s">
        <v>3140</v>
      </c>
      <c r="D886" t="s">
        <v>3141</v>
      </c>
      <c r="E886">
        <f>personnel_nonteach_ap2_detailed_es</f>
        <v>0</v>
      </c>
      <c r="F886" t="b">
        <v>1</v>
      </c>
    </row>
    <row r="887" spans="1:6" x14ac:dyDescent="0.35">
      <c r="A887" t="s">
        <v>3218</v>
      </c>
      <c r="B887" t="s">
        <v>2970</v>
      </c>
      <c r="C887" t="s">
        <v>3218</v>
      </c>
      <c r="D887" t="s">
        <v>3219</v>
      </c>
      <c r="E887">
        <f>personnel_nonteach_ap2_detailed_outdiv</f>
        <v>0</v>
      </c>
      <c r="F887" t="b">
        <v>1</v>
      </c>
    </row>
    <row r="888" spans="1:6" x14ac:dyDescent="0.35">
      <c r="A888" t="s">
        <v>3296</v>
      </c>
      <c r="B888" t="s">
        <v>2970</v>
      </c>
      <c r="C888" t="s">
        <v>3296</v>
      </c>
      <c r="D888" t="s">
        <v>3297</v>
      </c>
      <c r="E888">
        <f>personnel_nonteach_ap2_borrowed_m</f>
        <v>0</v>
      </c>
      <c r="F888" t="b">
        <v>1</v>
      </c>
    </row>
    <row r="889" spans="1:6" x14ac:dyDescent="0.35">
      <c r="A889" t="s">
        <v>3374</v>
      </c>
      <c r="B889" t="s">
        <v>2970</v>
      </c>
      <c r="C889" t="s">
        <v>3374</v>
      </c>
      <c r="D889" t="s">
        <v>3375</v>
      </c>
      <c r="E889">
        <f>personnel_nonteach_ap2_borrowed_f</f>
        <v>0</v>
      </c>
      <c r="F889" t="b">
        <v>1</v>
      </c>
    </row>
    <row r="890" spans="1:6" x14ac:dyDescent="0.35">
      <c r="A890" t="s">
        <v>3454</v>
      </c>
      <c r="B890" t="s">
        <v>2970</v>
      </c>
      <c r="C890" t="s">
        <v>3454</v>
      </c>
      <c r="D890" t="s">
        <v>3455</v>
      </c>
      <c r="E890">
        <f>personnel_nonteach_ap1_psipop</f>
        <v>0</v>
      </c>
      <c r="F890" t="b">
        <v>1</v>
      </c>
    </row>
    <row r="891" spans="1:6" x14ac:dyDescent="0.35">
      <c r="A891" t="s">
        <v>3534</v>
      </c>
      <c r="B891" t="s">
        <v>2970</v>
      </c>
      <c r="C891" t="s">
        <v>3534</v>
      </c>
      <c r="D891" t="s">
        <v>3535</v>
      </c>
      <c r="E891">
        <f>personnel_nonteach_ap1_actual_m</f>
        <v>0</v>
      </c>
      <c r="F891" t="b">
        <v>1</v>
      </c>
    </row>
    <row r="892" spans="1:6" x14ac:dyDescent="0.35">
      <c r="A892" t="s">
        <v>3610</v>
      </c>
      <c r="B892" t="s">
        <v>2970</v>
      </c>
      <c r="C892" t="s">
        <v>3610</v>
      </c>
      <c r="D892" t="s">
        <v>3611</v>
      </c>
      <c r="E892">
        <f>personnel_nonteach_ap1_actual_f</f>
        <v>0</v>
      </c>
      <c r="F892" t="b">
        <v>1</v>
      </c>
    </row>
    <row r="893" spans="1:6" x14ac:dyDescent="0.35">
      <c r="A893" t="s">
        <v>3688</v>
      </c>
      <c r="B893" t="s">
        <v>2970</v>
      </c>
      <c r="C893" t="s">
        <v>3688</v>
      </c>
      <c r="D893" t="s">
        <v>3689</v>
      </c>
      <c r="E893">
        <f>personnel_nonteach_ap1_onleave</f>
        <v>0</v>
      </c>
      <c r="F893" t="b">
        <v>1</v>
      </c>
    </row>
    <row r="894" spans="1:6" x14ac:dyDescent="0.35">
      <c r="A894" t="s">
        <v>2986</v>
      </c>
      <c r="B894" t="s">
        <v>2970</v>
      </c>
      <c r="C894" t="s">
        <v>2986</v>
      </c>
      <c r="D894" t="s">
        <v>2987</v>
      </c>
      <c r="E894">
        <f>personnel_nonteach_ap1_vacant</f>
        <v>0</v>
      </c>
      <c r="F894" t="b">
        <v>1</v>
      </c>
    </row>
    <row r="895" spans="1:6" x14ac:dyDescent="0.35">
      <c r="A895" t="s">
        <v>3064</v>
      </c>
      <c r="B895" t="s">
        <v>2970</v>
      </c>
      <c r="C895" t="s">
        <v>3064</v>
      </c>
      <c r="D895" t="s">
        <v>3065</v>
      </c>
      <c r="E895">
        <f>personnel_nonteach_ap1_detailed_hs</f>
        <v>0</v>
      </c>
      <c r="F895" t="b">
        <v>1</v>
      </c>
    </row>
    <row r="896" spans="1:6" x14ac:dyDescent="0.35">
      <c r="A896" t="s">
        <v>3142</v>
      </c>
      <c r="B896" t="s">
        <v>2970</v>
      </c>
      <c r="C896" t="s">
        <v>3142</v>
      </c>
      <c r="D896" t="s">
        <v>3143</v>
      </c>
      <c r="E896">
        <f>personnel_nonteach_ap1_detailed_es</f>
        <v>0</v>
      </c>
      <c r="F896" t="b">
        <v>1</v>
      </c>
    </row>
    <row r="897" spans="1:6" x14ac:dyDescent="0.35">
      <c r="A897" t="s">
        <v>3220</v>
      </c>
      <c r="B897" t="s">
        <v>2970</v>
      </c>
      <c r="C897" t="s">
        <v>3220</v>
      </c>
      <c r="D897" t="s">
        <v>3221</v>
      </c>
      <c r="E897">
        <f>personnel_nonteach_ap1_detailed_outdiv</f>
        <v>0</v>
      </c>
      <c r="F897" t="b">
        <v>1</v>
      </c>
    </row>
    <row r="898" spans="1:6" x14ac:dyDescent="0.35">
      <c r="A898" t="s">
        <v>3298</v>
      </c>
      <c r="B898" t="s">
        <v>2970</v>
      </c>
      <c r="C898" t="s">
        <v>3298</v>
      </c>
      <c r="D898" t="s">
        <v>3299</v>
      </c>
      <c r="E898">
        <f>personnel_nonteach_ap1_borrowed_m</f>
        <v>0</v>
      </c>
      <c r="F898" t="b">
        <v>1</v>
      </c>
    </row>
    <row r="899" spans="1:6" x14ac:dyDescent="0.35">
      <c r="A899" t="s">
        <v>3376</v>
      </c>
      <c r="B899" t="s">
        <v>2970</v>
      </c>
      <c r="C899" t="s">
        <v>3376</v>
      </c>
      <c r="D899" t="s">
        <v>3377</v>
      </c>
      <c r="E899">
        <f>personnel_nonteach_ap1_borrowed_f</f>
        <v>0</v>
      </c>
      <c r="F899" t="b">
        <v>1</v>
      </c>
    </row>
    <row r="900" spans="1:6" x14ac:dyDescent="0.35">
      <c r="A900" t="s">
        <v>3456</v>
      </c>
      <c r="B900" t="s">
        <v>2970</v>
      </c>
      <c r="C900" t="s">
        <v>3456</v>
      </c>
      <c r="D900" t="s">
        <v>3457</v>
      </c>
      <c r="E900">
        <f>personnel_nonteach_ht6_psipop</f>
        <v>0</v>
      </c>
      <c r="F900" t="b">
        <v>1</v>
      </c>
    </row>
    <row r="901" spans="1:6" x14ac:dyDescent="0.35">
      <c r="A901" t="s">
        <v>3536</v>
      </c>
      <c r="B901" t="s">
        <v>2970</v>
      </c>
      <c r="C901" t="s">
        <v>3536</v>
      </c>
      <c r="D901" t="s">
        <v>3537</v>
      </c>
      <c r="E901">
        <f>personnel_nonteach_ht6_actual_m</f>
        <v>0</v>
      </c>
      <c r="F901" t="b">
        <v>1</v>
      </c>
    </row>
    <row r="902" spans="1:6" x14ac:dyDescent="0.35">
      <c r="A902" t="s">
        <v>3612</v>
      </c>
      <c r="B902" t="s">
        <v>2970</v>
      </c>
      <c r="C902" t="s">
        <v>3612</v>
      </c>
      <c r="D902" t="s">
        <v>3613</v>
      </c>
      <c r="E902">
        <f>personnel_nonteach_ht6_actual_f</f>
        <v>0</v>
      </c>
      <c r="F902" t="b">
        <v>1</v>
      </c>
    </row>
    <row r="903" spans="1:6" x14ac:dyDescent="0.35">
      <c r="A903" t="s">
        <v>3690</v>
      </c>
      <c r="B903" t="s">
        <v>2970</v>
      </c>
      <c r="C903" t="s">
        <v>3690</v>
      </c>
      <c r="D903" t="s">
        <v>3691</v>
      </c>
      <c r="E903">
        <f>personnel_nonteach_ht6_onleave</f>
        <v>0</v>
      </c>
      <c r="F903" t="b">
        <v>1</v>
      </c>
    </row>
    <row r="904" spans="1:6" x14ac:dyDescent="0.35">
      <c r="A904" t="s">
        <v>2988</v>
      </c>
      <c r="B904" t="s">
        <v>2970</v>
      </c>
      <c r="C904" t="s">
        <v>2988</v>
      </c>
      <c r="D904" t="s">
        <v>2989</v>
      </c>
      <c r="E904">
        <f>personnel_nonteach_ht6_vacant</f>
        <v>0</v>
      </c>
      <c r="F904" t="b">
        <v>1</v>
      </c>
    </row>
    <row r="905" spans="1:6" x14ac:dyDescent="0.35">
      <c r="A905" t="s">
        <v>3066</v>
      </c>
      <c r="B905" t="s">
        <v>2970</v>
      </c>
      <c r="C905" t="s">
        <v>3066</v>
      </c>
      <c r="D905" t="s">
        <v>3067</v>
      </c>
      <c r="E905">
        <f>personnel_nonteach_ht6_detailed_hs</f>
        <v>0</v>
      </c>
      <c r="F905" t="b">
        <v>1</v>
      </c>
    </row>
    <row r="906" spans="1:6" x14ac:dyDescent="0.35">
      <c r="A906" t="s">
        <v>3144</v>
      </c>
      <c r="B906" t="s">
        <v>2970</v>
      </c>
      <c r="C906" t="s">
        <v>3144</v>
      </c>
      <c r="D906" t="s">
        <v>3145</v>
      </c>
      <c r="E906">
        <f>personnel_nonteach_ht6_detailed_es</f>
        <v>0</v>
      </c>
      <c r="F906" t="b">
        <v>1</v>
      </c>
    </row>
    <row r="907" spans="1:6" x14ac:dyDescent="0.35">
      <c r="A907" t="s">
        <v>3222</v>
      </c>
      <c r="B907" t="s">
        <v>2970</v>
      </c>
      <c r="C907" t="s">
        <v>3222</v>
      </c>
      <c r="D907" t="s">
        <v>3223</v>
      </c>
      <c r="E907">
        <f>personnel_nonteach_ht6_detailed_outdiv</f>
        <v>0</v>
      </c>
      <c r="F907" t="b">
        <v>1</v>
      </c>
    </row>
    <row r="908" spans="1:6" x14ac:dyDescent="0.35">
      <c r="A908" t="s">
        <v>3300</v>
      </c>
      <c r="B908" t="s">
        <v>2970</v>
      </c>
      <c r="C908" t="s">
        <v>3300</v>
      </c>
      <c r="D908" t="s">
        <v>3301</v>
      </c>
      <c r="E908">
        <f>personnel_nonteach_ht6_borrowed_m</f>
        <v>0</v>
      </c>
      <c r="F908" t="b">
        <v>1</v>
      </c>
    </row>
    <row r="909" spans="1:6" x14ac:dyDescent="0.35">
      <c r="A909" t="s">
        <v>3378</v>
      </c>
      <c r="B909" t="s">
        <v>2970</v>
      </c>
      <c r="C909" t="s">
        <v>3378</v>
      </c>
      <c r="D909" t="s">
        <v>3379</v>
      </c>
      <c r="E909">
        <f>personnel_nonteach_ht6_borrowed_f</f>
        <v>0</v>
      </c>
      <c r="F909" t="b">
        <v>1</v>
      </c>
    </row>
    <row r="910" spans="1:6" x14ac:dyDescent="0.35">
      <c r="A910" t="s">
        <v>3458</v>
      </c>
      <c r="B910" t="s">
        <v>2970</v>
      </c>
      <c r="C910" t="s">
        <v>3458</v>
      </c>
      <c r="D910" t="s">
        <v>3459</v>
      </c>
      <c r="E910">
        <f>personnel_nonteach_ht5_psipop</f>
        <v>0</v>
      </c>
      <c r="F910" t="b">
        <v>1</v>
      </c>
    </row>
    <row r="911" spans="1:6" x14ac:dyDescent="0.35">
      <c r="A911" t="s">
        <v>3538</v>
      </c>
      <c r="B911" t="s">
        <v>2970</v>
      </c>
      <c r="C911" t="s">
        <v>3538</v>
      </c>
      <c r="D911" t="s">
        <v>3539</v>
      </c>
      <c r="E911">
        <f>personnel_nonteach_ht5_actual_m</f>
        <v>0</v>
      </c>
      <c r="F911" t="b">
        <v>1</v>
      </c>
    </row>
    <row r="912" spans="1:6" x14ac:dyDescent="0.35">
      <c r="A912" t="s">
        <v>3614</v>
      </c>
      <c r="B912" t="s">
        <v>2970</v>
      </c>
      <c r="C912" t="s">
        <v>3614</v>
      </c>
      <c r="D912" t="s">
        <v>3615</v>
      </c>
      <c r="E912">
        <f>personnel_nonteach_ht5_actual_f</f>
        <v>0</v>
      </c>
      <c r="F912" t="b">
        <v>1</v>
      </c>
    </row>
    <row r="913" spans="1:6" x14ac:dyDescent="0.35">
      <c r="A913" t="s">
        <v>3692</v>
      </c>
      <c r="B913" t="s">
        <v>2970</v>
      </c>
      <c r="C913" t="s">
        <v>3692</v>
      </c>
      <c r="D913" t="s">
        <v>3693</v>
      </c>
      <c r="E913">
        <f>personnel_nonteach_ht5_onleave</f>
        <v>0</v>
      </c>
      <c r="F913" t="b">
        <v>1</v>
      </c>
    </row>
    <row r="914" spans="1:6" x14ac:dyDescent="0.35">
      <c r="A914" t="s">
        <v>2990</v>
      </c>
      <c r="B914" t="s">
        <v>2970</v>
      </c>
      <c r="C914" t="s">
        <v>2990</v>
      </c>
      <c r="D914" t="s">
        <v>2991</v>
      </c>
      <c r="E914">
        <f>personnel_nonteach_ht5_vacant</f>
        <v>0</v>
      </c>
      <c r="F914" t="b">
        <v>1</v>
      </c>
    </row>
    <row r="915" spans="1:6" x14ac:dyDescent="0.35">
      <c r="A915" t="s">
        <v>3068</v>
      </c>
      <c r="B915" t="s">
        <v>2970</v>
      </c>
      <c r="C915" t="s">
        <v>3068</v>
      </c>
      <c r="D915" t="s">
        <v>3069</v>
      </c>
      <c r="E915">
        <f>personnel_nonteach_ht5_detailed_hs</f>
        <v>0</v>
      </c>
      <c r="F915" t="b">
        <v>1</v>
      </c>
    </row>
    <row r="916" spans="1:6" x14ac:dyDescent="0.35">
      <c r="A916" t="s">
        <v>3146</v>
      </c>
      <c r="B916" t="s">
        <v>2970</v>
      </c>
      <c r="C916" t="s">
        <v>3146</v>
      </c>
      <c r="D916" t="s">
        <v>3147</v>
      </c>
      <c r="E916">
        <f>personnel_nonteach_ht5_detailed_es</f>
        <v>0</v>
      </c>
      <c r="F916" t="b">
        <v>1</v>
      </c>
    </row>
    <row r="917" spans="1:6" x14ac:dyDescent="0.35">
      <c r="A917" t="s">
        <v>3224</v>
      </c>
      <c r="B917" t="s">
        <v>2970</v>
      </c>
      <c r="C917" t="s">
        <v>3224</v>
      </c>
      <c r="D917" t="s">
        <v>3225</v>
      </c>
      <c r="E917">
        <f>personnel_nonteach_ht5_detailed_outdiv</f>
        <v>0</v>
      </c>
      <c r="F917" t="b">
        <v>1</v>
      </c>
    </row>
    <row r="918" spans="1:6" x14ac:dyDescent="0.35">
      <c r="A918" t="s">
        <v>3302</v>
      </c>
      <c r="B918" t="s">
        <v>2970</v>
      </c>
      <c r="C918" t="s">
        <v>3302</v>
      </c>
      <c r="D918" t="s">
        <v>3303</v>
      </c>
      <c r="E918">
        <f>personnel_nonteach_ht5_borrowed_m</f>
        <v>0</v>
      </c>
      <c r="F918" t="b">
        <v>1</v>
      </c>
    </row>
    <row r="919" spans="1:6" x14ac:dyDescent="0.35">
      <c r="A919" t="s">
        <v>3380</v>
      </c>
      <c r="B919" t="s">
        <v>2970</v>
      </c>
      <c r="C919" t="s">
        <v>3380</v>
      </c>
      <c r="D919" t="s">
        <v>3381</v>
      </c>
      <c r="E919">
        <f>personnel_nonteach_ht5_borrowed_f</f>
        <v>0</v>
      </c>
      <c r="F919" t="b">
        <v>1</v>
      </c>
    </row>
    <row r="920" spans="1:6" x14ac:dyDescent="0.35">
      <c r="A920" t="s">
        <v>3460</v>
      </c>
      <c r="B920" t="s">
        <v>2970</v>
      </c>
      <c r="C920" t="s">
        <v>3460</v>
      </c>
      <c r="D920" t="s">
        <v>3461</v>
      </c>
      <c r="E920">
        <f>personnel_nonteach_ht4_psipop</f>
        <v>0</v>
      </c>
      <c r="F920" t="b">
        <v>1</v>
      </c>
    </row>
    <row r="921" spans="1:6" x14ac:dyDescent="0.35">
      <c r="A921" t="s">
        <v>3540</v>
      </c>
      <c r="B921" t="s">
        <v>2970</v>
      </c>
      <c r="C921" t="s">
        <v>3540</v>
      </c>
      <c r="D921" t="s">
        <v>3541</v>
      </c>
      <c r="E921">
        <f>personnel_nonteach_ht4_actual_m</f>
        <v>0</v>
      </c>
      <c r="F921" t="b">
        <v>1</v>
      </c>
    </row>
    <row r="922" spans="1:6" x14ac:dyDescent="0.35">
      <c r="A922" t="s">
        <v>3616</v>
      </c>
      <c r="B922" t="s">
        <v>2970</v>
      </c>
      <c r="C922" t="s">
        <v>3616</v>
      </c>
      <c r="D922" t="s">
        <v>3617</v>
      </c>
      <c r="E922">
        <f>personnel_nonteach_ht4_actual_f</f>
        <v>0</v>
      </c>
      <c r="F922" t="b">
        <v>1</v>
      </c>
    </row>
    <row r="923" spans="1:6" x14ac:dyDescent="0.35">
      <c r="A923" t="s">
        <v>3694</v>
      </c>
      <c r="B923" t="s">
        <v>2970</v>
      </c>
      <c r="C923" t="s">
        <v>3694</v>
      </c>
      <c r="D923" t="s">
        <v>3695</v>
      </c>
      <c r="E923">
        <f>personnel_nonteach_ht4_onleave</f>
        <v>0</v>
      </c>
      <c r="F923" t="b">
        <v>1</v>
      </c>
    </row>
    <row r="924" spans="1:6" x14ac:dyDescent="0.35">
      <c r="A924" t="s">
        <v>2992</v>
      </c>
      <c r="B924" t="s">
        <v>2970</v>
      </c>
      <c r="C924" t="s">
        <v>2992</v>
      </c>
      <c r="D924" t="s">
        <v>2993</v>
      </c>
      <c r="E924">
        <f>personnel_nonteach_ht4_vacant</f>
        <v>0</v>
      </c>
      <c r="F924" t="b">
        <v>1</v>
      </c>
    </row>
    <row r="925" spans="1:6" x14ac:dyDescent="0.35">
      <c r="A925" t="s">
        <v>3070</v>
      </c>
      <c r="B925" t="s">
        <v>2970</v>
      </c>
      <c r="C925" t="s">
        <v>3070</v>
      </c>
      <c r="D925" t="s">
        <v>3071</v>
      </c>
      <c r="E925">
        <f>personnel_nonteach_ht4_detailed_hs</f>
        <v>0</v>
      </c>
      <c r="F925" t="b">
        <v>1</v>
      </c>
    </row>
    <row r="926" spans="1:6" x14ac:dyDescent="0.35">
      <c r="A926" t="s">
        <v>3148</v>
      </c>
      <c r="B926" t="s">
        <v>2970</v>
      </c>
      <c r="C926" t="s">
        <v>3148</v>
      </c>
      <c r="D926" t="s">
        <v>3149</v>
      </c>
      <c r="E926">
        <f>personnel_nonteach_ht4_detailed_es</f>
        <v>0</v>
      </c>
      <c r="F926" t="b">
        <v>1</v>
      </c>
    </row>
    <row r="927" spans="1:6" x14ac:dyDescent="0.35">
      <c r="A927" t="s">
        <v>3226</v>
      </c>
      <c r="B927" t="s">
        <v>2970</v>
      </c>
      <c r="C927" t="s">
        <v>3226</v>
      </c>
      <c r="D927" t="s">
        <v>3227</v>
      </c>
      <c r="E927">
        <f>personnel_nonteach_ht4_detailed_outdiv</f>
        <v>0</v>
      </c>
      <c r="F927" t="b">
        <v>1</v>
      </c>
    </row>
    <row r="928" spans="1:6" x14ac:dyDescent="0.35">
      <c r="A928" t="s">
        <v>3304</v>
      </c>
      <c r="B928" t="s">
        <v>2970</v>
      </c>
      <c r="C928" t="s">
        <v>3304</v>
      </c>
      <c r="D928" t="s">
        <v>3305</v>
      </c>
      <c r="E928">
        <f>personnel_nonteach_ht4_borrowed_m</f>
        <v>0</v>
      </c>
      <c r="F928" t="b">
        <v>1</v>
      </c>
    </row>
    <row r="929" spans="1:6" x14ac:dyDescent="0.35">
      <c r="A929" t="s">
        <v>3382</v>
      </c>
      <c r="B929" t="s">
        <v>2970</v>
      </c>
      <c r="C929" t="s">
        <v>3382</v>
      </c>
      <c r="D929" t="s">
        <v>3383</v>
      </c>
      <c r="E929">
        <f>personnel_nonteach_ht4_borrowed_f</f>
        <v>0</v>
      </c>
      <c r="F929" t="b">
        <v>1</v>
      </c>
    </row>
    <row r="930" spans="1:6" x14ac:dyDescent="0.35">
      <c r="A930" t="s">
        <v>3462</v>
      </c>
      <c r="B930" t="s">
        <v>2970</v>
      </c>
      <c r="C930" t="s">
        <v>3462</v>
      </c>
      <c r="D930" t="s">
        <v>3463</v>
      </c>
      <c r="E930">
        <f>personnel_nonteach_ht3_psipop</f>
        <v>4</v>
      </c>
      <c r="F930" t="b">
        <v>1</v>
      </c>
    </row>
    <row r="931" spans="1:6" x14ac:dyDescent="0.35">
      <c r="A931" t="s">
        <v>3542</v>
      </c>
      <c r="B931" t="s">
        <v>2970</v>
      </c>
      <c r="C931" t="s">
        <v>3542</v>
      </c>
      <c r="D931" t="s">
        <v>3543</v>
      </c>
      <c r="E931">
        <f>personnel_nonteach_ht3_actual_m</f>
        <v>1</v>
      </c>
      <c r="F931" t="b">
        <v>1</v>
      </c>
    </row>
    <row r="932" spans="1:6" x14ac:dyDescent="0.35">
      <c r="A932" t="s">
        <v>3618</v>
      </c>
      <c r="B932" t="s">
        <v>2970</v>
      </c>
      <c r="C932" t="s">
        <v>3618</v>
      </c>
      <c r="D932" t="s">
        <v>3619</v>
      </c>
      <c r="E932">
        <f>personnel_nonteach_ht3_actual_f</f>
        <v>3</v>
      </c>
      <c r="F932" t="b">
        <v>1</v>
      </c>
    </row>
    <row r="933" spans="1:6" x14ac:dyDescent="0.35">
      <c r="A933" t="s">
        <v>3696</v>
      </c>
      <c r="B933" t="s">
        <v>2970</v>
      </c>
      <c r="C933" t="s">
        <v>3696</v>
      </c>
      <c r="D933" t="s">
        <v>3697</v>
      </c>
      <c r="E933">
        <f>personnel_nonteach_ht3_onleave</f>
        <v>0</v>
      </c>
      <c r="F933" t="b">
        <v>1</v>
      </c>
    </row>
    <row r="934" spans="1:6" x14ac:dyDescent="0.35">
      <c r="A934" t="s">
        <v>2994</v>
      </c>
      <c r="B934" t="s">
        <v>2970</v>
      </c>
      <c r="C934" t="s">
        <v>2994</v>
      </c>
      <c r="D934" t="s">
        <v>2995</v>
      </c>
      <c r="E934">
        <f>personnel_nonteach_ht3_vacant</f>
        <v>0</v>
      </c>
      <c r="F934" t="b">
        <v>1</v>
      </c>
    </row>
    <row r="935" spans="1:6" x14ac:dyDescent="0.35">
      <c r="A935" t="s">
        <v>3072</v>
      </c>
      <c r="B935" t="s">
        <v>2970</v>
      </c>
      <c r="C935" t="s">
        <v>3072</v>
      </c>
      <c r="D935" t="s">
        <v>3073</v>
      </c>
      <c r="E935">
        <f>personnel_nonteach_ht3_detailed_hs</f>
        <v>0</v>
      </c>
      <c r="F935" t="b">
        <v>1</v>
      </c>
    </row>
    <row r="936" spans="1:6" x14ac:dyDescent="0.35">
      <c r="A936" t="s">
        <v>3150</v>
      </c>
      <c r="B936" t="s">
        <v>2970</v>
      </c>
      <c r="C936" t="s">
        <v>3150</v>
      </c>
      <c r="D936" t="s">
        <v>3151</v>
      </c>
      <c r="E936">
        <f>personnel_nonteach_ht3_detailed_es</f>
        <v>0</v>
      </c>
      <c r="F936" t="b">
        <v>1</v>
      </c>
    </row>
    <row r="937" spans="1:6" x14ac:dyDescent="0.35">
      <c r="A937" t="s">
        <v>3228</v>
      </c>
      <c r="B937" t="s">
        <v>2970</v>
      </c>
      <c r="C937" t="s">
        <v>3228</v>
      </c>
      <c r="D937" t="s">
        <v>3229</v>
      </c>
      <c r="E937">
        <f>personnel_nonteach_ht3_detailed_outdiv</f>
        <v>0</v>
      </c>
      <c r="F937" t="b">
        <v>1</v>
      </c>
    </row>
    <row r="938" spans="1:6" x14ac:dyDescent="0.35">
      <c r="A938" t="s">
        <v>3306</v>
      </c>
      <c r="B938" t="s">
        <v>2970</v>
      </c>
      <c r="C938" t="s">
        <v>3306</v>
      </c>
      <c r="D938" t="s">
        <v>3307</v>
      </c>
      <c r="E938">
        <f>personnel_nonteach_ht3_borrowed_m</f>
        <v>0</v>
      </c>
      <c r="F938" t="b">
        <v>1</v>
      </c>
    </row>
    <row r="939" spans="1:6" x14ac:dyDescent="0.35">
      <c r="A939" t="s">
        <v>3384</v>
      </c>
      <c r="B939" t="s">
        <v>2970</v>
      </c>
      <c r="C939" t="s">
        <v>3384</v>
      </c>
      <c r="D939" t="s">
        <v>3385</v>
      </c>
      <c r="E939">
        <f>personnel_nonteach_ht3_borrowed_f</f>
        <v>0</v>
      </c>
      <c r="F939" t="b">
        <v>1</v>
      </c>
    </row>
    <row r="940" spans="1:6" x14ac:dyDescent="0.35">
      <c r="A940" t="s">
        <v>3464</v>
      </c>
      <c r="B940" t="s">
        <v>2970</v>
      </c>
      <c r="C940" t="s">
        <v>3464</v>
      </c>
      <c r="D940" t="s">
        <v>3465</v>
      </c>
      <c r="E940">
        <f>personnel_nonteach_ht2_psipop</f>
        <v>0</v>
      </c>
      <c r="F940" t="b">
        <v>1</v>
      </c>
    </row>
    <row r="941" spans="1:6" x14ac:dyDescent="0.35">
      <c r="A941" t="s">
        <v>3544</v>
      </c>
      <c r="B941" t="s">
        <v>2970</v>
      </c>
      <c r="C941" t="s">
        <v>3544</v>
      </c>
      <c r="D941" t="s">
        <v>3545</v>
      </c>
      <c r="E941">
        <f>personnel_nonteach_ht2_actual_m</f>
        <v>0</v>
      </c>
      <c r="F941" t="b">
        <v>1</v>
      </c>
    </row>
    <row r="942" spans="1:6" x14ac:dyDescent="0.35">
      <c r="A942" t="s">
        <v>3620</v>
      </c>
      <c r="B942" t="s">
        <v>2970</v>
      </c>
      <c r="C942" t="s">
        <v>3620</v>
      </c>
      <c r="D942" t="s">
        <v>3621</v>
      </c>
      <c r="E942">
        <f>personnel_nonteach_ht2_actual_f</f>
        <v>0</v>
      </c>
      <c r="F942" t="b">
        <v>1</v>
      </c>
    </row>
    <row r="943" spans="1:6" x14ac:dyDescent="0.35">
      <c r="A943" t="s">
        <v>3698</v>
      </c>
      <c r="B943" t="s">
        <v>2970</v>
      </c>
      <c r="C943" t="s">
        <v>3698</v>
      </c>
      <c r="D943" t="s">
        <v>3699</v>
      </c>
      <c r="E943">
        <f>personnel_nonteach_ht2_onleave</f>
        <v>0</v>
      </c>
      <c r="F943" t="b">
        <v>1</v>
      </c>
    </row>
    <row r="944" spans="1:6" x14ac:dyDescent="0.35">
      <c r="A944" t="s">
        <v>2996</v>
      </c>
      <c r="B944" t="s">
        <v>2970</v>
      </c>
      <c r="C944" t="s">
        <v>2996</v>
      </c>
      <c r="D944" t="s">
        <v>2997</v>
      </c>
      <c r="E944">
        <f>personnel_nonteach_ht2_vacant</f>
        <v>0</v>
      </c>
      <c r="F944" t="b">
        <v>1</v>
      </c>
    </row>
    <row r="945" spans="1:6" x14ac:dyDescent="0.35">
      <c r="A945" t="s">
        <v>3074</v>
      </c>
      <c r="B945" t="s">
        <v>2970</v>
      </c>
      <c r="C945" t="s">
        <v>3074</v>
      </c>
      <c r="D945" t="s">
        <v>3075</v>
      </c>
      <c r="E945">
        <f>personnel_nonteach_ht2_detailed_hs</f>
        <v>0</v>
      </c>
      <c r="F945" t="b">
        <v>1</v>
      </c>
    </row>
    <row r="946" spans="1:6" x14ac:dyDescent="0.35">
      <c r="A946" t="s">
        <v>3152</v>
      </c>
      <c r="B946" t="s">
        <v>2970</v>
      </c>
      <c r="C946" t="s">
        <v>3152</v>
      </c>
      <c r="D946" t="s">
        <v>3153</v>
      </c>
      <c r="E946">
        <f>personnel_nonteach_ht2_detailed_es</f>
        <v>0</v>
      </c>
      <c r="F946" t="b">
        <v>1</v>
      </c>
    </row>
    <row r="947" spans="1:6" x14ac:dyDescent="0.35">
      <c r="A947" t="s">
        <v>3230</v>
      </c>
      <c r="B947" t="s">
        <v>2970</v>
      </c>
      <c r="C947" t="s">
        <v>3230</v>
      </c>
      <c r="D947" t="s">
        <v>3231</v>
      </c>
      <c r="E947">
        <f>personnel_nonteach_ht2_detailed_outdiv</f>
        <v>0</v>
      </c>
      <c r="F947" t="b">
        <v>1</v>
      </c>
    </row>
    <row r="948" spans="1:6" x14ac:dyDescent="0.35">
      <c r="A948" t="s">
        <v>3308</v>
      </c>
      <c r="B948" t="s">
        <v>2970</v>
      </c>
      <c r="C948" t="s">
        <v>3308</v>
      </c>
      <c r="D948" t="s">
        <v>3309</v>
      </c>
      <c r="E948">
        <f>personnel_nonteach_ht2_borrowed_m</f>
        <v>0</v>
      </c>
      <c r="F948" t="b">
        <v>1</v>
      </c>
    </row>
    <row r="949" spans="1:6" x14ac:dyDescent="0.35">
      <c r="A949" t="s">
        <v>3386</v>
      </c>
      <c r="B949" t="s">
        <v>2970</v>
      </c>
      <c r="C949" t="s">
        <v>3386</v>
      </c>
      <c r="D949" t="s">
        <v>3387</v>
      </c>
      <c r="E949">
        <f>personnel_nonteach_ht2_borrowed_f</f>
        <v>0</v>
      </c>
      <c r="F949" t="b">
        <v>1</v>
      </c>
    </row>
    <row r="950" spans="1:6" x14ac:dyDescent="0.35">
      <c r="A950" t="s">
        <v>3466</v>
      </c>
      <c r="B950" t="s">
        <v>2970</v>
      </c>
      <c r="C950" t="s">
        <v>3466</v>
      </c>
      <c r="D950" t="s">
        <v>3467</v>
      </c>
      <c r="E950">
        <f>personnel_nonteach_ht1_psipop</f>
        <v>2</v>
      </c>
      <c r="F950" t="b">
        <v>1</v>
      </c>
    </row>
    <row r="951" spans="1:6" x14ac:dyDescent="0.35">
      <c r="A951" t="s">
        <v>3546</v>
      </c>
      <c r="B951" t="s">
        <v>2970</v>
      </c>
      <c r="C951" t="s">
        <v>3546</v>
      </c>
      <c r="D951" t="s">
        <v>3547</v>
      </c>
      <c r="E951">
        <f>personnel_nonteach_ht1_actual_m</f>
        <v>1</v>
      </c>
      <c r="F951" t="b">
        <v>1</v>
      </c>
    </row>
    <row r="952" spans="1:6" x14ac:dyDescent="0.35">
      <c r="A952" t="s">
        <v>3622</v>
      </c>
      <c r="B952" t="s">
        <v>2970</v>
      </c>
      <c r="C952" t="s">
        <v>3622</v>
      </c>
      <c r="D952" t="s">
        <v>3623</v>
      </c>
      <c r="E952">
        <f>personnel_nonteach_ht1_actual_f</f>
        <v>1</v>
      </c>
      <c r="F952" t="b">
        <v>1</v>
      </c>
    </row>
    <row r="953" spans="1:6" x14ac:dyDescent="0.35">
      <c r="A953" t="s">
        <v>3700</v>
      </c>
      <c r="B953" t="s">
        <v>2970</v>
      </c>
      <c r="C953" t="s">
        <v>3700</v>
      </c>
      <c r="D953" t="s">
        <v>3701</v>
      </c>
      <c r="E953">
        <f>personnel_nonteach_ht1_onleave</f>
        <v>0</v>
      </c>
      <c r="F953" t="b">
        <v>1</v>
      </c>
    </row>
    <row r="954" spans="1:6" x14ac:dyDescent="0.35">
      <c r="A954" t="s">
        <v>2998</v>
      </c>
      <c r="B954" t="s">
        <v>2970</v>
      </c>
      <c r="C954" t="s">
        <v>2998</v>
      </c>
      <c r="D954" t="s">
        <v>2999</v>
      </c>
      <c r="E954">
        <f>personnel_nonteach_ht1_vacant</f>
        <v>0</v>
      </c>
      <c r="F954" t="b">
        <v>1</v>
      </c>
    </row>
    <row r="955" spans="1:6" x14ac:dyDescent="0.35">
      <c r="A955" t="s">
        <v>3076</v>
      </c>
      <c r="B955" t="s">
        <v>2970</v>
      </c>
      <c r="C955" t="s">
        <v>3076</v>
      </c>
      <c r="D955" t="s">
        <v>3077</v>
      </c>
      <c r="E955">
        <f>personnel_nonteach_ht1_detailed_hs</f>
        <v>0</v>
      </c>
      <c r="F955" t="b">
        <v>1</v>
      </c>
    </row>
    <row r="956" spans="1:6" x14ac:dyDescent="0.35">
      <c r="A956" t="s">
        <v>3154</v>
      </c>
      <c r="B956" t="s">
        <v>2970</v>
      </c>
      <c r="C956" t="s">
        <v>3154</v>
      </c>
      <c r="D956" t="s">
        <v>3155</v>
      </c>
      <c r="E956">
        <f>personnel_nonteach_ht1_detailed_es</f>
        <v>0</v>
      </c>
      <c r="F956" t="b">
        <v>1</v>
      </c>
    </row>
    <row r="957" spans="1:6" x14ac:dyDescent="0.35">
      <c r="A957" t="s">
        <v>3232</v>
      </c>
      <c r="B957" t="s">
        <v>2970</v>
      </c>
      <c r="C957" t="s">
        <v>3232</v>
      </c>
      <c r="D957" t="s">
        <v>3233</v>
      </c>
      <c r="E957">
        <f>personnel_nonteach_ht1_detailed_outdiv</f>
        <v>0</v>
      </c>
      <c r="F957" t="b">
        <v>1</v>
      </c>
    </row>
    <row r="958" spans="1:6" x14ac:dyDescent="0.35">
      <c r="A958" t="s">
        <v>3310</v>
      </c>
      <c r="B958" t="s">
        <v>2970</v>
      </c>
      <c r="C958" t="s">
        <v>3310</v>
      </c>
      <c r="D958" t="s">
        <v>3311</v>
      </c>
      <c r="E958">
        <f>personnel_nonteach_ht1_borrowed_m</f>
        <v>0</v>
      </c>
      <c r="F958" t="b">
        <v>1</v>
      </c>
    </row>
    <row r="959" spans="1:6" x14ac:dyDescent="0.35">
      <c r="A959" t="s">
        <v>3388</v>
      </c>
      <c r="B959" t="s">
        <v>2970</v>
      </c>
      <c r="C959" t="s">
        <v>3388</v>
      </c>
      <c r="D959" t="s">
        <v>3389</v>
      </c>
      <c r="E959">
        <f>personnel_nonteach_ht1_borrowed_f</f>
        <v>0</v>
      </c>
      <c r="F959" t="b">
        <v>1</v>
      </c>
    </row>
    <row r="960" spans="1:6" x14ac:dyDescent="0.35">
      <c r="A960" t="s">
        <v>3468</v>
      </c>
      <c r="B960" t="s">
        <v>2970</v>
      </c>
      <c r="C960" t="s">
        <v>3468</v>
      </c>
      <c r="D960" t="s">
        <v>3469</v>
      </c>
      <c r="E960">
        <f>personnel_nonteach_guidancecoor3_psipop</f>
        <v>0</v>
      </c>
      <c r="F960" t="b">
        <v>1</v>
      </c>
    </row>
    <row r="961" spans="1:6" x14ac:dyDescent="0.35">
      <c r="A961" t="s">
        <v>3548</v>
      </c>
      <c r="B961" t="s">
        <v>2970</v>
      </c>
      <c r="C961" t="s">
        <v>3548</v>
      </c>
      <c r="D961" t="s">
        <v>3549</v>
      </c>
      <c r="E961">
        <f>personnel_nonteach_guidancecoor3_actual_m</f>
        <v>0</v>
      </c>
      <c r="F961" t="b">
        <v>1</v>
      </c>
    </row>
    <row r="962" spans="1:6" x14ac:dyDescent="0.35">
      <c r="A962" t="s">
        <v>3624</v>
      </c>
      <c r="B962" t="s">
        <v>2970</v>
      </c>
      <c r="C962" t="s">
        <v>3624</v>
      </c>
      <c r="D962" t="s">
        <v>3625</v>
      </c>
      <c r="E962">
        <f>personnel_nonteach_guidancecoor3_actual_f</f>
        <v>0</v>
      </c>
      <c r="F962" t="b">
        <v>1</v>
      </c>
    </row>
    <row r="963" spans="1:6" x14ac:dyDescent="0.35">
      <c r="A963" t="s">
        <v>3702</v>
      </c>
      <c r="B963" t="s">
        <v>2970</v>
      </c>
      <c r="C963" t="s">
        <v>3702</v>
      </c>
      <c r="D963" t="s">
        <v>3703</v>
      </c>
      <c r="E963">
        <f>personnel_nonteach_guidancecoor3_onleave</f>
        <v>0</v>
      </c>
      <c r="F963" t="b">
        <v>1</v>
      </c>
    </row>
    <row r="964" spans="1:6" x14ac:dyDescent="0.35">
      <c r="A964" t="s">
        <v>3000</v>
      </c>
      <c r="B964" t="s">
        <v>2970</v>
      </c>
      <c r="C964" t="s">
        <v>3000</v>
      </c>
      <c r="D964" t="s">
        <v>3001</v>
      </c>
      <c r="E964">
        <f>personnel_nonteach_guidancecoor3_vacant</f>
        <v>0</v>
      </c>
      <c r="F964" t="b">
        <v>1</v>
      </c>
    </row>
    <row r="965" spans="1:6" x14ac:dyDescent="0.35">
      <c r="A965" t="s">
        <v>3078</v>
      </c>
      <c r="B965" t="s">
        <v>2970</v>
      </c>
      <c r="C965" t="s">
        <v>3078</v>
      </c>
      <c r="D965" t="s">
        <v>3079</v>
      </c>
      <c r="E965">
        <f>personnel_nonteach_guidancecoor3_detailed_hs</f>
        <v>0</v>
      </c>
      <c r="F965" t="b">
        <v>1</v>
      </c>
    </row>
    <row r="966" spans="1:6" x14ac:dyDescent="0.35">
      <c r="A966" t="s">
        <v>3156</v>
      </c>
      <c r="B966" t="s">
        <v>2970</v>
      </c>
      <c r="C966" t="s">
        <v>3156</v>
      </c>
      <c r="D966" t="s">
        <v>3157</v>
      </c>
      <c r="E966">
        <f>personnel_nonteach_guidancecoor3_detailed_es</f>
        <v>0</v>
      </c>
      <c r="F966" t="b">
        <v>1</v>
      </c>
    </row>
    <row r="967" spans="1:6" x14ac:dyDescent="0.35">
      <c r="A967" t="s">
        <v>3234</v>
      </c>
      <c r="B967" t="s">
        <v>2970</v>
      </c>
      <c r="C967" t="s">
        <v>3234</v>
      </c>
      <c r="D967" t="s">
        <v>3235</v>
      </c>
      <c r="E967">
        <f>personnel_nonteach_guidancecoor3_detailed_outdiv</f>
        <v>0</v>
      </c>
      <c r="F967" t="b">
        <v>1</v>
      </c>
    </row>
    <row r="968" spans="1:6" x14ac:dyDescent="0.35">
      <c r="A968" t="s">
        <v>3312</v>
      </c>
      <c r="B968" t="s">
        <v>2970</v>
      </c>
      <c r="C968" t="s">
        <v>3312</v>
      </c>
      <c r="D968" t="s">
        <v>3313</v>
      </c>
      <c r="E968">
        <f>personnel_nonteach_guidancecoor3_borrowed_m</f>
        <v>0</v>
      </c>
      <c r="F968" t="b">
        <v>1</v>
      </c>
    </row>
    <row r="969" spans="1:6" x14ac:dyDescent="0.35">
      <c r="A969" t="s">
        <v>3390</v>
      </c>
      <c r="B969" t="s">
        <v>2970</v>
      </c>
      <c r="C969" t="s">
        <v>3390</v>
      </c>
      <c r="D969" t="s">
        <v>3391</v>
      </c>
      <c r="E969">
        <f>personnel_nonteach_guidancecoor3_borrowed_f</f>
        <v>0</v>
      </c>
      <c r="F969" t="b">
        <v>1</v>
      </c>
    </row>
    <row r="970" spans="1:6" x14ac:dyDescent="0.35">
      <c r="A970" t="s">
        <v>3470</v>
      </c>
      <c r="B970" t="s">
        <v>2970</v>
      </c>
      <c r="C970" t="s">
        <v>3470</v>
      </c>
      <c r="D970" t="s">
        <v>3471</v>
      </c>
      <c r="E970">
        <f>personnel_nonteach_guidancecoor2_psipop</f>
        <v>0</v>
      </c>
      <c r="F970" t="b">
        <v>1</v>
      </c>
    </row>
    <row r="971" spans="1:6" x14ac:dyDescent="0.35">
      <c r="A971" t="s">
        <v>3550</v>
      </c>
      <c r="B971" t="s">
        <v>2970</v>
      </c>
      <c r="C971" t="s">
        <v>3550</v>
      </c>
      <c r="D971" t="s">
        <v>3551</v>
      </c>
      <c r="E971">
        <f>personnel_nonteach_guidancecoor2_actual_m</f>
        <v>0</v>
      </c>
      <c r="F971" t="b">
        <v>1</v>
      </c>
    </row>
    <row r="972" spans="1:6" x14ac:dyDescent="0.35">
      <c r="A972" t="s">
        <v>3626</v>
      </c>
      <c r="B972" t="s">
        <v>2970</v>
      </c>
      <c r="C972" t="s">
        <v>3626</v>
      </c>
      <c r="D972" t="s">
        <v>3627</v>
      </c>
      <c r="E972">
        <f>personnel_nonteach_guidancecoor2_actual_f</f>
        <v>0</v>
      </c>
      <c r="F972" t="b">
        <v>1</v>
      </c>
    </row>
    <row r="973" spans="1:6" x14ac:dyDescent="0.35">
      <c r="A973" t="s">
        <v>3704</v>
      </c>
      <c r="B973" t="s">
        <v>2970</v>
      </c>
      <c r="C973" t="s">
        <v>3704</v>
      </c>
      <c r="D973" t="s">
        <v>3705</v>
      </c>
      <c r="E973">
        <f>personnel_nonteach_guidancecoor2_onleave</f>
        <v>0</v>
      </c>
      <c r="F973" t="b">
        <v>1</v>
      </c>
    </row>
    <row r="974" spans="1:6" x14ac:dyDescent="0.35">
      <c r="A974" t="s">
        <v>3002</v>
      </c>
      <c r="B974" t="s">
        <v>2970</v>
      </c>
      <c r="C974" t="s">
        <v>3002</v>
      </c>
      <c r="D974" t="s">
        <v>3003</v>
      </c>
      <c r="E974">
        <f>personnel_nonteach_guidancecoor2_vacant</f>
        <v>0</v>
      </c>
      <c r="F974" t="b">
        <v>1</v>
      </c>
    </row>
    <row r="975" spans="1:6" x14ac:dyDescent="0.35">
      <c r="A975" t="s">
        <v>3080</v>
      </c>
      <c r="B975" t="s">
        <v>2970</v>
      </c>
      <c r="C975" t="s">
        <v>3080</v>
      </c>
      <c r="D975" t="s">
        <v>3081</v>
      </c>
      <c r="E975">
        <f>personnel_nonteach_guidancecoor2_detailed_hs</f>
        <v>0</v>
      </c>
      <c r="F975" t="b">
        <v>1</v>
      </c>
    </row>
    <row r="976" spans="1:6" x14ac:dyDescent="0.35">
      <c r="A976" t="s">
        <v>3158</v>
      </c>
      <c r="B976" t="s">
        <v>2970</v>
      </c>
      <c r="C976" t="s">
        <v>3158</v>
      </c>
      <c r="D976" t="s">
        <v>3159</v>
      </c>
      <c r="E976">
        <f>personnel_nonteach_guidancecoor2_detailed_es</f>
        <v>0</v>
      </c>
      <c r="F976" t="b">
        <v>1</v>
      </c>
    </row>
    <row r="977" spans="1:6" x14ac:dyDescent="0.35">
      <c r="A977" t="s">
        <v>3236</v>
      </c>
      <c r="B977" t="s">
        <v>2970</v>
      </c>
      <c r="C977" t="s">
        <v>3236</v>
      </c>
      <c r="D977" t="s">
        <v>3237</v>
      </c>
      <c r="E977">
        <f>personnel_nonteach_guidancecoor2_detailed_outdiv</f>
        <v>0</v>
      </c>
      <c r="F977" t="b">
        <v>1</v>
      </c>
    </row>
    <row r="978" spans="1:6" x14ac:dyDescent="0.35">
      <c r="A978" t="s">
        <v>3314</v>
      </c>
      <c r="B978" t="s">
        <v>2970</v>
      </c>
      <c r="C978" t="s">
        <v>3314</v>
      </c>
      <c r="D978" t="s">
        <v>3315</v>
      </c>
      <c r="E978">
        <f>personnel_nonteach_guidancecoor2_borrowed_m</f>
        <v>0</v>
      </c>
      <c r="F978" t="b">
        <v>1</v>
      </c>
    </row>
    <row r="979" spans="1:6" x14ac:dyDescent="0.35">
      <c r="A979" t="s">
        <v>3392</v>
      </c>
      <c r="B979" t="s">
        <v>2970</v>
      </c>
      <c r="C979" t="s">
        <v>3392</v>
      </c>
      <c r="D979" t="s">
        <v>3393</v>
      </c>
      <c r="E979">
        <f>personnel_nonteach_guidancecoor2_borrowed_f</f>
        <v>0</v>
      </c>
      <c r="F979" t="b">
        <v>1</v>
      </c>
    </row>
    <row r="980" spans="1:6" x14ac:dyDescent="0.35">
      <c r="A980" t="s">
        <v>3472</v>
      </c>
      <c r="B980" t="s">
        <v>2970</v>
      </c>
      <c r="C980" t="s">
        <v>3472</v>
      </c>
      <c r="D980" t="s">
        <v>3473</v>
      </c>
      <c r="E980">
        <f>personnel_nonteach_guidancecoor1_psipop</f>
        <v>0</v>
      </c>
      <c r="F980" t="b">
        <v>1</v>
      </c>
    </row>
    <row r="981" spans="1:6" x14ac:dyDescent="0.35">
      <c r="A981" t="s">
        <v>3552</v>
      </c>
      <c r="B981" t="s">
        <v>2970</v>
      </c>
      <c r="C981" t="s">
        <v>3552</v>
      </c>
      <c r="D981" t="s">
        <v>3553</v>
      </c>
      <c r="E981">
        <f>personnel_nonteach_guidancecoor1_actual_m</f>
        <v>0</v>
      </c>
      <c r="F981" t="b">
        <v>1</v>
      </c>
    </row>
    <row r="982" spans="1:6" x14ac:dyDescent="0.35">
      <c r="A982" t="s">
        <v>3628</v>
      </c>
      <c r="B982" t="s">
        <v>2970</v>
      </c>
      <c r="C982" t="s">
        <v>3628</v>
      </c>
      <c r="D982" t="s">
        <v>3629</v>
      </c>
      <c r="E982">
        <f>personnel_nonteach_guidancecoor1_actual_f</f>
        <v>0</v>
      </c>
      <c r="F982" t="b">
        <v>1</v>
      </c>
    </row>
    <row r="983" spans="1:6" x14ac:dyDescent="0.35">
      <c r="A983" t="s">
        <v>3706</v>
      </c>
      <c r="B983" t="s">
        <v>2970</v>
      </c>
      <c r="C983" t="s">
        <v>3706</v>
      </c>
      <c r="D983" t="s">
        <v>3707</v>
      </c>
      <c r="E983">
        <f>personnel_nonteach_guidancecoor1_onleave</f>
        <v>0</v>
      </c>
      <c r="F983" t="b">
        <v>1</v>
      </c>
    </row>
    <row r="984" spans="1:6" x14ac:dyDescent="0.35">
      <c r="A984" t="s">
        <v>3004</v>
      </c>
      <c r="B984" t="s">
        <v>2970</v>
      </c>
      <c r="C984" t="s">
        <v>3004</v>
      </c>
      <c r="D984" t="s">
        <v>3005</v>
      </c>
      <c r="E984">
        <f>personnel_nonteach_guidancecoor1_vacant</f>
        <v>0</v>
      </c>
      <c r="F984" t="b">
        <v>1</v>
      </c>
    </row>
    <row r="985" spans="1:6" x14ac:dyDescent="0.35">
      <c r="A985" t="s">
        <v>3082</v>
      </c>
      <c r="B985" t="s">
        <v>2970</v>
      </c>
      <c r="C985" t="s">
        <v>3082</v>
      </c>
      <c r="D985" t="s">
        <v>3083</v>
      </c>
      <c r="E985">
        <f>personnel_nonteach_guidancecoor1_detailed_hs</f>
        <v>0</v>
      </c>
      <c r="F985" t="b">
        <v>1</v>
      </c>
    </row>
    <row r="986" spans="1:6" x14ac:dyDescent="0.35">
      <c r="A986" t="s">
        <v>3160</v>
      </c>
      <c r="B986" t="s">
        <v>2970</v>
      </c>
      <c r="C986" t="s">
        <v>3160</v>
      </c>
      <c r="D986" t="s">
        <v>3161</v>
      </c>
      <c r="E986">
        <f>personnel_nonteach_guidancecoor1_detailed_es</f>
        <v>0</v>
      </c>
      <c r="F986" t="b">
        <v>1</v>
      </c>
    </row>
    <row r="987" spans="1:6" x14ac:dyDescent="0.35">
      <c r="A987" t="s">
        <v>3238</v>
      </c>
      <c r="B987" t="s">
        <v>2970</v>
      </c>
      <c r="C987" t="s">
        <v>3238</v>
      </c>
      <c r="D987" t="s">
        <v>3239</v>
      </c>
      <c r="E987">
        <f>personnel_nonteach_guidancecoor1_detailed_outdiv</f>
        <v>0</v>
      </c>
      <c r="F987" t="b">
        <v>1</v>
      </c>
    </row>
    <row r="988" spans="1:6" x14ac:dyDescent="0.35">
      <c r="A988" t="s">
        <v>3316</v>
      </c>
      <c r="B988" t="s">
        <v>2970</v>
      </c>
      <c r="C988" t="s">
        <v>3316</v>
      </c>
      <c r="D988" t="s">
        <v>3317</v>
      </c>
      <c r="E988">
        <f>personnel_nonteach_guidancecoor1_borrowed_m</f>
        <v>0</v>
      </c>
      <c r="F988" t="b">
        <v>1</v>
      </c>
    </row>
    <row r="989" spans="1:6" x14ac:dyDescent="0.35">
      <c r="A989" t="s">
        <v>3394</v>
      </c>
      <c r="B989" t="s">
        <v>2970</v>
      </c>
      <c r="C989" t="s">
        <v>3394</v>
      </c>
      <c r="D989" t="s">
        <v>3395</v>
      </c>
      <c r="E989">
        <f>personnel_nonteach_guidancecoor1_borrowed_f</f>
        <v>0</v>
      </c>
      <c r="F989" t="b">
        <v>1</v>
      </c>
    </row>
    <row r="990" spans="1:6" x14ac:dyDescent="0.35">
      <c r="A990" t="s">
        <v>3474</v>
      </c>
      <c r="B990" t="s">
        <v>2970</v>
      </c>
      <c r="C990" t="s">
        <v>3474</v>
      </c>
      <c r="D990" t="s">
        <v>3475</v>
      </c>
      <c r="E990">
        <f>personnel_nonteach_guidancecounsel3_psipop</f>
        <v>1</v>
      </c>
      <c r="F990" t="b">
        <v>1</v>
      </c>
    </row>
    <row r="991" spans="1:6" x14ac:dyDescent="0.35">
      <c r="A991" t="s">
        <v>3554</v>
      </c>
      <c r="B991" t="s">
        <v>2970</v>
      </c>
      <c r="C991" t="s">
        <v>3554</v>
      </c>
      <c r="D991" t="s">
        <v>3555</v>
      </c>
      <c r="E991">
        <f>personnel_nonteach_guidancecounsel3_actual_m</f>
        <v>0</v>
      </c>
      <c r="F991" t="b">
        <v>1</v>
      </c>
    </row>
    <row r="992" spans="1:6" x14ac:dyDescent="0.35">
      <c r="A992" t="s">
        <v>3630</v>
      </c>
      <c r="B992" t="s">
        <v>2970</v>
      </c>
      <c r="C992" t="s">
        <v>3630</v>
      </c>
      <c r="D992" t="s">
        <v>3631</v>
      </c>
      <c r="E992">
        <f>personnel_nonteach_guidancecounsel3_actual_f</f>
        <v>1</v>
      </c>
      <c r="F992" t="b">
        <v>1</v>
      </c>
    </row>
    <row r="993" spans="1:6" x14ac:dyDescent="0.35">
      <c r="A993" t="s">
        <v>3708</v>
      </c>
      <c r="B993" t="s">
        <v>2970</v>
      </c>
      <c r="C993" t="s">
        <v>3708</v>
      </c>
      <c r="D993" t="s">
        <v>3709</v>
      </c>
      <c r="E993">
        <f>personnel_nonteach_guidancecounsel3_onleave</f>
        <v>0</v>
      </c>
      <c r="F993" t="b">
        <v>1</v>
      </c>
    </row>
    <row r="994" spans="1:6" x14ac:dyDescent="0.35">
      <c r="A994" t="s">
        <v>3006</v>
      </c>
      <c r="B994" t="s">
        <v>2970</v>
      </c>
      <c r="C994" t="s">
        <v>3006</v>
      </c>
      <c r="D994" t="s">
        <v>3007</v>
      </c>
      <c r="E994">
        <f>personnel_nonteach_guidancecounsel3_vacant</f>
        <v>0</v>
      </c>
      <c r="F994" t="b">
        <v>1</v>
      </c>
    </row>
    <row r="995" spans="1:6" x14ac:dyDescent="0.35">
      <c r="A995" t="s">
        <v>3084</v>
      </c>
      <c r="B995" t="s">
        <v>2970</v>
      </c>
      <c r="C995" t="s">
        <v>3084</v>
      </c>
      <c r="D995" t="s">
        <v>3085</v>
      </c>
      <c r="E995">
        <f>personnel_nonteach_guidancecounsel3_detailed_hs</f>
        <v>0</v>
      </c>
      <c r="F995" t="b">
        <v>1</v>
      </c>
    </row>
    <row r="996" spans="1:6" x14ac:dyDescent="0.35">
      <c r="A996" t="s">
        <v>3162</v>
      </c>
      <c r="B996" t="s">
        <v>2970</v>
      </c>
      <c r="C996" t="s">
        <v>3162</v>
      </c>
      <c r="D996" t="s">
        <v>3163</v>
      </c>
      <c r="E996">
        <f>personnel_nonteach_guidancecounsel3_detailed_es</f>
        <v>0</v>
      </c>
      <c r="F996" t="b">
        <v>1</v>
      </c>
    </row>
    <row r="997" spans="1:6" x14ac:dyDescent="0.35">
      <c r="A997" t="s">
        <v>3240</v>
      </c>
      <c r="B997" t="s">
        <v>2970</v>
      </c>
      <c r="C997" t="s">
        <v>3240</v>
      </c>
      <c r="D997" t="s">
        <v>3241</v>
      </c>
      <c r="E997">
        <f>personnel_nonteach_guidancecounsel3_detailed_outdiv</f>
        <v>0</v>
      </c>
      <c r="F997" t="b">
        <v>1</v>
      </c>
    </row>
    <row r="998" spans="1:6" x14ac:dyDescent="0.35">
      <c r="A998" t="s">
        <v>3318</v>
      </c>
      <c r="B998" t="s">
        <v>2970</v>
      </c>
      <c r="C998" t="s">
        <v>3318</v>
      </c>
      <c r="D998" t="s">
        <v>3319</v>
      </c>
      <c r="E998">
        <f>personnel_nonteach_guidancecounsel3_borrowed_m</f>
        <v>0</v>
      </c>
      <c r="F998" t="b">
        <v>1</v>
      </c>
    </row>
    <row r="999" spans="1:6" x14ac:dyDescent="0.35">
      <c r="A999" t="s">
        <v>3396</v>
      </c>
      <c r="B999" t="s">
        <v>2970</v>
      </c>
      <c r="C999" t="s">
        <v>3396</v>
      </c>
      <c r="D999" t="s">
        <v>3397</v>
      </c>
      <c r="E999">
        <f>personnel_nonteach_guidancecounsel3_borrowed_f</f>
        <v>0</v>
      </c>
      <c r="F999" t="b">
        <v>1</v>
      </c>
    </row>
    <row r="1000" spans="1:6" x14ac:dyDescent="0.35">
      <c r="A1000" t="s">
        <v>3476</v>
      </c>
      <c r="B1000" t="s">
        <v>2970</v>
      </c>
      <c r="C1000" t="s">
        <v>3476</v>
      </c>
      <c r="D1000" t="s">
        <v>3477</v>
      </c>
      <c r="E1000">
        <f>personnel_nonteach_guidancecounsel2_psipop</f>
        <v>0</v>
      </c>
      <c r="F1000" t="b">
        <v>1</v>
      </c>
    </row>
    <row r="1001" spans="1:6" x14ac:dyDescent="0.35">
      <c r="A1001" t="s">
        <v>3556</v>
      </c>
      <c r="B1001" t="s">
        <v>2970</v>
      </c>
      <c r="C1001" t="s">
        <v>3556</v>
      </c>
      <c r="D1001" t="s">
        <v>3557</v>
      </c>
      <c r="E1001">
        <f>personnel_nonteach_guidancecounsel2_actual_m</f>
        <v>0</v>
      </c>
      <c r="F1001" t="b">
        <v>1</v>
      </c>
    </row>
    <row r="1002" spans="1:6" x14ac:dyDescent="0.35">
      <c r="A1002" t="s">
        <v>3632</v>
      </c>
      <c r="B1002" t="s">
        <v>2970</v>
      </c>
      <c r="C1002" t="s">
        <v>3632</v>
      </c>
      <c r="D1002" t="s">
        <v>3633</v>
      </c>
      <c r="E1002">
        <f>personnel_nonteach_guidancecounsel2_actual_f</f>
        <v>0</v>
      </c>
      <c r="F1002" t="b">
        <v>1</v>
      </c>
    </row>
    <row r="1003" spans="1:6" x14ac:dyDescent="0.35">
      <c r="A1003" t="s">
        <v>3710</v>
      </c>
      <c r="B1003" t="s">
        <v>2970</v>
      </c>
      <c r="C1003" t="s">
        <v>3710</v>
      </c>
      <c r="D1003" t="s">
        <v>3711</v>
      </c>
      <c r="E1003">
        <f>personnel_nonteach_guidancecounsel2_onleave</f>
        <v>0</v>
      </c>
      <c r="F1003" t="b">
        <v>1</v>
      </c>
    </row>
    <row r="1004" spans="1:6" x14ac:dyDescent="0.35">
      <c r="A1004" t="s">
        <v>3008</v>
      </c>
      <c r="B1004" t="s">
        <v>2970</v>
      </c>
      <c r="C1004" t="s">
        <v>3008</v>
      </c>
      <c r="D1004" t="s">
        <v>3009</v>
      </c>
      <c r="E1004">
        <f>personnel_nonteach_guidancecounsel2_vacant</f>
        <v>0</v>
      </c>
      <c r="F1004" t="b">
        <v>1</v>
      </c>
    </row>
    <row r="1005" spans="1:6" x14ac:dyDescent="0.35">
      <c r="A1005" t="s">
        <v>3086</v>
      </c>
      <c r="B1005" t="s">
        <v>2970</v>
      </c>
      <c r="C1005" t="s">
        <v>3086</v>
      </c>
      <c r="D1005" t="s">
        <v>3087</v>
      </c>
      <c r="E1005">
        <f>personnel_nonteach_guidancecounsel2_detailed_hs</f>
        <v>0</v>
      </c>
      <c r="F1005" t="b">
        <v>1</v>
      </c>
    </row>
    <row r="1006" spans="1:6" x14ac:dyDescent="0.35">
      <c r="A1006" t="s">
        <v>3164</v>
      </c>
      <c r="B1006" t="s">
        <v>2970</v>
      </c>
      <c r="C1006" t="s">
        <v>3164</v>
      </c>
      <c r="D1006" t="s">
        <v>3165</v>
      </c>
      <c r="E1006">
        <f>personnel_nonteach_guidancecounsel2_detailed_es</f>
        <v>0</v>
      </c>
      <c r="F1006" t="b">
        <v>1</v>
      </c>
    </row>
    <row r="1007" spans="1:6" x14ac:dyDescent="0.35">
      <c r="A1007" t="s">
        <v>3242</v>
      </c>
      <c r="B1007" t="s">
        <v>2970</v>
      </c>
      <c r="C1007" t="s">
        <v>3242</v>
      </c>
      <c r="D1007" t="s">
        <v>3243</v>
      </c>
      <c r="E1007">
        <f>personnel_nonteach_guidancecounsel2_detailed_outdiv</f>
        <v>0</v>
      </c>
      <c r="F1007" t="b">
        <v>1</v>
      </c>
    </row>
    <row r="1008" spans="1:6" x14ac:dyDescent="0.35">
      <c r="A1008" t="s">
        <v>3320</v>
      </c>
      <c r="B1008" t="s">
        <v>2970</v>
      </c>
      <c r="C1008" t="s">
        <v>3320</v>
      </c>
      <c r="D1008" t="s">
        <v>3321</v>
      </c>
      <c r="E1008">
        <f>personnel_nonteach_guidancecounsel2_borrowed_m</f>
        <v>0</v>
      </c>
      <c r="F1008" t="b">
        <v>1</v>
      </c>
    </row>
    <row r="1009" spans="1:6" x14ac:dyDescent="0.35">
      <c r="A1009" t="s">
        <v>3398</v>
      </c>
      <c r="B1009" t="s">
        <v>2970</v>
      </c>
      <c r="C1009" t="s">
        <v>3398</v>
      </c>
      <c r="D1009" t="s">
        <v>3399</v>
      </c>
      <c r="E1009">
        <f>personnel_nonteach_guidancecounsel2_borrowed_f</f>
        <v>0</v>
      </c>
      <c r="F1009" t="b">
        <v>1</v>
      </c>
    </row>
    <row r="1010" spans="1:6" x14ac:dyDescent="0.35">
      <c r="A1010" t="s">
        <v>3478</v>
      </c>
      <c r="B1010" t="s">
        <v>2970</v>
      </c>
      <c r="C1010" t="s">
        <v>3478</v>
      </c>
      <c r="D1010" t="s">
        <v>3479</v>
      </c>
      <c r="E1010">
        <f>personnel_nonteach_guidancecounsel1_psipop</f>
        <v>0</v>
      </c>
      <c r="F1010" t="b">
        <v>1</v>
      </c>
    </row>
    <row r="1011" spans="1:6" x14ac:dyDescent="0.35">
      <c r="A1011" t="s">
        <v>3558</v>
      </c>
      <c r="B1011" t="s">
        <v>2970</v>
      </c>
      <c r="C1011" t="s">
        <v>3558</v>
      </c>
      <c r="D1011" t="s">
        <v>3559</v>
      </c>
      <c r="E1011">
        <f>personnel_nonteach_guidancecounsel1_actual_m</f>
        <v>0</v>
      </c>
      <c r="F1011" t="b">
        <v>1</v>
      </c>
    </row>
    <row r="1012" spans="1:6" x14ac:dyDescent="0.35">
      <c r="A1012" t="s">
        <v>3634</v>
      </c>
      <c r="B1012" t="s">
        <v>2970</v>
      </c>
      <c r="C1012" t="s">
        <v>3634</v>
      </c>
      <c r="D1012" t="s">
        <v>3635</v>
      </c>
      <c r="E1012">
        <f>personnel_nonteach_guidancecounsel1_actual_f</f>
        <v>0</v>
      </c>
      <c r="F1012" t="b">
        <v>1</v>
      </c>
    </row>
    <row r="1013" spans="1:6" x14ac:dyDescent="0.35">
      <c r="A1013" t="s">
        <v>3712</v>
      </c>
      <c r="B1013" t="s">
        <v>2970</v>
      </c>
      <c r="C1013" t="s">
        <v>3712</v>
      </c>
      <c r="D1013" t="s">
        <v>3713</v>
      </c>
      <c r="E1013">
        <f>personnel_nonteach_guidancecounsel1_onleave</f>
        <v>0</v>
      </c>
      <c r="F1013" t="b">
        <v>1</v>
      </c>
    </row>
    <row r="1014" spans="1:6" x14ac:dyDescent="0.35">
      <c r="A1014" t="s">
        <v>3010</v>
      </c>
      <c r="B1014" t="s">
        <v>2970</v>
      </c>
      <c r="C1014" t="s">
        <v>3010</v>
      </c>
      <c r="D1014" t="s">
        <v>3011</v>
      </c>
      <c r="E1014">
        <f>personnel_nonteach_guidancecounsel1_vacant</f>
        <v>0</v>
      </c>
      <c r="F1014" t="b">
        <v>1</v>
      </c>
    </row>
    <row r="1015" spans="1:6" x14ac:dyDescent="0.35">
      <c r="A1015" t="s">
        <v>3088</v>
      </c>
      <c r="B1015" t="s">
        <v>2970</v>
      </c>
      <c r="C1015" t="s">
        <v>3088</v>
      </c>
      <c r="D1015" t="s">
        <v>3089</v>
      </c>
      <c r="E1015">
        <f>personnel_nonteach_guidancecounsel1_detailed_hs</f>
        <v>0</v>
      </c>
      <c r="F1015" t="b">
        <v>1</v>
      </c>
    </row>
    <row r="1016" spans="1:6" x14ac:dyDescent="0.35">
      <c r="A1016" t="s">
        <v>3166</v>
      </c>
      <c r="B1016" t="s">
        <v>2970</v>
      </c>
      <c r="C1016" t="s">
        <v>3166</v>
      </c>
      <c r="D1016" t="s">
        <v>3167</v>
      </c>
      <c r="E1016">
        <f>personnel_nonteach_guidancecounsel1_detailed_es</f>
        <v>0</v>
      </c>
      <c r="F1016" t="b">
        <v>1</v>
      </c>
    </row>
    <row r="1017" spans="1:6" x14ac:dyDescent="0.35">
      <c r="A1017" t="s">
        <v>3244</v>
      </c>
      <c r="B1017" t="s">
        <v>2970</v>
      </c>
      <c r="C1017" t="s">
        <v>3244</v>
      </c>
      <c r="D1017" t="s">
        <v>3245</v>
      </c>
      <c r="E1017">
        <f>personnel_nonteach_guidancecounsel1_detailed_outdiv</f>
        <v>0</v>
      </c>
      <c r="F1017" t="b">
        <v>1</v>
      </c>
    </row>
    <row r="1018" spans="1:6" x14ac:dyDescent="0.35">
      <c r="A1018" t="s">
        <v>3322</v>
      </c>
      <c r="B1018" t="s">
        <v>2970</v>
      </c>
      <c r="C1018" t="s">
        <v>3322</v>
      </c>
      <c r="D1018" t="s">
        <v>3323</v>
      </c>
      <c r="E1018">
        <f>personnel_nonteach_guidancecounsel1_borrowed_m</f>
        <v>0</v>
      </c>
      <c r="F1018" t="b">
        <v>1</v>
      </c>
    </row>
    <row r="1019" spans="1:6" x14ac:dyDescent="0.35">
      <c r="A1019" t="s">
        <v>3400</v>
      </c>
      <c r="B1019" t="s">
        <v>2970</v>
      </c>
      <c r="C1019" t="s">
        <v>3400</v>
      </c>
      <c r="D1019" t="s">
        <v>3401</v>
      </c>
      <c r="E1019">
        <f>personnel_nonteach_guidancecounsel1_borrowed_f</f>
        <v>0</v>
      </c>
      <c r="F1019" t="b">
        <v>1</v>
      </c>
    </row>
    <row r="1020" spans="1:6" x14ac:dyDescent="0.35">
      <c r="A1020" t="s">
        <v>3480</v>
      </c>
      <c r="B1020" t="s">
        <v>2970</v>
      </c>
      <c r="C1020" t="s">
        <v>3480</v>
      </c>
      <c r="D1020" t="s">
        <v>3481</v>
      </c>
      <c r="E1020">
        <f>personnel_nonteach_adminofcr4_psipop</f>
        <v>0</v>
      </c>
      <c r="F1020" t="b">
        <v>1</v>
      </c>
    </row>
    <row r="1021" spans="1:6" x14ac:dyDescent="0.35">
      <c r="A1021" t="s">
        <v>3560</v>
      </c>
      <c r="B1021" t="s">
        <v>2970</v>
      </c>
      <c r="C1021" t="s">
        <v>3560</v>
      </c>
      <c r="D1021" t="s">
        <v>3561</v>
      </c>
      <c r="E1021">
        <f>personnel_nonteach_adminofcr4_actual_m</f>
        <v>0</v>
      </c>
      <c r="F1021" t="b">
        <v>1</v>
      </c>
    </row>
    <row r="1022" spans="1:6" x14ac:dyDescent="0.35">
      <c r="A1022" t="s">
        <v>3636</v>
      </c>
      <c r="B1022" t="s">
        <v>2970</v>
      </c>
      <c r="C1022" t="s">
        <v>3636</v>
      </c>
      <c r="D1022" t="s">
        <v>3637</v>
      </c>
      <c r="E1022">
        <f>personnel_nonteach_adminofcr4_actual_f</f>
        <v>0</v>
      </c>
      <c r="F1022" t="b">
        <v>1</v>
      </c>
    </row>
    <row r="1023" spans="1:6" x14ac:dyDescent="0.35">
      <c r="A1023" t="s">
        <v>3714</v>
      </c>
      <c r="B1023" t="s">
        <v>2970</v>
      </c>
      <c r="C1023" t="s">
        <v>3714</v>
      </c>
      <c r="D1023" t="s">
        <v>3715</v>
      </c>
      <c r="E1023">
        <f>personnel_nonteach_adminofcr4_onleave</f>
        <v>0</v>
      </c>
      <c r="F1023" t="b">
        <v>1</v>
      </c>
    </row>
    <row r="1024" spans="1:6" x14ac:dyDescent="0.35">
      <c r="A1024" t="s">
        <v>3012</v>
      </c>
      <c r="B1024" t="s">
        <v>2970</v>
      </c>
      <c r="C1024" t="s">
        <v>3012</v>
      </c>
      <c r="D1024" t="s">
        <v>3013</v>
      </c>
      <c r="E1024">
        <f>personnel_nonteach_adminofcr4_vacant</f>
        <v>0</v>
      </c>
      <c r="F1024" t="b">
        <v>1</v>
      </c>
    </row>
    <row r="1025" spans="1:6" x14ac:dyDescent="0.35">
      <c r="A1025" t="s">
        <v>3090</v>
      </c>
      <c r="B1025" t="s">
        <v>2970</v>
      </c>
      <c r="C1025" t="s">
        <v>3090</v>
      </c>
      <c r="D1025" t="s">
        <v>3091</v>
      </c>
      <c r="E1025">
        <f>personnel_nonteach_adminofcr4_detailed_hs</f>
        <v>0</v>
      </c>
      <c r="F1025" t="b">
        <v>1</v>
      </c>
    </row>
    <row r="1026" spans="1:6" x14ac:dyDescent="0.35">
      <c r="A1026" t="s">
        <v>3168</v>
      </c>
      <c r="B1026" t="s">
        <v>2970</v>
      </c>
      <c r="C1026" t="s">
        <v>3168</v>
      </c>
      <c r="D1026" t="s">
        <v>3169</v>
      </c>
      <c r="E1026">
        <f>personnel_nonteach_adminofcr4_detailed_es</f>
        <v>0</v>
      </c>
      <c r="F1026" t="b">
        <v>1</v>
      </c>
    </row>
    <row r="1027" spans="1:6" x14ac:dyDescent="0.35">
      <c r="A1027" t="s">
        <v>3246</v>
      </c>
      <c r="B1027" t="s">
        <v>2970</v>
      </c>
      <c r="C1027" t="s">
        <v>3246</v>
      </c>
      <c r="D1027" t="s">
        <v>3247</v>
      </c>
      <c r="E1027">
        <f>personnel_nonteach_adminofcr4_detailed_outdiv</f>
        <v>0</v>
      </c>
      <c r="F1027" t="b">
        <v>1</v>
      </c>
    </row>
    <row r="1028" spans="1:6" x14ac:dyDescent="0.35">
      <c r="A1028" t="s">
        <v>3324</v>
      </c>
      <c r="B1028" t="s">
        <v>2970</v>
      </c>
      <c r="C1028" t="s">
        <v>3324</v>
      </c>
      <c r="D1028" t="s">
        <v>3325</v>
      </c>
      <c r="E1028">
        <f>personnel_nonteach_adminofcr4_borrowed_m</f>
        <v>0</v>
      </c>
      <c r="F1028" t="b">
        <v>1</v>
      </c>
    </row>
    <row r="1029" spans="1:6" x14ac:dyDescent="0.35">
      <c r="A1029" t="s">
        <v>3402</v>
      </c>
      <c r="B1029" t="s">
        <v>2970</v>
      </c>
      <c r="C1029" t="s">
        <v>3402</v>
      </c>
      <c r="D1029" t="s">
        <v>3403</v>
      </c>
      <c r="E1029">
        <f>personnel_nonteach_adminofcr4_borrowed_f</f>
        <v>0</v>
      </c>
      <c r="F1029" t="b">
        <v>1</v>
      </c>
    </row>
    <row r="1030" spans="1:6" x14ac:dyDescent="0.35">
      <c r="A1030" t="s">
        <v>3482</v>
      </c>
      <c r="B1030" t="s">
        <v>2970</v>
      </c>
      <c r="C1030" t="s">
        <v>3482</v>
      </c>
      <c r="D1030" t="s">
        <v>3483</v>
      </c>
      <c r="E1030">
        <f>personnel_nonteach_schlibrarian3_psipop</f>
        <v>1</v>
      </c>
      <c r="F1030" t="b">
        <v>1</v>
      </c>
    </row>
    <row r="1031" spans="1:6" x14ac:dyDescent="0.35">
      <c r="A1031" t="s">
        <v>3562</v>
      </c>
      <c r="B1031" t="s">
        <v>2970</v>
      </c>
      <c r="C1031" t="s">
        <v>3562</v>
      </c>
      <c r="D1031" t="s">
        <v>3563</v>
      </c>
      <c r="E1031">
        <f>personnel_nonteach_schlibrarian3_actual_m</f>
        <v>0</v>
      </c>
      <c r="F1031" t="b">
        <v>1</v>
      </c>
    </row>
    <row r="1032" spans="1:6" x14ac:dyDescent="0.35">
      <c r="A1032" t="s">
        <v>3638</v>
      </c>
      <c r="B1032" t="s">
        <v>2970</v>
      </c>
      <c r="C1032" t="s">
        <v>3638</v>
      </c>
      <c r="D1032" t="s">
        <v>3639</v>
      </c>
      <c r="E1032">
        <f>personnel_nonteach_schlibrarian3_actual_f</f>
        <v>1</v>
      </c>
      <c r="F1032" t="b">
        <v>1</v>
      </c>
    </row>
    <row r="1033" spans="1:6" x14ac:dyDescent="0.35">
      <c r="A1033" t="s">
        <v>3716</v>
      </c>
      <c r="B1033" t="s">
        <v>2970</v>
      </c>
      <c r="C1033" t="s">
        <v>3716</v>
      </c>
      <c r="D1033" t="s">
        <v>3717</v>
      </c>
      <c r="E1033">
        <f>personnel_nonteach_schlibrarian3_onleave</f>
        <v>0</v>
      </c>
      <c r="F1033" t="b">
        <v>1</v>
      </c>
    </row>
    <row r="1034" spans="1:6" x14ac:dyDescent="0.35">
      <c r="A1034" t="s">
        <v>3014</v>
      </c>
      <c r="B1034" t="s">
        <v>2970</v>
      </c>
      <c r="C1034" t="s">
        <v>3014</v>
      </c>
      <c r="D1034" t="s">
        <v>3015</v>
      </c>
      <c r="E1034">
        <f>personnel_nonteach_schlibrarian3_vacant</f>
        <v>0</v>
      </c>
      <c r="F1034" t="b">
        <v>1</v>
      </c>
    </row>
    <row r="1035" spans="1:6" x14ac:dyDescent="0.35">
      <c r="A1035" t="s">
        <v>3092</v>
      </c>
      <c r="B1035" t="s">
        <v>2970</v>
      </c>
      <c r="C1035" t="s">
        <v>3092</v>
      </c>
      <c r="D1035" t="s">
        <v>3093</v>
      </c>
      <c r="E1035">
        <f>personnel_nonteach_schlibrarian3_detailed_hs</f>
        <v>0</v>
      </c>
      <c r="F1035" t="b">
        <v>1</v>
      </c>
    </row>
    <row r="1036" spans="1:6" x14ac:dyDescent="0.35">
      <c r="A1036" t="s">
        <v>3170</v>
      </c>
      <c r="B1036" t="s">
        <v>2970</v>
      </c>
      <c r="C1036" t="s">
        <v>3170</v>
      </c>
      <c r="D1036" t="s">
        <v>3171</v>
      </c>
      <c r="E1036">
        <f>personnel_nonteach_schlibrarian3_detailed_es</f>
        <v>0</v>
      </c>
      <c r="F1036" t="b">
        <v>1</v>
      </c>
    </row>
    <row r="1037" spans="1:6" x14ac:dyDescent="0.35">
      <c r="A1037" t="s">
        <v>3248</v>
      </c>
      <c r="B1037" t="s">
        <v>2970</v>
      </c>
      <c r="C1037" t="s">
        <v>3248</v>
      </c>
      <c r="D1037" t="s">
        <v>3249</v>
      </c>
      <c r="E1037">
        <f>personnel_nonteach_schlibrarian3_detailed_outdiv</f>
        <v>0</v>
      </c>
      <c r="F1037" t="b">
        <v>1</v>
      </c>
    </row>
    <row r="1038" spans="1:6" x14ac:dyDescent="0.35">
      <c r="A1038" t="s">
        <v>3326</v>
      </c>
      <c r="B1038" t="s">
        <v>2970</v>
      </c>
      <c r="C1038" t="s">
        <v>3326</v>
      </c>
      <c r="D1038" t="s">
        <v>3327</v>
      </c>
      <c r="E1038">
        <f>personnel_nonteach_schlibrarian3_borrowed_m</f>
        <v>0</v>
      </c>
      <c r="F1038" t="b">
        <v>1</v>
      </c>
    </row>
    <row r="1039" spans="1:6" x14ac:dyDescent="0.35">
      <c r="A1039" t="s">
        <v>3404</v>
      </c>
      <c r="B1039" t="s">
        <v>2970</v>
      </c>
      <c r="C1039" t="s">
        <v>3404</v>
      </c>
      <c r="D1039" t="s">
        <v>3405</v>
      </c>
      <c r="E1039">
        <f>personnel_nonteach_schlibrarian3_borrowed_f</f>
        <v>0</v>
      </c>
      <c r="F1039" t="b">
        <v>1</v>
      </c>
    </row>
    <row r="1040" spans="1:6" x14ac:dyDescent="0.35">
      <c r="A1040" t="s">
        <v>3484</v>
      </c>
      <c r="B1040" t="s">
        <v>2970</v>
      </c>
      <c r="C1040" t="s">
        <v>3484</v>
      </c>
      <c r="D1040" t="s">
        <v>3485</v>
      </c>
      <c r="E1040">
        <f>personnel_nonteach_schlibrarian2_psipop</f>
        <v>0</v>
      </c>
      <c r="F1040" t="b">
        <v>1</v>
      </c>
    </row>
    <row r="1041" spans="1:6" x14ac:dyDescent="0.35">
      <c r="A1041" t="s">
        <v>3564</v>
      </c>
      <c r="B1041" t="s">
        <v>2970</v>
      </c>
      <c r="C1041" t="s">
        <v>3564</v>
      </c>
      <c r="D1041" t="s">
        <v>3565</v>
      </c>
      <c r="E1041">
        <f>personnel_nonteach_schlibrarian2_actual_m</f>
        <v>0</v>
      </c>
      <c r="F1041" t="b">
        <v>1</v>
      </c>
    </row>
    <row r="1042" spans="1:6" x14ac:dyDescent="0.35">
      <c r="A1042" t="s">
        <v>3640</v>
      </c>
      <c r="B1042" t="s">
        <v>2970</v>
      </c>
      <c r="C1042" t="s">
        <v>3640</v>
      </c>
      <c r="D1042" t="s">
        <v>3641</v>
      </c>
      <c r="E1042">
        <f>personnel_nonteach_schlibrarian2_actual_f</f>
        <v>0</v>
      </c>
      <c r="F1042" t="b">
        <v>1</v>
      </c>
    </row>
    <row r="1043" spans="1:6" x14ac:dyDescent="0.35">
      <c r="A1043" t="s">
        <v>3718</v>
      </c>
      <c r="B1043" t="s">
        <v>2970</v>
      </c>
      <c r="C1043" t="s">
        <v>3718</v>
      </c>
      <c r="D1043" t="s">
        <v>3719</v>
      </c>
      <c r="E1043">
        <f>personnel_nonteach_schlibrarian2_onleave</f>
        <v>0</v>
      </c>
      <c r="F1043" t="b">
        <v>1</v>
      </c>
    </row>
    <row r="1044" spans="1:6" x14ac:dyDescent="0.35">
      <c r="A1044" t="s">
        <v>3016</v>
      </c>
      <c r="B1044" t="s">
        <v>2970</v>
      </c>
      <c r="C1044" t="s">
        <v>3016</v>
      </c>
      <c r="D1044" t="s">
        <v>3017</v>
      </c>
      <c r="E1044">
        <f>personnel_nonteach_schlibrarian2_vacant</f>
        <v>0</v>
      </c>
      <c r="F1044" t="b">
        <v>1</v>
      </c>
    </row>
    <row r="1045" spans="1:6" x14ac:dyDescent="0.35">
      <c r="A1045" t="s">
        <v>3094</v>
      </c>
      <c r="B1045" t="s">
        <v>2970</v>
      </c>
      <c r="C1045" t="s">
        <v>3094</v>
      </c>
      <c r="D1045" t="s">
        <v>3095</v>
      </c>
      <c r="E1045">
        <f>personnel_nonteach_schlibrarian2_detailed_hs</f>
        <v>0</v>
      </c>
      <c r="F1045" t="b">
        <v>1</v>
      </c>
    </row>
    <row r="1046" spans="1:6" x14ac:dyDescent="0.35">
      <c r="A1046" t="s">
        <v>3172</v>
      </c>
      <c r="B1046" t="s">
        <v>2970</v>
      </c>
      <c r="C1046" t="s">
        <v>3172</v>
      </c>
      <c r="D1046" t="s">
        <v>3173</v>
      </c>
      <c r="E1046">
        <f>personnel_nonteach_schlibrarian2_detailed_es</f>
        <v>0</v>
      </c>
      <c r="F1046" t="b">
        <v>1</v>
      </c>
    </row>
    <row r="1047" spans="1:6" x14ac:dyDescent="0.35">
      <c r="A1047" t="s">
        <v>3250</v>
      </c>
      <c r="B1047" t="s">
        <v>2970</v>
      </c>
      <c r="C1047" t="s">
        <v>3250</v>
      </c>
      <c r="D1047" t="s">
        <v>3251</v>
      </c>
      <c r="E1047">
        <f>personnel_nonteach_schlibrarian2_detailed_outdiv</f>
        <v>0</v>
      </c>
      <c r="F1047" t="b">
        <v>1</v>
      </c>
    </row>
    <row r="1048" spans="1:6" x14ac:dyDescent="0.35">
      <c r="A1048" t="s">
        <v>3328</v>
      </c>
      <c r="B1048" t="s">
        <v>2970</v>
      </c>
      <c r="C1048" t="s">
        <v>3328</v>
      </c>
      <c r="D1048" t="s">
        <v>3329</v>
      </c>
      <c r="E1048">
        <f>personnel_nonteach_schlibrarian2_borrowed_m</f>
        <v>0</v>
      </c>
      <c r="F1048" t="b">
        <v>1</v>
      </c>
    </row>
    <row r="1049" spans="1:6" x14ac:dyDescent="0.35">
      <c r="A1049" t="s">
        <v>3406</v>
      </c>
      <c r="B1049" t="s">
        <v>2970</v>
      </c>
      <c r="C1049" t="s">
        <v>3406</v>
      </c>
      <c r="D1049" t="s">
        <v>3407</v>
      </c>
      <c r="E1049">
        <f>personnel_nonteach_schlibrarian2_borrowed_f</f>
        <v>0</v>
      </c>
      <c r="F1049" t="b">
        <v>1</v>
      </c>
    </row>
    <row r="1050" spans="1:6" x14ac:dyDescent="0.35">
      <c r="A1050" t="s">
        <v>3486</v>
      </c>
      <c r="B1050" t="s">
        <v>2970</v>
      </c>
      <c r="C1050" t="s">
        <v>3486</v>
      </c>
      <c r="D1050" t="s">
        <v>3487</v>
      </c>
      <c r="E1050">
        <f>personnel_nonteach_schlibrarian1_psipop</f>
        <v>0</v>
      </c>
      <c r="F1050" t="b">
        <v>1</v>
      </c>
    </row>
    <row r="1051" spans="1:6" x14ac:dyDescent="0.35">
      <c r="A1051" t="s">
        <v>3566</v>
      </c>
      <c r="B1051" t="s">
        <v>2970</v>
      </c>
      <c r="C1051" t="s">
        <v>3566</v>
      </c>
      <c r="D1051" t="s">
        <v>3567</v>
      </c>
      <c r="E1051">
        <f>personnel_nonteach_schlibrarian1_actual_m</f>
        <v>0</v>
      </c>
      <c r="F1051" t="b">
        <v>1</v>
      </c>
    </row>
    <row r="1052" spans="1:6" x14ac:dyDescent="0.35">
      <c r="A1052" t="s">
        <v>3642</v>
      </c>
      <c r="B1052" t="s">
        <v>2970</v>
      </c>
      <c r="C1052" t="s">
        <v>3642</v>
      </c>
      <c r="D1052" t="s">
        <v>3643</v>
      </c>
      <c r="E1052">
        <f>personnel_nonteach_schlibrarian1_actual_f</f>
        <v>0</v>
      </c>
      <c r="F1052" t="b">
        <v>1</v>
      </c>
    </row>
    <row r="1053" spans="1:6" x14ac:dyDescent="0.35">
      <c r="A1053" t="s">
        <v>3720</v>
      </c>
      <c r="B1053" t="s">
        <v>2970</v>
      </c>
      <c r="C1053" t="s">
        <v>3720</v>
      </c>
      <c r="D1053" t="s">
        <v>3721</v>
      </c>
      <c r="E1053">
        <f>personnel_nonteach_schlibrarian1_onleave</f>
        <v>0</v>
      </c>
      <c r="F1053" t="b">
        <v>1</v>
      </c>
    </row>
    <row r="1054" spans="1:6" x14ac:dyDescent="0.35">
      <c r="A1054" t="s">
        <v>3018</v>
      </c>
      <c r="B1054" t="s">
        <v>2970</v>
      </c>
      <c r="C1054" t="s">
        <v>3018</v>
      </c>
      <c r="D1054" t="s">
        <v>3019</v>
      </c>
      <c r="E1054">
        <f>personnel_nonteach_schlibrarian1_vacant</f>
        <v>0</v>
      </c>
      <c r="F1054" t="b">
        <v>1</v>
      </c>
    </row>
    <row r="1055" spans="1:6" x14ac:dyDescent="0.35">
      <c r="A1055" t="s">
        <v>3096</v>
      </c>
      <c r="B1055" t="s">
        <v>2970</v>
      </c>
      <c r="C1055" t="s">
        <v>3096</v>
      </c>
      <c r="D1055" t="s">
        <v>3097</v>
      </c>
      <c r="E1055">
        <f>personnel_nonteach_schlibrarian1_detailed_hs</f>
        <v>0</v>
      </c>
      <c r="F1055" t="b">
        <v>1</v>
      </c>
    </row>
    <row r="1056" spans="1:6" x14ac:dyDescent="0.35">
      <c r="A1056" t="s">
        <v>3174</v>
      </c>
      <c r="B1056" t="s">
        <v>2970</v>
      </c>
      <c r="C1056" t="s">
        <v>3174</v>
      </c>
      <c r="D1056" t="s">
        <v>3175</v>
      </c>
      <c r="E1056">
        <f>personnel_nonteach_schlibrarian1_detailed_es</f>
        <v>0</v>
      </c>
      <c r="F1056" t="b">
        <v>1</v>
      </c>
    </row>
    <row r="1057" spans="1:6" x14ac:dyDescent="0.35">
      <c r="A1057" t="s">
        <v>3252</v>
      </c>
      <c r="B1057" t="s">
        <v>2970</v>
      </c>
      <c r="C1057" t="s">
        <v>3252</v>
      </c>
      <c r="D1057" t="s">
        <v>3253</v>
      </c>
      <c r="E1057">
        <f>personnel_nonteach_schlibrarian1_detailed_outdiv</f>
        <v>0</v>
      </c>
      <c r="F1057" t="b">
        <v>1</v>
      </c>
    </row>
    <row r="1058" spans="1:6" x14ac:dyDescent="0.35">
      <c r="A1058" t="s">
        <v>3330</v>
      </c>
      <c r="B1058" t="s">
        <v>2970</v>
      </c>
      <c r="C1058" t="s">
        <v>3330</v>
      </c>
      <c r="D1058" t="s">
        <v>3331</v>
      </c>
      <c r="E1058">
        <f>personnel_nonteach_schlibrarian1_borrowed_m</f>
        <v>0</v>
      </c>
      <c r="F1058" t="b">
        <v>1</v>
      </c>
    </row>
    <row r="1059" spans="1:6" x14ac:dyDescent="0.35">
      <c r="A1059" t="s">
        <v>3408</v>
      </c>
      <c r="B1059" t="s">
        <v>2970</v>
      </c>
      <c r="C1059" t="s">
        <v>3408</v>
      </c>
      <c r="D1059" t="s">
        <v>3409</v>
      </c>
      <c r="E1059">
        <f>personnel_nonteach_schlibrarian1_borrowed_f</f>
        <v>0</v>
      </c>
      <c r="F1059" t="b">
        <v>1</v>
      </c>
    </row>
    <row r="1060" spans="1:6" x14ac:dyDescent="0.35">
      <c r="A1060" t="s">
        <v>3488</v>
      </c>
      <c r="B1060" t="s">
        <v>2970</v>
      </c>
      <c r="C1060" t="s">
        <v>3488</v>
      </c>
      <c r="D1060" t="s">
        <v>3489</v>
      </c>
      <c r="E1060">
        <f>personnel_nonteach_accountant1_psipop</f>
        <v>0</v>
      </c>
      <c r="F1060" t="b">
        <v>1</v>
      </c>
    </row>
    <row r="1061" spans="1:6" x14ac:dyDescent="0.35">
      <c r="A1061" t="s">
        <v>3568</v>
      </c>
      <c r="B1061" t="s">
        <v>2970</v>
      </c>
      <c r="C1061" t="s">
        <v>3568</v>
      </c>
      <c r="D1061" t="s">
        <v>3569</v>
      </c>
      <c r="E1061">
        <f>personnel_nonteach_accountant1_actual_m</f>
        <v>0</v>
      </c>
      <c r="F1061" t="b">
        <v>1</v>
      </c>
    </row>
    <row r="1062" spans="1:6" x14ac:dyDescent="0.35">
      <c r="A1062" t="s">
        <v>3644</v>
      </c>
      <c r="B1062" t="s">
        <v>2970</v>
      </c>
      <c r="C1062" t="s">
        <v>3644</v>
      </c>
      <c r="D1062" t="s">
        <v>3645</v>
      </c>
      <c r="E1062">
        <f>personnel_nonteach_accountant1_actual_f</f>
        <v>0</v>
      </c>
      <c r="F1062" t="b">
        <v>1</v>
      </c>
    </row>
    <row r="1063" spans="1:6" x14ac:dyDescent="0.35">
      <c r="A1063" t="s">
        <v>3722</v>
      </c>
      <c r="B1063" t="s">
        <v>2970</v>
      </c>
      <c r="C1063" t="s">
        <v>3722</v>
      </c>
      <c r="D1063" t="s">
        <v>3723</v>
      </c>
      <c r="E1063">
        <f>personnel_nonteach_accountant1_onleave</f>
        <v>0</v>
      </c>
      <c r="F1063" t="b">
        <v>1</v>
      </c>
    </row>
    <row r="1064" spans="1:6" x14ac:dyDescent="0.35">
      <c r="A1064" t="s">
        <v>3020</v>
      </c>
      <c r="B1064" t="s">
        <v>2970</v>
      </c>
      <c r="C1064" t="s">
        <v>3020</v>
      </c>
      <c r="D1064" t="s">
        <v>3021</v>
      </c>
      <c r="E1064">
        <f>personnel_nonteach_accountant1_vacant</f>
        <v>0</v>
      </c>
      <c r="F1064" t="b">
        <v>1</v>
      </c>
    </row>
    <row r="1065" spans="1:6" x14ac:dyDescent="0.35">
      <c r="A1065" t="s">
        <v>3098</v>
      </c>
      <c r="B1065" t="s">
        <v>2970</v>
      </c>
      <c r="C1065" t="s">
        <v>3098</v>
      </c>
      <c r="D1065" t="s">
        <v>3099</v>
      </c>
      <c r="E1065">
        <f>personnel_nonteach_accountant1_detailed_hs</f>
        <v>0</v>
      </c>
      <c r="F1065" t="b">
        <v>1</v>
      </c>
    </row>
    <row r="1066" spans="1:6" x14ac:dyDescent="0.35">
      <c r="A1066" t="s">
        <v>3176</v>
      </c>
      <c r="B1066" t="s">
        <v>2970</v>
      </c>
      <c r="C1066" t="s">
        <v>3176</v>
      </c>
      <c r="D1066" t="s">
        <v>3177</v>
      </c>
      <c r="E1066">
        <f>personnel_nonteach_accountant1_detailed_es</f>
        <v>0</v>
      </c>
      <c r="F1066" t="b">
        <v>1</v>
      </c>
    </row>
    <row r="1067" spans="1:6" x14ac:dyDescent="0.35">
      <c r="A1067" t="s">
        <v>3254</v>
      </c>
      <c r="B1067" t="s">
        <v>2970</v>
      </c>
      <c r="C1067" t="s">
        <v>3254</v>
      </c>
      <c r="D1067" t="s">
        <v>3255</v>
      </c>
      <c r="E1067">
        <f>personnel_nonteach_accountant1_detailed_outdiv</f>
        <v>0</v>
      </c>
      <c r="F1067" t="b">
        <v>1</v>
      </c>
    </row>
    <row r="1068" spans="1:6" x14ac:dyDescent="0.35">
      <c r="A1068" t="s">
        <v>3332</v>
      </c>
      <c r="B1068" t="s">
        <v>2970</v>
      </c>
      <c r="C1068" t="s">
        <v>3332</v>
      </c>
      <c r="D1068" t="s">
        <v>3333</v>
      </c>
      <c r="E1068">
        <f>personnel_nonteach_accountant1_borrowed_m</f>
        <v>0</v>
      </c>
      <c r="F1068" t="b">
        <v>1</v>
      </c>
    </row>
    <row r="1069" spans="1:6" x14ac:dyDescent="0.35">
      <c r="A1069" t="s">
        <v>3410</v>
      </c>
      <c r="B1069" t="s">
        <v>2970</v>
      </c>
      <c r="C1069" t="s">
        <v>3410</v>
      </c>
      <c r="D1069" t="s">
        <v>3411</v>
      </c>
      <c r="E1069">
        <f>personnel_nonteach_accountant1_borrowed_f</f>
        <v>0</v>
      </c>
      <c r="F1069" t="b">
        <v>1</v>
      </c>
    </row>
    <row r="1070" spans="1:6" x14ac:dyDescent="0.35">
      <c r="A1070" t="s">
        <v>3490</v>
      </c>
      <c r="B1070" t="s">
        <v>2970</v>
      </c>
      <c r="C1070" t="s">
        <v>3490</v>
      </c>
      <c r="D1070" t="s">
        <v>3491</v>
      </c>
      <c r="E1070">
        <f>personnel_nonteach_cashier1_psipop</f>
        <v>0</v>
      </c>
      <c r="F1070" t="b">
        <v>1</v>
      </c>
    </row>
    <row r="1071" spans="1:6" x14ac:dyDescent="0.35">
      <c r="A1071" t="s">
        <v>3570</v>
      </c>
      <c r="B1071" t="s">
        <v>2970</v>
      </c>
      <c r="C1071" t="s">
        <v>3570</v>
      </c>
      <c r="D1071" t="s">
        <v>3571</v>
      </c>
      <c r="E1071">
        <f>personnel_nonteach_cashier1_actual_m</f>
        <v>0</v>
      </c>
      <c r="F1071" t="b">
        <v>1</v>
      </c>
    </row>
    <row r="1072" spans="1:6" x14ac:dyDescent="0.35">
      <c r="A1072" t="s">
        <v>3646</v>
      </c>
      <c r="B1072" t="s">
        <v>2970</v>
      </c>
      <c r="C1072" t="s">
        <v>3646</v>
      </c>
      <c r="D1072" t="s">
        <v>3647</v>
      </c>
      <c r="E1072">
        <f>personnel_nonteach_cashier1_actual_f</f>
        <v>0</v>
      </c>
      <c r="F1072" t="b">
        <v>1</v>
      </c>
    </row>
    <row r="1073" spans="1:6" x14ac:dyDescent="0.35">
      <c r="A1073" t="s">
        <v>3724</v>
      </c>
      <c r="B1073" t="s">
        <v>2970</v>
      </c>
      <c r="C1073" t="s">
        <v>3724</v>
      </c>
      <c r="D1073" t="s">
        <v>3725</v>
      </c>
      <c r="E1073">
        <f>personnel_nonteach_cashier1_onleave</f>
        <v>0</v>
      </c>
      <c r="F1073" t="b">
        <v>1</v>
      </c>
    </row>
    <row r="1074" spans="1:6" x14ac:dyDescent="0.35">
      <c r="A1074" t="s">
        <v>3022</v>
      </c>
      <c r="B1074" t="s">
        <v>2970</v>
      </c>
      <c r="C1074" t="s">
        <v>3022</v>
      </c>
      <c r="D1074" t="s">
        <v>3023</v>
      </c>
      <c r="E1074">
        <f>personnel_nonteach_cashier1_vacant</f>
        <v>0</v>
      </c>
      <c r="F1074" t="b">
        <v>1</v>
      </c>
    </row>
    <row r="1075" spans="1:6" x14ac:dyDescent="0.35">
      <c r="A1075" t="s">
        <v>3100</v>
      </c>
      <c r="B1075" t="s">
        <v>2970</v>
      </c>
      <c r="C1075" t="s">
        <v>3100</v>
      </c>
      <c r="D1075" t="s">
        <v>3101</v>
      </c>
      <c r="E1075">
        <f>personnel_nonteach_cashier1_detailed_hs</f>
        <v>0</v>
      </c>
      <c r="F1075" t="b">
        <v>1</v>
      </c>
    </row>
    <row r="1076" spans="1:6" x14ac:dyDescent="0.35">
      <c r="A1076" t="s">
        <v>3178</v>
      </c>
      <c r="B1076" t="s">
        <v>2970</v>
      </c>
      <c r="C1076" t="s">
        <v>3178</v>
      </c>
      <c r="D1076" t="s">
        <v>3179</v>
      </c>
      <c r="E1076">
        <f>personnel_nonteach_cashier1_detailed_es</f>
        <v>0</v>
      </c>
      <c r="F1076" t="b">
        <v>1</v>
      </c>
    </row>
    <row r="1077" spans="1:6" x14ac:dyDescent="0.35">
      <c r="A1077" t="s">
        <v>3256</v>
      </c>
      <c r="B1077" t="s">
        <v>2970</v>
      </c>
      <c r="C1077" t="s">
        <v>3256</v>
      </c>
      <c r="D1077" t="s">
        <v>3257</v>
      </c>
      <c r="E1077">
        <f>personnel_nonteach_cashier1_detailed_outdiv</f>
        <v>0</v>
      </c>
      <c r="F1077" t="b">
        <v>1</v>
      </c>
    </row>
    <row r="1078" spans="1:6" x14ac:dyDescent="0.35">
      <c r="A1078" t="s">
        <v>3334</v>
      </c>
      <c r="B1078" t="s">
        <v>2970</v>
      </c>
      <c r="C1078" t="s">
        <v>3334</v>
      </c>
      <c r="D1078" t="s">
        <v>3335</v>
      </c>
      <c r="E1078">
        <f>personnel_nonteach_cashier1_borrowed_m</f>
        <v>0</v>
      </c>
      <c r="F1078" t="b">
        <v>1</v>
      </c>
    </row>
    <row r="1079" spans="1:6" x14ac:dyDescent="0.35">
      <c r="A1079" t="s">
        <v>3412</v>
      </c>
      <c r="B1079" t="s">
        <v>2970</v>
      </c>
      <c r="C1079" t="s">
        <v>3412</v>
      </c>
      <c r="D1079" t="s">
        <v>3413</v>
      </c>
      <c r="E1079">
        <f>personnel_nonteach_cashier1_borrowed_f</f>
        <v>0</v>
      </c>
      <c r="F1079" t="b">
        <v>1</v>
      </c>
    </row>
    <row r="1080" spans="1:6" x14ac:dyDescent="0.35">
      <c r="A1080" t="s">
        <v>3492</v>
      </c>
      <c r="B1080" t="s">
        <v>2970</v>
      </c>
      <c r="C1080" t="s">
        <v>3492</v>
      </c>
      <c r="D1080" t="s">
        <v>3493</v>
      </c>
      <c r="E1080">
        <f>personnel_nonteach_supplyofcr1_psipop</f>
        <v>0</v>
      </c>
      <c r="F1080" t="b">
        <v>1</v>
      </c>
    </row>
    <row r="1081" spans="1:6" x14ac:dyDescent="0.35">
      <c r="A1081" t="s">
        <v>3572</v>
      </c>
      <c r="B1081" t="s">
        <v>2970</v>
      </c>
      <c r="C1081" t="s">
        <v>3572</v>
      </c>
      <c r="D1081" t="s">
        <v>3573</v>
      </c>
      <c r="E1081">
        <f>personnel_nonteach_supplyofcr1_actual_m</f>
        <v>0</v>
      </c>
      <c r="F1081" t="b">
        <v>1</v>
      </c>
    </row>
    <row r="1082" spans="1:6" x14ac:dyDescent="0.35">
      <c r="A1082" t="s">
        <v>3648</v>
      </c>
      <c r="B1082" t="s">
        <v>2970</v>
      </c>
      <c r="C1082" t="s">
        <v>3648</v>
      </c>
      <c r="D1082" t="s">
        <v>3649</v>
      </c>
      <c r="E1082">
        <f>personnel_nonteach_supplyofcr1_actual_f</f>
        <v>0</v>
      </c>
      <c r="F1082" t="b">
        <v>1</v>
      </c>
    </row>
    <row r="1083" spans="1:6" x14ac:dyDescent="0.35">
      <c r="A1083" t="s">
        <v>3726</v>
      </c>
      <c r="B1083" t="s">
        <v>2970</v>
      </c>
      <c r="C1083" t="s">
        <v>3726</v>
      </c>
      <c r="D1083" t="s">
        <v>3727</v>
      </c>
      <c r="E1083">
        <f>personnel_nonteach_supplyofcr1_onleave</f>
        <v>0</v>
      </c>
      <c r="F1083" t="b">
        <v>1</v>
      </c>
    </row>
    <row r="1084" spans="1:6" x14ac:dyDescent="0.35">
      <c r="A1084" t="s">
        <v>3024</v>
      </c>
      <c r="B1084" t="s">
        <v>2970</v>
      </c>
      <c r="C1084" t="s">
        <v>3024</v>
      </c>
      <c r="D1084" t="s">
        <v>3025</v>
      </c>
      <c r="E1084">
        <f>personnel_nonteach_supplyofcr1_vacant</f>
        <v>0</v>
      </c>
      <c r="F1084" t="b">
        <v>1</v>
      </c>
    </row>
    <row r="1085" spans="1:6" x14ac:dyDescent="0.35">
      <c r="A1085" t="s">
        <v>3102</v>
      </c>
      <c r="B1085" t="s">
        <v>2970</v>
      </c>
      <c r="C1085" t="s">
        <v>3102</v>
      </c>
      <c r="D1085" t="s">
        <v>3103</v>
      </c>
      <c r="E1085">
        <f>personnel_nonteach_supplyofcr1_detailed_hs</f>
        <v>0</v>
      </c>
      <c r="F1085" t="b">
        <v>1</v>
      </c>
    </row>
    <row r="1086" spans="1:6" x14ac:dyDescent="0.35">
      <c r="A1086" t="s">
        <v>3180</v>
      </c>
      <c r="B1086" t="s">
        <v>2970</v>
      </c>
      <c r="C1086" t="s">
        <v>3180</v>
      </c>
      <c r="D1086" t="s">
        <v>3181</v>
      </c>
      <c r="E1086">
        <f>personnel_nonteach_supplyofcr1_detailed_es</f>
        <v>0</v>
      </c>
      <c r="F1086" t="b">
        <v>1</v>
      </c>
    </row>
    <row r="1087" spans="1:6" x14ac:dyDescent="0.35">
      <c r="A1087" t="s">
        <v>3258</v>
      </c>
      <c r="B1087" t="s">
        <v>2970</v>
      </c>
      <c r="C1087" t="s">
        <v>3258</v>
      </c>
      <c r="D1087" t="s">
        <v>3259</v>
      </c>
      <c r="E1087">
        <f>personnel_nonteach_supplyofcr1_detailed_outdiv</f>
        <v>0</v>
      </c>
      <c r="F1087" t="b">
        <v>1</v>
      </c>
    </row>
    <row r="1088" spans="1:6" x14ac:dyDescent="0.35">
      <c r="A1088" t="s">
        <v>3336</v>
      </c>
      <c r="B1088" t="s">
        <v>2970</v>
      </c>
      <c r="C1088" t="s">
        <v>3336</v>
      </c>
      <c r="D1088" t="s">
        <v>3337</v>
      </c>
      <c r="E1088">
        <f>personnel_nonteach_supplyofcr1_borrowed_m</f>
        <v>0</v>
      </c>
      <c r="F1088" t="b">
        <v>1</v>
      </c>
    </row>
    <row r="1089" spans="1:6" x14ac:dyDescent="0.35">
      <c r="A1089" t="s">
        <v>3414</v>
      </c>
      <c r="B1089" t="s">
        <v>2970</v>
      </c>
      <c r="C1089" t="s">
        <v>3414</v>
      </c>
      <c r="D1089" t="s">
        <v>3415</v>
      </c>
      <c r="E1089">
        <f>personnel_nonteach_supplyofcr1_borrowed_f</f>
        <v>0</v>
      </c>
      <c r="F1089" t="b">
        <v>1</v>
      </c>
    </row>
    <row r="1090" spans="1:6" x14ac:dyDescent="0.35">
      <c r="A1090" t="s">
        <v>3494</v>
      </c>
      <c r="B1090" t="s">
        <v>2970</v>
      </c>
      <c r="C1090" t="s">
        <v>3494</v>
      </c>
      <c r="D1090" t="s">
        <v>3495</v>
      </c>
      <c r="E1090">
        <f>personnel_nonteach_seniorbk_psipop</f>
        <v>1</v>
      </c>
      <c r="F1090" t="b">
        <v>1</v>
      </c>
    </row>
    <row r="1091" spans="1:6" x14ac:dyDescent="0.35">
      <c r="A1091" t="s">
        <v>3574</v>
      </c>
      <c r="B1091" t="s">
        <v>2970</v>
      </c>
      <c r="C1091" t="s">
        <v>3574</v>
      </c>
      <c r="D1091" t="s">
        <v>3575</v>
      </c>
      <c r="E1091">
        <f>personnel_nonteach_seniorbk_actual_m</f>
        <v>0</v>
      </c>
      <c r="F1091" t="b">
        <v>1</v>
      </c>
    </row>
    <row r="1092" spans="1:6" x14ac:dyDescent="0.35">
      <c r="A1092" t="s">
        <v>3650</v>
      </c>
      <c r="B1092" t="s">
        <v>2970</v>
      </c>
      <c r="C1092" t="s">
        <v>3650</v>
      </c>
      <c r="D1092" t="s">
        <v>3651</v>
      </c>
      <c r="E1092">
        <f>personnel_nonteach_seniorbk_actual_f</f>
        <v>1</v>
      </c>
      <c r="F1092" t="b">
        <v>1</v>
      </c>
    </row>
    <row r="1093" spans="1:6" x14ac:dyDescent="0.35">
      <c r="A1093" t="s">
        <v>3728</v>
      </c>
      <c r="B1093" t="s">
        <v>2970</v>
      </c>
      <c r="C1093" t="s">
        <v>3728</v>
      </c>
      <c r="D1093" t="s">
        <v>3729</v>
      </c>
      <c r="E1093">
        <f>personnel_nonteach_seniorbk_onleave</f>
        <v>0</v>
      </c>
      <c r="F1093" t="b">
        <v>1</v>
      </c>
    </row>
    <row r="1094" spans="1:6" x14ac:dyDescent="0.35">
      <c r="A1094" t="s">
        <v>3026</v>
      </c>
      <c r="B1094" t="s">
        <v>2970</v>
      </c>
      <c r="C1094" t="s">
        <v>3026</v>
      </c>
      <c r="D1094" t="s">
        <v>3027</v>
      </c>
      <c r="E1094">
        <f>personnel_nonteach_seniorbk_vacant</f>
        <v>0</v>
      </c>
      <c r="F1094" t="b">
        <v>1</v>
      </c>
    </row>
    <row r="1095" spans="1:6" x14ac:dyDescent="0.35">
      <c r="A1095" t="s">
        <v>3104</v>
      </c>
      <c r="B1095" t="s">
        <v>2970</v>
      </c>
      <c r="C1095" t="s">
        <v>3104</v>
      </c>
      <c r="D1095" t="s">
        <v>3105</v>
      </c>
      <c r="E1095">
        <f>personnel_nonteach_seniorbk_detailed_hs</f>
        <v>0</v>
      </c>
      <c r="F1095" t="b">
        <v>1</v>
      </c>
    </row>
    <row r="1096" spans="1:6" x14ac:dyDescent="0.35">
      <c r="A1096" t="s">
        <v>3182</v>
      </c>
      <c r="B1096" t="s">
        <v>2970</v>
      </c>
      <c r="C1096" t="s">
        <v>3182</v>
      </c>
      <c r="D1096" t="s">
        <v>3183</v>
      </c>
      <c r="E1096">
        <f>personnel_nonteach_seniorbk_detailed_es</f>
        <v>0</v>
      </c>
      <c r="F1096" t="b">
        <v>1</v>
      </c>
    </row>
    <row r="1097" spans="1:6" x14ac:dyDescent="0.35">
      <c r="A1097" t="s">
        <v>3260</v>
      </c>
      <c r="B1097" t="s">
        <v>2970</v>
      </c>
      <c r="C1097" t="s">
        <v>3260</v>
      </c>
      <c r="D1097" t="s">
        <v>3261</v>
      </c>
      <c r="E1097">
        <f>personnel_nonteach_seniorbk_detailed_outdiv</f>
        <v>0</v>
      </c>
      <c r="F1097" t="b">
        <v>1</v>
      </c>
    </row>
    <row r="1098" spans="1:6" x14ac:dyDescent="0.35">
      <c r="A1098" t="s">
        <v>3338</v>
      </c>
      <c r="B1098" t="s">
        <v>2970</v>
      </c>
      <c r="C1098" t="s">
        <v>3338</v>
      </c>
      <c r="D1098" t="s">
        <v>3339</v>
      </c>
      <c r="E1098">
        <f>personnel_nonteach_seniorbk_borrowed_m</f>
        <v>0</v>
      </c>
      <c r="F1098" t="b">
        <v>1</v>
      </c>
    </row>
    <row r="1099" spans="1:6" x14ac:dyDescent="0.35">
      <c r="A1099" t="s">
        <v>3416</v>
      </c>
      <c r="B1099" t="s">
        <v>2970</v>
      </c>
      <c r="C1099" t="s">
        <v>3416</v>
      </c>
      <c r="D1099" t="s">
        <v>3417</v>
      </c>
      <c r="E1099">
        <f>personnel_nonteach_seniorbk_borrowed_f</f>
        <v>0</v>
      </c>
      <c r="F1099" t="b">
        <v>1</v>
      </c>
    </row>
    <row r="1100" spans="1:6" x14ac:dyDescent="0.35">
      <c r="A1100" t="s">
        <v>3496</v>
      </c>
      <c r="B1100" t="s">
        <v>2970</v>
      </c>
      <c r="C1100" t="s">
        <v>3496</v>
      </c>
      <c r="D1100" t="s">
        <v>3497</v>
      </c>
      <c r="E1100">
        <f>personnel_nonteach_bkkeeper_psipop</f>
        <v>0</v>
      </c>
      <c r="F1100" t="b">
        <v>1</v>
      </c>
    </row>
    <row r="1101" spans="1:6" x14ac:dyDescent="0.35">
      <c r="A1101" t="s">
        <v>3576</v>
      </c>
      <c r="B1101" t="s">
        <v>2970</v>
      </c>
      <c r="C1101" t="s">
        <v>3576</v>
      </c>
      <c r="D1101" t="s">
        <v>3577</v>
      </c>
      <c r="E1101">
        <f>personnel_nonteach_bkkeeper_actual_m</f>
        <v>0</v>
      </c>
      <c r="F1101" t="b">
        <v>1</v>
      </c>
    </row>
    <row r="1102" spans="1:6" x14ac:dyDescent="0.35">
      <c r="A1102" t="s">
        <v>3652</v>
      </c>
      <c r="B1102" t="s">
        <v>2970</v>
      </c>
      <c r="C1102" t="s">
        <v>3652</v>
      </c>
      <c r="D1102" t="s">
        <v>3653</v>
      </c>
      <c r="E1102">
        <f>personnel_nonteach_bkkeeper_actual_f</f>
        <v>0</v>
      </c>
      <c r="F1102" t="b">
        <v>1</v>
      </c>
    </row>
    <row r="1103" spans="1:6" x14ac:dyDescent="0.35">
      <c r="A1103" t="s">
        <v>3730</v>
      </c>
      <c r="B1103" t="s">
        <v>2970</v>
      </c>
      <c r="C1103" t="s">
        <v>3730</v>
      </c>
      <c r="D1103" t="s">
        <v>3731</v>
      </c>
      <c r="E1103">
        <f>personnel_nonteach_bkkeeper_onleave</f>
        <v>0</v>
      </c>
      <c r="F1103" t="b">
        <v>1</v>
      </c>
    </row>
    <row r="1104" spans="1:6" x14ac:dyDescent="0.35">
      <c r="A1104" t="s">
        <v>3028</v>
      </c>
      <c r="B1104" t="s">
        <v>2970</v>
      </c>
      <c r="C1104" t="s">
        <v>3028</v>
      </c>
      <c r="D1104" t="s">
        <v>3029</v>
      </c>
      <c r="E1104">
        <f>personnel_nonteach_bkkeeper_vacant</f>
        <v>0</v>
      </c>
      <c r="F1104" t="b">
        <v>1</v>
      </c>
    </row>
    <row r="1105" spans="1:6" x14ac:dyDescent="0.35">
      <c r="A1105" t="s">
        <v>3106</v>
      </c>
      <c r="B1105" t="s">
        <v>2970</v>
      </c>
      <c r="C1105" t="s">
        <v>3106</v>
      </c>
      <c r="D1105" t="s">
        <v>3107</v>
      </c>
      <c r="E1105">
        <f>personnel_nonteach_bkkeeper_detailed_hs</f>
        <v>0</v>
      </c>
      <c r="F1105" t="b">
        <v>1</v>
      </c>
    </row>
    <row r="1106" spans="1:6" x14ac:dyDescent="0.35">
      <c r="A1106" t="s">
        <v>3184</v>
      </c>
      <c r="B1106" t="s">
        <v>2970</v>
      </c>
      <c r="C1106" t="s">
        <v>3184</v>
      </c>
      <c r="D1106" t="s">
        <v>3185</v>
      </c>
      <c r="E1106">
        <f>personnel_nonteach_bkkeeper_detailed_es</f>
        <v>0</v>
      </c>
      <c r="F1106" t="b">
        <v>1</v>
      </c>
    </row>
    <row r="1107" spans="1:6" x14ac:dyDescent="0.35">
      <c r="A1107" t="s">
        <v>3262</v>
      </c>
      <c r="B1107" t="s">
        <v>2970</v>
      </c>
      <c r="C1107" t="s">
        <v>3262</v>
      </c>
      <c r="D1107" t="s">
        <v>3263</v>
      </c>
      <c r="E1107">
        <f>personnel_nonteach_bkkeeper_detailed_outdiv</f>
        <v>0</v>
      </c>
      <c r="F1107" t="b">
        <v>1</v>
      </c>
    </row>
    <row r="1108" spans="1:6" x14ac:dyDescent="0.35">
      <c r="A1108" t="s">
        <v>3340</v>
      </c>
      <c r="B1108" t="s">
        <v>2970</v>
      </c>
      <c r="C1108" t="s">
        <v>3340</v>
      </c>
      <c r="D1108" t="s">
        <v>3341</v>
      </c>
      <c r="E1108">
        <f>personnel_nonteach_bkkeeper_borrowed_m</f>
        <v>0</v>
      </c>
      <c r="F1108" t="b">
        <v>1</v>
      </c>
    </row>
    <row r="1109" spans="1:6" x14ac:dyDescent="0.35">
      <c r="A1109" t="s">
        <v>3418</v>
      </c>
      <c r="B1109" t="s">
        <v>2970</v>
      </c>
      <c r="C1109" t="s">
        <v>3418</v>
      </c>
      <c r="D1109" t="s">
        <v>3419</v>
      </c>
      <c r="E1109">
        <f>personnel_nonteach_bkkeeper_borrowed_f</f>
        <v>0</v>
      </c>
      <c r="F1109" t="b">
        <v>1</v>
      </c>
    </row>
    <row r="1110" spans="1:6" x14ac:dyDescent="0.35">
      <c r="A1110" t="s">
        <v>3498</v>
      </c>
      <c r="B1110" t="s">
        <v>2970</v>
      </c>
      <c r="C1110" t="s">
        <v>3498</v>
      </c>
      <c r="D1110" t="s">
        <v>3499</v>
      </c>
      <c r="E1110">
        <f>personnel_nonteach_disbursingofcr2_psipop</f>
        <v>0</v>
      </c>
      <c r="F1110" t="b">
        <v>1</v>
      </c>
    </row>
    <row r="1111" spans="1:6" x14ac:dyDescent="0.35">
      <c r="A1111" t="s">
        <v>3578</v>
      </c>
      <c r="B1111" t="s">
        <v>2970</v>
      </c>
      <c r="C1111" t="s">
        <v>3578</v>
      </c>
      <c r="D1111" t="s">
        <v>3579</v>
      </c>
      <c r="E1111">
        <f>personnel_nonteach_disbursingofcr2_actual_m</f>
        <v>0</v>
      </c>
      <c r="F1111" t="b">
        <v>1</v>
      </c>
    </row>
    <row r="1112" spans="1:6" x14ac:dyDescent="0.35">
      <c r="A1112" t="s">
        <v>3654</v>
      </c>
      <c r="B1112" t="s">
        <v>2970</v>
      </c>
      <c r="C1112" t="s">
        <v>3654</v>
      </c>
      <c r="D1112" t="s">
        <v>3655</v>
      </c>
      <c r="E1112">
        <f>personnel_nonteach_disbursingofcr2_actual_f</f>
        <v>0</v>
      </c>
      <c r="F1112" t="b">
        <v>1</v>
      </c>
    </row>
    <row r="1113" spans="1:6" x14ac:dyDescent="0.35">
      <c r="A1113" t="s">
        <v>3732</v>
      </c>
      <c r="B1113" t="s">
        <v>2970</v>
      </c>
      <c r="C1113" t="s">
        <v>3732</v>
      </c>
      <c r="D1113" t="s">
        <v>3733</v>
      </c>
      <c r="E1113">
        <f>personnel_nonteach_disbursingofcr2_onleave</f>
        <v>0</v>
      </c>
      <c r="F1113" t="b">
        <v>1</v>
      </c>
    </row>
    <row r="1114" spans="1:6" x14ac:dyDescent="0.35">
      <c r="A1114" t="s">
        <v>3030</v>
      </c>
      <c r="B1114" t="s">
        <v>2970</v>
      </c>
      <c r="C1114" t="s">
        <v>3030</v>
      </c>
      <c r="D1114" t="s">
        <v>3031</v>
      </c>
      <c r="E1114">
        <f>personnel_nonteach_disbursingofcr2_vacant</f>
        <v>0</v>
      </c>
      <c r="F1114" t="b">
        <v>1</v>
      </c>
    </row>
    <row r="1115" spans="1:6" x14ac:dyDescent="0.35">
      <c r="A1115" t="s">
        <v>3108</v>
      </c>
      <c r="B1115" t="s">
        <v>2970</v>
      </c>
      <c r="C1115" t="s">
        <v>3108</v>
      </c>
      <c r="D1115" t="s">
        <v>3109</v>
      </c>
      <c r="E1115">
        <f>personnel_nonteach_disbursingofcr2_detailed_hs</f>
        <v>0</v>
      </c>
      <c r="F1115" t="b">
        <v>1</v>
      </c>
    </row>
    <row r="1116" spans="1:6" x14ac:dyDescent="0.35">
      <c r="A1116" t="s">
        <v>3186</v>
      </c>
      <c r="B1116" t="s">
        <v>2970</v>
      </c>
      <c r="C1116" t="s">
        <v>3186</v>
      </c>
      <c r="D1116" t="s">
        <v>3187</v>
      </c>
      <c r="E1116">
        <f>personnel_nonteach_disbursingofcr2_detailed_es</f>
        <v>0</v>
      </c>
      <c r="F1116" t="b">
        <v>1</v>
      </c>
    </row>
    <row r="1117" spans="1:6" x14ac:dyDescent="0.35">
      <c r="A1117" t="s">
        <v>3264</v>
      </c>
      <c r="B1117" t="s">
        <v>2970</v>
      </c>
      <c r="C1117" t="s">
        <v>3264</v>
      </c>
      <c r="D1117" t="s">
        <v>3265</v>
      </c>
      <c r="E1117">
        <f>personnel_nonteach_disbursingofcr2_detailed_outdiv</f>
        <v>0</v>
      </c>
      <c r="F1117" t="b">
        <v>1</v>
      </c>
    </row>
    <row r="1118" spans="1:6" x14ac:dyDescent="0.35">
      <c r="A1118" t="s">
        <v>3342</v>
      </c>
      <c r="B1118" t="s">
        <v>2970</v>
      </c>
      <c r="C1118" t="s">
        <v>3342</v>
      </c>
      <c r="D1118" t="s">
        <v>3343</v>
      </c>
      <c r="E1118">
        <f>personnel_nonteach_disbursingofcr2_borrowed_m</f>
        <v>0</v>
      </c>
      <c r="F1118" t="b">
        <v>1</v>
      </c>
    </row>
    <row r="1119" spans="1:6" x14ac:dyDescent="0.35">
      <c r="A1119" t="s">
        <v>3420</v>
      </c>
      <c r="B1119" t="s">
        <v>2970</v>
      </c>
      <c r="C1119" t="s">
        <v>3420</v>
      </c>
      <c r="D1119" t="s">
        <v>3421</v>
      </c>
      <c r="E1119">
        <f>personnel_nonteach_disbursingofcr2_borrowed_f</f>
        <v>0</v>
      </c>
      <c r="F1119" t="b">
        <v>1</v>
      </c>
    </row>
    <row r="1120" spans="1:6" x14ac:dyDescent="0.35">
      <c r="A1120" t="s">
        <v>3500</v>
      </c>
      <c r="B1120" t="s">
        <v>2970</v>
      </c>
      <c r="C1120" t="s">
        <v>3500</v>
      </c>
      <c r="D1120" t="s">
        <v>3501</v>
      </c>
      <c r="E1120">
        <f>personnel_nonteach_disbursingofcr1_psipop</f>
        <v>0</v>
      </c>
      <c r="F1120" t="b">
        <v>1</v>
      </c>
    </row>
    <row r="1121" spans="1:6" x14ac:dyDescent="0.35">
      <c r="A1121" t="s">
        <v>3580</v>
      </c>
      <c r="B1121" t="s">
        <v>2970</v>
      </c>
      <c r="C1121" t="s">
        <v>3580</v>
      </c>
      <c r="D1121" t="s">
        <v>3581</v>
      </c>
      <c r="E1121">
        <f>personnel_nonteach_disbursingofcr1_actual_m</f>
        <v>0</v>
      </c>
      <c r="F1121" t="b">
        <v>1</v>
      </c>
    </row>
    <row r="1122" spans="1:6" x14ac:dyDescent="0.35">
      <c r="A1122" t="s">
        <v>3656</v>
      </c>
      <c r="B1122" t="s">
        <v>2970</v>
      </c>
      <c r="C1122" t="s">
        <v>3656</v>
      </c>
      <c r="D1122" t="s">
        <v>3657</v>
      </c>
      <c r="E1122">
        <f>personnel_nonteach_disbursingofcr1_actual_f</f>
        <v>0</v>
      </c>
      <c r="F1122" t="b">
        <v>1</v>
      </c>
    </row>
    <row r="1123" spans="1:6" x14ac:dyDescent="0.35">
      <c r="A1123" t="s">
        <v>3734</v>
      </c>
      <c r="B1123" t="s">
        <v>2970</v>
      </c>
      <c r="C1123" t="s">
        <v>3734</v>
      </c>
      <c r="D1123" t="s">
        <v>3735</v>
      </c>
      <c r="E1123">
        <f>personnel_nonteach_disbursingofcr1_onleave</f>
        <v>0</v>
      </c>
      <c r="F1123" t="b">
        <v>1</v>
      </c>
    </row>
    <row r="1124" spans="1:6" x14ac:dyDescent="0.35">
      <c r="A1124" t="s">
        <v>3032</v>
      </c>
      <c r="B1124" t="s">
        <v>2970</v>
      </c>
      <c r="C1124" t="s">
        <v>3032</v>
      </c>
      <c r="D1124" t="s">
        <v>3033</v>
      </c>
      <c r="E1124">
        <f>personnel_nonteach_disbursingofcr1_vacant</f>
        <v>0</v>
      </c>
      <c r="F1124" t="b">
        <v>1</v>
      </c>
    </row>
    <row r="1125" spans="1:6" x14ac:dyDescent="0.35">
      <c r="A1125" t="s">
        <v>3110</v>
      </c>
      <c r="B1125" t="s">
        <v>2970</v>
      </c>
      <c r="C1125" t="s">
        <v>3110</v>
      </c>
      <c r="D1125" t="s">
        <v>3111</v>
      </c>
      <c r="E1125">
        <f>personnel_nonteach_disbursingofcr1_detailed_hs</f>
        <v>0</v>
      </c>
      <c r="F1125" t="b">
        <v>1</v>
      </c>
    </row>
    <row r="1126" spans="1:6" x14ac:dyDescent="0.35">
      <c r="A1126" t="s">
        <v>3188</v>
      </c>
      <c r="B1126" t="s">
        <v>2970</v>
      </c>
      <c r="C1126" t="s">
        <v>3188</v>
      </c>
      <c r="D1126" t="s">
        <v>3189</v>
      </c>
      <c r="E1126">
        <f>personnel_nonteach_disbursingofcr1_detailed_es</f>
        <v>0</v>
      </c>
      <c r="F1126" t="b">
        <v>1</v>
      </c>
    </row>
    <row r="1127" spans="1:6" x14ac:dyDescent="0.35">
      <c r="A1127" t="s">
        <v>3266</v>
      </c>
      <c r="B1127" t="s">
        <v>2970</v>
      </c>
      <c r="C1127" t="s">
        <v>3266</v>
      </c>
      <c r="D1127" t="s">
        <v>3267</v>
      </c>
      <c r="E1127">
        <f>personnel_nonteach_disbursingofcr1_detailed_outdiv</f>
        <v>0</v>
      </c>
      <c r="F1127" t="b">
        <v>1</v>
      </c>
    </row>
    <row r="1128" spans="1:6" x14ac:dyDescent="0.35">
      <c r="A1128" t="s">
        <v>3344</v>
      </c>
      <c r="B1128" t="s">
        <v>2970</v>
      </c>
      <c r="C1128" t="s">
        <v>3344</v>
      </c>
      <c r="D1128" t="s">
        <v>3345</v>
      </c>
      <c r="E1128">
        <f>personnel_nonteach_disbursingofcr1_borrowed_m</f>
        <v>0</v>
      </c>
      <c r="F1128" t="b">
        <v>1</v>
      </c>
    </row>
    <row r="1129" spans="1:6" x14ac:dyDescent="0.35">
      <c r="A1129" t="s">
        <v>3422</v>
      </c>
      <c r="B1129" t="s">
        <v>2970</v>
      </c>
      <c r="C1129" t="s">
        <v>3422</v>
      </c>
      <c r="D1129" t="s">
        <v>3423</v>
      </c>
      <c r="E1129">
        <f>personnel_nonteach_disbursingofcr1_borrowed_f</f>
        <v>0</v>
      </c>
      <c r="F1129" t="b">
        <v>1</v>
      </c>
    </row>
    <row r="1130" spans="1:6" x14ac:dyDescent="0.35">
      <c r="A1130" t="s">
        <v>3502</v>
      </c>
      <c r="B1130" t="s">
        <v>2970</v>
      </c>
      <c r="C1130" t="s">
        <v>3502</v>
      </c>
      <c r="D1130" t="s">
        <v>3503</v>
      </c>
      <c r="E1130">
        <f>personnel_nonteach_adminaide6_psipop</f>
        <v>0</v>
      </c>
      <c r="F1130" t="b">
        <v>1</v>
      </c>
    </row>
    <row r="1131" spans="1:6" x14ac:dyDescent="0.35">
      <c r="A1131" t="s">
        <v>3582</v>
      </c>
      <c r="B1131" t="s">
        <v>2970</v>
      </c>
      <c r="C1131" t="s">
        <v>3582</v>
      </c>
      <c r="D1131" t="s">
        <v>3583</v>
      </c>
      <c r="E1131">
        <f>personnel_nonteach_adminaide6_actual_m</f>
        <v>0</v>
      </c>
      <c r="F1131" t="b">
        <v>1</v>
      </c>
    </row>
    <row r="1132" spans="1:6" x14ac:dyDescent="0.35">
      <c r="A1132" t="s">
        <v>3658</v>
      </c>
      <c r="B1132" t="s">
        <v>2970</v>
      </c>
      <c r="C1132" t="s">
        <v>3658</v>
      </c>
      <c r="D1132" t="s">
        <v>3659</v>
      </c>
      <c r="E1132">
        <f>personnel_nonteach_adminaide6_actual_f</f>
        <v>0</v>
      </c>
      <c r="F1132" t="b">
        <v>1</v>
      </c>
    </row>
    <row r="1133" spans="1:6" x14ac:dyDescent="0.35">
      <c r="A1133" t="s">
        <v>3736</v>
      </c>
      <c r="B1133" t="s">
        <v>2970</v>
      </c>
      <c r="C1133" t="s">
        <v>3736</v>
      </c>
      <c r="D1133" t="s">
        <v>3737</v>
      </c>
      <c r="E1133">
        <f>personnel_nonteach_adminaide6_onleave</f>
        <v>0</v>
      </c>
      <c r="F1133" t="b">
        <v>1</v>
      </c>
    </row>
    <row r="1134" spans="1:6" x14ac:dyDescent="0.35">
      <c r="A1134" t="s">
        <v>3034</v>
      </c>
      <c r="B1134" t="s">
        <v>2970</v>
      </c>
      <c r="C1134" t="s">
        <v>3034</v>
      </c>
      <c r="D1134" t="s">
        <v>3035</v>
      </c>
      <c r="E1134">
        <f>personnel_nonteach_adminaide6_vacant</f>
        <v>0</v>
      </c>
      <c r="F1134" t="b">
        <v>1</v>
      </c>
    </row>
    <row r="1135" spans="1:6" x14ac:dyDescent="0.35">
      <c r="A1135" t="s">
        <v>3112</v>
      </c>
      <c r="B1135" t="s">
        <v>2970</v>
      </c>
      <c r="C1135" t="s">
        <v>3112</v>
      </c>
      <c r="D1135" t="s">
        <v>3113</v>
      </c>
      <c r="E1135">
        <f>personnel_nonteach_adminaide6_detailed_hs</f>
        <v>0</v>
      </c>
      <c r="F1135" t="b">
        <v>1</v>
      </c>
    </row>
    <row r="1136" spans="1:6" x14ac:dyDescent="0.35">
      <c r="A1136" t="s">
        <v>3190</v>
      </c>
      <c r="B1136" t="s">
        <v>2970</v>
      </c>
      <c r="C1136" t="s">
        <v>3190</v>
      </c>
      <c r="D1136" t="s">
        <v>3191</v>
      </c>
      <c r="E1136">
        <f>personnel_nonteach_adminaide6_detailed_es</f>
        <v>0</v>
      </c>
      <c r="F1136" t="b">
        <v>1</v>
      </c>
    </row>
    <row r="1137" spans="1:6" x14ac:dyDescent="0.35">
      <c r="A1137" t="s">
        <v>3268</v>
      </c>
      <c r="B1137" t="s">
        <v>2970</v>
      </c>
      <c r="C1137" t="s">
        <v>3268</v>
      </c>
      <c r="D1137" t="s">
        <v>3269</v>
      </c>
      <c r="E1137">
        <f>personnel_nonteach_adminaide6_detailed_outdiv</f>
        <v>0</v>
      </c>
      <c r="F1137" t="b">
        <v>1</v>
      </c>
    </row>
    <row r="1138" spans="1:6" x14ac:dyDescent="0.35">
      <c r="A1138" t="s">
        <v>3346</v>
      </c>
      <c r="B1138" t="s">
        <v>2970</v>
      </c>
      <c r="C1138" t="s">
        <v>3346</v>
      </c>
      <c r="D1138" t="s">
        <v>3347</v>
      </c>
      <c r="E1138">
        <f>personnel_nonteach_adminaide6_borrowed_m</f>
        <v>0</v>
      </c>
      <c r="F1138" t="b">
        <v>1</v>
      </c>
    </row>
    <row r="1139" spans="1:6" x14ac:dyDescent="0.35">
      <c r="A1139" t="s">
        <v>3424</v>
      </c>
      <c r="B1139" t="s">
        <v>2970</v>
      </c>
      <c r="C1139" t="s">
        <v>3424</v>
      </c>
      <c r="D1139" t="s">
        <v>3425</v>
      </c>
      <c r="E1139">
        <f>personnel_nonteach_adminaide6_borrowed_f</f>
        <v>0</v>
      </c>
      <c r="F1139" t="b">
        <v>1</v>
      </c>
    </row>
    <row r="1140" spans="1:6" x14ac:dyDescent="0.35">
      <c r="A1140" t="s">
        <v>3504</v>
      </c>
      <c r="B1140" t="s">
        <v>2970</v>
      </c>
      <c r="C1140" t="s">
        <v>3504</v>
      </c>
      <c r="D1140" t="s">
        <v>3505</v>
      </c>
      <c r="E1140">
        <f>personnel_nonteach_heavyequipment_psipop</f>
        <v>0</v>
      </c>
      <c r="F1140" t="b">
        <v>1</v>
      </c>
    </row>
    <row r="1141" spans="1:6" x14ac:dyDescent="0.35">
      <c r="A1141" t="s">
        <v>3584</v>
      </c>
      <c r="B1141" t="s">
        <v>2970</v>
      </c>
      <c r="C1141" t="s">
        <v>3584</v>
      </c>
      <c r="D1141" t="s">
        <v>3585</v>
      </c>
      <c r="E1141">
        <f>personnel_nonteach_heavyequipment_actual_m</f>
        <v>0</v>
      </c>
      <c r="F1141" t="b">
        <v>1</v>
      </c>
    </row>
    <row r="1142" spans="1:6" x14ac:dyDescent="0.35">
      <c r="A1142" t="s">
        <v>3660</v>
      </c>
      <c r="B1142" t="s">
        <v>2970</v>
      </c>
      <c r="C1142" t="s">
        <v>3660</v>
      </c>
      <c r="D1142" t="s">
        <v>3661</v>
      </c>
      <c r="E1142">
        <f>personnel_nonteach_heavyequipment_actual_f</f>
        <v>0</v>
      </c>
      <c r="F1142" t="b">
        <v>1</v>
      </c>
    </row>
    <row r="1143" spans="1:6" x14ac:dyDescent="0.35">
      <c r="A1143" t="s">
        <v>3738</v>
      </c>
      <c r="B1143" t="s">
        <v>2970</v>
      </c>
      <c r="C1143" t="s">
        <v>3738</v>
      </c>
      <c r="D1143" t="s">
        <v>3739</v>
      </c>
      <c r="E1143">
        <f>personnel_nonteach_heavyequipment_onleave</f>
        <v>0</v>
      </c>
      <c r="F1143" t="b">
        <v>1</v>
      </c>
    </row>
    <row r="1144" spans="1:6" x14ac:dyDescent="0.35">
      <c r="A1144" t="s">
        <v>3036</v>
      </c>
      <c r="B1144" t="s">
        <v>2970</v>
      </c>
      <c r="C1144" t="s">
        <v>3036</v>
      </c>
      <c r="D1144" t="s">
        <v>3037</v>
      </c>
      <c r="E1144">
        <f>personnel_nonteach_heavyequipment_vacant</f>
        <v>0</v>
      </c>
      <c r="F1144" t="b">
        <v>1</v>
      </c>
    </row>
    <row r="1145" spans="1:6" x14ac:dyDescent="0.35">
      <c r="A1145" t="s">
        <v>3114</v>
      </c>
      <c r="B1145" t="s">
        <v>2970</v>
      </c>
      <c r="C1145" t="s">
        <v>3114</v>
      </c>
      <c r="D1145" t="s">
        <v>3115</v>
      </c>
      <c r="E1145">
        <f>personnel_nonteach_heavyequipment_detailed_hs</f>
        <v>0</v>
      </c>
      <c r="F1145" t="b">
        <v>1</v>
      </c>
    </row>
    <row r="1146" spans="1:6" x14ac:dyDescent="0.35">
      <c r="A1146" t="s">
        <v>3192</v>
      </c>
      <c r="B1146" t="s">
        <v>2970</v>
      </c>
      <c r="C1146" t="s">
        <v>3192</v>
      </c>
      <c r="D1146" t="s">
        <v>3193</v>
      </c>
      <c r="E1146">
        <f>personnel_nonteach_heavyequipment_detailed_es</f>
        <v>0</v>
      </c>
      <c r="F1146" t="b">
        <v>1</v>
      </c>
    </row>
    <row r="1147" spans="1:6" x14ac:dyDescent="0.35">
      <c r="A1147" t="s">
        <v>3270</v>
      </c>
      <c r="B1147" t="s">
        <v>2970</v>
      </c>
      <c r="C1147" t="s">
        <v>3270</v>
      </c>
      <c r="D1147" t="s">
        <v>3271</v>
      </c>
      <c r="E1147">
        <f>personnel_nonteach_heavyequipment_detailed_outdiv</f>
        <v>0</v>
      </c>
      <c r="F1147" t="b">
        <v>1</v>
      </c>
    </row>
    <row r="1148" spans="1:6" x14ac:dyDescent="0.35">
      <c r="A1148" t="s">
        <v>3348</v>
      </c>
      <c r="B1148" t="s">
        <v>2970</v>
      </c>
      <c r="C1148" t="s">
        <v>3348</v>
      </c>
      <c r="D1148" t="s">
        <v>3349</v>
      </c>
      <c r="E1148">
        <f>personnel_nonteach_heavyequipment_borrowed_m</f>
        <v>0</v>
      </c>
      <c r="F1148" t="b">
        <v>1</v>
      </c>
    </row>
    <row r="1149" spans="1:6" x14ac:dyDescent="0.35">
      <c r="A1149" t="s">
        <v>3426</v>
      </c>
      <c r="B1149" t="s">
        <v>2970</v>
      </c>
      <c r="C1149" t="s">
        <v>3426</v>
      </c>
      <c r="D1149" t="s">
        <v>3427</v>
      </c>
      <c r="E1149">
        <f>personnel_nonteach_heavyequipment_borrowed_f</f>
        <v>0</v>
      </c>
      <c r="F1149" t="b">
        <v>1</v>
      </c>
    </row>
    <row r="1150" spans="1:6" x14ac:dyDescent="0.35">
      <c r="A1150" t="s">
        <v>3506</v>
      </c>
      <c r="B1150" t="s">
        <v>2970</v>
      </c>
      <c r="C1150" t="s">
        <v>3506</v>
      </c>
      <c r="D1150" t="s">
        <v>3507</v>
      </c>
      <c r="E1150">
        <f>personnel_nonteach_driver_psipop</f>
        <v>0</v>
      </c>
      <c r="F1150" t="b">
        <v>1</v>
      </c>
    </row>
    <row r="1151" spans="1:6" x14ac:dyDescent="0.35">
      <c r="A1151" t="s">
        <v>3586</v>
      </c>
      <c r="B1151" t="s">
        <v>2970</v>
      </c>
      <c r="C1151" t="s">
        <v>3586</v>
      </c>
      <c r="D1151" t="s">
        <v>3587</v>
      </c>
      <c r="E1151">
        <f>personnel_nonteach_driver_actual_m</f>
        <v>0</v>
      </c>
      <c r="F1151" t="b">
        <v>1</v>
      </c>
    </row>
    <row r="1152" spans="1:6" x14ac:dyDescent="0.35">
      <c r="A1152" t="s">
        <v>3662</v>
      </c>
      <c r="B1152" t="s">
        <v>2970</v>
      </c>
      <c r="C1152" t="s">
        <v>3662</v>
      </c>
      <c r="D1152" t="s">
        <v>3663</v>
      </c>
      <c r="E1152">
        <f>personnel_nonteach_driver_actual_f</f>
        <v>0</v>
      </c>
      <c r="F1152" t="b">
        <v>1</v>
      </c>
    </row>
    <row r="1153" spans="1:6" x14ac:dyDescent="0.35">
      <c r="A1153" t="s">
        <v>3740</v>
      </c>
      <c r="B1153" t="s">
        <v>2970</v>
      </c>
      <c r="C1153" t="s">
        <v>3740</v>
      </c>
      <c r="D1153" t="s">
        <v>3741</v>
      </c>
      <c r="E1153">
        <f>personnel_nonteach_driver_onleave</f>
        <v>0</v>
      </c>
      <c r="F1153" t="b">
        <v>1</v>
      </c>
    </row>
    <row r="1154" spans="1:6" x14ac:dyDescent="0.35">
      <c r="A1154" t="s">
        <v>3038</v>
      </c>
      <c r="B1154" t="s">
        <v>2970</v>
      </c>
      <c r="C1154" t="s">
        <v>3038</v>
      </c>
      <c r="D1154" t="s">
        <v>3039</v>
      </c>
      <c r="E1154">
        <f>personnel_nonteach_driver_vacant</f>
        <v>0</v>
      </c>
      <c r="F1154" t="b">
        <v>1</v>
      </c>
    </row>
    <row r="1155" spans="1:6" x14ac:dyDescent="0.35">
      <c r="A1155" t="s">
        <v>3116</v>
      </c>
      <c r="B1155" t="s">
        <v>2970</v>
      </c>
      <c r="C1155" t="s">
        <v>3116</v>
      </c>
      <c r="D1155" t="s">
        <v>3117</v>
      </c>
      <c r="E1155">
        <f>personnel_nonteach_driver_detailed_hs</f>
        <v>0</v>
      </c>
      <c r="F1155" t="b">
        <v>1</v>
      </c>
    </row>
    <row r="1156" spans="1:6" x14ac:dyDescent="0.35">
      <c r="A1156" t="s">
        <v>3194</v>
      </c>
      <c r="B1156" t="s">
        <v>2970</v>
      </c>
      <c r="C1156" t="s">
        <v>3194</v>
      </c>
      <c r="D1156" t="s">
        <v>3195</v>
      </c>
      <c r="E1156">
        <f>personnel_nonteach_driver_detailed_es</f>
        <v>0</v>
      </c>
      <c r="F1156" t="b">
        <v>1</v>
      </c>
    </row>
    <row r="1157" spans="1:6" x14ac:dyDescent="0.35">
      <c r="A1157" t="s">
        <v>3272</v>
      </c>
      <c r="B1157" t="s">
        <v>2970</v>
      </c>
      <c r="C1157" t="s">
        <v>3272</v>
      </c>
      <c r="D1157" t="s">
        <v>3273</v>
      </c>
      <c r="E1157">
        <f>personnel_nonteach_driver_detailed_outdiv</f>
        <v>0</v>
      </c>
      <c r="F1157" t="b">
        <v>1</v>
      </c>
    </row>
    <row r="1158" spans="1:6" x14ac:dyDescent="0.35">
      <c r="A1158" t="s">
        <v>3350</v>
      </c>
      <c r="B1158" t="s">
        <v>2970</v>
      </c>
      <c r="C1158" t="s">
        <v>3350</v>
      </c>
      <c r="D1158" t="s">
        <v>3351</v>
      </c>
      <c r="E1158">
        <f>personnel_nonteach_driver_borrowed_m</f>
        <v>0</v>
      </c>
      <c r="F1158" t="b">
        <v>1</v>
      </c>
    </row>
    <row r="1159" spans="1:6" x14ac:dyDescent="0.35">
      <c r="A1159" t="s">
        <v>3428</v>
      </c>
      <c r="B1159" t="s">
        <v>2970</v>
      </c>
      <c r="C1159" t="s">
        <v>3428</v>
      </c>
      <c r="D1159" t="s">
        <v>3429</v>
      </c>
      <c r="E1159">
        <f>personnel_nonteach_driver_borrowed_f</f>
        <v>0</v>
      </c>
      <c r="F1159" t="b">
        <v>1</v>
      </c>
    </row>
    <row r="1160" spans="1:6" x14ac:dyDescent="0.35">
      <c r="A1160" t="s">
        <v>3508</v>
      </c>
      <c r="B1160" t="s">
        <v>2970</v>
      </c>
      <c r="C1160" t="s">
        <v>3508</v>
      </c>
      <c r="D1160" t="s">
        <v>3509</v>
      </c>
      <c r="E1160">
        <f>personnel_nonteach_security_guard_psipop</f>
        <v>2</v>
      </c>
      <c r="F1160" t="b">
        <v>1</v>
      </c>
    </row>
    <row r="1161" spans="1:6" x14ac:dyDescent="0.35">
      <c r="A1161" t="s">
        <v>3588</v>
      </c>
      <c r="B1161" t="s">
        <v>2970</v>
      </c>
      <c r="C1161" t="s">
        <v>3588</v>
      </c>
      <c r="D1161" t="s">
        <v>3589</v>
      </c>
      <c r="E1161">
        <f>personnel_nonteach_security_guard_actual_m</f>
        <v>2</v>
      </c>
      <c r="F1161" t="b">
        <v>1</v>
      </c>
    </row>
    <row r="1162" spans="1:6" x14ac:dyDescent="0.35">
      <c r="A1162" t="s">
        <v>3664</v>
      </c>
      <c r="B1162" t="s">
        <v>2970</v>
      </c>
      <c r="C1162" t="s">
        <v>3664</v>
      </c>
      <c r="D1162" t="s">
        <v>3665</v>
      </c>
      <c r="E1162">
        <f>personnel_nonteach_security_guard_actual_f</f>
        <v>0</v>
      </c>
      <c r="F1162" t="b">
        <v>1</v>
      </c>
    </row>
    <row r="1163" spans="1:6" x14ac:dyDescent="0.35">
      <c r="A1163" t="s">
        <v>3742</v>
      </c>
      <c r="B1163" t="s">
        <v>2970</v>
      </c>
      <c r="C1163" t="s">
        <v>3742</v>
      </c>
      <c r="D1163" t="s">
        <v>3743</v>
      </c>
      <c r="E1163">
        <f>personnel_nonteach_security_guard_onleave</f>
        <v>0</v>
      </c>
      <c r="F1163" t="b">
        <v>1</v>
      </c>
    </row>
    <row r="1164" spans="1:6" x14ac:dyDescent="0.35">
      <c r="A1164" t="s">
        <v>3040</v>
      </c>
      <c r="B1164" t="s">
        <v>2970</v>
      </c>
      <c r="C1164" t="s">
        <v>3040</v>
      </c>
      <c r="D1164" t="s">
        <v>3041</v>
      </c>
      <c r="E1164">
        <f>personnel_nonteach_security_guard_vacant</f>
        <v>0</v>
      </c>
      <c r="F1164" t="b">
        <v>1</v>
      </c>
    </row>
    <row r="1165" spans="1:6" x14ac:dyDescent="0.35">
      <c r="A1165" t="s">
        <v>3118</v>
      </c>
      <c r="B1165" t="s">
        <v>2970</v>
      </c>
      <c r="C1165" t="s">
        <v>3118</v>
      </c>
      <c r="D1165" t="s">
        <v>3119</v>
      </c>
      <c r="E1165">
        <f>personnel_nonteach_security_guard_detailed_hs</f>
        <v>0</v>
      </c>
      <c r="F1165" t="b">
        <v>1</v>
      </c>
    </row>
    <row r="1166" spans="1:6" x14ac:dyDescent="0.35">
      <c r="A1166" t="s">
        <v>3196</v>
      </c>
      <c r="B1166" t="s">
        <v>2970</v>
      </c>
      <c r="C1166" t="s">
        <v>3196</v>
      </c>
      <c r="D1166" t="s">
        <v>3197</v>
      </c>
      <c r="E1166">
        <f>personnel_nonteach_security_guard_detailed_es</f>
        <v>0</v>
      </c>
      <c r="F1166" t="b">
        <v>1</v>
      </c>
    </row>
    <row r="1167" spans="1:6" x14ac:dyDescent="0.35">
      <c r="A1167" t="s">
        <v>3274</v>
      </c>
      <c r="B1167" t="s">
        <v>2970</v>
      </c>
      <c r="C1167" t="s">
        <v>3274</v>
      </c>
      <c r="D1167" t="s">
        <v>3275</v>
      </c>
      <c r="E1167">
        <f>personnel_nonteach_security_guard_detailed_outdiv</f>
        <v>0</v>
      </c>
      <c r="F1167" t="b">
        <v>1</v>
      </c>
    </row>
    <row r="1168" spans="1:6" x14ac:dyDescent="0.35">
      <c r="A1168" t="s">
        <v>3352</v>
      </c>
      <c r="B1168" t="s">
        <v>2970</v>
      </c>
      <c r="C1168" t="s">
        <v>3352</v>
      </c>
      <c r="D1168" t="s">
        <v>3353</v>
      </c>
      <c r="E1168">
        <f>personnel_nonteach_security_guard_borrowed_m</f>
        <v>0</v>
      </c>
      <c r="F1168" t="b">
        <v>1</v>
      </c>
    </row>
    <row r="1169" spans="1:6" x14ac:dyDescent="0.35">
      <c r="A1169" t="s">
        <v>3430</v>
      </c>
      <c r="B1169" t="s">
        <v>2970</v>
      </c>
      <c r="C1169" t="s">
        <v>3430</v>
      </c>
      <c r="D1169" t="s">
        <v>3431</v>
      </c>
      <c r="E1169">
        <f>personnel_nonteach_security_guard_borrowed_f</f>
        <v>0</v>
      </c>
      <c r="F1169" t="b">
        <v>1</v>
      </c>
    </row>
    <row r="1170" spans="1:6" x14ac:dyDescent="0.35">
      <c r="A1170" t="s">
        <v>3510</v>
      </c>
      <c r="B1170" t="s">
        <v>2970</v>
      </c>
      <c r="C1170" t="s">
        <v>3510</v>
      </c>
      <c r="D1170" t="s">
        <v>3511</v>
      </c>
      <c r="E1170">
        <f>personnel_nonteach_lightequip_operator_psipop</f>
        <v>0</v>
      </c>
      <c r="F1170" t="b">
        <v>1</v>
      </c>
    </row>
    <row r="1171" spans="1:6" x14ac:dyDescent="0.35">
      <c r="A1171" t="s">
        <v>3590</v>
      </c>
      <c r="B1171" t="s">
        <v>2970</v>
      </c>
      <c r="C1171" t="s">
        <v>3590</v>
      </c>
      <c r="D1171" t="s">
        <v>3591</v>
      </c>
      <c r="E1171">
        <f>personnel_nonteach_lightequip_operator_actual_m</f>
        <v>0</v>
      </c>
      <c r="F1171" t="b">
        <v>1</v>
      </c>
    </row>
    <row r="1172" spans="1:6" x14ac:dyDescent="0.35">
      <c r="A1172" t="s">
        <v>3666</v>
      </c>
      <c r="B1172" t="s">
        <v>2970</v>
      </c>
      <c r="C1172" t="s">
        <v>3666</v>
      </c>
      <c r="D1172" t="s">
        <v>3667</v>
      </c>
      <c r="E1172">
        <f>personnel_nonteach_lightequip_operator_actual_f</f>
        <v>0</v>
      </c>
      <c r="F1172" t="b">
        <v>1</v>
      </c>
    </row>
    <row r="1173" spans="1:6" x14ac:dyDescent="0.35">
      <c r="A1173" t="s">
        <v>3744</v>
      </c>
      <c r="B1173" t="s">
        <v>2970</v>
      </c>
      <c r="C1173" t="s">
        <v>3744</v>
      </c>
      <c r="D1173" t="s">
        <v>3745</v>
      </c>
      <c r="E1173">
        <f>personnel_nonteach_lightequip_operator_onleave</f>
        <v>0</v>
      </c>
      <c r="F1173" t="b">
        <v>1</v>
      </c>
    </row>
    <row r="1174" spans="1:6" x14ac:dyDescent="0.35">
      <c r="A1174" t="s">
        <v>3042</v>
      </c>
      <c r="B1174" t="s">
        <v>2970</v>
      </c>
      <c r="C1174" t="s">
        <v>3042</v>
      </c>
      <c r="D1174" t="s">
        <v>3043</v>
      </c>
      <c r="E1174">
        <f>personnel_nonteach_lightequip_operator_vacant</f>
        <v>0</v>
      </c>
      <c r="F1174" t="b">
        <v>1</v>
      </c>
    </row>
    <row r="1175" spans="1:6" x14ac:dyDescent="0.35">
      <c r="A1175" t="s">
        <v>3120</v>
      </c>
      <c r="B1175" t="s">
        <v>2970</v>
      </c>
      <c r="C1175" t="s">
        <v>3120</v>
      </c>
      <c r="D1175" t="s">
        <v>3121</v>
      </c>
      <c r="E1175">
        <f>personnel_nonteach_lightequip_operator_detailed_hs</f>
        <v>0</v>
      </c>
      <c r="F1175" t="b">
        <v>1</v>
      </c>
    </row>
    <row r="1176" spans="1:6" x14ac:dyDescent="0.35">
      <c r="A1176" t="s">
        <v>3198</v>
      </c>
      <c r="B1176" t="s">
        <v>2970</v>
      </c>
      <c r="C1176" t="s">
        <v>3198</v>
      </c>
      <c r="D1176" t="s">
        <v>3199</v>
      </c>
      <c r="E1176">
        <f>personnel_nonteach_lightequip_operator_detailed_es</f>
        <v>0</v>
      </c>
      <c r="F1176" t="b">
        <v>1</v>
      </c>
    </row>
    <row r="1177" spans="1:6" x14ac:dyDescent="0.35">
      <c r="A1177" t="s">
        <v>3276</v>
      </c>
      <c r="B1177" t="s">
        <v>2970</v>
      </c>
      <c r="C1177" t="s">
        <v>3276</v>
      </c>
      <c r="D1177" t="s">
        <v>3277</v>
      </c>
      <c r="E1177">
        <f>personnel_nonteach_lightequip_operator_detailed_outdiv</f>
        <v>0</v>
      </c>
      <c r="F1177" t="b">
        <v>1</v>
      </c>
    </row>
    <row r="1178" spans="1:6" x14ac:dyDescent="0.35">
      <c r="A1178" t="s">
        <v>3354</v>
      </c>
      <c r="B1178" t="s">
        <v>2970</v>
      </c>
      <c r="C1178" t="s">
        <v>3354</v>
      </c>
      <c r="D1178" t="s">
        <v>3355</v>
      </c>
      <c r="E1178">
        <f>personnel_nonteach_lightequip_operator_borrowed_m</f>
        <v>0</v>
      </c>
      <c r="F1178" t="b">
        <v>1</v>
      </c>
    </row>
    <row r="1179" spans="1:6" x14ac:dyDescent="0.35">
      <c r="A1179" t="s">
        <v>3432</v>
      </c>
      <c r="B1179" t="s">
        <v>2970</v>
      </c>
      <c r="C1179" t="s">
        <v>3432</v>
      </c>
      <c r="D1179" t="s">
        <v>3433</v>
      </c>
      <c r="E1179">
        <f>personnel_nonteach_lightequip_operator_borrowed_f</f>
        <v>0</v>
      </c>
      <c r="F1179" t="b">
        <v>1</v>
      </c>
    </row>
    <row r="1180" spans="1:6" x14ac:dyDescent="0.35">
      <c r="A1180" t="s">
        <v>3512</v>
      </c>
      <c r="B1180" t="s">
        <v>2970</v>
      </c>
      <c r="C1180" t="s">
        <v>3512</v>
      </c>
      <c r="D1180" t="s">
        <v>3513</v>
      </c>
      <c r="E1180">
        <f>personnel_nonteach_utility_worker_psipop</f>
        <v>0</v>
      </c>
      <c r="F1180" t="b">
        <v>1</v>
      </c>
    </row>
    <row r="1181" spans="1:6" x14ac:dyDescent="0.35">
      <c r="A1181" t="s">
        <v>3592</v>
      </c>
      <c r="B1181" t="s">
        <v>2970</v>
      </c>
      <c r="C1181" t="s">
        <v>3592</v>
      </c>
      <c r="D1181" t="s">
        <v>3593</v>
      </c>
      <c r="E1181">
        <f>personnel_nonteach_utility_worker_actual_m</f>
        <v>0</v>
      </c>
      <c r="F1181" t="b">
        <v>1</v>
      </c>
    </row>
    <row r="1182" spans="1:6" x14ac:dyDescent="0.35">
      <c r="A1182" t="s">
        <v>3668</v>
      </c>
      <c r="B1182" t="s">
        <v>2970</v>
      </c>
      <c r="C1182" t="s">
        <v>3668</v>
      </c>
      <c r="D1182" t="s">
        <v>3669</v>
      </c>
      <c r="E1182">
        <f>personnel_nonteach_utility_worker_actual_f</f>
        <v>0</v>
      </c>
      <c r="F1182" t="b">
        <v>1</v>
      </c>
    </row>
    <row r="1183" spans="1:6" x14ac:dyDescent="0.35">
      <c r="A1183" t="s">
        <v>3746</v>
      </c>
      <c r="B1183" t="s">
        <v>2970</v>
      </c>
      <c r="C1183" t="s">
        <v>3746</v>
      </c>
      <c r="D1183" t="s">
        <v>3747</v>
      </c>
      <c r="E1183">
        <f>personnel_nonteach_utility_worker_onleave</f>
        <v>0</v>
      </c>
      <c r="F1183" t="b">
        <v>1</v>
      </c>
    </row>
    <row r="1184" spans="1:6" x14ac:dyDescent="0.35">
      <c r="A1184" t="s">
        <v>3044</v>
      </c>
      <c r="B1184" t="s">
        <v>2970</v>
      </c>
      <c r="C1184" t="s">
        <v>3044</v>
      </c>
      <c r="D1184" t="s">
        <v>3045</v>
      </c>
      <c r="E1184">
        <f>personnel_nonteach_utility_worker_vacant</f>
        <v>0</v>
      </c>
      <c r="F1184" t="b">
        <v>1</v>
      </c>
    </row>
    <row r="1185" spans="1:14" x14ac:dyDescent="0.35">
      <c r="A1185" t="s">
        <v>3122</v>
      </c>
      <c r="B1185" t="s">
        <v>2970</v>
      </c>
      <c r="C1185" t="s">
        <v>3122</v>
      </c>
      <c r="D1185" t="s">
        <v>3123</v>
      </c>
      <c r="E1185">
        <f>personnel_nonteach_utility_worker_detailed_hs</f>
        <v>0</v>
      </c>
      <c r="F1185" t="b">
        <v>1</v>
      </c>
    </row>
    <row r="1186" spans="1:14" x14ac:dyDescent="0.35">
      <c r="A1186" t="s">
        <v>3200</v>
      </c>
      <c r="B1186" t="s">
        <v>2970</v>
      </c>
      <c r="C1186" t="s">
        <v>3200</v>
      </c>
      <c r="D1186" t="s">
        <v>3201</v>
      </c>
      <c r="E1186">
        <f>personnel_nonteach_utility_worker_detailed_es</f>
        <v>0</v>
      </c>
      <c r="F1186" t="b">
        <v>1</v>
      </c>
    </row>
    <row r="1187" spans="1:14" x14ac:dyDescent="0.35">
      <c r="A1187" t="s">
        <v>3278</v>
      </c>
      <c r="B1187" t="s">
        <v>2970</v>
      </c>
      <c r="C1187" t="s">
        <v>3278</v>
      </c>
      <c r="D1187" t="s">
        <v>3279</v>
      </c>
      <c r="E1187">
        <f>personnel_nonteach_utility_worker_detailed_outdiv</f>
        <v>0</v>
      </c>
      <c r="F1187" t="b">
        <v>1</v>
      </c>
    </row>
    <row r="1188" spans="1:14" x14ac:dyDescent="0.35">
      <c r="A1188" t="s">
        <v>3356</v>
      </c>
      <c r="B1188" t="s">
        <v>2970</v>
      </c>
      <c r="C1188" t="s">
        <v>3356</v>
      </c>
      <c r="D1188" t="s">
        <v>3357</v>
      </c>
      <c r="E1188">
        <f>personnel_nonteach_utility_worker_borrowed_m</f>
        <v>0</v>
      </c>
      <c r="F1188" t="b">
        <v>1</v>
      </c>
    </row>
    <row r="1189" spans="1:14" s="1348" customFormat="1" ht="16" thickBot="1" x14ac:dyDescent="0.4">
      <c r="A1189" s="1348" t="s">
        <v>3434</v>
      </c>
      <c r="B1189" s="1348" t="s">
        <v>2970</v>
      </c>
      <c r="C1189" s="1348" t="s">
        <v>3434</v>
      </c>
      <c r="D1189" s="1348" t="s">
        <v>3435</v>
      </c>
      <c r="E1189" s="1348">
        <f>personnel_nonteach_utility_worker_borrowed_f</f>
        <v>0</v>
      </c>
      <c r="F1189" s="1348" t="b">
        <v>1</v>
      </c>
      <c r="N1189" s="1358"/>
    </row>
    <row r="1190" spans="1:14" x14ac:dyDescent="0.35">
      <c r="A1190" t="s">
        <v>12517</v>
      </c>
      <c r="B1190" t="s">
        <v>3751</v>
      </c>
      <c r="C1190" t="s">
        <v>12517</v>
      </c>
      <c r="D1190" t="s">
        <v>3995</v>
      </c>
      <c r="E1190">
        <f>personnel_teach_instructor3_psipop</f>
        <v>0</v>
      </c>
      <c r="F1190" t="b">
        <v>1</v>
      </c>
    </row>
    <row r="1191" spans="1:14" x14ac:dyDescent="0.35">
      <c r="A1191" t="s">
        <v>4011</v>
      </c>
      <c r="B1191" t="s">
        <v>3751</v>
      </c>
      <c r="C1191" t="s">
        <v>4011</v>
      </c>
      <c r="D1191" t="s">
        <v>4012</v>
      </c>
      <c r="E1191">
        <f>personnel_teach_instructor3_actual_m</f>
        <v>0</v>
      </c>
      <c r="F1191" t="b">
        <v>1</v>
      </c>
    </row>
    <row r="1192" spans="1:14" x14ac:dyDescent="0.35">
      <c r="A1192" t="s">
        <v>4053</v>
      </c>
      <c r="B1192" t="s">
        <v>3751</v>
      </c>
      <c r="C1192" t="s">
        <v>4053</v>
      </c>
      <c r="D1192" t="s">
        <v>4054</v>
      </c>
      <c r="E1192">
        <f>personnel_teach_instructor3_actual_f</f>
        <v>0</v>
      </c>
      <c r="F1192" t="b">
        <v>1</v>
      </c>
    </row>
    <row r="1193" spans="1:14" x14ac:dyDescent="0.35">
      <c r="A1193" t="s">
        <v>3750</v>
      </c>
      <c r="B1193" t="s">
        <v>3751</v>
      </c>
      <c r="C1193" t="s">
        <v>3750</v>
      </c>
      <c r="D1193" t="s">
        <v>3752</v>
      </c>
      <c r="E1193">
        <f>personnel_teach_instructor3_onleave</f>
        <v>0</v>
      </c>
      <c r="F1193" t="b">
        <v>1</v>
      </c>
    </row>
    <row r="1194" spans="1:14" x14ac:dyDescent="0.35">
      <c r="A1194" t="s">
        <v>3783</v>
      </c>
      <c r="B1194" t="s">
        <v>3751</v>
      </c>
      <c r="C1194" t="s">
        <v>3783</v>
      </c>
      <c r="D1194" t="s">
        <v>3784</v>
      </c>
      <c r="E1194">
        <f>personnel_teach_instructor3_vacant</f>
        <v>0</v>
      </c>
      <c r="F1194" t="b">
        <v>1</v>
      </c>
    </row>
    <row r="1195" spans="1:14" x14ac:dyDescent="0.35">
      <c r="A1195" t="s">
        <v>3815</v>
      </c>
      <c r="B1195" t="s">
        <v>3751</v>
      </c>
      <c r="C1195" t="s">
        <v>3815</v>
      </c>
      <c r="D1195" t="s">
        <v>3816</v>
      </c>
      <c r="E1195">
        <f>personnel_teach_instructor3_detailed_hs</f>
        <v>0</v>
      </c>
      <c r="F1195" t="b">
        <v>1</v>
      </c>
    </row>
    <row r="1196" spans="1:14" x14ac:dyDescent="0.35">
      <c r="A1196" t="s">
        <v>3847</v>
      </c>
      <c r="B1196" t="s">
        <v>3751</v>
      </c>
      <c r="C1196" t="s">
        <v>3847</v>
      </c>
      <c r="D1196" t="s">
        <v>3848</v>
      </c>
      <c r="E1196">
        <f>personnel_teach_instructor3_detailed_es</f>
        <v>0</v>
      </c>
      <c r="F1196" t="b">
        <v>1</v>
      </c>
    </row>
    <row r="1197" spans="1:14" x14ac:dyDescent="0.35">
      <c r="A1197" t="s">
        <v>3879</v>
      </c>
      <c r="B1197" t="s">
        <v>3751</v>
      </c>
      <c r="C1197" t="s">
        <v>3879</v>
      </c>
      <c r="D1197" t="s">
        <v>3880</v>
      </c>
      <c r="E1197">
        <f>personnel_teach_instructor3_detailed_outdiv</f>
        <v>0</v>
      </c>
      <c r="F1197" t="b">
        <v>1</v>
      </c>
    </row>
    <row r="1198" spans="1:14" x14ac:dyDescent="0.35">
      <c r="A1198" t="s">
        <v>3911</v>
      </c>
      <c r="B1198" t="s">
        <v>3751</v>
      </c>
      <c r="C1198" t="s">
        <v>3911</v>
      </c>
      <c r="D1198" t="s">
        <v>3912</v>
      </c>
      <c r="E1198">
        <f>personnel_teach_instructor3_borrowed_m</f>
        <v>0</v>
      </c>
      <c r="F1198" t="b">
        <v>1</v>
      </c>
    </row>
    <row r="1199" spans="1:14" x14ac:dyDescent="0.35">
      <c r="A1199" t="s">
        <v>3953</v>
      </c>
      <c r="B1199" t="s">
        <v>3751</v>
      </c>
      <c r="C1199" t="s">
        <v>3953</v>
      </c>
      <c r="D1199" t="s">
        <v>3954</v>
      </c>
      <c r="E1199">
        <f>personnel_teach_instructor3_borrowed_f</f>
        <v>0</v>
      </c>
      <c r="F1199" t="b">
        <v>1</v>
      </c>
    </row>
    <row r="1200" spans="1:14" x14ac:dyDescent="0.35">
      <c r="A1200" t="s">
        <v>12518</v>
      </c>
      <c r="B1200" t="s">
        <v>3751</v>
      </c>
      <c r="C1200" t="s">
        <v>12518</v>
      </c>
      <c r="D1200" t="s">
        <v>3996</v>
      </c>
      <c r="E1200">
        <f>personnel_teach_instructor2_psipop</f>
        <v>0</v>
      </c>
      <c r="F1200" t="b">
        <v>1</v>
      </c>
    </row>
    <row r="1201" spans="1:6" x14ac:dyDescent="0.35">
      <c r="A1201" t="s">
        <v>4013</v>
      </c>
      <c r="B1201" t="s">
        <v>3751</v>
      </c>
      <c r="C1201" t="s">
        <v>4013</v>
      </c>
      <c r="D1201" t="s">
        <v>4014</v>
      </c>
      <c r="E1201">
        <f>personnel_teach_instructor2_actual_m</f>
        <v>0</v>
      </c>
      <c r="F1201" t="b">
        <v>1</v>
      </c>
    </row>
    <row r="1202" spans="1:6" x14ac:dyDescent="0.35">
      <c r="A1202" t="s">
        <v>4055</v>
      </c>
      <c r="B1202" t="s">
        <v>3751</v>
      </c>
      <c r="C1202" t="s">
        <v>4055</v>
      </c>
      <c r="D1202" t="s">
        <v>4056</v>
      </c>
      <c r="E1202">
        <f>personnel_teach_instructor2_actual_f</f>
        <v>0</v>
      </c>
      <c r="F1202" t="b">
        <v>1</v>
      </c>
    </row>
    <row r="1203" spans="1:6" x14ac:dyDescent="0.35">
      <c r="A1203" t="s">
        <v>3753</v>
      </c>
      <c r="B1203" t="s">
        <v>3751</v>
      </c>
      <c r="C1203" t="s">
        <v>3753</v>
      </c>
      <c r="D1203" t="s">
        <v>3754</v>
      </c>
      <c r="E1203">
        <f>personnel_teach_instructor2_onleave</f>
        <v>0</v>
      </c>
      <c r="F1203" t="b">
        <v>1</v>
      </c>
    </row>
    <row r="1204" spans="1:6" x14ac:dyDescent="0.35">
      <c r="A1204" t="s">
        <v>3785</v>
      </c>
      <c r="B1204" t="s">
        <v>3751</v>
      </c>
      <c r="C1204" t="s">
        <v>3785</v>
      </c>
      <c r="D1204" t="s">
        <v>3786</v>
      </c>
      <c r="E1204">
        <f>personnel_teach_instructor2_vacant</f>
        <v>0</v>
      </c>
      <c r="F1204" t="b">
        <v>1</v>
      </c>
    </row>
    <row r="1205" spans="1:6" x14ac:dyDescent="0.35">
      <c r="A1205" t="s">
        <v>3817</v>
      </c>
      <c r="B1205" t="s">
        <v>3751</v>
      </c>
      <c r="C1205" t="s">
        <v>3817</v>
      </c>
      <c r="D1205" t="s">
        <v>3818</v>
      </c>
      <c r="E1205">
        <f>personnel_teach_instructor2_detailed_hs</f>
        <v>0</v>
      </c>
      <c r="F1205" t="b">
        <v>1</v>
      </c>
    </row>
    <row r="1206" spans="1:6" x14ac:dyDescent="0.35">
      <c r="A1206" t="s">
        <v>3849</v>
      </c>
      <c r="B1206" t="s">
        <v>3751</v>
      </c>
      <c r="C1206" t="s">
        <v>3849</v>
      </c>
      <c r="D1206" t="s">
        <v>3850</v>
      </c>
      <c r="E1206">
        <f>personnel_teach_instructor2_detailed_es</f>
        <v>0</v>
      </c>
      <c r="F1206" t="b">
        <v>1</v>
      </c>
    </row>
    <row r="1207" spans="1:6" x14ac:dyDescent="0.35">
      <c r="A1207" t="s">
        <v>3881</v>
      </c>
      <c r="B1207" t="s">
        <v>3751</v>
      </c>
      <c r="C1207" t="s">
        <v>3881</v>
      </c>
      <c r="D1207" t="s">
        <v>3882</v>
      </c>
      <c r="E1207">
        <f>personnel_teach_instructor2_detailed_outdiv</f>
        <v>0</v>
      </c>
      <c r="F1207" t="b">
        <v>1</v>
      </c>
    </row>
    <row r="1208" spans="1:6" x14ac:dyDescent="0.35">
      <c r="A1208" t="s">
        <v>3913</v>
      </c>
      <c r="B1208" t="s">
        <v>3751</v>
      </c>
      <c r="C1208" t="s">
        <v>3913</v>
      </c>
      <c r="D1208" t="s">
        <v>3914</v>
      </c>
      <c r="E1208">
        <f>personnel_teach_instructor2_borrowed_m</f>
        <v>0</v>
      </c>
      <c r="F1208" t="b">
        <v>1</v>
      </c>
    </row>
    <row r="1209" spans="1:6" x14ac:dyDescent="0.35">
      <c r="A1209" t="s">
        <v>3955</v>
      </c>
      <c r="B1209" t="s">
        <v>3751</v>
      </c>
      <c r="C1209" t="s">
        <v>3955</v>
      </c>
      <c r="D1209" t="s">
        <v>3956</v>
      </c>
      <c r="E1209">
        <f>personnel_teach_instructor2_borrowed_f</f>
        <v>0</v>
      </c>
      <c r="F1209" t="b">
        <v>1</v>
      </c>
    </row>
    <row r="1210" spans="1:6" x14ac:dyDescent="0.35">
      <c r="A1210" t="s">
        <v>12519</v>
      </c>
      <c r="B1210" t="s">
        <v>3751</v>
      </c>
      <c r="C1210" t="s">
        <v>12519</v>
      </c>
      <c r="D1210" t="s">
        <v>3997</v>
      </c>
      <c r="E1210">
        <f>personnel_teach_instructor1_psipop</f>
        <v>0</v>
      </c>
      <c r="F1210" t="b">
        <v>1</v>
      </c>
    </row>
    <row r="1211" spans="1:6" x14ac:dyDescent="0.35">
      <c r="A1211" t="s">
        <v>4015</v>
      </c>
      <c r="B1211" t="s">
        <v>3751</v>
      </c>
      <c r="C1211" t="s">
        <v>4015</v>
      </c>
      <c r="D1211" t="s">
        <v>4016</v>
      </c>
      <c r="E1211">
        <f>personnel_teach_instructor1_actual_m</f>
        <v>0</v>
      </c>
      <c r="F1211" t="b">
        <v>1</v>
      </c>
    </row>
    <row r="1212" spans="1:6" x14ac:dyDescent="0.35">
      <c r="A1212" t="s">
        <v>4057</v>
      </c>
      <c r="B1212" t="s">
        <v>3751</v>
      </c>
      <c r="C1212" t="s">
        <v>4057</v>
      </c>
      <c r="D1212" t="s">
        <v>4058</v>
      </c>
      <c r="E1212">
        <f>personnel_teach_instructor1_actual_f</f>
        <v>0</v>
      </c>
      <c r="F1212" t="b">
        <v>1</v>
      </c>
    </row>
    <row r="1213" spans="1:6" x14ac:dyDescent="0.35">
      <c r="A1213" t="s">
        <v>3755</v>
      </c>
      <c r="B1213" t="s">
        <v>3751</v>
      </c>
      <c r="C1213" t="s">
        <v>3755</v>
      </c>
      <c r="D1213" t="s">
        <v>3756</v>
      </c>
      <c r="E1213">
        <f>personnel_teach_instructor1_onleave</f>
        <v>0</v>
      </c>
      <c r="F1213" t="b">
        <v>1</v>
      </c>
    </row>
    <row r="1214" spans="1:6" x14ac:dyDescent="0.35">
      <c r="A1214" t="s">
        <v>3787</v>
      </c>
      <c r="B1214" t="s">
        <v>3751</v>
      </c>
      <c r="C1214" t="s">
        <v>3787</v>
      </c>
      <c r="D1214" t="s">
        <v>3788</v>
      </c>
      <c r="E1214">
        <f>personnel_teach_instructor1_vacant</f>
        <v>0</v>
      </c>
      <c r="F1214" t="b">
        <v>1</v>
      </c>
    </row>
    <row r="1215" spans="1:6" x14ac:dyDescent="0.35">
      <c r="A1215" t="s">
        <v>3819</v>
      </c>
      <c r="B1215" t="s">
        <v>3751</v>
      </c>
      <c r="C1215" t="s">
        <v>3819</v>
      </c>
      <c r="D1215" t="s">
        <v>3820</v>
      </c>
      <c r="E1215">
        <f>personnel_teach_instructor1_detailed_hs</f>
        <v>0</v>
      </c>
      <c r="F1215" t="b">
        <v>1</v>
      </c>
    </row>
    <row r="1216" spans="1:6" x14ac:dyDescent="0.35">
      <c r="A1216" t="s">
        <v>3851</v>
      </c>
      <c r="B1216" t="s">
        <v>3751</v>
      </c>
      <c r="C1216" t="s">
        <v>3851</v>
      </c>
      <c r="D1216" t="s">
        <v>3852</v>
      </c>
      <c r="E1216">
        <f>personnel_teach_instructor1_detailed_es</f>
        <v>0</v>
      </c>
      <c r="F1216" t="b">
        <v>1</v>
      </c>
    </row>
    <row r="1217" spans="1:6" x14ac:dyDescent="0.35">
      <c r="A1217" t="s">
        <v>3883</v>
      </c>
      <c r="B1217" t="s">
        <v>3751</v>
      </c>
      <c r="C1217" t="s">
        <v>3883</v>
      </c>
      <c r="D1217" t="s">
        <v>3884</v>
      </c>
      <c r="E1217">
        <f>personnel_teach_instructor1_detailed_outdiv</f>
        <v>0</v>
      </c>
      <c r="F1217" t="b">
        <v>1</v>
      </c>
    </row>
    <row r="1218" spans="1:6" x14ac:dyDescent="0.35">
      <c r="A1218" t="s">
        <v>3915</v>
      </c>
      <c r="B1218" t="s">
        <v>3751</v>
      </c>
      <c r="C1218" t="s">
        <v>3915</v>
      </c>
      <c r="D1218" t="s">
        <v>3916</v>
      </c>
      <c r="E1218">
        <f>personnel_teach_instructor1_borrowed_m</f>
        <v>0</v>
      </c>
      <c r="F1218" t="b">
        <v>1</v>
      </c>
    </row>
    <row r="1219" spans="1:6" x14ac:dyDescent="0.35">
      <c r="A1219" t="s">
        <v>3957</v>
      </c>
      <c r="B1219" t="s">
        <v>3751</v>
      </c>
      <c r="C1219" t="s">
        <v>3957</v>
      </c>
      <c r="D1219" t="s">
        <v>3958</v>
      </c>
      <c r="E1219">
        <f>personnel_teach_instructor1_borrowed_f</f>
        <v>0</v>
      </c>
      <c r="F1219" t="b">
        <v>1</v>
      </c>
    </row>
    <row r="1220" spans="1:6" x14ac:dyDescent="0.35">
      <c r="A1220" t="s">
        <v>12520</v>
      </c>
      <c r="B1220" t="s">
        <v>3751</v>
      </c>
      <c r="C1220" t="s">
        <v>12520</v>
      </c>
      <c r="D1220" t="s">
        <v>3998</v>
      </c>
      <c r="E1220">
        <f>personnel_teach_mt4_psipop</f>
        <v>0</v>
      </c>
      <c r="F1220" t="b">
        <v>1</v>
      </c>
    </row>
    <row r="1221" spans="1:6" x14ac:dyDescent="0.35">
      <c r="A1221" t="s">
        <v>4017</v>
      </c>
      <c r="B1221" t="s">
        <v>3751</v>
      </c>
      <c r="C1221" t="s">
        <v>4017</v>
      </c>
      <c r="D1221" t="s">
        <v>4018</v>
      </c>
      <c r="E1221">
        <f>personnel_teach_mt4_actual_m</f>
        <v>0</v>
      </c>
      <c r="F1221" t="b">
        <v>1</v>
      </c>
    </row>
    <row r="1222" spans="1:6" x14ac:dyDescent="0.35">
      <c r="A1222" t="s">
        <v>4059</v>
      </c>
      <c r="B1222" t="s">
        <v>3751</v>
      </c>
      <c r="C1222" t="s">
        <v>4059</v>
      </c>
      <c r="D1222" t="s">
        <v>4060</v>
      </c>
      <c r="E1222">
        <f>personnel_teach_mt4_actual_f</f>
        <v>0</v>
      </c>
      <c r="F1222" t="b">
        <v>1</v>
      </c>
    </row>
    <row r="1223" spans="1:6" x14ac:dyDescent="0.35">
      <c r="A1223" t="s">
        <v>3757</v>
      </c>
      <c r="B1223" t="s">
        <v>3751</v>
      </c>
      <c r="C1223" t="s">
        <v>3757</v>
      </c>
      <c r="D1223" t="s">
        <v>3758</v>
      </c>
      <c r="E1223">
        <f>personnel_teach_mt4_onleave</f>
        <v>0</v>
      </c>
      <c r="F1223" t="b">
        <v>1</v>
      </c>
    </row>
    <row r="1224" spans="1:6" x14ac:dyDescent="0.35">
      <c r="A1224" t="s">
        <v>3789</v>
      </c>
      <c r="B1224" t="s">
        <v>3751</v>
      </c>
      <c r="C1224" t="s">
        <v>3789</v>
      </c>
      <c r="D1224" t="s">
        <v>3790</v>
      </c>
      <c r="E1224">
        <f>personnel_teach_mt4_vacant</f>
        <v>0</v>
      </c>
      <c r="F1224" t="b">
        <v>1</v>
      </c>
    </row>
    <row r="1225" spans="1:6" x14ac:dyDescent="0.35">
      <c r="A1225" t="s">
        <v>3821</v>
      </c>
      <c r="B1225" t="s">
        <v>3751</v>
      </c>
      <c r="C1225" t="s">
        <v>3821</v>
      </c>
      <c r="D1225" t="s">
        <v>3822</v>
      </c>
      <c r="E1225">
        <f>personnel_teach_mt4_detailed_hs</f>
        <v>0</v>
      </c>
      <c r="F1225" t="b">
        <v>1</v>
      </c>
    </row>
    <row r="1226" spans="1:6" x14ac:dyDescent="0.35">
      <c r="A1226" t="s">
        <v>3853</v>
      </c>
      <c r="B1226" t="s">
        <v>3751</v>
      </c>
      <c r="C1226" t="s">
        <v>3853</v>
      </c>
      <c r="D1226" t="s">
        <v>3854</v>
      </c>
      <c r="E1226">
        <f>personnel_teach_mt4_detailed_es</f>
        <v>0</v>
      </c>
      <c r="F1226" t="b">
        <v>1</v>
      </c>
    </row>
    <row r="1227" spans="1:6" x14ac:dyDescent="0.35">
      <c r="A1227" t="s">
        <v>3885</v>
      </c>
      <c r="B1227" t="s">
        <v>3751</v>
      </c>
      <c r="C1227" t="s">
        <v>3885</v>
      </c>
      <c r="D1227" t="s">
        <v>3886</v>
      </c>
      <c r="E1227">
        <f>personnel_teach_mt4_detailed_outdiv</f>
        <v>0</v>
      </c>
      <c r="F1227" t="b">
        <v>1</v>
      </c>
    </row>
    <row r="1228" spans="1:6" x14ac:dyDescent="0.35">
      <c r="A1228" t="s">
        <v>3917</v>
      </c>
      <c r="B1228" t="s">
        <v>3751</v>
      </c>
      <c r="C1228" t="s">
        <v>3917</v>
      </c>
      <c r="D1228" t="s">
        <v>3918</v>
      </c>
      <c r="E1228">
        <f>personnel_teach_mt4_borrowed_m</f>
        <v>0</v>
      </c>
      <c r="F1228" t="b">
        <v>1</v>
      </c>
    </row>
    <row r="1229" spans="1:6" x14ac:dyDescent="0.35">
      <c r="A1229" t="s">
        <v>3959</v>
      </c>
      <c r="B1229" t="s">
        <v>3751</v>
      </c>
      <c r="C1229" t="s">
        <v>3959</v>
      </c>
      <c r="D1229" t="s">
        <v>3960</v>
      </c>
      <c r="E1229">
        <f>personnel_teach_mt4_borrowed_f</f>
        <v>0</v>
      </c>
      <c r="F1229" t="b">
        <v>1</v>
      </c>
    </row>
    <row r="1230" spans="1:6" x14ac:dyDescent="0.35">
      <c r="A1230" t="s">
        <v>12521</v>
      </c>
      <c r="B1230" t="s">
        <v>3751</v>
      </c>
      <c r="C1230" t="s">
        <v>12521</v>
      </c>
      <c r="D1230" t="s">
        <v>3999</v>
      </c>
      <c r="E1230">
        <f>personnel_teach_mt3_psipop</f>
        <v>0</v>
      </c>
      <c r="F1230" t="b">
        <v>1</v>
      </c>
    </row>
    <row r="1231" spans="1:6" x14ac:dyDescent="0.35">
      <c r="A1231" t="s">
        <v>4019</v>
      </c>
      <c r="B1231" t="s">
        <v>3751</v>
      </c>
      <c r="C1231" t="s">
        <v>4019</v>
      </c>
      <c r="D1231" t="s">
        <v>4020</v>
      </c>
      <c r="E1231">
        <f>personnel_teach_mt3_actual_m</f>
        <v>0</v>
      </c>
      <c r="F1231" t="b">
        <v>1</v>
      </c>
    </row>
    <row r="1232" spans="1:6" x14ac:dyDescent="0.35">
      <c r="A1232" t="s">
        <v>4061</v>
      </c>
      <c r="B1232" t="s">
        <v>3751</v>
      </c>
      <c r="C1232" t="s">
        <v>4061</v>
      </c>
      <c r="D1232" t="s">
        <v>4062</v>
      </c>
      <c r="E1232">
        <f>personnel_teach_mt3_actual_f</f>
        <v>0</v>
      </c>
      <c r="F1232" t="b">
        <v>1</v>
      </c>
    </row>
    <row r="1233" spans="1:6" x14ac:dyDescent="0.35">
      <c r="A1233" t="s">
        <v>3759</v>
      </c>
      <c r="B1233" t="s">
        <v>3751</v>
      </c>
      <c r="C1233" t="s">
        <v>3759</v>
      </c>
      <c r="D1233" t="s">
        <v>3760</v>
      </c>
      <c r="E1233">
        <f>personnel_teach_mt3_onleave</f>
        <v>0</v>
      </c>
      <c r="F1233" t="b">
        <v>1</v>
      </c>
    </row>
    <row r="1234" spans="1:6" x14ac:dyDescent="0.35">
      <c r="A1234" t="s">
        <v>3791</v>
      </c>
      <c r="B1234" t="s">
        <v>3751</v>
      </c>
      <c r="C1234" t="s">
        <v>3791</v>
      </c>
      <c r="D1234" t="s">
        <v>3792</v>
      </c>
      <c r="E1234">
        <f>personnel_teach_mt3_vacant</f>
        <v>0</v>
      </c>
      <c r="F1234" t="b">
        <v>1</v>
      </c>
    </row>
    <row r="1235" spans="1:6" x14ac:dyDescent="0.35">
      <c r="A1235" t="s">
        <v>3823</v>
      </c>
      <c r="B1235" t="s">
        <v>3751</v>
      </c>
      <c r="C1235" t="s">
        <v>3823</v>
      </c>
      <c r="D1235" t="s">
        <v>3824</v>
      </c>
      <c r="E1235">
        <f>personnel_teach_mt3_detailed_hs</f>
        <v>0</v>
      </c>
      <c r="F1235" t="b">
        <v>1</v>
      </c>
    </row>
    <row r="1236" spans="1:6" x14ac:dyDescent="0.35">
      <c r="A1236" t="s">
        <v>3855</v>
      </c>
      <c r="B1236" t="s">
        <v>3751</v>
      </c>
      <c r="C1236" t="s">
        <v>3855</v>
      </c>
      <c r="D1236" t="s">
        <v>3856</v>
      </c>
      <c r="E1236">
        <f>personnel_teach_mt3_detailed_es</f>
        <v>0</v>
      </c>
      <c r="F1236" t="b">
        <v>1</v>
      </c>
    </row>
    <row r="1237" spans="1:6" x14ac:dyDescent="0.35">
      <c r="A1237" t="s">
        <v>3887</v>
      </c>
      <c r="B1237" t="s">
        <v>3751</v>
      </c>
      <c r="C1237" t="s">
        <v>3887</v>
      </c>
      <c r="D1237" t="s">
        <v>3888</v>
      </c>
      <c r="E1237">
        <f>personnel_teach_mt3_detailed_outdiv</f>
        <v>0</v>
      </c>
      <c r="F1237" t="b">
        <v>1</v>
      </c>
    </row>
    <row r="1238" spans="1:6" x14ac:dyDescent="0.35">
      <c r="A1238" t="s">
        <v>3919</v>
      </c>
      <c r="B1238" t="s">
        <v>3751</v>
      </c>
      <c r="C1238" t="s">
        <v>3919</v>
      </c>
      <c r="D1238" t="s">
        <v>3920</v>
      </c>
      <c r="E1238">
        <f>personnel_teach_mt3_borrowed_m</f>
        <v>0</v>
      </c>
      <c r="F1238" t="b">
        <v>1</v>
      </c>
    </row>
    <row r="1239" spans="1:6" x14ac:dyDescent="0.35">
      <c r="A1239" t="s">
        <v>3961</v>
      </c>
      <c r="B1239" t="s">
        <v>3751</v>
      </c>
      <c r="C1239" t="s">
        <v>3961</v>
      </c>
      <c r="D1239" t="s">
        <v>3962</v>
      </c>
      <c r="E1239">
        <f>personnel_teach_mt3_borrowed_f</f>
        <v>0</v>
      </c>
      <c r="F1239" t="b">
        <v>1</v>
      </c>
    </row>
    <row r="1240" spans="1:6" x14ac:dyDescent="0.35">
      <c r="A1240" t="s">
        <v>12522</v>
      </c>
      <c r="B1240" t="s">
        <v>3751</v>
      </c>
      <c r="C1240" t="s">
        <v>12522</v>
      </c>
      <c r="D1240" t="s">
        <v>4000</v>
      </c>
      <c r="E1240">
        <f>personnel_teach_mt2_psipop</f>
        <v>2</v>
      </c>
      <c r="F1240" t="b">
        <v>1</v>
      </c>
    </row>
    <row r="1241" spans="1:6" x14ac:dyDescent="0.35">
      <c r="A1241" t="s">
        <v>4021</v>
      </c>
      <c r="B1241" t="s">
        <v>3751</v>
      </c>
      <c r="C1241" t="s">
        <v>4021</v>
      </c>
      <c r="D1241" t="s">
        <v>4022</v>
      </c>
      <c r="E1241">
        <f>personnel_teach_mt2_actual_m</f>
        <v>0</v>
      </c>
      <c r="F1241" t="b">
        <v>1</v>
      </c>
    </row>
    <row r="1242" spans="1:6" x14ac:dyDescent="0.35">
      <c r="A1242" t="s">
        <v>4063</v>
      </c>
      <c r="B1242" t="s">
        <v>3751</v>
      </c>
      <c r="C1242" t="s">
        <v>4063</v>
      </c>
      <c r="D1242" t="s">
        <v>4064</v>
      </c>
      <c r="E1242">
        <f>personnel_teach_mt2_actual_f</f>
        <v>2</v>
      </c>
      <c r="F1242" t="b">
        <v>1</v>
      </c>
    </row>
    <row r="1243" spans="1:6" x14ac:dyDescent="0.35">
      <c r="A1243" t="s">
        <v>3761</v>
      </c>
      <c r="B1243" t="s">
        <v>3751</v>
      </c>
      <c r="C1243" t="s">
        <v>3761</v>
      </c>
      <c r="D1243" t="s">
        <v>3762</v>
      </c>
      <c r="E1243">
        <f>personnel_teach_mt2_onleave</f>
        <v>0</v>
      </c>
      <c r="F1243" t="b">
        <v>1</v>
      </c>
    </row>
    <row r="1244" spans="1:6" x14ac:dyDescent="0.35">
      <c r="A1244" t="s">
        <v>3793</v>
      </c>
      <c r="B1244" t="s">
        <v>3751</v>
      </c>
      <c r="C1244" t="s">
        <v>3793</v>
      </c>
      <c r="D1244" t="s">
        <v>3794</v>
      </c>
      <c r="E1244">
        <f>personnel_teach_mt2_vacant</f>
        <v>0</v>
      </c>
      <c r="F1244" t="b">
        <v>1</v>
      </c>
    </row>
    <row r="1245" spans="1:6" x14ac:dyDescent="0.35">
      <c r="A1245" t="s">
        <v>3825</v>
      </c>
      <c r="B1245" t="s">
        <v>3751</v>
      </c>
      <c r="C1245" t="s">
        <v>3825</v>
      </c>
      <c r="D1245" t="s">
        <v>3826</v>
      </c>
      <c r="E1245">
        <f>personnel_teach_mt2_detailed_hs</f>
        <v>0</v>
      </c>
      <c r="F1245" t="b">
        <v>1</v>
      </c>
    </row>
    <row r="1246" spans="1:6" x14ac:dyDescent="0.35">
      <c r="A1246" t="s">
        <v>3857</v>
      </c>
      <c r="B1246" t="s">
        <v>3751</v>
      </c>
      <c r="C1246" t="s">
        <v>3857</v>
      </c>
      <c r="D1246" t="s">
        <v>3858</v>
      </c>
      <c r="E1246">
        <f>personnel_teach_mt2_detailed_es</f>
        <v>0</v>
      </c>
      <c r="F1246" t="b">
        <v>1</v>
      </c>
    </row>
    <row r="1247" spans="1:6" x14ac:dyDescent="0.35">
      <c r="A1247" t="s">
        <v>3889</v>
      </c>
      <c r="B1247" t="s">
        <v>3751</v>
      </c>
      <c r="C1247" t="s">
        <v>3889</v>
      </c>
      <c r="D1247" t="s">
        <v>3890</v>
      </c>
      <c r="E1247">
        <f>personnel_teach_mt2_detailed_outdiv</f>
        <v>0</v>
      </c>
      <c r="F1247" t="b">
        <v>1</v>
      </c>
    </row>
    <row r="1248" spans="1:6" x14ac:dyDescent="0.35">
      <c r="A1248" t="s">
        <v>3921</v>
      </c>
      <c r="B1248" t="s">
        <v>3751</v>
      </c>
      <c r="C1248" t="s">
        <v>3921</v>
      </c>
      <c r="D1248" t="s">
        <v>3922</v>
      </c>
      <c r="E1248">
        <f>personnel_teach_mt2_borrowed_m</f>
        <v>0</v>
      </c>
      <c r="F1248" t="b">
        <v>1</v>
      </c>
    </row>
    <row r="1249" spans="1:6" x14ac:dyDescent="0.35">
      <c r="A1249" t="s">
        <v>3963</v>
      </c>
      <c r="B1249" t="s">
        <v>3751</v>
      </c>
      <c r="C1249" t="s">
        <v>3963</v>
      </c>
      <c r="D1249" t="s">
        <v>3964</v>
      </c>
      <c r="E1249">
        <f>personnel_teach_mt2_borrowed_f</f>
        <v>0</v>
      </c>
      <c r="F1249" t="b">
        <v>1</v>
      </c>
    </row>
    <row r="1250" spans="1:6" x14ac:dyDescent="0.35">
      <c r="A1250" t="s">
        <v>12523</v>
      </c>
      <c r="B1250" t="s">
        <v>3751</v>
      </c>
      <c r="C1250" t="s">
        <v>12523</v>
      </c>
      <c r="D1250" t="s">
        <v>4001</v>
      </c>
      <c r="E1250">
        <f>personnel_teach_mt1_psipop</f>
        <v>5</v>
      </c>
      <c r="F1250" t="b">
        <v>1</v>
      </c>
    </row>
    <row r="1251" spans="1:6" x14ac:dyDescent="0.35">
      <c r="A1251" t="s">
        <v>4023</v>
      </c>
      <c r="B1251" t="s">
        <v>3751</v>
      </c>
      <c r="C1251" t="s">
        <v>4023</v>
      </c>
      <c r="D1251" t="s">
        <v>4024</v>
      </c>
      <c r="E1251">
        <f>personnel_teach_mt1_actual_m</f>
        <v>4</v>
      </c>
      <c r="F1251" t="b">
        <v>1</v>
      </c>
    </row>
    <row r="1252" spans="1:6" x14ac:dyDescent="0.35">
      <c r="A1252" t="s">
        <v>4065</v>
      </c>
      <c r="B1252" t="s">
        <v>3751</v>
      </c>
      <c r="C1252" t="s">
        <v>4065</v>
      </c>
      <c r="D1252" t="s">
        <v>4066</v>
      </c>
      <c r="E1252">
        <f>personnel_teach_mt1_actual_f</f>
        <v>1</v>
      </c>
      <c r="F1252" t="b">
        <v>1</v>
      </c>
    </row>
    <row r="1253" spans="1:6" x14ac:dyDescent="0.35">
      <c r="A1253" t="s">
        <v>3763</v>
      </c>
      <c r="B1253" t="s">
        <v>3751</v>
      </c>
      <c r="C1253" t="s">
        <v>3763</v>
      </c>
      <c r="D1253" t="s">
        <v>3764</v>
      </c>
      <c r="E1253">
        <f>personnel_teach_mt1_onleave</f>
        <v>0</v>
      </c>
      <c r="F1253" t="b">
        <v>1</v>
      </c>
    </row>
    <row r="1254" spans="1:6" x14ac:dyDescent="0.35">
      <c r="A1254" t="s">
        <v>3795</v>
      </c>
      <c r="B1254" t="s">
        <v>3751</v>
      </c>
      <c r="C1254" t="s">
        <v>3795</v>
      </c>
      <c r="D1254" t="s">
        <v>3796</v>
      </c>
      <c r="E1254">
        <f>personnel_teach_mt1_vacant</f>
        <v>0</v>
      </c>
      <c r="F1254" t="b">
        <v>1</v>
      </c>
    </row>
    <row r="1255" spans="1:6" x14ac:dyDescent="0.35">
      <c r="A1255" t="s">
        <v>3827</v>
      </c>
      <c r="B1255" t="s">
        <v>3751</v>
      </c>
      <c r="C1255" t="s">
        <v>3827</v>
      </c>
      <c r="D1255" t="s">
        <v>3828</v>
      </c>
      <c r="E1255">
        <f>personnel_teach_mt1_detailed_hs</f>
        <v>0</v>
      </c>
      <c r="F1255" t="b">
        <v>1</v>
      </c>
    </row>
    <row r="1256" spans="1:6" x14ac:dyDescent="0.35">
      <c r="A1256" t="s">
        <v>3859</v>
      </c>
      <c r="B1256" t="s">
        <v>3751</v>
      </c>
      <c r="C1256" t="s">
        <v>3859</v>
      </c>
      <c r="D1256" t="s">
        <v>3860</v>
      </c>
      <c r="E1256">
        <f>personnel_teach_mt1_detailed_es</f>
        <v>0</v>
      </c>
      <c r="F1256" t="b">
        <v>1</v>
      </c>
    </row>
    <row r="1257" spans="1:6" x14ac:dyDescent="0.35">
      <c r="A1257" t="s">
        <v>3891</v>
      </c>
      <c r="B1257" t="s">
        <v>3751</v>
      </c>
      <c r="C1257" t="s">
        <v>3891</v>
      </c>
      <c r="D1257" t="s">
        <v>3892</v>
      </c>
      <c r="E1257">
        <f>personnel_teach_mt1_detailed_outdiv</f>
        <v>0</v>
      </c>
      <c r="F1257" t="b">
        <v>1</v>
      </c>
    </row>
    <row r="1258" spans="1:6" x14ac:dyDescent="0.35">
      <c r="A1258" t="s">
        <v>3923</v>
      </c>
      <c r="B1258" t="s">
        <v>3751</v>
      </c>
      <c r="C1258" t="s">
        <v>3923</v>
      </c>
      <c r="D1258" t="s">
        <v>3924</v>
      </c>
      <c r="E1258">
        <f>personnel_teach_mt1_borrowed_m</f>
        <v>0</v>
      </c>
      <c r="F1258" t="b">
        <v>1</v>
      </c>
    </row>
    <row r="1259" spans="1:6" x14ac:dyDescent="0.35">
      <c r="A1259" t="s">
        <v>3965</v>
      </c>
      <c r="B1259" t="s">
        <v>3751</v>
      </c>
      <c r="C1259" t="s">
        <v>3965</v>
      </c>
      <c r="D1259" t="s">
        <v>3966</v>
      </c>
      <c r="E1259">
        <f>personnel_teach_mt1_borrowed_f</f>
        <v>0</v>
      </c>
      <c r="F1259" t="b">
        <v>1</v>
      </c>
    </row>
    <row r="1260" spans="1:6" x14ac:dyDescent="0.35">
      <c r="A1260" t="s">
        <v>12524</v>
      </c>
      <c r="B1260" t="s">
        <v>3751</v>
      </c>
      <c r="C1260" t="s">
        <v>12524</v>
      </c>
      <c r="D1260" t="s">
        <v>4002</v>
      </c>
      <c r="E1260">
        <f>personnel_teach_t3_psipop</f>
        <v>21</v>
      </c>
      <c r="F1260" t="b">
        <v>1</v>
      </c>
    </row>
    <row r="1261" spans="1:6" x14ac:dyDescent="0.35">
      <c r="A1261" t="s">
        <v>4025</v>
      </c>
      <c r="B1261" t="s">
        <v>3751</v>
      </c>
      <c r="C1261" t="s">
        <v>4025</v>
      </c>
      <c r="D1261" t="s">
        <v>4026</v>
      </c>
      <c r="E1261">
        <f>personnel_teach_t3_actual_m</f>
        <v>4</v>
      </c>
      <c r="F1261" t="b">
        <v>1</v>
      </c>
    </row>
    <row r="1262" spans="1:6" x14ac:dyDescent="0.35">
      <c r="A1262" t="s">
        <v>4067</v>
      </c>
      <c r="B1262" t="s">
        <v>3751</v>
      </c>
      <c r="C1262" t="s">
        <v>4067</v>
      </c>
      <c r="D1262" t="s">
        <v>4068</v>
      </c>
      <c r="E1262">
        <f>personnel_teach_t3_actual_f</f>
        <v>16</v>
      </c>
      <c r="F1262" t="b">
        <v>1</v>
      </c>
    </row>
    <row r="1263" spans="1:6" x14ac:dyDescent="0.35">
      <c r="A1263" t="s">
        <v>3765</v>
      </c>
      <c r="B1263" t="s">
        <v>3751</v>
      </c>
      <c r="C1263" t="s">
        <v>3765</v>
      </c>
      <c r="D1263" t="s">
        <v>3766</v>
      </c>
      <c r="E1263">
        <f>personnel_teach_t3_onleave</f>
        <v>1</v>
      </c>
      <c r="F1263" t="b">
        <v>1</v>
      </c>
    </row>
    <row r="1264" spans="1:6" x14ac:dyDescent="0.35">
      <c r="A1264" t="s">
        <v>3797</v>
      </c>
      <c r="B1264" t="s">
        <v>3751</v>
      </c>
      <c r="C1264" t="s">
        <v>3797</v>
      </c>
      <c r="D1264" t="s">
        <v>3798</v>
      </c>
      <c r="E1264">
        <f>personnel_teach_t3_vacant</f>
        <v>0</v>
      </c>
      <c r="F1264" t="b">
        <v>1</v>
      </c>
    </row>
    <row r="1265" spans="1:6" x14ac:dyDescent="0.35">
      <c r="A1265" t="s">
        <v>3829</v>
      </c>
      <c r="B1265" t="s">
        <v>3751</v>
      </c>
      <c r="C1265" t="s">
        <v>3829</v>
      </c>
      <c r="D1265" t="s">
        <v>3830</v>
      </c>
      <c r="E1265">
        <f>personnel_teach_t3_detailed_hs</f>
        <v>0</v>
      </c>
      <c r="F1265" t="b">
        <v>1</v>
      </c>
    </row>
    <row r="1266" spans="1:6" x14ac:dyDescent="0.35">
      <c r="A1266" t="s">
        <v>3861</v>
      </c>
      <c r="B1266" t="s">
        <v>3751</v>
      </c>
      <c r="C1266" t="s">
        <v>3861</v>
      </c>
      <c r="D1266" t="s">
        <v>3862</v>
      </c>
      <c r="E1266">
        <f>personnel_teach_t3_detailed_es</f>
        <v>0</v>
      </c>
      <c r="F1266" t="b">
        <v>1</v>
      </c>
    </row>
    <row r="1267" spans="1:6" x14ac:dyDescent="0.35">
      <c r="A1267" t="s">
        <v>3893</v>
      </c>
      <c r="B1267" t="s">
        <v>3751</v>
      </c>
      <c r="C1267" t="s">
        <v>3893</v>
      </c>
      <c r="D1267" t="s">
        <v>3894</v>
      </c>
      <c r="E1267">
        <f>personnel_teach_t3_detailed_outdiv</f>
        <v>0</v>
      </c>
      <c r="F1267" t="b">
        <v>1</v>
      </c>
    </row>
    <row r="1268" spans="1:6" x14ac:dyDescent="0.35">
      <c r="A1268" t="s">
        <v>3925</v>
      </c>
      <c r="B1268" t="s">
        <v>3751</v>
      </c>
      <c r="C1268" t="s">
        <v>3925</v>
      </c>
      <c r="D1268" t="s">
        <v>3926</v>
      </c>
      <c r="E1268">
        <f>personnel_teach_t3_borrowed_m</f>
        <v>0</v>
      </c>
      <c r="F1268" t="b">
        <v>1</v>
      </c>
    </row>
    <row r="1269" spans="1:6" x14ac:dyDescent="0.35">
      <c r="A1269" t="s">
        <v>3967</v>
      </c>
      <c r="B1269" t="s">
        <v>3751</v>
      </c>
      <c r="C1269" t="s">
        <v>3967</v>
      </c>
      <c r="D1269" t="s">
        <v>3968</v>
      </c>
      <c r="E1269">
        <f>personnel_teach_t3_borrowed_f</f>
        <v>0</v>
      </c>
      <c r="F1269" t="b">
        <v>1</v>
      </c>
    </row>
    <row r="1270" spans="1:6" x14ac:dyDescent="0.35">
      <c r="A1270" t="s">
        <v>12525</v>
      </c>
      <c r="B1270" t="s">
        <v>3751</v>
      </c>
      <c r="C1270" t="s">
        <v>12525</v>
      </c>
      <c r="D1270" t="s">
        <v>4003</v>
      </c>
      <c r="E1270">
        <f>personnel_teach_t2_psipop</f>
        <v>5</v>
      </c>
      <c r="F1270" t="b">
        <v>1</v>
      </c>
    </row>
    <row r="1271" spans="1:6" x14ac:dyDescent="0.35">
      <c r="A1271" t="s">
        <v>4027</v>
      </c>
      <c r="B1271" t="s">
        <v>3751</v>
      </c>
      <c r="C1271" t="s">
        <v>4027</v>
      </c>
      <c r="D1271" t="s">
        <v>4028</v>
      </c>
      <c r="E1271">
        <f>personnel_teach_t2_actual_m</f>
        <v>1</v>
      </c>
      <c r="F1271" t="b">
        <v>1</v>
      </c>
    </row>
    <row r="1272" spans="1:6" x14ac:dyDescent="0.35">
      <c r="A1272" t="s">
        <v>4069</v>
      </c>
      <c r="B1272" t="s">
        <v>3751</v>
      </c>
      <c r="C1272" t="s">
        <v>4069</v>
      </c>
      <c r="D1272" t="s">
        <v>4070</v>
      </c>
      <c r="E1272">
        <f>personnel_teach_t2_actual_f</f>
        <v>4</v>
      </c>
      <c r="F1272" t="b">
        <v>1</v>
      </c>
    </row>
    <row r="1273" spans="1:6" x14ac:dyDescent="0.35">
      <c r="A1273" t="s">
        <v>3767</v>
      </c>
      <c r="B1273" t="s">
        <v>3751</v>
      </c>
      <c r="C1273" t="s">
        <v>3767</v>
      </c>
      <c r="D1273" t="s">
        <v>3768</v>
      </c>
      <c r="E1273">
        <f>personnel_teach_t2_onleave</f>
        <v>0</v>
      </c>
      <c r="F1273" t="b">
        <v>1</v>
      </c>
    </row>
    <row r="1274" spans="1:6" x14ac:dyDescent="0.35">
      <c r="A1274" t="s">
        <v>3799</v>
      </c>
      <c r="B1274" t="s">
        <v>3751</v>
      </c>
      <c r="C1274" t="s">
        <v>3799</v>
      </c>
      <c r="D1274" t="s">
        <v>3800</v>
      </c>
      <c r="E1274">
        <f>personnel_teach_t2_vacant</f>
        <v>0</v>
      </c>
      <c r="F1274" t="b">
        <v>1</v>
      </c>
    </row>
    <row r="1275" spans="1:6" x14ac:dyDescent="0.35">
      <c r="A1275" t="s">
        <v>3831</v>
      </c>
      <c r="B1275" t="s">
        <v>3751</v>
      </c>
      <c r="C1275" t="s">
        <v>3831</v>
      </c>
      <c r="D1275" t="s">
        <v>3832</v>
      </c>
      <c r="E1275">
        <f>personnel_teach_t2_detailed_hs</f>
        <v>0</v>
      </c>
      <c r="F1275" t="b">
        <v>1</v>
      </c>
    </row>
    <row r="1276" spans="1:6" x14ac:dyDescent="0.35">
      <c r="A1276" t="s">
        <v>3863</v>
      </c>
      <c r="B1276" t="s">
        <v>3751</v>
      </c>
      <c r="C1276" t="s">
        <v>3863</v>
      </c>
      <c r="D1276" t="s">
        <v>3864</v>
      </c>
      <c r="E1276">
        <f>personnel_teach_t2_detailed_es</f>
        <v>0</v>
      </c>
      <c r="F1276" t="b">
        <v>1</v>
      </c>
    </row>
    <row r="1277" spans="1:6" x14ac:dyDescent="0.35">
      <c r="A1277" t="s">
        <v>3895</v>
      </c>
      <c r="B1277" t="s">
        <v>3751</v>
      </c>
      <c r="C1277" t="s">
        <v>3895</v>
      </c>
      <c r="D1277" t="s">
        <v>3896</v>
      </c>
      <c r="E1277">
        <f>personnel_teach_t2_detailed_outdiv</f>
        <v>0</v>
      </c>
      <c r="F1277" t="b">
        <v>1</v>
      </c>
    </row>
    <row r="1278" spans="1:6" x14ac:dyDescent="0.35">
      <c r="A1278" t="s">
        <v>3927</v>
      </c>
      <c r="B1278" t="s">
        <v>3751</v>
      </c>
      <c r="C1278" t="s">
        <v>3927</v>
      </c>
      <c r="D1278" t="s">
        <v>3928</v>
      </c>
      <c r="E1278">
        <f>personnel_teach_t2_borrowed_m</f>
        <v>0</v>
      </c>
      <c r="F1278" t="b">
        <v>1</v>
      </c>
    </row>
    <row r="1279" spans="1:6" x14ac:dyDescent="0.35">
      <c r="A1279" t="s">
        <v>3969</v>
      </c>
      <c r="B1279" t="s">
        <v>3751</v>
      </c>
      <c r="C1279" t="s">
        <v>3969</v>
      </c>
      <c r="D1279" t="s">
        <v>3970</v>
      </c>
      <c r="E1279">
        <f>personnel_teach_t2_borrowed_f</f>
        <v>0</v>
      </c>
      <c r="F1279" t="b">
        <v>1</v>
      </c>
    </row>
    <row r="1280" spans="1:6" x14ac:dyDescent="0.35">
      <c r="A1280" t="s">
        <v>12526</v>
      </c>
      <c r="B1280" t="s">
        <v>3751</v>
      </c>
      <c r="C1280" t="s">
        <v>12526</v>
      </c>
      <c r="D1280" t="s">
        <v>4004</v>
      </c>
      <c r="E1280">
        <f>personnel_teach_t1_psipop</f>
        <v>39</v>
      </c>
      <c r="F1280" t="b">
        <v>1</v>
      </c>
    </row>
    <row r="1281" spans="1:6" x14ac:dyDescent="0.35">
      <c r="A1281" t="s">
        <v>4029</v>
      </c>
      <c r="B1281" t="s">
        <v>3751</v>
      </c>
      <c r="C1281" t="s">
        <v>4029</v>
      </c>
      <c r="D1281" t="s">
        <v>4030</v>
      </c>
      <c r="E1281">
        <f>personnel_teach_t1_actual_m</f>
        <v>9</v>
      </c>
      <c r="F1281" t="b">
        <v>1</v>
      </c>
    </row>
    <row r="1282" spans="1:6" x14ac:dyDescent="0.35">
      <c r="A1282" t="s">
        <v>4071</v>
      </c>
      <c r="B1282" t="s">
        <v>3751</v>
      </c>
      <c r="C1282" t="s">
        <v>4071</v>
      </c>
      <c r="D1282" t="s">
        <v>4072</v>
      </c>
      <c r="E1282">
        <f>personnel_teach_t1_actual_f</f>
        <v>30</v>
      </c>
      <c r="F1282" t="b">
        <v>1</v>
      </c>
    </row>
    <row r="1283" spans="1:6" x14ac:dyDescent="0.35">
      <c r="A1283" t="s">
        <v>3769</v>
      </c>
      <c r="B1283" t="s">
        <v>3751</v>
      </c>
      <c r="C1283" t="s">
        <v>3769</v>
      </c>
      <c r="D1283" t="s">
        <v>3770</v>
      </c>
      <c r="E1283">
        <f>personnel_teach_t1_onleave</f>
        <v>0</v>
      </c>
      <c r="F1283" t="b">
        <v>1</v>
      </c>
    </row>
    <row r="1284" spans="1:6" x14ac:dyDescent="0.35">
      <c r="A1284" t="s">
        <v>3801</v>
      </c>
      <c r="B1284" t="s">
        <v>3751</v>
      </c>
      <c r="C1284" t="s">
        <v>3801</v>
      </c>
      <c r="D1284" t="s">
        <v>3802</v>
      </c>
      <c r="E1284">
        <f>personnel_teach_t1_vacant</f>
        <v>0</v>
      </c>
      <c r="F1284" t="b">
        <v>1</v>
      </c>
    </row>
    <row r="1285" spans="1:6" x14ac:dyDescent="0.35">
      <c r="A1285" t="s">
        <v>3833</v>
      </c>
      <c r="B1285" t="s">
        <v>3751</v>
      </c>
      <c r="C1285" t="s">
        <v>3833</v>
      </c>
      <c r="D1285" t="s">
        <v>3834</v>
      </c>
      <c r="E1285">
        <f>personnel_teach_t1_detailed_hs</f>
        <v>0</v>
      </c>
      <c r="F1285" t="b">
        <v>1</v>
      </c>
    </row>
    <row r="1286" spans="1:6" x14ac:dyDescent="0.35">
      <c r="A1286" t="s">
        <v>3865</v>
      </c>
      <c r="B1286" t="s">
        <v>3751</v>
      </c>
      <c r="C1286" t="s">
        <v>3865</v>
      </c>
      <c r="D1286" t="s">
        <v>3866</v>
      </c>
      <c r="E1286">
        <f>personnel_teach_t1_detailed_es</f>
        <v>0</v>
      </c>
      <c r="F1286" t="b">
        <v>1</v>
      </c>
    </row>
    <row r="1287" spans="1:6" x14ac:dyDescent="0.35">
      <c r="A1287" t="s">
        <v>3897</v>
      </c>
      <c r="B1287" t="s">
        <v>3751</v>
      </c>
      <c r="C1287" t="s">
        <v>3897</v>
      </c>
      <c r="D1287" t="s">
        <v>3898</v>
      </c>
      <c r="E1287">
        <f>personnel_teach_t1_detailed_outdiv</f>
        <v>0</v>
      </c>
      <c r="F1287" t="b">
        <v>1</v>
      </c>
    </row>
    <row r="1288" spans="1:6" x14ac:dyDescent="0.35">
      <c r="A1288" t="s">
        <v>3929</v>
      </c>
      <c r="B1288" t="s">
        <v>3751</v>
      </c>
      <c r="C1288" t="s">
        <v>3929</v>
      </c>
      <c r="D1288" t="s">
        <v>3930</v>
      </c>
      <c r="E1288">
        <f>personnel_teach_t1_borrowed_m</f>
        <v>0</v>
      </c>
      <c r="F1288" t="b">
        <v>1</v>
      </c>
    </row>
    <row r="1289" spans="1:6" x14ac:dyDescent="0.35">
      <c r="A1289" t="s">
        <v>3971</v>
      </c>
      <c r="B1289" t="s">
        <v>3751</v>
      </c>
      <c r="C1289" t="s">
        <v>3971</v>
      </c>
      <c r="D1289" t="s">
        <v>3972</v>
      </c>
      <c r="E1289">
        <f>personnel_teach_t1_borrowed_f</f>
        <v>0</v>
      </c>
      <c r="F1289" t="b">
        <v>1</v>
      </c>
    </row>
    <row r="1290" spans="1:6" x14ac:dyDescent="0.35">
      <c r="A1290" t="s">
        <v>12527</v>
      </c>
      <c r="B1290" t="s">
        <v>3751</v>
      </c>
      <c r="C1290" t="s">
        <v>12527</v>
      </c>
      <c r="D1290" t="s">
        <v>4005</v>
      </c>
      <c r="E1290">
        <f>personnel_teach_sst1_psipop</f>
        <v>1</v>
      </c>
      <c r="F1290" t="b">
        <v>1</v>
      </c>
    </row>
    <row r="1291" spans="1:6" x14ac:dyDescent="0.35">
      <c r="A1291" t="s">
        <v>4031</v>
      </c>
      <c r="B1291" t="s">
        <v>3751</v>
      </c>
      <c r="C1291" t="s">
        <v>4031</v>
      </c>
      <c r="D1291" t="s">
        <v>4032</v>
      </c>
      <c r="E1291">
        <f>personnel_teach_sst1_actual_m</f>
        <v>0</v>
      </c>
      <c r="F1291" t="b">
        <v>1</v>
      </c>
    </row>
    <row r="1292" spans="1:6" x14ac:dyDescent="0.35">
      <c r="A1292" t="s">
        <v>4073</v>
      </c>
      <c r="B1292" t="s">
        <v>3751</v>
      </c>
      <c r="C1292" t="s">
        <v>4073</v>
      </c>
      <c r="D1292" t="s">
        <v>4074</v>
      </c>
      <c r="E1292">
        <f>personnel_teach_sst1_actual_f</f>
        <v>1</v>
      </c>
      <c r="F1292" t="b">
        <v>1</v>
      </c>
    </row>
    <row r="1293" spans="1:6" x14ac:dyDescent="0.35">
      <c r="A1293" t="s">
        <v>3771</v>
      </c>
      <c r="B1293" t="s">
        <v>3751</v>
      </c>
      <c r="C1293" t="s">
        <v>3771</v>
      </c>
      <c r="D1293" t="s">
        <v>3772</v>
      </c>
      <c r="E1293">
        <f>personnel_teach_sst1_onleave</f>
        <v>0</v>
      </c>
      <c r="F1293" t="b">
        <v>1</v>
      </c>
    </row>
    <row r="1294" spans="1:6" x14ac:dyDescent="0.35">
      <c r="A1294" t="s">
        <v>3803</v>
      </c>
      <c r="B1294" t="s">
        <v>3751</v>
      </c>
      <c r="C1294" t="s">
        <v>3803</v>
      </c>
      <c r="D1294" t="s">
        <v>3804</v>
      </c>
      <c r="E1294">
        <f>personnel_teach_sst1_vacant</f>
        <v>0</v>
      </c>
      <c r="F1294" t="b">
        <v>1</v>
      </c>
    </row>
    <row r="1295" spans="1:6" x14ac:dyDescent="0.35">
      <c r="A1295" t="s">
        <v>3835</v>
      </c>
      <c r="B1295" t="s">
        <v>3751</v>
      </c>
      <c r="C1295" t="s">
        <v>3835</v>
      </c>
      <c r="D1295" t="s">
        <v>3836</v>
      </c>
      <c r="E1295">
        <f>personnel_teach_sst1_detailed_hs</f>
        <v>0</v>
      </c>
      <c r="F1295" t="b">
        <v>1</v>
      </c>
    </row>
    <row r="1296" spans="1:6" x14ac:dyDescent="0.35">
      <c r="A1296" t="s">
        <v>3867</v>
      </c>
      <c r="B1296" t="s">
        <v>3751</v>
      </c>
      <c r="C1296" t="s">
        <v>3867</v>
      </c>
      <c r="D1296" t="s">
        <v>3868</v>
      </c>
      <c r="E1296">
        <f>personnel_teach_sst1_detailed_es</f>
        <v>0</v>
      </c>
      <c r="F1296" t="b">
        <v>1</v>
      </c>
    </row>
    <row r="1297" spans="1:6" x14ac:dyDescent="0.35">
      <c r="A1297" t="s">
        <v>3899</v>
      </c>
      <c r="B1297" t="s">
        <v>3751</v>
      </c>
      <c r="C1297" t="s">
        <v>3899</v>
      </c>
      <c r="D1297" t="s">
        <v>3900</v>
      </c>
      <c r="E1297">
        <f>personnel_teach_sst1_detailed_outdiv</f>
        <v>0</v>
      </c>
      <c r="F1297" t="b">
        <v>1</v>
      </c>
    </row>
    <row r="1298" spans="1:6" x14ac:dyDescent="0.35">
      <c r="A1298" t="s">
        <v>3931</v>
      </c>
      <c r="B1298" t="s">
        <v>3751</v>
      </c>
      <c r="C1298" t="s">
        <v>3931</v>
      </c>
      <c r="D1298" t="s">
        <v>3932</v>
      </c>
      <c r="E1298">
        <f>personnel_teach_sst1_borrowed_m</f>
        <v>0</v>
      </c>
      <c r="F1298" t="b">
        <v>1</v>
      </c>
    </row>
    <row r="1299" spans="1:6" x14ac:dyDescent="0.35">
      <c r="A1299" t="s">
        <v>3973</v>
      </c>
      <c r="B1299" t="s">
        <v>3751</v>
      </c>
      <c r="C1299" t="s">
        <v>3973</v>
      </c>
      <c r="D1299" t="s">
        <v>3974</v>
      </c>
      <c r="E1299">
        <f>personnel_teach_sst1_borrowed_f</f>
        <v>0</v>
      </c>
      <c r="F1299" t="b">
        <v>1</v>
      </c>
    </row>
    <row r="1300" spans="1:6" x14ac:dyDescent="0.35">
      <c r="A1300" t="s">
        <v>12528</v>
      </c>
      <c r="B1300" t="s">
        <v>3751</v>
      </c>
      <c r="C1300" t="s">
        <v>12528</v>
      </c>
      <c r="D1300" t="s">
        <v>4006</v>
      </c>
      <c r="E1300">
        <f>personnel_teach_spedt5_psipop</f>
        <v>0</v>
      </c>
      <c r="F1300" t="b">
        <v>1</v>
      </c>
    </row>
    <row r="1301" spans="1:6" x14ac:dyDescent="0.35">
      <c r="A1301" t="s">
        <v>4033</v>
      </c>
      <c r="B1301" t="s">
        <v>3751</v>
      </c>
      <c r="C1301" t="s">
        <v>4033</v>
      </c>
      <c r="D1301" t="s">
        <v>4034</v>
      </c>
      <c r="E1301">
        <f>personnel_teach_spedt5_actual_m</f>
        <v>0</v>
      </c>
      <c r="F1301" t="b">
        <v>1</v>
      </c>
    </row>
    <row r="1302" spans="1:6" x14ac:dyDescent="0.35">
      <c r="A1302" t="s">
        <v>4075</v>
      </c>
      <c r="B1302" t="s">
        <v>3751</v>
      </c>
      <c r="C1302" t="s">
        <v>4075</v>
      </c>
      <c r="D1302" t="s">
        <v>4076</v>
      </c>
      <c r="E1302">
        <f>personnel_teach_spedt5_actual_f</f>
        <v>0</v>
      </c>
      <c r="F1302" t="b">
        <v>1</v>
      </c>
    </row>
    <row r="1303" spans="1:6" x14ac:dyDescent="0.35">
      <c r="A1303" t="s">
        <v>3773</v>
      </c>
      <c r="B1303" t="s">
        <v>3751</v>
      </c>
      <c r="C1303" t="s">
        <v>3773</v>
      </c>
      <c r="D1303" t="s">
        <v>3774</v>
      </c>
      <c r="E1303">
        <f>personnel_teach_spedt5_onleave</f>
        <v>0</v>
      </c>
      <c r="F1303" t="b">
        <v>1</v>
      </c>
    </row>
    <row r="1304" spans="1:6" x14ac:dyDescent="0.35">
      <c r="A1304" t="s">
        <v>3805</v>
      </c>
      <c r="B1304" t="s">
        <v>3751</v>
      </c>
      <c r="C1304" t="s">
        <v>3805</v>
      </c>
      <c r="D1304" t="s">
        <v>3806</v>
      </c>
      <c r="E1304">
        <f>personnel_teach_spedt5_vacant</f>
        <v>0</v>
      </c>
      <c r="F1304" t="b">
        <v>1</v>
      </c>
    </row>
    <row r="1305" spans="1:6" x14ac:dyDescent="0.35">
      <c r="A1305" t="s">
        <v>3837</v>
      </c>
      <c r="B1305" t="s">
        <v>3751</v>
      </c>
      <c r="C1305" t="s">
        <v>3837</v>
      </c>
      <c r="D1305" t="s">
        <v>3838</v>
      </c>
      <c r="E1305">
        <f>personnel_teach_spedt5_detailed_hs</f>
        <v>0</v>
      </c>
      <c r="F1305" t="b">
        <v>1</v>
      </c>
    </row>
    <row r="1306" spans="1:6" x14ac:dyDescent="0.35">
      <c r="A1306" t="s">
        <v>3869</v>
      </c>
      <c r="B1306" t="s">
        <v>3751</v>
      </c>
      <c r="C1306" t="s">
        <v>3869</v>
      </c>
      <c r="D1306" t="s">
        <v>3870</v>
      </c>
      <c r="E1306">
        <f>personnel_teach_spedt5_detailed_es</f>
        <v>0</v>
      </c>
      <c r="F1306" t="b">
        <v>1</v>
      </c>
    </row>
    <row r="1307" spans="1:6" x14ac:dyDescent="0.35">
      <c r="A1307" t="s">
        <v>3901</v>
      </c>
      <c r="B1307" t="s">
        <v>3751</v>
      </c>
      <c r="C1307" t="s">
        <v>3901</v>
      </c>
      <c r="D1307" t="s">
        <v>3902</v>
      </c>
      <c r="E1307">
        <f>personnel_teach_spedt5_detailed_outdiv</f>
        <v>0</v>
      </c>
      <c r="F1307" t="b">
        <v>1</v>
      </c>
    </row>
    <row r="1308" spans="1:6" x14ac:dyDescent="0.35">
      <c r="A1308" t="s">
        <v>3933</v>
      </c>
      <c r="B1308" t="s">
        <v>3751</v>
      </c>
      <c r="C1308" t="s">
        <v>3933</v>
      </c>
      <c r="D1308" t="s">
        <v>3934</v>
      </c>
      <c r="E1308">
        <f>personnel_teach_spedt5_borrowed_m</f>
        <v>0</v>
      </c>
      <c r="F1308" t="b">
        <v>1</v>
      </c>
    </row>
    <row r="1309" spans="1:6" x14ac:dyDescent="0.35">
      <c r="A1309" t="s">
        <v>3975</v>
      </c>
      <c r="B1309" t="s">
        <v>3751</v>
      </c>
      <c r="C1309" t="s">
        <v>3975</v>
      </c>
      <c r="D1309" t="s">
        <v>3976</v>
      </c>
      <c r="E1309">
        <f>personnel_teach_spedt5_borrowed_f</f>
        <v>0</v>
      </c>
      <c r="F1309" t="b">
        <v>1</v>
      </c>
    </row>
    <row r="1310" spans="1:6" x14ac:dyDescent="0.35">
      <c r="A1310" t="s">
        <v>12529</v>
      </c>
      <c r="B1310" t="s">
        <v>3751</v>
      </c>
      <c r="C1310" t="s">
        <v>12529</v>
      </c>
      <c r="D1310" t="s">
        <v>4007</v>
      </c>
      <c r="E1310">
        <f>personnel_teach_spedt4_psipop</f>
        <v>0</v>
      </c>
      <c r="F1310" t="b">
        <v>1</v>
      </c>
    </row>
    <row r="1311" spans="1:6" x14ac:dyDescent="0.35">
      <c r="A1311" t="s">
        <v>4035</v>
      </c>
      <c r="B1311" t="s">
        <v>3751</v>
      </c>
      <c r="C1311" t="s">
        <v>4035</v>
      </c>
      <c r="D1311" t="s">
        <v>4036</v>
      </c>
      <c r="E1311">
        <f>personnel_teach_spedt4_actual_m</f>
        <v>0</v>
      </c>
      <c r="F1311" t="b">
        <v>1</v>
      </c>
    </row>
    <row r="1312" spans="1:6" x14ac:dyDescent="0.35">
      <c r="A1312" t="s">
        <v>4077</v>
      </c>
      <c r="B1312" t="s">
        <v>3751</v>
      </c>
      <c r="C1312" t="s">
        <v>4077</v>
      </c>
      <c r="D1312" t="s">
        <v>4078</v>
      </c>
      <c r="E1312">
        <f>personnel_teach_spedt4_actual_f</f>
        <v>0</v>
      </c>
      <c r="F1312" t="b">
        <v>1</v>
      </c>
    </row>
    <row r="1313" spans="1:6" x14ac:dyDescent="0.35">
      <c r="A1313" t="s">
        <v>3775</v>
      </c>
      <c r="B1313" t="s">
        <v>3751</v>
      </c>
      <c r="C1313" t="s">
        <v>3775</v>
      </c>
      <c r="D1313" t="s">
        <v>3776</v>
      </c>
      <c r="E1313">
        <f>personnel_teach_spedt4_onleave</f>
        <v>0</v>
      </c>
      <c r="F1313" t="b">
        <v>1</v>
      </c>
    </row>
    <row r="1314" spans="1:6" x14ac:dyDescent="0.35">
      <c r="A1314" t="s">
        <v>3807</v>
      </c>
      <c r="B1314" t="s">
        <v>3751</v>
      </c>
      <c r="C1314" t="s">
        <v>3807</v>
      </c>
      <c r="D1314" t="s">
        <v>3808</v>
      </c>
      <c r="E1314">
        <f>personnel_teach_spedt4_vacant</f>
        <v>0</v>
      </c>
      <c r="F1314" t="b">
        <v>1</v>
      </c>
    </row>
    <row r="1315" spans="1:6" x14ac:dyDescent="0.35">
      <c r="A1315" t="s">
        <v>3839</v>
      </c>
      <c r="B1315" t="s">
        <v>3751</v>
      </c>
      <c r="C1315" t="s">
        <v>3839</v>
      </c>
      <c r="D1315" t="s">
        <v>3840</v>
      </c>
      <c r="E1315">
        <f>personnel_teach_spedt4_detailed_hs</f>
        <v>0</v>
      </c>
      <c r="F1315" t="b">
        <v>1</v>
      </c>
    </row>
    <row r="1316" spans="1:6" x14ac:dyDescent="0.35">
      <c r="A1316" t="s">
        <v>3871</v>
      </c>
      <c r="B1316" t="s">
        <v>3751</v>
      </c>
      <c r="C1316" t="s">
        <v>3871</v>
      </c>
      <c r="D1316" t="s">
        <v>3872</v>
      </c>
      <c r="E1316">
        <f>personnel_teach_spedt4_detailed_es</f>
        <v>0</v>
      </c>
      <c r="F1316" t="b">
        <v>1</v>
      </c>
    </row>
    <row r="1317" spans="1:6" x14ac:dyDescent="0.35">
      <c r="A1317" t="s">
        <v>3903</v>
      </c>
      <c r="B1317" t="s">
        <v>3751</v>
      </c>
      <c r="C1317" t="s">
        <v>3903</v>
      </c>
      <c r="D1317" t="s">
        <v>3904</v>
      </c>
      <c r="E1317">
        <f>personnel_teach_spedt4_detailed_outdiv</f>
        <v>0</v>
      </c>
      <c r="F1317" t="b">
        <v>1</v>
      </c>
    </row>
    <row r="1318" spans="1:6" x14ac:dyDescent="0.35">
      <c r="A1318" t="s">
        <v>3935</v>
      </c>
      <c r="B1318" t="s">
        <v>3751</v>
      </c>
      <c r="C1318" t="s">
        <v>3935</v>
      </c>
      <c r="D1318" t="s">
        <v>3936</v>
      </c>
      <c r="E1318">
        <f>personnel_teach_spedt4_borrowed_m</f>
        <v>0</v>
      </c>
      <c r="F1318" t="b">
        <v>1</v>
      </c>
    </row>
    <row r="1319" spans="1:6" x14ac:dyDescent="0.35">
      <c r="A1319" t="s">
        <v>3977</v>
      </c>
      <c r="B1319" t="s">
        <v>3751</v>
      </c>
      <c r="C1319" t="s">
        <v>3977</v>
      </c>
      <c r="D1319" t="s">
        <v>3978</v>
      </c>
      <c r="E1319">
        <f>personnel_teach_spedt4_borrowed_f</f>
        <v>0</v>
      </c>
      <c r="F1319" t="b">
        <v>1</v>
      </c>
    </row>
    <row r="1320" spans="1:6" x14ac:dyDescent="0.35">
      <c r="A1320" t="s">
        <v>12530</v>
      </c>
      <c r="B1320" t="s">
        <v>3751</v>
      </c>
      <c r="C1320" t="s">
        <v>12530</v>
      </c>
      <c r="D1320" t="s">
        <v>4008</v>
      </c>
      <c r="E1320">
        <f>personnel_teach_spedt3_psipop</f>
        <v>0</v>
      </c>
      <c r="F1320" t="b">
        <v>1</v>
      </c>
    </row>
    <row r="1321" spans="1:6" x14ac:dyDescent="0.35">
      <c r="A1321" t="s">
        <v>4037</v>
      </c>
      <c r="B1321" t="s">
        <v>3751</v>
      </c>
      <c r="C1321" t="s">
        <v>4037</v>
      </c>
      <c r="D1321" t="s">
        <v>4038</v>
      </c>
      <c r="E1321">
        <f>personnel_teach_spedt3_actual_m</f>
        <v>0</v>
      </c>
      <c r="F1321" t="b">
        <v>1</v>
      </c>
    </row>
    <row r="1322" spans="1:6" x14ac:dyDescent="0.35">
      <c r="A1322" t="s">
        <v>4079</v>
      </c>
      <c r="B1322" t="s">
        <v>3751</v>
      </c>
      <c r="C1322" t="s">
        <v>4079</v>
      </c>
      <c r="D1322" t="s">
        <v>4080</v>
      </c>
      <c r="E1322">
        <f>personnel_teach_spedt3_actual_f</f>
        <v>0</v>
      </c>
      <c r="F1322" t="b">
        <v>1</v>
      </c>
    </row>
    <row r="1323" spans="1:6" x14ac:dyDescent="0.35">
      <c r="A1323" t="s">
        <v>3777</v>
      </c>
      <c r="B1323" t="s">
        <v>3751</v>
      </c>
      <c r="C1323" t="s">
        <v>3777</v>
      </c>
      <c r="D1323" t="s">
        <v>3778</v>
      </c>
      <c r="E1323">
        <f>personnel_teach_spedt3_onleave</f>
        <v>0</v>
      </c>
      <c r="F1323" t="b">
        <v>1</v>
      </c>
    </row>
    <row r="1324" spans="1:6" x14ac:dyDescent="0.35">
      <c r="A1324" t="s">
        <v>3809</v>
      </c>
      <c r="B1324" t="s">
        <v>3751</v>
      </c>
      <c r="C1324" t="s">
        <v>3809</v>
      </c>
      <c r="D1324" t="s">
        <v>3810</v>
      </c>
      <c r="E1324">
        <f>personnel_teach_spedt3_vacant</f>
        <v>0</v>
      </c>
      <c r="F1324" t="b">
        <v>1</v>
      </c>
    </row>
    <row r="1325" spans="1:6" x14ac:dyDescent="0.35">
      <c r="A1325" t="s">
        <v>3841</v>
      </c>
      <c r="B1325" t="s">
        <v>3751</v>
      </c>
      <c r="C1325" t="s">
        <v>3841</v>
      </c>
      <c r="D1325" t="s">
        <v>3842</v>
      </c>
      <c r="E1325">
        <f>personnel_teach_spedt3_detailed_hs</f>
        <v>0</v>
      </c>
      <c r="F1325" t="b">
        <v>1</v>
      </c>
    </row>
    <row r="1326" spans="1:6" x14ac:dyDescent="0.35">
      <c r="A1326" t="s">
        <v>3873</v>
      </c>
      <c r="B1326" t="s">
        <v>3751</v>
      </c>
      <c r="C1326" t="s">
        <v>3873</v>
      </c>
      <c r="D1326" t="s">
        <v>3874</v>
      </c>
      <c r="E1326">
        <f>personnel_teach_spedt3_detailed_es</f>
        <v>0</v>
      </c>
      <c r="F1326" t="b">
        <v>1</v>
      </c>
    </row>
    <row r="1327" spans="1:6" x14ac:dyDescent="0.35">
      <c r="A1327" t="s">
        <v>3905</v>
      </c>
      <c r="B1327" t="s">
        <v>3751</v>
      </c>
      <c r="C1327" t="s">
        <v>3905</v>
      </c>
      <c r="D1327" t="s">
        <v>3906</v>
      </c>
      <c r="E1327">
        <f>personnel_teach_spedt3_detailed_outdiv</f>
        <v>0</v>
      </c>
      <c r="F1327" t="b">
        <v>1</v>
      </c>
    </row>
    <row r="1328" spans="1:6" x14ac:dyDescent="0.35">
      <c r="A1328" t="s">
        <v>3937</v>
      </c>
      <c r="B1328" t="s">
        <v>3751</v>
      </c>
      <c r="C1328" t="s">
        <v>3937</v>
      </c>
      <c r="D1328" t="s">
        <v>3938</v>
      </c>
      <c r="E1328">
        <f>personnel_teach_spedt3_borrowed_m</f>
        <v>0</v>
      </c>
      <c r="F1328" t="b">
        <v>1</v>
      </c>
    </row>
    <row r="1329" spans="1:6" x14ac:dyDescent="0.35">
      <c r="A1329" t="s">
        <v>3979</v>
      </c>
      <c r="B1329" t="s">
        <v>3751</v>
      </c>
      <c r="C1329" t="s">
        <v>3979</v>
      </c>
      <c r="D1329" t="s">
        <v>3980</v>
      </c>
      <c r="E1329">
        <f>personnel_teach_spedt3_borrowed_f</f>
        <v>0</v>
      </c>
      <c r="F1329" t="b">
        <v>1</v>
      </c>
    </row>
    <row r="1330" spans="1:6" x14ac:dyDescent="0.35">
      <c r="A1330" t="s">
        <v>12531</v>
      </c>
      <c r="B1330" t="s">
        <v>3751</v>
      </c>
      <c r="C1330" t="s">
        <v>12531</v>
      </c>
      <c r="D1330" t="s">
        <v>4009</v>
      </c>
      <c r="E1330">
        <f>personnel_teach_spedt2_psipop</f>
        <v>0</v>
      </c>
      <c r="F1330" t="b">
        <v>1</v>
      </c>
    </row>
    <row r="1331" spans="1:6" x14ac:dyDescent="0.35">
      <c r="A1331" t="s">
        <v>4039</v>
      </c>
      <c r="B1331" t="s">
        <v>3751</v>
      </c>
      <c r="C1331" t="s">
        <v>4039</v>
      </c>
      <c r="D1331" t="s">
        <v>4040</v>
      </c>
      <c r="E1331">
        <f>personnel_teach_spedt2_actual_m</f>
        <v>0</v>
      </c>
      <c r="F1331" t="b">
        <v>1</v>
      </c>
    </row>
    <row r="1332" spans="1:6" x14ac:dyDescent="0.35">
      <c r="A1332" t="s">
        <v>4081</v>
      </c>
      <c r="B1332" t="s">
        <v>3751</v>
      </c>
      <c r="C1332" t="s">
        <v>4081</v>
      </c>
      <c r="D1332" t="s">
        <v>4082</v>
      </c>
      <c r="E1332">
        <f>personnel_teach_spedt2_actual_f</f>
        <v>0</v>
      </c>
      <c r="F1332" t="b">
        <v>1</v>
      </c>
    </row>
    <row r="1333" spans="1:6" x14ac:dyDescent="0.35">
      <c r="A1333" t="s">
        <v>3779</v>
      </c>
      <c r="B1333" t="s">
        <v>3751</v>
      </c>
      <c r="C1333" t="s">
        <v>3779</v>
      </c>
      <c r="D1333" t="s">
        <v>3780</v>
      </c>
      <c r="E1333">
        <f>personnel_teach_spedt2_onleave</f>
        <v>0</v>
      </c>
      <c r="F1333" t="b">
        <v>1</v>
      </c>
    </row>
    <row r="1334" spans="1:6" x14ac:dyDescent="0.35">
      <c r="A1334" t="s">
        <v>3811</v>
      </c>
      <c r="B1334" t="s">
        <v>3751</v>
      </c>
      <c r="C1334" t="s">
        <v>3811</v>
      </c>
      <c r="D1334" t="s">
        <v>3812</v>
      </c>
      <c r="E1334">
        <f>personnel_teach_spedt2_vacant</f>
        <v>0</v>
      </c>
      <c r="F1334" t="b">
        <v>1</v>
      </c>
    </row>
    <row r="1335" spans="1:6" x14ac:dyDescent="0.35">
      <c r="A1335" t="s">
        <v>3843</v>
      </c>
      <c r="B1335" t="s">
        <v>3751</v>
      </c>
      <c r="C1335" t="s">
        <v>3843</v>
      </c>
      <c r="D1335" t="s">
        <v>3844</v>
      </c>
      <c r="E1335">
        <f>personnel_teach_spedt2_detailed_hs</f>
        <v>0</v>
      </c>
      <c r="F1335" t="b">
        <v>1</v>
      </c>
    </row>
    <row r="1336" spans="1:6" x14ac:dyDescent="0.35">
      <c r="A1336" t="s">
        <v>3875</v>
      </c>
      <c r="B1336" t="s">
        <v>3751</v>
      </c>
      <c r="C1336" t="s">
        <v>3875</v>
      </c>
      <c r="D1336" t="s">
        <v>3876</v>
      </c>
      <c r="E1336">
        <f>personnel_teach_spedt2_detailed_es</f>
        <v>0</v>
      </c>
      <c r="F1336" t="b">
        <v>1</v>
      </c>
    </row>
    <row r="1337" spans="1:6" x14ac:dyDescent="0.35">
      <c r="A1337" t="s">
        <v>3907</v>
      </c>
      <c r="B1337" t="s">
        <v>3751</v>
      </c>
      <c r="C1337" t="s">
        <v>3907</v>
      </c>
      <c r="D1337" t="s">
        <v>3908</v>
      </c>
      <c r="E1337">
        <f>personnel_teach_spedt2_detailed_outdiv</f>
        <v>0</v>
      </c>
      <c r="F1337" t="b">
        <v>1</v>
      </c>
    </row>
    <row r="1338" spans="1:6" x14ac:dyDescent="0.35">
      <c r="A1338" t="s">
        <v>3939</v>
      </c>
      <c r="B1338" t="s">
        <v>3751</v>
      </c>
      <c r="C1338" t="s">
        <v>3939</v>
      </c>
      <c r="D1338" t="s">
        <v>3940</v>
      </c>
      <c r="E1338">
        <f>personnel_teach_spedt2_borrowed_m</f>
        <v>0</v>
      </c>
      <c r="F1338" t="b">
        <v>1</v>
      </c>
    </row>
    <row r="1339" spans="1:6" x14ac:dyDescent="0.35">
      <c r="A1339" t="s">
        <v>3981</v>
      </c>
      <c r="B1339" t="s">
        <v>3751</v>
      </c>
      <c r="C1339" t="s">
        <v>3981</v>
      </c>
      <c r="D1339" t="s">
        <v>3982</v>
      </c>
      <c r="E1339">
        <f>personnel_teach_spedt2_borrowed_f</f>
        <v>0</v>
      </c>
      <c r="F1339" t="b">
        <v>1</v>
      </c>
    </row>
    <row r="1340" spans="1:6" ht="15" customHeight="1" x14ac:dyDescent="0.35">
      <c r="A1340" t="s">
        <v>12532</v>
      </c>
      <c r="B1340" t="s">
        <v>3751</v>
      </c>
      <c r="C1340" t="s">
        <v>12532</v>
      </c>
      <c r="D1340" t="s">
        <v>4010</v>
      </c>
      <c r="E1340">
        <f>personnel_teach_spedt1_psipop</f>
        <v>0</v>
      </c>
      <c r="F1340" t="b">
        <v>1</v>
      </c>
    </row>
    <row r="1341" spans="1:6" x14ac:dyDescent="0.35">
      <c r="A1341" t="s">
        <v>4041</v>
      </c>
      <c r="B1341" t="s">
        <v>3751</v>
      </c>
      <c r="C1341" t="s">
        <v>4041</v>
      </c>
      <c r="D1341" t="s">
        <v>4042</v>
      </c>
      <c r="E1341">
        <f>personnel_teach_spedt1_actual_m</f>
        <v>0</v>
      </c>
      <c r="F1341" t="b">
        <v>1</v>
      </c>
    </row>
    <row r="1342" spans="1:6" x14ac:dyDescent="0.35">
      <c r="A1342" t="s">
        <v>4083</v>
      </c>
      <c r="B1342" t="s">
        <v>3751</v>
      </c>
      <c r="C1342" t="s">
        <v>4083</v>
      </c>
      <c r="D1342" t="s">
        <v>4084</v>
      </c>
      <c r="E1342">
        <f>personnel_teach_spedt1_actual_f</f>
        <v>0</v>
      </c>
      <c r="F1342" t="b">
        <v>1</v>
      </c>
    </row>
    <row r="1343" spans="1:6" x14ac:dyDescent="0.35">
      <c r="A1343" t="s">
        <v>3781</v>
      </c>
      <c r="B1343" t="s">
        <v>3751</v>
      </c>
      <c r="C1343" t="s">
        <v>3781</v>
      </c>
      <c r="D1343" t="s">
        <v>3782</v>
      </c>
      <c r="E1343">
        <f>personnel_teach_spedt1_onleave</f>
        <v>0</v>
      </c>
      <c r="F1343" t="b">
        <v>1</v>
      </c>
    </row>
    <row r="1344" spans="1:6" x14ac:dyDescent="0.35">
      <c r="A1344" t="s">
        <v>3813</v>
      </c>
      <c r="B1344" t="s">
        <v>3751</v>
      </c>
      <c r="C1344" t="s">
        <v>3813</v>
      </c>
      <c r="D1344" t="s">
        <v>3814</v>
      </c>
      <c r="E1344">
        <f>personnel_teach_spedt1_vacant</f>
        <v>0</v>
      </c>
      <c r="F1344" t="b">
        <v>1</v>
      </c>
    </row>
    <row r="1345" spans="1:6" x14ac:dyDescent="0.35">
      <c r="A1345" t="s">
        <v>3845</v>
      </c>
      <c r="B1345" t="s">
        <v>3751</v>
      </c>
      <c r="C1345" t="s">
        <v>3845</v>
      </c>
      <c r="D1345" t="s">
        <v>3846</v>
      </c>
      <c r="E1345">
        <f>personnel_teach_spedt1_detailed_hs</f>
        <v>0</v>
      </c>
      <c r="F1345" t="b">
        <v>1</v>
      </c>
    </row>
    <row r="1346" spans="1:6" x14ac:dyDescent="0.35">
      <c r="A1346" t="s">
        <v>3877</v>
      </c>
      <c r="B1346" t="s">
        <v>3751</v>
      </c>
      <c r="C1346" t="s">
        <v>3877</v>
      </c>
      <c r="D1346" t="s">
        <v>3878</v>
      </c>
      <c r="E1346">
        <f>personnel_teach_spedt1_detailed_es</f>
        <v>0</v>
      </c>
      <c r="F1346" t="b">
        <v>1</v>
      </c>
    </row>
    <row r="1347" spans="1:6" x14ac:dyDescent="0.35">
      <c r="A1347" t="s">
        <v>3909</v>
      </c>
      <c r="B1347" t="s">
        <v>3751</v>
      </c>
      <c r="C1347" t="s">
        <v>3909</v>
      </c>
      <c r="D1347" t="s">
        <v>3910</v>
      </c>
      <c r="E1347">
        <f>personnel_teach_spedt1_detailed_outdiv</f>
        <v>0</v>
      </c>
      <c r="F1347" t="b">
        <v>1</v>
      </c>
    </row>
    <row r="1348" spans="1:6" x14ac:dyDescent="0.35">
      <c r="A1348" t="s">
        <v>3941</v>
      </c>
      <c r="B1348" t="s">
        <v>3751</v>
      </c>
      <c r="C1348" t="s">
        <v>3941</v>
      </c>
      <c r="D1348" t="s">
        <v>3942</v>
      </c>
      <c r="E1348">
        <f>personnel_teach_spedt1_borrowed_m</f>
        <v>0</v>
      </c>
      <c r="F1348" t="b">
        <v>1</v>
      </c>
    </row>
    <row r="1349" spans="1:6" x14ac:dyDescent="0.35">
      <c r="A1349" t="s">
        <v>3983</v>
      </c>
      <c r="B1349" t="s">
        <v>3751</v>
      </c>
      <c r="C1349" t="s">
        <v>3983</v>
      </c>
      <c r="D1349" t="s">
        <v>3984</v>
      </c>
      <c r="E1349">
        <f>personnel_teach_spedt1_borrowed_f</f>
        <v>0</v>
      </c>
      <c r="F1349" t="b">
        <v>1</v>
      </c>
    </row>
    <row r="1350" spans="1:6" x14ac:dyDescent="0.35">
      <c r="A1350" t="s">
        <v>4043</v>
      </c>
      <c r="B1350" t="s">
        <v>3751</v>
      </c>
      <c r="C1350" t="s">
        <v>4043</v>
      </c>
      <c r="D1350" t="s">
        <v>4044</v>
      </c>
      <c r="E1350">
        <f>personnel_teach_handling_g7to10_m</f>
        <v>18</v>
      </c>
      <c r="F1350" t="b">
        <v>1</v>
      </c>
    </row>
    <row r="1351" spans="1:6" x14ac:dyDescent="0.35">
      <c r="A1351" t="s">
        <v>4085</v>
      </c>
      <c r="B1351" t="s">
        <v>3751</v>
      </c>
      <c r="C1351" t="s">
        <v>4085</v>
      </c>
      <c r="D1351" t="s">
        <v>4086</v>
      </c>
      <c r="E1351">
        <f>personnel_teach_handling_g7to10_f</f>
        <v>54</v>
      </c>
      <c r="F1351" t="b">
        <v>1</v>
      </c>
    </row>
    <row r="1352" spans="1:6" x14ac:dyDescent="0.35">
      <c r="A1352" t="s">
        <v>3943</v>
      </c>
      <c r="B1352" t="s">
        <v>3751</v>
      </c>
      <c r="C1352" t="s">
        <v>3943</v>
      </c>
      <c r="D1352" t="s">
        <v>3944</v>
      </c>
      <c r="E1352">
        <f>personnel_teach_handling_g7to10_borrowed_m</f>
        <v>0</v>
      </c>
      <c r="F1352" t="b">
        <v>1</v>
      </c>
    </row>
    <row r="1353" spans="1:6" x14ac:dyDescent="0.35">
      <c r="A1353" t="s">
        <v>3985</v>
      </c>
      <c r="B1353" t="s">
        <v>3751</v>
      </c>
      <c r="C1353" t="s">
        <v>3985</v>
      </c>
      <c r="D1353" t="s">
        <v>3986</v>
      </c>
      <c r="E1353">
        <f>personnel_teach_handling_g7to10_borrowed_f</f>
        <v>0</v>
      </c>
      <c r="F1353" t="b">
        <v>1</v>
      </c>
    </row>
    <row r="1354" spans="1:6" x14ac:dyDescent="0.35">
      <c r="A1354" t="s">
        <v>4045</v>
      </c>
      <c r="B1354" t="s">
        <v>3751</v>
      </c>
      <c r="C1354" t="s">
        <v>4045</v>
      </c>
      <c r="D1354" t="s">
        <v>4046</v>
      </c>
      <c r="E1354">
        <f>personnel_teach_handling_g11to12_m</f>
        <v>0</v>
      </c>
      <c r="F1354" t="b">
        <v>1</v>
      </c>
    </row>
    <row r="1355" spans="1:6" x14ac:dyDescent="0.35">
      <c r="A1355" t="s">
        <v>4087</v>
      </c>
      <c r="B1355" t="s">
        <v>3751</v>
      </c>
      <c r="C1355" t="s">
        <v>4087</v>
      </c>
      <c r="D1355" t="s">
        <v>4088</v>
      </c>
      <c r="E1355">
        <f>personnel_teach_handling_g11to12_f</f>
        <v>0</v>
      </c>
      <c r="F1355" t="b">
        <v>1</v>
      </c>
    </row>
    <row r="1356" spans="1:6" x14ac:dyDescent="0.35">
      <c r="A1356" t="s">
        <v>3945</v>
      </c>
      <c r="B1356" t="s">
        <v>3751</v>
      </c>
      <c r="C1356" t="s">
        <v>3945</v>
      </c>
      <c r="D1356" t="s">
        <v>3946</v>
      </c>
      <c r="E1356">
        <f>personnel_teach_handling_g11to12_borrowed_m</f>
        <v>0</v>
      </c>
      <c r="F1356" t="b">
        <v>1</v>
      </c>
    </row>
    <row r="1357" spans="1:6" x14ac:dyDescent="0.35">
      <c r="A1357" t="s">
        <v>3987</v>
      </c>
      <c r="B1357" t="s">
        <v>3751</v>
      </c>
      <c r="C1357" t="s">
        <v>3987</v>
      </c>
      <c r="D1357" t="s">
        <v>3988</v>
      </c>
      <c r="E1357">
        <f>personnel_teach_handling_g11to12_borrowed_f</f>
        <v>0</v>
      </c>
      <c r="F1357" t="b">
        <v>1</v>
      </c>
    </row>
    <row r="1358" spans="1:6" x14ac:dyDescent="0.35">
      <c r="A1358" t="s">
        <v>4047</v>
      </c>
      <c r="B1358" t="s">
        <v>3751</v>
      </c>
      <c r="C1358" t="s">
        <v>4047</v>
      </c>
      <c r="D1358" t="s">
        <v>4048</v>
      </c>
      <c r="E1358">
        <f>personnel_teach_handling_alivecl_m</f>
        <v>0</v>
      </c>
      <c r="F1358" t="b">
        <v>1</v>
      </c>
    </row>
    <row r="1359" spans="1:6" x14ac:dyDescent="0.35">
      <c r="A1359" t="s">
        <v>4089</v>
      </c>
      <c r="B1359" t="s">
        <v>3751</v>
      </c>
      <c r="C1359" t="s">
        <v>4089</v>
      </c>
      <c r="D1359" t="s">
        <v>4090</v>
      </c>
      <c r="E1359">
        <f>personnel_teach_handling_alivecl_f</f>
        <v>0</v>
      </c>
      <c r="F1359" t="b">
        <v>1</v>
      </c>
    </row>
    <row r="1360" spans="1:6" x14ac:dyDescent="0.35">
      <c r="A1360" t="s">
        <v>3947</v>
      </c>
      <c r="B1360" t="s">
        <v>3751</v>
      </c>
      <c r="C1360" t="s">
        <v>3947</v>
      </c>
      <c r="D1360" t="s">
        <v>3948</v>
      </c>
      <c r="E1360">
        <f>personnel_teach_handling_alivecl_borrowed_m</f>
        <v>0</v>
      </c>
      <c r="F1360" t="b">
        <v>1</v>
      </c>
    </row>
    <row r="1361" spans="1:14" x14ac:dyDescent="0.35">
      <c r="A1361" t="s">
        <v>3989</v>
      </c>
      <c r="B1361" t="s">
        <v>3751</v>
      </c>
      <c r="C1361" t="s">
        <v>3989</v>
      </c>
      <c r="D1361" t="s">
        <v>3990</v>
      </c>
      <c r="E1361">
        <f>personnel_teach_handling_alivecl_borrowed_f</f>
        <v>0</v>
      </c>
      <c r="F1361" t="b">
        <v>1</v>
      </c>
    </row>
    <row r="1362" spans="1:14" x14ac:dyDescent="0.35">
      <c r="A1362" t="s">
        <v>4049</v>
      </c>
      <c r="B1362" t="s">
        <v>3751</v>
      </c>
      <c r="C1362" t="s">
        <v>4049</v>
      </c>
      <c r="D1362" t="s">
        <v>4050</v>
      </c>
      <c r="E1362">
        <f>personnel_teach_handling_spedcl_m</f>
        <v>0</v>
      </c>
      <c r="F1362" t="b">
        <v>1</v>
      </c>
    </row>
    <row r="1363" spans="1:14" x14ac:dyDescent="0.35">
      <c r="A1363" t="s">
        <v>4091</v>
      </c>
      <c r="B1363" t="s">
        <v>3751</v>
      </c>
      <c r="C1363" t="s">
        <v>4091</v>
      </c>
      <c r="D1363" t="s">
        <v>4092</v>
      </c>
      <c r="E1363">
        <f>personnel_teach_handling_spedcl_f</f>
        <v>0</v>
      </c>
      <c r="F1363" t="b">
        <v>1</v>
      </c>
    </row>
    <row r="1364" spans="1:14" x14ac:dyDescent="0.35">
      <c r="A1364" t="s">
        <v>3949</v>
      </c>
      <c r="B1364" t="s">
        <v>3751</v>
      </c>
      <c r="C1364" t="s">
        <v>3949</v>
      </c>
      <c r="D1364" t="s">
        <v>3950</v>
      </c>
      <c r="E1364">
        <f>personnel_teach_handling_spedcl_borrowed_m</f>
        <v>0</v>
      </c>
      <c r="F1364" t="b">
        <v>1</v>
      </c>
    </row>
    <row r="1365" spans="1:14" x14ac:dyDescent="0.35">
      <c r="A1365" t="s">
        <v>3991</v>
      </c>
      <c r="B1365" t="s">
        <v>3751</v>
      </c>
      <c r="C1365" t="s">
        <v>3991</v>
      </c>
      <c r="D1365" t="s">
        <v>3992</v>
      </c>
      <c r="E1365">
        <f>personnel_teach_handling_spedcl_borrowed_f</f>
        <v>0</v>
      </c>
      <c r="F1365" t="b">
        <v>1</v>
      </c>
    </row>
    <row r="1366" spans="1:14" x14ac:dyDescent="0.35">
      <c r="A1366" t="s">
        <v>4051</v>
      </c>
      <c r="B1366" t="s">
        <v>3751</v>
      </c>
      <c r="C1366" t="s">
        <v>4051</v>
      </c>
      <c r="D1366" t="s">
        <v>4052</v>
      </c>
      <c r="E1366">
        <f>personnel_teach_handling_fullt_ancillary_m</f>
        <v>0</v>
      </c>
      <c r="F1366" t="b">
        <v>1</v>
      </c>
    </row>
    <row r="1367" spans="1:14" x14ac:dyDescent="0.35">
      <c r="A1367" t="s">
        <v>4093</v>
      </c>
      <c r="B1367" t="s">
        <v>3751</v>
      </c>
      <c r="C1367" t="s">
        <v>4093</v>
      </c>
      <c r="D1367" t="s">
        <v>4094</v>
      </c>
      <c r="E1367">
        <f>personnel_teach_handling_fullt_ancillary_f</f>
        <v>0</v>
      </c>
      <c r="F1367" t="b">
        <v>1</v>
      </c>
    </row>
    <row r="1368" spans="1:14" x14ac:dyDescent="0.35">
      <c r="A1368" t="s">
        <v>3951</v>
      </c>
      <c r="B1368" t="s">
        <v>3751</v>
      </c>
      <c r="C1368" t="s">
        <v>3951</v>
      </c>
      <c r="D1368" t="s">
        <v>3952</v>
      </c>
      <c r="E1368">
        <f>personnel_teach_handling_fullt_ancillary_borrowed_m</f>
        <v>0</v>
      </c>
      <c r="F1368" t="b">
        <v>1</v>
      </c>
    </row>
    <row r="1369" spans="1:14" s="1348" customFormat="1" ht="16" thickBot="1" x14ac:dyDescent="0.4">
      <c r="A1369" s="1348" t="s">
        <v>3993</v>
      </c>
      <c r="B1369" s="1348" t="s">
        <v>3751</v>
      </c>
      <c r="C1369" s="1348" t="s">
        <v>3993</v>
      </c>
      <c r="D1369" s="1348" t="s">
        <v>3994</v>
      </c>
      <c r="E1369" s="1348">
        <f>personnel_teach_handling_fullt_ancillary_borrowed_f</f>
        <v>0</v>
      </c>
      <c r="F1369" s="1348" t="b">
        <v>1</v>
      </c>
      <c r="N1369" s="1358"/>
    </row>
    <row r="1370" spans="1:14" x14ac:dyDescent="0.35">
      <c r="A1370" t="s">
        <v>4184</v>
      </c>
      <c r="B1370" t="s">
        <v>4096</v>
      </c>
      <c r="C1370" t="s">
        <v>4184</v>
      </c>
      <c r="D1370" t="s">
        <v>4185</v>
      </c>
      <c r="E1370">
        <f>teach_assign_instructor3_fullt_noancilliary</f>
        <v>0</v>
      </c>
      <c r="F1370" t="b">
        <v>1</v>
      </c>
    </row>
    <row r="1371" spans="1:14" x14ac:dyDescent="0.35">
      <c r="A1371" t="s">
        <v>4216</v>
      </c>
      <c r="B1371" t="s">
        <v>4096</v>
      </c>
      <c r="C1371" t="s">
        <v>4216</v>
      </c>
      <c r="D1371" t="s">
        <v>4217</v>
      </c>
      <c r="E1371">
        <f>teach_assign_instructor3_fullt_ancilliary_addload</f>
        <v>0</v>
      </c>
      <c r="F1371" t="b">
        <v>1</v>
      </c>
    </row>
    <row r="1372" spans="1:14" x14ac:dyDescent="0.35">
      <c r="A1372" t="s">
        <v>4248</v>
      </c>
      <c r="B1372" t="s">
        <v>4096</v>
      </c>
      <c r="C1372" t="s">
        <v>4248</v>
      </c>
      <c r="D1372" t="s">
        <v>4249</v>
      </c>
      <c r="E1372">
        <f>teach_assign_instructor3_part_ancilliary_200min</f>
        <v>0</v>
      </c>
      <c r="F1372" t="b">
        <v>1</v>
      </c>
    </row>
    <row r="1373" spans="1:14" x14ac:dyDescent="0.35">
      <c r="A1373" t="s">
        <v>4120</v>
      </c>
      <c r="B1373" t="s">
        <v>4096</v>
      </c>
      <c r="C1373" t="s">
        <v>4120</v>
      </c>
      <c r="D1373" t="s">
        <v>4121</v>
      </c>
      <c r="E1373">
        <f>teach_assign_instructor3_part_ancilliary_less200min</f>
        <v>0</v>
      </c>
      <c r="F1373" t="b">
        <v>1</v>
      </c>
    </row>
    <row r="1374" spans="1:14" x14ac:dyDescent="0.35">
      <c r="A1374" t="s">
        <v>4152</v>
      </c>
      <c r="B1374" t="s">
        <v>4096</v>
      </c>
      <c r="C1374" t="s">
        <v>4152</v>
      </c>
      <c r="D1374" t="s">
        <v>4153</v>
      </c>
      <c r="E1374">
        <f>teach_assign_instructor3_fullt_ancilliary</f>
        <v>0</v>
      </c>
      <c r="F1374" t="b">
        <v>1</v>
      </c>
    </row>
    <row r="1375" spans="1:14" x14ac:dyDescent="0.35">
      <c r="A1375" t="s">
        <v>4186</v>
      </c>
      <c r="B1375" t="s">
        <v>4096</v>
      </c>
      <c r="C1375" t="s">
        <v>4186</v>
      </c>
      <c r="D1375" t="s">
        <v>4187</v>
      </c>
      <c r="E1375">
        <f>teach_assign_instructor2_fullt_noancilliary</f>
        <v>0</v>
      </c>
      <c r="F1375" t="b">
        <v>1</v>
      </c>
    </row>
    <row r="1376" spans="1:14" x14ac:dyDescent="0.35">
      <c r="A1376" t="s">
        <v>4218</v>
      </c>
      <c r="B1376" t="s">
        <v>4096</v>
      </c>
      <c r="C1376" t="s">
        <v>4218</v>
      </c>
      <c r="D1376" t="s">
        <v>4219</v>
      </c>
      <c r="E1376">
        <f>teach_assign_instructor2_fullt_ancilliary_addload</f>
        <v>0</v>
      </c>
      <c r="F1376" t="b">
        <v>1</v>
      </c>
    </row>
    <row r="1377" spans="1:6" x14ac:dyDescent="0.35">
      <c r="A1377" t="s">
        <v>4250</v>
      </c>
      <c r="B1377" t="s">
        <v>4096</v>
      </c>
      <c r="C1377" t="s">
        <v>4250</v>
      </c>
      <c r="D1377" t="s">
        <v>4251</v>
      </c>
      <c r="E1377">
        <f>teach_assign_instructor2_part_ancilliary_200min</f>
        <v>0</v>
      </c>
      <c r="F1377" t="b">
        <v>1</v>
      </c>
    </row>
    <row r="1378" spans="1:6" x14ac:dyDescent="0.35">
      <c r="A1378" t="s">
        <v>4122</v>
      </c>
      <c r="B1378" t="s">
        <v>4096</v>
      </c>
      <c r="C1378" t="s">
        <v>4122</v>
      </c>
      <c r="D1378" t="s">
        <v>4123</v>
      </c>
      <c r="E1378">
        <f>teach_assign_instructor2_part_ancilliary_less200min</f>
        <v>0</v>
      </c>
      <c r="F1378" t="b">
        <v>1</v>
      </c>
    </row>
    <row r="1379" spans="1:6" x14ac:dyDescent="0.35">
      <c r="A1379" t="s">
        <v>4154</v>
      </c>
      <c r="B1379" t="s">
        <v>4096</v>
      </c>
      <c r="C1379" t="s">
        <v>4154</v>
      </c>
      <c r="D1379" t="s">
        <v>4155</v>
      </c>
      <c r="E1379">
        <f>teach_assign_instructor2_fullt_ancilliary</f>
        <v>0</v>
      </c>
      <c r="F1379" t="b">
        <v>1</v>
      </c>
    </row>
    <row r="1380" spans="1:6" x14ac:dyDescent="0.35">
      <c r="A1380" t="s">
        <v>4188</v>
      </c>
      <c r="B1380" t="s">
        <v>4096</v>
      </c>
      <c r="C1380" t="s">
        <v>4188</v>
      </c>
      <c r="D1380" t="s">
        <v>4189</v>
      </c>
      <c r="E1380">
        <f>teach_assign_instructor1_fullt_noancilliary</f>
        <v>0</v>
      </c>
      <c r="F1380" t="b">
        <v>1</v>
      </c>
    </row>
    <row r="1381" spans="1:6" x14ac:dyDescent="0.35">
      <c r="A1381" t="s">
        <v>4220</v>
      </c>
      <c r="B1381" t="s">
        <v>4096</v>
      </c>
      <c r="C1381" t="s">
        <v>4220</v>
      </c>
      <c r="D1381" t="s">
        <v>4221</v>
      </c>
      <c r="E1381">
        <f>teach_assign_instructor1_fullt_ancilliary_addload</f>
        <v>0</v>
      </c>
      <c r="F1381" t="b">
        <v>1</v>
      </c>
    </row>
    <row r="1382" spans="1:6" x14ac:dyDescent="0.35">
      <c r="A1382" t="s">
        <v>4252</v>
      </c>
      <c r="B1382" t="s">
        <v>4096</v>
      </c>
      <c r="C1382" t="s">
        <v>4252</v>
      </c>
      <c r="D1382" t="s">
        <v>4253</v>
      </c>
      <c r="E1382">
        <f>teach_assign_instructor1_part_ancilliary_200min</f>
        <v>0</v>
      </c>
      <c r="F1382" t="b">
        <v>1</v>
      </c>
    </row>
    <row r="1383" spans="1:6" x14ac:dyDescent="0.35">
      <c r="A1383" t="s">
        <v>4124</v>
      </c>
      <c r="B1383" t="s">
        <v>4096</v>
      </c>
      <c r="C1383" t="s">
        <v>4124</v>
      </c>
      <c r="D1383" t="s">
        <v>4125</v>
      </c>
      <c r="E1383">
        <f>teach_assign_instructor1_part_ancilliary_less200min</f>
        <v>0</v>
      </c>
      <c r="F1383" t="b">
        <v>1</v>
      </c>
    </row>
    <row r="1384" spans="1:6" x14ac:dyDescent="0.35">
      <c r="A1384" t="s">
        <v>4156</v>
      </c>
      <c r="B1384" t="s">
        <v>4096</v>
      </c>
      <c r="C1384" t="s">
        <v>4156</v>
      </c>
      <c r="D1384" t="s">
        <v>4157</v>
      </c>
      <c r="E1384">
        <f>teach_assign_instructor1_fullt_ancilliary</f>
        <v>0</v>
      </c>
      <c r="F1384" t="b">
        <v>1</v>
      </c>
    </row>
    <row r="1385" spans="1:6" x14ac:dyDescent="0.35">
      <c r="A1385" t="s">
        <v>4190</v>
      </c>
      <c r="B1385" t="s">
        <v>4096</v>
      </c>
      <c r="C1385" t="s">
        <v>4190</v>
      </c>
      <c r="D1385" t="s">
        <v>4191</v>
      </c>
      <c r="E1385">
        <f>teach_assign_mt4_fullt_noancilliary</f>
        <v>0</v>
      </c>
      <c r="F1385" t="b">
        <v>1</v>
      </c>
    </row>
    <row r="1386" spans="1:6" x14ac:dyDescent="0.35">
      <c r="A1386" t="s">
        <v>4222</v>
      </c>
      <c r="B1386" t="s">
        <v>4096</v>
      </c>
      <c r="C1386" t="s">
        <v>4222</v>
      </c>
      <c r="D1386" t="s">
        <v>4223</v>
      </c>
      <c r="E1386">
        <f>teach_assign_mt4_fullt_ancilliary_addload</f>
        <v>0</v>
      </c>
      <c r="F1386" t="b">
        <v>1</v>
      </c>
    </row>
    <row r="1387" spans="1:6" x14ac:dyDescent="0.35">
      <c r="A1387" t="s">
        <v>4254</v>
      </c>
      <c r="B1387" t="s">
        <v>4096</v>
      </c>
      <c r="C1387" t="s">
        <v>4254</v>
      </c>
      <c r="D1387" t="s">
        <v>4255</v>
      </c>
      <c r="E1387">
        <f>teach_assign_mt4_part_ancilliary_200min</f>
        <v>0</v>
      </c>
      <c r="F1387" t="b">
        <v>1</v>
      </c>
    </row>
    <row r="1388" spans="1:6" x14ac:dyDescent="0.35">
      <c r="A1388" t="s">
        <v>4126</v>
      </c>
      <c r="B1388" t="s">
        <v>4096</v>
      </c>
      <c r="C1388" t="s">
        <v>4126</v>
      </c>
      <c r="D1388" t="s">
        <v>4127</v>
      </c>
      <c r="E1388">
        <f>teach_assign_mt4_part_ancilliary_less200min</f>
        <v>0</v>
      </c>
      <c r="F1388" t="b">
        <v>1</v>
      </c>
    </row>
    <row r="1389" spans="1:6" x14ac:dyDescent="0.35">
      <c r="A1389" t="s">
        <v>4158</v>
      </c>
      <c r="B1389" t="s">
        <v>4096</v>
      </c>
      <c r="C1389" t="s">
        <v>4158</v>
      </c>
      <c r="D1389" t="s">
        <v>4159</v>
      </c>
      <c r="E1389">
        <f>teach_assign_mt4_fullt_ancilliary</f>
        <v>0</v>
      </c>
      <c r="F1389" t="b">
        <v>1</v>
      </c>
    </row>
    <row r="1390" spans="1:6" x14ac:dyDescent="0.35">
      <c r="A1390" t="s">
        <v>4160</v>
      </c>
      <c r="B1390" t="s">
        <v>4096</v>
      </c>
      <c r="C1390" t="s">
        <v>4160</v>
      </c>
      <c r="D1390" t="s">
        <v>4161</v>
      </c>
      <c r="E1390">
        <f>teach_assign_mt3_fullt_noancilliary</f>
        <v>0</v>
      </c>
      <c r="F1390" t="b">
        <v>1</v>
      </c>
    </row>
    <row r="1391" spans="1:6" x14ac:dyDescent="0.35">
      <c r="A1391" t="s">
        <v>4192</v>
      </c>
      <c r="B1391" t="s">
        <v>4096</v>
      </c>
      <c r="C1391" t="s">
        <v>4192</v>
      </c>
      <c r="D1391" t="s">
        <v>4193</v>
      </c>
      <c r="E1391">
        <f>teach_assign_mt3_fullt_ancilliary_addload</f>
        <v>0</v>
      </c>
      <c r="F1391" t="b">
        <v>1</v>
      </c>
    </row>
    <row r="1392" spans="1:6" x14ac:dyDescent="0.35">
      <c r="A1392" t="s">
        <v>4224</v>
      </c>
      <c r="B1392" t="s">
        <v>4096</v>
      </c>
      <c r="C1392" t="s">
        <v>4224</v>
      </c>
      <c r="D1392" t="s">
        <v>4225</v>
      </c>
      <c r="E1392">
        <f>teach_assign_mt3_part_ancilliary_200min</f>
        <v>0</v>
      </c>
      <c r="F1392" t="b">
        <v>1</v>
      </c>
    </row>
    <row r="1393" spans="1:6" x14ac:dyDescent="0.35">
      <c r="A1393" t="s">
        <v>4095</v>
      </c>
      <c r="B1393" t="s">
        <v>4096</v>
      </c>
      <c r="C1393" t="s">
        <v>4095</v>
      </c>
      <c r="D1393" t="s">
        <v>4097</v>
      </c>
      <c r="E1393">
        <f>teach_assign_mt3_part_ancilliary_less200min</f>
        <v>0</v>
      </c>
      <c r="F1393" t="b">
        <v>1</v>
      </c>
    </row>
    <row r="1394" spans="1:6" x14ac:dyDescent="0.35">
      <c r="A1394" t="s">
        <v>4128</v>
      </c>
      <c r="B1394" t="s">
        <v>4096</v>
      </c>
      <c r="C1394" t="s">
        <v>4128</v>
      </c>
      <c r="D1394" t="s">
        <v>4129</v>
      </c>
      <c r="E1394">
        <f>teach_assign_mt3_fullt_ancilliary</f>
        <v>0</v>
      </c>
      <c r="F1394" t="b">
        <v>1</v>
      </c>
    </row>
    <row r="1395" spans="1:6" x14ac:dyDescent="0.35">
      <c r="A1395" t="s">
        <v>4162</v>
      </c>
      <c r="B1395" t="s">
        <v>4096</v>
      </c>
      <c r="C1395" t="s">
        <v>4162</v>
      </c>
      <c r="D1395" t="s">
        <v>4163</v>
      </c>
      <c r="E1395">
        <f>teach_assign_mt2_fullt_noancilliary</f>
        <v>2</v>
      </c>
      <c r="F1395" t="b">
        <v>1</v>
      </c>
    </row>
    <row r="1396" spans="1:6" x14ac:dyDescent="0.35">
      <c r="A1396" t="s">
        <v>4194</v>
      </c>
      <c r="B1396" t="s">
        <v>4096</v>
      </c>
      <c r="C1396" t="s">
        <v>4194</v>
      </c>
      <c r="D1396" t="s">
        <v>4195</v>
      </c>
      <c r="E1396">
        <f>teach_assign_mt2_fullt_ancilliary_addload</f>
        <v>0</v>
      </c>
      <c r="F1396" t="b">
        <v>1</v>
      </c>
    </row>
    <row r="1397" spans="1:6" x14ac:dyDescent="0.35">
      <c r="A1397" t="s">
        <v>4226</v>
      </c>
      <c r="B1397" t="s">
        <v>4096</v>
      </c>
      <c r="C1397" t="s">
        <v>4226</v>
      </c>
      <c r="D1397" t="s">
        <v>4227</v>
      </c>
      <c r="E1397">
        <f>teach_assign_mt2_part_ancilliary_200min</f>
        <v>0</v>
      </c>
      <c r="F1397" t="b">
        <v>1</v>
      </c>
    </row>
    <row r="1398" spans="1:6" x14ac:dyDescent="0.35">
      <c r="A1398" t="s">
        <v>4098</v>
      </c>
      <c r="B1398" t="s">
        <v>4096</v>
      </c>
      <c r="C1398" t="s">
        <v>4098</v>
      </c>
      <c r="D1398" t="s">
        <v>4099</v>
      </c>
      <c r="E1398">
        <f>teach_assign_mt2_part_ancilliary_less200min</f>
        <v>0</v>
      </c>
      <c r="F1398" t="b">
        <v>1</v>
      </c>
    </row>
    <row r="1399" spans="1:6" x14ac:dyDescent="0.35">
      <c r="A1399" t="s">
        <v>4130</v>
      </c>
      <c r="B1399" t="s">
        <v>4096</v>
      </c>
      <c r="C1399" t="s">
        <v>4130</v>
      </c>
      <c r="D1399" t="s">
        <v>4131</v>
      </c>
      <c r="E1399">
        <f>teach_assign_mt2_fullt_ancilliary</f>
        <v>0</v>
      </c>
      <c r="F1399" t="b">
        <v>1</v>
      </c>
    </row>
    <row r="1400" spans="1:6" x14ac:dyDescent="0.35">
      <c r="A1400" t="s">
        <v>4164</v>
      </c>
      <c r="B1400" t="s">
        <v>4096</v>
      </c>
      <c r="C1400" t="s">
        <v>4164</v>
      </c>
      <c r="D1400" t="s">
        <v>4165</v>
      </c>
      <c r="E1400">
        <f>teach_assign_mt1_fullt_noancilliary</f>
        <v>4</v>
      </c>
      <c r="F1400" t="b">
        <v>1</v>
      </c>
    </row>
    <row r="1401" spans="1:6" x14ac:dyDescent="0.35">
      <c r="A1401" t="s">
        <v>4196</v>
      </c>
      <c r="B1401" t="s">
        <v>4096</v>
      </c>
      <c r="C1401" t="s">
        <v>4196</v>
      </c>
      <c r="D1401" t="s">
        <v>4197</v>
      </c>
      <c r="E1401">
        <f>teach_assign_mt1_fullt_ancilliary_addload</f>
        <v>1</v>
      </c>
      <c r="F1401" t="b">
        <v>1</v>
      </c>
    </row>
    <row r="1402" spans="1:6" x14ac:dyDescent="0.35">
      <c r="A1402" t="s">
        <v>4228</v>
      </c>
      <c r="B1402" t="s">
        <v>4096</v>
      </c>
      <c r="C1402" t="s">
        <v>4228</v>
      </c>
      <c r="D1402" t="s">
        <v>4229</v>
      </c>
      <c r="E1402">
        <f>teach_assign_mt1_part_ancilliary_200min</f>
        <v>0</v>
      </c>
      <c r="F1402" t="b">
        <v>1</v>
      </c>
    </row>
    <row r="1403" spans="1:6" x14ac:dyDescent="0.35">
      <c r="A1403" t="s">
        <v>4100</v>
      </c>
      <c r="B1403" t="s">
        <v>4096</v>
      </c>
      <c r="C1403" t="s">
        <v>4100</v>
      </c>
      <c r="D1403" t="s">
        <v>4101</v>
      </c>
      <c r="E1403">
        <f>teach_assign_mt1_part_ancilliary_less200min</f>
        <v>0</v>
      </c>
      <c r="F1403" t="b">
        <v>1</v>
      </c>
    </row>
    <row r="1404" spans="1:6" x14ac:dyDescent="0.35">
      <c r="A1404" t="s">
        <v>4132</v>
      </c>
      <c r="B1404" t="s">
        <v>4096</v>
      </c>
      <c r="C1404" t="s">
        <v>4132</v>
      </c>
      <c r="D1404" t="s">
        <v>4133</v>
      </c>
      <c r="E1404">
        <f>teach_assign_mt1_fullt_ancilliary</f>
        <v>0</v>
      </c>
      <c r="F1404" t="b">
        <v>1</v>
      </c>
    </row>
    <row r="1405" spans="1:6" x14ac:dyDescent="0.35">
      <c r="A1405" t="s">
        <v>4166</v>
      </c>
      <c r="B1405" t="s">
        <v>4096</v>
      </c>
      <c r="C1405" t="s">
        <v>4166</v>
      </c>
      <c r="D1405" t="s">
        <v>4167</v>
      </c>
      <c r="E1405">
        <f>teach_assign_t3_fullt_noancilliary</f>
        <v>20</v>
      </c>
      <c r="F1405" t="b">
        <v>1</v>
      </c>
    </row>
    <row r="1406" spans="1:6" x14ac:dyDescent="0.35">
      <c r="A1406" t="s">
        <v>4198</v>
      </c>
      <c r="B1406" t="s">
        <v>4096</v>
      </c>
      <c r="C1406" t="s">
        <v>4198</v>
      </c>
      <c r="D1406" t="s">
        <v>4199</v>
      </c>
      <c r="E1406">
        <f>teach_assign_t3_fullt_ancilliary_addload</f>
        <v>0</v>
      </c>
      <c r="F1406" t="b">
        <v>1</v>
      </c>
    </row>
    <row r="1407" spans="1:6" x14ac:dyDescent="0.35">
      <c r="A1407" t="s">
        <v>4230</v>
      </c>
      <c r="B1407" t="s">
        <v>4096</v>
      </c>
      <c r="C1407" t="s">
        <v>4230</v>
      </c>
      <c r="D1407" t="s">
        <v>4231</v>
      </c>
      <c r="E1407">
        <f>teach_assign_t3_part_ancilliary_200min</f>
        <v>0</v>
      </c>
      <c r="F1407" t="b">
        <v>1</v>
      </c>
    </row>
    <row r="1408" spans="1:6" x14ac:dyDescent="0.35">
      <c r="A1408" t="s">
        <v>4102</v>
      </c>
      <c r="B1408" t="s">
        <v>4096</v>
      </c>
      <c r="C1408" t="s">
        <v>4102</v>
      </c>
      <c r="D1408" t="s">
        <v>4103</v>
      </c>
      <c r="E1408">
        <f>teach_assign_t3_part_ancilliary_less200min</f>
        <v>0</v>
      </c>
      <c r="F1408" t="b">
        <v>1</v>
      </c>
    </row>
    <row r="1409" spans="1:6" x14ac:dyDescent="0.35">
      <c r="A1409" t="s">
        <v>4134</v>
      </c>
      <c r="B1409" t="s">
        <v>4096</v>
      </c>
      <c r="C1409" t="s">
        <v>4134</v>
      </c>
      <c r="D1409" t="s">
        <v>4135</v>
      </c>
      <c r="E1409">
        <f>teach_assign_t3_fullt_ancilliary</f>
        <v>0</v>
      </c>
      <c r="F1409" t="b">
        <v>1</v>
      </c>
    </row>
    <row r="1410" spans="1:6" x14ac:dyDescent="0.35">
      <c r="A1410" t="s">
        <v>4168</v>
      </c>
      <c r="B1410" t="s">
        <v>4096</v>
      </c>
      <c r="C1410" t="s">
        <v>4168</v>
      </c>
      <c r="D1410" t="s">
        <v>4169</v>
      </c>
      <c r="E1410">
        <f>teach_assign_t2_fullt_noancilliary</f>
        <v>5</v>
      </c>
      <c r="F1410" t="b">
        <v>1</v>
      </c>
    </row>
    <row r="1411" spans="1:6" x14ac:dyDescent="0.35">
      <c r="A1411" t="s">
        <v>4200</v>
      </c>
      <c r="B1411" t="s">
        <v>4096</v>
      </c>
      <c r="C1411" t="s">
        <v>4200</v>
      </c>
      <c r="D1411" t="s">
        <v>4201</v>
      </c>
      <c r="E1411">
        <f>teach_assign_t2_fullt_ancilliary_addload</f>
        <v>0</v>
      </c>
      <c r="F1411" t="b">
        <v>1</v>
      </c>
    </row>
    <row r="1412" spans="1:6" x14ac:dyDescent="0.35">
      <c r="A1412" t="s">
        <v>4232</v>
      </c>
      <c r="B1412" t="s">
        <v>4096</v>
      </c>
      <c r="C1412" t="s">
        <v>4232</v>
      </c>
      <c r="D1412" t="s">
        <v>4233</v>
      </c>
      <c r="E1412">
        <f>teach_assign_t2_part_ancilliary_200min</f>
        <v>0</v>
      </c>
      <c r="F1412" t="b">
        <v>1</v>
      </c>
    </row>
    <row r="1413" spans="1:6" x14ac:dyDescent="0.35">
      <c r="A1413" t="s">
        <v>4104</v>
      </c>
      <c r="B1413" t="s">
        <v>4096</v>
      </c>
      <c r="C1413" t="s">
        <v>4104</v>
      </c>
      <c r="D1413" t="s">
        <v>4105</v>
      </c>
      <c r="E1413">
        <f>teach_assign_t2_part_ancilliary_less200min</f>
        <v>0</v>
      </c>
      <c r="F1413" t="b">
        <v>1</v>
      </c>
    </row>
    <row r="1414" spans="1:6" x14ac:dyDescent="0.35">
      <c r="A1414" t="s">
        <v>4136</v>
      </c>
      <c r="B1414" t="s">
        <v>4096</v>
      </c>
      <c r="C1414" t="s">
        <v>4136</v>
      </c>
      <c r="D1414" t="s">
        <v>4137</v>
      </c>
      <c r="E1414">
        <f>teach_assign_t2_fullt_ancilliary</f>
        <v>0</v>
      </c>
      <c r="F1414" t="b">
        <v>1</v>
      </c>
    </row>
    <row r="1415" spans="1:6" x14ac:dyDescent="0.35">
      <c r="A1415" t="s">
        <v>4170</v>
      </c>
      <c r="B1415" t="s">
        <v>4096</v>
      </c>
      <c r="C1415" t="s">
        <v>4170</v>
      </c>
      <c r="D1415" t="s">
        <v>4171</v>
      </c>
      <c r="E1415">
        <f>teach_assign_t1_fullt_noancilliary</f>
        <v>39</v>
      </c>
      <c r="F1415" t="b">
        <v>1</v>
      </c>
    </row>
    <row r="1416" spans="1:6" x14ac:dyDescent="0.35">
      <c r="A1416" t="s">
        <v>4202</v>
      </c>
      <c r="B1416" t="s">
        <v>4096</v>
      </c>
      <c r="C1416" t="s">
        <v>4202</v>
      </c>
      <c r="D1416" t="s">
        <v>4203</v>
      </c>
      <c r="E1416">
        <f>teach_assign_t1_fullt_ancilliary_addload</f>
        <v>0</v>
      </c>
      <c r="F1416" t="b">
        <v>1</v>
      </c>
    </row>
    <row r="1417" spans="1:6" x14ac:dyDescent="0.35">
      <c r="A1417" t="s">
        <v>4234</v>
      </c>
      <c r="B1417" t="s">
        <v>4096</v>
      </c>
      <c r="C1417" t="s">
        <v>4234</v>
      </c>
      <c r="D1417" t="s">
        <v>4235</v>
      </c>
      <c r="E1417">
        <f>teach_assign_t1_part_ancilliary_200min</f>
        <v>0</v>
      </c>
      <c r="F1417" t="b">
        <v>1</v>
      </c>
    </row>
    <row r="1418" spans="1:6" x14ac:dyDescent="0.35">
      <c r="A1418" t="s">
        <v>4106</v>
      </c>
      <c r="B1418" t="s">
        <v>4096</v>
      </c>
      <c r="C1418" t="s">
        <v>4106</v>
      </c>
      <c r="D1418" t="s">
        <v>4107</v>
      </c>
      <c r="E1418">
        <f>teach_assign_t1_part_ancilliary_less200min</f>
        <v>0</v>
      </c>
      <c r="F1418" t="b">
        <v>1</v>
      </c>
    </row>
    <row r="1419" spans="1:6" x14ac:dyDescent="0.35">
      <c r="A1419" t="s">
        <v>4138</v>
      </c>
      <c r="B1419" t="s">
        <v>4096</v>
      </c>
      <c r="C1419" t="s">
        <v>4138</v>
      </c>
      <c r="D1419" t="s">
        <v>4139</v>
      </c>
      <c r="E1419">
        <f>teach_assign_t1_fullt_ancilliary</f>
        <v>0</v>
      </c>
      <c r="F1419" t="b">
        <v>1</v>
      </c>
    </row>
    <row r="1420" spans="1:6" x14ac:dyDescent="0.35">
      <c r="A1420" t="s">
        <v>4172</v>
      </c>
      <c r="B1420" t="s">
        <v>4096</v>
      </c>
      <c r="C1420" t="s">
        <v>4172</v>
      </c>
      <c r="D1420" t="s">
        <v>4173</v>
      </c>
      <c r="E1420">
        <f>teach_assign_sst1_fullt_noancilliary</f>
        <v>1</v>
      </c>
      <c r="F1420" t="b">
        <v>1</v>
      </c>
    </row>
    <row r="1421" spans="1:6" x14ac:dyDescent="0.35">
      <c r="A1421" t="s">
        <v>4204</v>
      </c>
      <c r="B1421" t="s">
        <v>4096</v>
      </c>
      <c r="C1421" t="s">
        <v>4204</v>
      </c>
      <c r="D1421" t="s">
        <v>4205</v>
      </c>
      <c r="E1421">
        <f>teach_assign_sst1_fullt_ancilliary_addload</f>
        <v>0</v>
      </c>
      <c r="F1421" t="b">
        <v>1</v>
      </c>
    </row>
    <row r="1422" spans="1:6" x14ac:dyDescent="0.35">
      <c r="A1422" t="s">
        <v>4236</v>
      </c>
      <c r="B1422" t="s">
        <v>4096</v>
      </c>
      <c r="C1422" t="s">
        <v>4236</v>
      </c>
      <c r="D1422" t="s">
        <v>4237</v>
      </c>
      <c r="E1422">
        <f>teach_assign_sst1_part_ancilliary_200min</f>
        <v>0</v>
      </c>
      <c r="F1422" t="b">
        <v>1</v>
      </c>
    </row>
    <row r="1423" spans="1:6" x14ac:dyDescent="0.35">
      <c r="A1423" t="s">
        <v>4108</v>
      </c>
      <c r="B1423" t="s">
        <v>4096</v>
      </c>
      <c r="C1423" t="s">
        <v>4108</v>
      </c>
      <c r="D1423" t="s">
        <v>4109</v>
      </c>
      <c r="E1423">
        <f>teach_assign_sst1_part_ancilliary_less200min</f>
        <v>0</v>
      </c>
      <c r="F1423" t="b">
        <v>1</v>
      </c>
    </row>
    <row r="1424" spans="1:6" x14ac:dyDescent="0.35">
      <c r="A1424" t="s">
        <v>4140</v>
      </c>
      <c r="B1424" t="s">
        <v>4096</v>
      </c>
      <c r="C1424" t="s">
        <v>4140</v>
      </c>
      <c r="D1424" t="s">
        <v>4141</v>
      </c>
      <c r="E1424">
        <f>teach_assign_sst1_fullt_ancilliary</f>
        <v>0</v>
      </c>
      <c r="F1424" t="b">
        <v>1</v>
      </c>
    </row>
    <row r="1425" spans="1:6" x14ac:dyDescent="0.35">
      <c r="A1425" t="s">
        <v>4174</v>
      </c>
      <c r="B1425" t="s">
        <v>4096</v>
      </c>
      <c r="C1425" t="s">
        <v>4174</v>
      </c>
      <c r="D1425" t="s">
        <v>4175</v>
      </c>
      <c r="E1425">
        <f>teach_assign_spedt5_fullt_noancilliary</f>
        <v>0</v>
      </c>
      <c r="F1425" t="b">
        <v>1</v>
      </c>
    </row>
    <row r="1426" spans="1:6" x14ac:dyDescent="0.35">
      <c r="A1426" t="s">
        <v>4206</v>
      </c>
      <c r="B1426" t="s">
        <v>4096</v>
      </c>
      <c r="C1426" t="s">
        <v>4206</v>
      </c>
      <c r="D1426" t="s">
        <v>4207</v>
      </c>
      <c r="E1426">
        <f>teach_assign_spedt5_fullt_ancilliary_addload</f>
        <v>0</v>
      </c>
      <c r="F1426" t="b">
        <v>1</v>
      </c>
    </row>
    <row r="1427" spans="1:6" x14ac:dyDescent="0.35">
      <c r="A1427" t="s">
        <v>4238</v>
      </c>
      <c r="B1427" t="s">
        <v>4096</v>
      </c>
      <c r="C1427" t="s">
        <v>4238</v>
      </c>
      <c r="D1427" t="s">
        <v>4239</v>
      </c>
      <c r="E1427">
        <f>teach_assign_spedt5_part_ancilliary_200min</f>
        <v>0</v>
      </c>
      <c r="F1427" t="b">
        <v>1</v>
      </c>
    </row>
    <row r="1428" spans="1:6" x14ac:dyDescent="0.35">
      <c r="A1428" t="s">
        <v>4110</v>
      </c>
      <c r="B1428" t="s">
        <v>4096</v>
      </c>
      <c r="C1428" t="s">
        <v>4110</v>
      </c>
      <c r="D1428" t="s">
        <v>4111</v>
      </c>
      <c r="E1428">
        <f>teach_assign_spedt5_part_ancilliary_less200min</f>
        <v>0</v>
      </c>
      <c r="F1428" t="b">
        <v>1</v>
      </c>
    </row>
    <row r="1429" spans="1:6" x14ac:dyDescent="0.35">
      <c r="A1429" t="s">
        <v>4142</v>
      </c>
      <c r="B1429" t="s">
        <v>4096</v>
      </c>
      <c r="C1429" t="s">
        <v>4142</v>
      </c>
      <c r="D1429" t="s">
        <v>4143</v>
      </c>
      <c r="E1429">
        <f>teach_assign_spedt5_fullt_ancilliary</f>
        <v>0</v>
      </c>
      <c r="F1429" t="b">
        <v>1</v>
      </c>
    </row>
    <row r="1430" spans="1:6" x14ac:dyDescent="0.35">
      <c r="A1430" t="s">
        <v>4176</v>
      </c>
      <c r="B1430" t="s">
        <v>4096</v>
      </c>
      <c r="C1430" t="s">
        <v>4176</v>
      </c>
      <c r="D1430" t="s">
        <v>4177</v>
      </c>
      <c r="E1430">
        <f>teach_assign_spedt4_fullt_noancilliary</f>
        <v>0</v>
      </c>
      <c r="F1430" t="b">
        <v>1</v>
      </c>
    </row>
    <row r="1431" spans="1:6" x14ac:dyDescent="0.35">
      <c r="A1431" t="s">
        <v>4208</v>
      </c>
      <c r="B1431" t="s">
        <v>4096</v>
      </c>
      <c r="C1431" t="s">
        <v>4208</v>
      </c>
      <c r="D1431" t="s">
        <v>4209</v>
      </c>
      <c r="E1431">
        <f>teach_assign_spedt4_fullt_ancilliary_addload</f>
        <v>0</v>
      </c>
      <c r="F1431" t="b">
        <v>1</v>
      </c>
    </row>
    <row r="1432" spans="1:6" x14ac:dyDescent="0.35">
      <c r="A1432" t="s">
        <v>4240</v>
      </c>
      <c r="B1432" t="s">
        <v>4096</v>
      </c>
      <c r="C1432" t="s">
        <v>4240</v>
      </c>
      <c r="D1432" t="s">
        <v>4241</v>
      </c>
      <c r="E1432">
        <f>teach_assign_spedt4_part_ancilliary_200min</f>
        <v>0</v>
      </c>
      <c r="F1432" t="b">
        <v>1</v>
      </c>
    </row>
    <row r="1433" spans="1:6" x14ac:dyDescent="0.35">
      <c r="A1433" t="s">
        <v>4112</v>
      </c>
      <c r="B1433" t="s">
        <v>4096</v>
      </c>
      <c r="C1433" t="s">
        <v>4112</v>
      </c>
      <c r="D1433" t="s">
        <v>4113</v>
      </c>
      <c r="E1433">
        <f>teach_assign_spedt4_part_ancilliary_less200min</f>
        <v>0</v>
      </c>
      <c r="F1433" t="b">
        <v>1</v>
      </c>
    </row>
    <row r="1434" spans="1:6" x14ac:dyDescent="0.35">
      <c r="A1434" t="s">
        <v>4144</v>
      </c>
      <c r="B1434" t="s">
        <v>4096</v>
      </c>
      <c r="C1434" t="s">
        <v>4144</v>
      </c>
      <c r="D1434" t="s">
        <v>4145</v>
      </c>
      <c r="E1434">
        <f>teach_assign_spedt4_fullt_ancilliary</f>
        <v>0</v>
      </c>
      <c r="F1434" t="b">
        <v>1</v>
      </c>
    </row>
    <row r="1435" spans="1:6" x14ac:dyDescent="0.35">
      <c r="A1435" t="s">
        <v>4178</v>
      </c>
      <c r="B1435" t="s">
        <v>4096</v>
      </c>
      <c r="C1435" t="s">
        <v>4178</v>
      </c>
      <c r="D1435" t="s">
        <v>4179</v>
      </c>
      <c r="E1435">
        <f>teach_assign_spedt3_fullt_noancilliary</f>
        <v>0</v>
      </c>
      <c r="F1435" t="b">
        <v>1</v>
      </c>
    </row>
    <row r="1436" spans="1:6" x14ac:dyDescent="0.35">
      <c r="A1436" t="s">
        <v>4210</v>
      </c>
      <c r="B1436" t="s">
        <v>4096</v>
      </c>
      <c r="C1436" t="s">
        <v>4210</v>
      </c>
      <c r="D1436" t="s">
        <v>4211</v>
      </c>
      <c r="E1436">
        <f>teach_assign_spedt3_fullt_ancilliary_addload</f>
        <v>0</v>
      </c>
      <c r="F1436" t="b">
        <v>1</v>
      </c>
    </row>
    <row r="1437" spans="1:6" x14ac:dyDescent="0.35">
      <c r="A1437" t="s">
        <v>4242</v>
      </c>
      <c r="B1437" t="s">
        <v>4096</v>
      </c>
      <c r="C1437" t="s">
        <v>4242</v>
      </c>
      <c r="D1437" t="s">
        <v>4243</v>
      </c>
      <c r="E1437">
        <f>teach_assign_spedt3_part_ancilliary_200min</f>
        <v>0</v>
      </c>
      <c r="F1437" t="b">
        <v>1</v>
      </c>
    </row>
    <row r="1438" spans="1:6" x14ac:dyDescent="0.35">
      <c r="A1438" t="s">
        <v>4114</v>
      </c>
      <c r="B1438" t="s">
        <v>4096</v>
      </c>
      <c r="C1438" t="s">
        <v>4114</v>
      </c>
      <c r="D1438" t="s">
        <v>4115</v>
      </c>
      <c r="E1438">
        <f>teach_assign_spedt3_part_ancilliary_less200min</f>
        <v>0</v>
      </c>
      <c r="F1438" t="b">
        <v>1</v>
      </c>
    </row>
    <row r="1439" spans="1:6" x14ac:dyDescent="0.35">
      <c r="A1439" t="s">
        <v>4146</v>
      </c>
      <c r="B1439" t="s">
        <v>4096</v>
      </c>
      <c r="C1439" t="s">
        <v>4146</v>
      </c>
      <c r="D1439" t="s">
        <v>4147</v>
      </c>
      <c r="E1439">
        <f>teach_assign_spedt3_fullt_ancilliary</f>
        <v>0</v>
      </c>
      <c r="F1439" t="b">
        <v>1</v>
      </c>
    </row>
    <row r="1440" spans="1:6" x14ac:dyDescent="0.35">
      <c r="A1440" t="s">
        <v>4180</v>
      </c>
      <c r="B1440" t="s">
        <v>4096</v>
      </c>
      <c r="C1440" t="s">
        <v>4180</v>
      </c>
      <c r="D1440" t="s">
        <v>4181</v>
      </c>
      <c r="E1440">
        <f>teach_assign_spedt2_fullt_noancilliary</f>
        <v>0</v>
      </c>
      <c r="F1440" t="b">
        <v>1</v>
      </c>
    </row>
    <row r="1441" spans="1:14" x14ac:dyDescent="0.35">
      <c r="A1441" t="s">
        <v>4212</v>
      </c>
      <c r="B1441" t="s">
        <v>4096</v>
      </c>
      <c r="C1441" t="s">
        <v>4212</v>
      </c>
      <c r="D1441" t="s">
        <v>4213</v>
      </c>
      <c r="E1441">
        <f>teach_assign_spedt2_fullt_ancilliary_addload</f>
        <v>0</v>
      </c>
      <c r="F1441" t="b">
        <v>1</v>
      </c>
    </row>
    <row r="1442" spans="1:14" x14ac:dyDescent="0.35">
      <c r="A1442" t="s">
        <v>4244</v>
      </c>
      <c r="B1442" t="s">
        <v>4096</v>
      </c>
      <c r="C1442" t="s">
        <v>4244</v>
      </c>
      <c r="D1442" t="s">
        <v>4245</v>
      </c>
      <c r="E1442">
        <f>teach_assign_spedt2_part_ancilliary_200min</f>
        <v>0</v>
      </c>
      <c r="F1442" t="b">
        <v>1</v>
      </c>
    </row>
    <row r="1443" spans="1:14" x14ac:dyDescent="0.35">
      <c r="A1443" t="s">
        <v>4116</v>
      </c>
      <c r="B1443" t="s">
        <v>4096</v>
      </c>
      <c r="C1443" t="s">
        <v>4116</v>
      </c>
      <c r="D1443" t="s">
        <v>4117</v>
      </c>
      <c r="E1443">
        <f>teach_assign_spedt2_part_ancilliary_less200min</f>
        <v>0</v>
      </c>
      <c r="F1443" t="b">
        <v>1</v>
      </c>
    </row>
    <row r="1444" spans="1:14" x14ac:dyDescent="0.35">
      <c r="A1444" t="s">
        <v>4148</v>
      </c>
      <c r="B1444" t="s">
        <v>4096</v>
      </c>
      <c r="C1444" t="s">
        <v>4148</v>
      </c>
      <c r="D1444" t="s">
        <v>4149</v>
      </c>
      <c r="E1444">
        <f>teach_assign_spedt2_fullt_ancilliary</f>
        <v>0</v>
      </c>
      <c r="F1444" t="b">
        <v>1</v>
      </c>
    </row>
    <row r="1445" spans="1:14" x14ac:dyDescent="0.35">
      <c r="A1445" t="s">
        <v>4182</v>
      </c>
      <c r="B1445" t="s">
        <v>4096</v>
      </c>
      <c r="C1445" t="s">
        <v>4182</v>
      </c>
      <c r="D1445" t="s">
        <v>4183</v>
      </c>
      <c r="E1445">
        <f>teach_assign_spedt1_fullt_noancilliary</f>
        <v>0</v>
      </c>
      <c r="F1445" t="b">
        <v>1</v>
      </c>
    </row>
    <row r="1446" spans="1:14" x14ac:dyDescent="0.35">
      <c r="A1446" t="s">
        <v>4214</v>
      </c>
      <c r="B1446" t="s">
        <v>4096</v>
      </c>
      <c r="C1446" t="s">
        <v>4214</v>
      </c>
      <c r="D1446" t="s">
        <v>4215</v>
      </c>
      <c r="E1446">
        <f>teach_assign_spedt1_fullt_ancilliary_addload</f>
        <v>0</v>
      </c>
      <c r="F1446" t="b">
        <v>1</v>
      </c>
    </row>
    <row r="1447" spans="1:14" x14ac:dyDescent="0.35">
      <c r="A1447" t="s">
        <v>4246</v>
      </c>
      <c r="B1447" t="s">
        <v>4096</v>
      </c>
      <c r="C1447" t="s">
        <v>4246</v>
      </c>
      <c r="D1447" t="s">
        <v>4247</v>
      </c>
      <c r="E1447">
        <f>teach_assign_spedt1_part_ancilliary_200min</f>
        <v>0</v>
      </c>
      <c r="F1447" t="b">
        <v>1</v>
      </c>
    </row>
    <row r="1448" spans="1:14" x14ac:dyDescent="0.35">
      <c r="A1448" t="s">
        <v>4118</v>
      </c>
      <c r="B1448" t="s">
        <v>4096</v>
      </c>
      <c r="C1448" t="s">
        <v>4118</v>
      </c>
      <c r="D1448" t="s">
        <v>4119</v>
      </c>
      <c r="E1448">
        <f>teach_assign_spedt1_part_ancilliary_less200min</f>
        <v>0</v>
      </c>
      <c r="F1448" t="b">
        <v>1</v>
      </c>
    </row>
    <row r="1449" spans="1:14" s="1348" customFormat="1" ht="16" thickBot="1" x14ac:dyDescent="0.4">
      <c r="A1449" s="1348" t="s">
        <v>4150</v>
      </c>
      <c r="B1449" s="1348" t="s">
        <v>4096</v>
      </c>
      <c r="C1449" s="1348" t="s">
        <v>4150</v>
      </c>
      <c r="D1449" s="1348" t="s">
        <v>4151</v>
      </c>
      <c r="E1449" s="1348">
        <f>teach_assign_spedt1_fullt_ancilliary</f>
        <v>0</v>
      </c>
      <c r="F1449" s="1348" t="b">
        <v>1</v>
      </c>
      <c r="N1449" s="1358"/>
    </row>
    <row r="1450" spans="1:14" x14ac:dyDescent="0.35">
      <c r="A1450" t="s">
        <v>4270</v>
      </c>
      <c r="B1450" t="s">
        <v>4257</v>
      </c>
      <c r="C1450" t="s">
        <v>4270</v>
      </c>
      <c r="D1450" t="s">
        <v>9184</v>
      </c>
      <c r="E1450">
        <f>traininginservice_instructor3_male</f>
        <v>0</v>
      </c>
      <c r="F1450" t="b">
        <v>1</v>
      </c>
    </row>
    <row r="1451" spans="1:14" x14ac:dyDescent="0.35">
      <c r="A1451" t="s">
        <v>4286</v>
      </c>
      <c r="B1451" t="s">
        <v>4257</v>
      </c>
      <c r="C1451" t="s">
        <v>4286</v>
      </c>
      <c r="D1451" t="s">
        <v>9185</v>
      </c>
      <c r="E1451">
        <f>traininginservice_instructor3_female</f>
        <v>0</v>
      </c>
      <c r="F1451" t="b">
        <v>1</v>
      </c>
    </row>
    <row r="1452" spans="1:14" x14ac:dyDescent="0.35">
      <c r="A1452" t="s">
        <v>4271</v>
      </c>
      <c r="B1452" t="s">
        <v>4257</v>
      </c>
      <c r="C1452" t="s">
        <v>4271</v>
      </c>
      <c r="D1452" t="s">
        <v>9186</v>
      </c>
      <c r="E1452">
        <f>traininginservice_instructor2_male</f>
        <v>0</v>
      </c>
      <c r="F1452" t="b">
        <v>1</v>
      </c>
    </row>
    <row r="1453" spans="1:14" x14ac:dyDescent="0.35">
      <c r="A1453" t="s">
        <v>4287</v>
      </c>
      <c r="B1453" t="s">
        <v>4257</v>
      </c>
      <c r="C1453" t="s">
        <v>4287</v>
      </c>
      <c r="D1453" t="s">
        <v>9187</v>
      </c>
      <c r="E1453">
        <f>traininginservice_instructor2_female</f>
        <v>0</v>
      </c>
      <c r="F1453" t="b">
        <v>1</v>
      </c>
    </row>
    <row r="1454" spans="1:14" x14ac:dyDescent="0.35">
      <c r="A1454" t="s">
        <v>4272</v>
      </c>
      <c r="B1454" t="s">
        <v>4257</v>
      </c>
      <c r="C1454" t="s">
        <v>4272</v>
      </c>
      <c r="D1454" t="s">
        <v>9188</v>
      </c>
      <c r="E1454">
        <f>traininginservice_instructor1_male</f>
        <v>0</v>
      </c>
      <c r="F1454" t="b">
        <v>1</v>
      </c>
    </row>
    <row r="1455" spans="1:14" x14ac:dyDescent="0.35">
      <c r="A1455" t="s">
        <v>4288</v>
      </c>
      <c r="B1455" t="s">
        <v>4257</v>
      </c>
      <c r="C1455" t="s">
        <v>4288</v>
      </c>
      <c r="D1455" t="s">
        <v>9189</v>
      </c>
      <c r="E1455">
        <f>traininginservice_instructor1_female</f>
        <v>0</v>
      </c>
      <c r="F1455" t="b">
        <v>1</v>
      </c>
    </row>
    <row r="1456" spans="1:14" x14ac:dyDescent="0.35">
      <c r="A1456" t="s">
        <v>4256</v>
      </c>
      <c r="B1456" t="s">
        <v>4257</v>
      </c>
      <c r="C1456" t="s">
        <v>4256</v>
      </c>
      <c r="D1456" t="s">
        <v>9190</v>
      </c>
      <c r="E1456">
        <f>traininginservice_mteacher4_male</f>
        <v>0</v>
      </c>
      <c r="F1456" t="b">
        <v>1</v>
      </c>
    </row>
    <row r="1457" spans="1:6" x14ac:dyDescent="0.35">
      <c r="A1457" t="s">
        <v>4273</v>
      </c>
      <c r="B1457" t="s">
        <v>4257</v>
      </c>
      <c r="C1457" t="s">
        <v>4273</v>
      </c>
      <c r="D1457" t="s">
        <v>9191</v>
      </c>
      <c r="E1457">
        <f>traininginservice_mteacher4_female</f>
        <v>0</v>
      </c>
      <c r="F1457" t="b">
        <v>1</v>
      </c>
    </row>
    <row r="1458" spans="1:6" x14ac:dyDescent="0.35">
      <c r="A1458" t="s">
        <v>4258</v>
      </c>
      <c r="B1458" t="s">
        <v>4257</v>
      </c>
      <c r="C1458" t="s">
        <v>4258</v>
      </c>
      <c r="D1458" t="s">
        <v>9192</v>
      </c>
      <c r="E1458">
        <f>traininginservice_mteacher3_male</f>
        <v>0</v>
      </c>
      <c r="F1458" t="b">
        <v>1</v>
      </c>
    </row>
    <row r="1459" spans="1:6" x14ac:dyDescent="0.35">
      <c r="A1459" t="s">
        <v>4274</v>
      </c>
      <c r="B1459" t="s">
        <v>4257</v>
      </c>
      <c r="C1459" t="s">
        <v>4274</v>
      </c>
      <c r="D1459" t="s">
        <v>9193</v>
      </c>
      <c r="E1459">
        <f>traininginservice_mteacher3_female</f>
        <v>0</v>
      </c>
      <c r="F1459" t="b">
        <v>1</v>
      </c>
    </row>
    <row r="1460" spans="1:6" x14ac:dyDescent="0.35">
      <c r="A1460" t="s">
        <v>4259</v>
      </c>
      <c r="B1460" t="s">
        <v>4257</v>
      </c>
      <c r="C1460" t="s">
        <v>4259</v>
      </c>
      <c r="D1460" t="s">
        <v>9194</v>
      </c>
      <c r="E1460">
        <f>traininginservice_mteacher2_male</f>
        <v>0</v>
      </c>
      <c r="F1460" t="b">
        <v>1</v>
      </c>
    </row>
    <row r="1461" spans="1:6" x14ac:dyDescent="0.35">
      <c r="A1461" t="s">
        <v>4275</v>
      </c>
      <c r="B1461" t="s">
        <v>4257</v>
      </c>
      <c r="C1461" t="s">
        <v>4275</v>
      </c>
      <c r="D1461" t="s">
        <v>9195</v>
      </c>
      <c r="E1461">
        <f>traininginservice_mteacher2_female</f>
        <v>2</v>
      </c>
      <c r="F1461" t="b">
        <v>1</v>
      </c>
    </row>
    <row r="1462" spans="1:6" x14ac:dyDescent="0.35">
      <c r="A1462" t="s">
        <v>4260</v>
      </c>
      <c r="B1462" t="s">
        <v>4257</v>
      </c>
      <c r="C1462" t="s">
        <v>4260</v>
      </c>
      <c r="D1462" t="s">
        <v>9196</v>
      </c>
      <c r="E1462">
        <f>traininginservice_mteacher1_male</f>
        <v>4</v>
      </c>
      <c r="F1462" t="b">
        <v>1</v>
      </c>
    </row>
    <row r="1463" spans="1:6" x14ac:dyDescent="0.35">
      <c r="A1463" t="s">
        <v>4276</v>
      </c>
      <c r="B1463" t="s">
        <v>4257</v>
      </c>
      <c r="C1463" t="s">
        <v>4276</v>
      </c>
      <c r="D1463" t="s">
        <v>9197</v>
      </c>
      <c r="E1463">
        <f>traininginservice_mteacher1_female</f>
        <v>1</v>
      </c>
      <c r="F1463" t="b">
        <v>1</v>
      </c>
    </row>
    <row r="1464" spans="1:6" x14ac:dyDescent="0.35">
      <c r="A1464" t="s">
        <v>4261</v>
      </c>
      <c r="B1464" t="s">
        <v>4257</v>
      </c>
      <c r="C1464" t="s">
        <v>4261</v>
      </c>
      <c r="D1464" t="s">
        <v>9198</v>
      </c>
      <c r="E1464">
        <f>traininginservice_teacher3_male</f>
        <v>2</v>
      </c>
      <c r="F1464" t="b">
        <v>1</v>
      </c>
    </row>
    <row r="1465" spans="1:6" x14ac:dyDescent="0.35">
      <c r="A1465" t="s">
        <v>4277</v>
      </c>
      <c r="B1465" t="s">
        <v>4257</v>
      </c>
      <c r="C1465" t="s">
        <v>4277</v>
      </c>
      <c r="D1465" t="s">
        <v>9199</v>
      </c>
      <c r="E1465">
        <f>traininginservice_teacher3_female</f>
        <v>14</v>
      </c>
      <c r="F1465" t="b">
        <v>1</v>
      </c>
    </row>
    <row r="1466" spans="1:6" x14ac:dyDescent="0.35">
      <c r="A1466" t="s">
        <v>4262</v>
      </c>
      <c r="B1466" t="s">
        <v>4257</v>
      </c>
      <c r="C1466" t="s">
        <v>4262</v>
      </c>
      <c r="D1466" t="s">
        <v>9200</v>
      </c>
      <c r="E1466">
        <f>traininginservice_teacher2_male</f>
        <v>1</v>
      </c>
      <c r="F1466" t="b">
        <v>1</v>
      </c>
    </row>
    <row r="1467" spans="1:6" x14ac:dyDescent="0.35">
      <c r="A1467" t="s">
        <v>4278</v>
      </c>
      <c r="B1467" t="s">
        <v>4257</v>
      </c>
      <c r="C1467" t="s">
        <v>4278</v>
      </c>
      <c r="D1467" t="s">
        <v>9201</v>
      </c>
      <c r="E1467">
        <f>traininginservice_teacher2_female</f>
        <v>4</v>
      </c>
      <c r="F1467" t="b">
        <v>1</v>
      </c>
    </row>
    <row r="1468" spans="1:6" x14ac:dyDescent="0.35">
      <c r="A1468" t="s">
        <v>4263</v>
      </c>
      <c r="B1468" t="s">
        <v>4257</v>
      </c>
      <c r="C1468" t="s">
        <v>4263</v>
      </c>
      <c r="D1468" t="s">
        <v>9202</v>
      </c>
      <c r="E1468">
        <f>traininginservice_teacher1_male</f>
        <v>7</v>
      </c>
      <c r="F1468" t="b">
        <v>1</v>
      </c>
    </row>
    <row r="1469" spans="1:6" x14ac:dyDescent="0.35">
      <c r="A1469" t="s">
        <v>4279</v>
      </c>
      <c r="B1469" t="s">
        <v>4257</v>
      </c>
      <c r="C1469" t="s">
        <v>4279</v>
      </c>
      <c r="D1469" t="s">
        <v>9203</v>
      </c>
      <c r="E1469">
        <f>traininginservice_teacher1_female</f>
        <v>25</v>
      </c>
      <c r="F1469" t="b">
        <v>1</v>
      </c>
    </row>
    <row r="1470" spans="1:6" x14ac:dyDescent="0.35">
      <c r="A1470" t="s">
        <v>4264</v>
      </c>
      <c r="B1470" t="s">
        <v>4257</v>
      </c>
      <c r="C1470" t="s">
        <v>4264</v>
      </c>
      <c r="D1470" t="s">
        <v>9204</v>
      </c>
      <c r="E1470">
        <f>traininginservice_sst1_male</f>
        <v>0</v>
      </c>
      <c r="F1470" t="b">
        <v>1</v>
      </c>
    </row>
    <row r="1471" spans="1:6" x14ac:dyDescent="0.35">
      <c r="A1471" t="s">
        <v>4280</v>
      </c>
      <c r="B1471" t="s">
        <v>4257</v>
      </c>
      <c r="C1471" t="s">
        <v>4280</v>
      </c>
      <c r="D1471" t="s">
        <v>9205</v>
      </c>
      <c r="E1471">
        <f>traininginservice_sst1_female</f>
        <v>1</v>
      </c>
      <c r="F1471" t="b">
        <v>1</v>
      </c>
    </row>
    <row r="1472" spans="1:6" x14ac:dyDescent="0.35">
      <c r="A1472" t="s">
        <v>4265</v>
      </c>
      <c r="B1472" t="s">
        <v>4257</v>
      </c>
      <c r="C1472" t="s">
        <v>4265</v>
      </c>
      <c r="D1472" t="s">
        <v>9206</v>
      </c>
      <c r="E1472">
        <f>traininginservice_spedt5_male</f>
        <v>0</v>
      </c>
      <c r="F1472" t="b">
        <v>1</v>
      </c>
    </row>
    <row r="1473" spans="1:14" x14ac:dyDescent="0.35">
      <c r="A1473" t="s">
        <v>4281</v>
      </c>
      <c r="B1473" t="s">
        <v>4257</v>
      </c>
      <c r="C1473" t="s">
        <v>4281</v>
      </c>
      <c r="D1473" t="s">
        <v>9207</v>
      </c>
      <c r="E1473">
        <f>traininginservice_spedt5_female</f>
        <v>0</v>
      </c>
      <c r="F1473" t="b">
        <v>1</v>
      </c>
    </row>
    <row r="1474" spans="1:14" x14ac:dyDescent="0.35">
      <c r="A1474" t="s">
        <v>4266</v>
      </c>
      <c r="B1474" t="s">
        <v>4257</v>
      </c>
      <c r="C1474" t="s">
        <v>4266</v>
      </c>
      <c r="D1474" t="s">
        <v>9208</v>
      </c>
      <c r="E1474">
        <f>traininginservice_spedt4_male</f>
        <v>0</v>
      </c>
      <c r="F1474" t="b">
        <v>1</v>
      </c>
    </row>
    <row r="1475" spans="1:14" x14ac:dyDescent="0.35">
      <c r="A1475" t="s">
        <v>4282</v>
      </c>
      <c r="B1475" t="s">
        <v>4257</v>
      </c>
      <c r="C1475" t="s">
        <v>4282</v>
      </c>
      <c r="D1475" t="s">
        <v>9209</v>
      </c>
      <c r="E1475">
        <f>traininginservice_spedt4_female</f>
        <v>0</v>
      </c>
      <c r="F1475" t="b">
        <v>1</v>
      </c>
    </row>
    <row r="1476" spans="1:14" x14ac:dyDescent="0.35">
      <c r="A1476" t="s">
        <v>4267</v>
      </c>
      <c r="B1476" t="s">
        <v>4257</v>
      </c>
      <c r="C1476" t="s">
        <v>4267</v>
      </c>
      <c r="D1476" t="s">
        <v>9210</v>
      </c>
      <c r="E1476">
        <f>traininginservice_spedt3_male</f>
        <v>0</v>
      </c>
      <c r="F1476" t="b">
        <v>1</v>
      </c>
    </row>
    <row r="1477" spans="1:14" x14ac:dyDescent="0.35">
      <c r="A1477" t="s">
        <v>4283</v>
      </c>
      <c r="B1477" t="s">
        <v>4257</v>
      </c>
      <c r="C1477" t="s">
        <v>4283</v>
      </c>
      <c r="D1477" t="s">
        <v>9211</v>
      </c>
      <c r="E1477">
        <f>traininginservice_spedt3_female</f>
        <v>0</v>
      </c>
      <c r="F1477" t="b">
        <v>1</v>
      </c>
    </row>
    <row r="1478" spans="1:14" x14ac:dyDescent="0.35">
      <c r="A1478" t="s">
        <v>4268</v>
      </c>
      <c r="B1478" t="s">
        <v>4257</v>
      </c>
      <c r="C1478" t="s">
        <v>4268</v>
      </c>
      <c r="D1478" t="s">
        <v>9212</v>
      </c>
      <c r="E1478">
        <f>traininginservice_spedt2_male</f>
        <v>0</v>
      </c>
      <c r="F1478" t="b">
        <v>1</v>
      </c>
    </row>
    <row r="1479" spans="1:14" x14ac:dyDescent="0.35">
      <c r="A1479" t="s">
        <v>4284</v>
      </c>
      <c r="B1479" t="s">
        <v>4257</v>
      </c>
      <c r="C1479" t="s">
        <v>4284</v>
      </c>
      <c r="D1479" t="s">
        <v>9213</v>
      </c>
      <c r="E1479">
        <f>traininginservice_spedt2_female</f>
        <v>0</v>
      </c>
      <c r="F1479" t="b">
        <v>1</v>
      </c>
    </row>
    <row r="1480" spans="1:14" x14ac:dyDescent="0.35">
      <c r="A1480" t="s">
        <v>4269</v>
      </c>
      <c r="B1480" t="s">
        <v>4257</v>
      </c>
      <c r="C1480" t="s">
        <v>4269</v>
      </c>
      <c r="D1480" t="s">
        <v>9214</v>
      </c>
      <c r="E1480">
        <f>traininginservice_spedt1_male</f>
        <v>0</v>
      </c>
      <c r="F1480" t="b">
        <v>1</v>
      </c>
    </row>
    <row r="1481" spans="1:14" s="1348" customFormat="1" ht="16" thickBot="1" x14ac:dyDescent="0.4">
      <c r="A1481" s="1348" t="s">
        <v>4285</v>
      </c>
      <c r="B1481" s="1348" t="s">
        <v>4257</v>
      </c>
      <c r="C1481" s="1348" t="s">
        <v>4285</v>
      </c>
      <c r="D1481" s="1348" t="s">
        <v>9215</v>
      </c>
      <c r="E1481" s="1348">
        <f>traininginservice_spedt1_female</f>
        <v>0</v>
      </c>
      <c r="F1481" s="1348" t="b">
        <v>1</v>
      </c>
      <c r="N1481" s="1358"/>
    </row>
    <row r="1482" spans="1:14" x14ac:dyDescent="0.35">
      <c r="A1482" t="s">
        <v>4293</v>
      </c>
      <c r="B1482" t="s">
        <v>4290</v>
      </c>
      <c r="C1482" t="s">
        <v>4293</v>
      </c>
      <c r="D1482" t="s">
        <v>9216</v>
      </c>
      <c r="E1482">
        <f>teachers_trained_ictintegration_male</f>
        <v>10</v>
      </c>
      <c r="F1482" t="b">
        <v>1</v>
      </c>
    </row>
    <row r="1483" spans="1:14" x14ac:dyDescent="0.35">
      <c r="A1483" t="s">
        <v>4298</v>
      </c>
      <c r="B1483" t="s">
        <v>4290</v>
      </c>
      <c r="C1483" t="s">
        <v>4298</v>
      </c>
      <c r="D1483" t="s">
        <v>9217</v>
      </c>
      <c r="E1483">
        <f>teachers_trained_ictintegration_female</f>
        <v>40</v>
      </c>
      <c r="F1483" t="b">
        <v>1</v>
      </c>
    </row>
    <row r="1484" spans="1:14" x14ac:dyDescent="0.35">
      <c r="A1484" t="s">
        <v>4294</v>
      </c>
      <c r="B1484" t="s">
        <v>4290</v>
      </c>
      <c r="C1484" t="s">
        <v>4294</v>
      </c>
      <c r="D1484" t="s">
        <v>9218</v>
      </c>
      <c r="E1484">
        <f>teachers_trained_ictliteracy_male</f>
        <v>1</v>
      </c>
      <c r="F1484" t="b">
        <v>1</v>
      </c>
    </row>
    <row r="1485" spans="1:14" x14ac:dyDescent="0.35">
      <c r="A1485" t="s">
        <v>4299</v>
      </c>
      <c r="B1485" t="s">
        <v>4290</v>
      </c>
      <c r="C1485" t="s">
        <v>4299</v>
      </c>
      <c r="D1485" t="s">
        <v>9219</v>
      </c>
      <c r="E1485">
        <f>teachers_trained_ictliteracy_female</f>
        <v>5</v>
      </c>
      <c r="F1485" t="b">
        <v>1</v>
      </c>
    </row>
    <row r="1486" spans="1:14" x14ac:dyDescent="0.35">
      <c r="A1486" t="s">
        <v>4289</v>
      </c>
      <c r="B1486" t="s">
        <v>4290</v>
      </c>
      <c r="C1486" t="s">
        <v>4289</v>
      </c>
      <c r="D1486" t="s">
        <v>9220</v>
      </c>
      <c r="E1486">
        <f>teachers_trained_software_male</f>
        <v>0</v>
      </c>
      <c r="F1486" t="b">
        <v>1</v>
      </c>
    </row>
    <row r="1487" spans="1:14" x14ac:dyDescent="0.35">
      <c r="A1487" t="s">
        <v>4295</v>
      </c>
      <c r="B1487" t="s">
        <v>4290</v>
      </c>
      <c r="C1487" t="s">
        <v>4295</v>
      </c>
      <c r="D1487" t="s">
        <v>9221</v>
      </c>
      <c r="E1487">
        <f>teachers_trained_software_female</f>
        <v>0</v>
      </c>
      <c r="F1487" t="b">
        <v>1</v>
      </c>
    </row>
    <row r="1488" spans="1:14" x14ac:dyDescent="0.35">
      <c r="A1488" t="s">
        <v>4291</v>
      </c>
      <c r="B1488" t="s">
        <v>4290</v>
      </c>
      <c r="C1488" t="s">
        <v>4291</v>
      </c>
      <c r="D1488" t="s">
        <v>9222</v>
      </c>
      <c r="E1488">
        <f>teachers_trained_hardware_male</f>
        <v>0</v>
      </c>
      <c r="F1488" t="b">
        <v>1</v>
      </c>
    </row>
    <row r="1489" spans="1:14" x14ac:dyDescent="0.35">
      <c r="A1489" t="s">
        <v>4296</v>
      </c>
      <c r="B1489" t="s">
        <v>4290</v>
      </c>
      <c r="C1489" t="s">
        <v>4296</v>
      </c>
      <c r="D1489" t="s">
        <v>9223</v>
      </c>
      <c r="E1489">
        <f>teachers_trained_hardware_female</f>
        <v>0</v>
      </c>
      <c r="F1489" t="b">
        <v>1</v>
      </c>
    </row>
    <row r="1490" spans="1:14" x14ac:dyDescent="0.35">
      <c r="A1490" t="s">
        <v>4292</v>
      </c>
      <c r="B1490" t="s">
        <v>4290</v>
      </c>
      <c r="C1490" t="s">
        <v>4292</v>
      </c>
      <c r="D1490" t="s">
        <v>9224</v>
      </c>
      <c r="E1490">
        <f>teachers_trained_others_male</f>
        <v>0</v>
      </c>
      <c r="F1490" t="b">
        <v>1</v>
      </c>
    </row>
    <row r="1491" spans="1:14" s="1348" customFormat="1" ht="16" thickBot="1" x14ac:dyDescent="0.4">
      <c r="A1491" s="1348" t="s">
        <v>4297</v>
      </c>
      <c r="B1491" s="1348" t="s">
        <v>4290</v>
      </c>
      <c r="C1491" s="1348" t="s">
        <v>4297</v>
      </c>
      <c r="D1491" s="1348" t="s">
        <v>9225</v>
      </c>
      <c r="E1491" s="1348">
        <f>teachers_trained_others_female</f>
        <v>0</v>
      </c>
      <c r="F1491" s="1348" t="b">
        <v>1</v>
      </c>
      <c r="N1491" s="1358"/>
    </row>
    <row r="1492" spans="1:14" x14ac:dyDescent="0.35">
      <c r="A1492" t="s">
        <v>4305</v>
      </c>
      <c r="B1492" t="s">
        <v>4301</v>
      </c>
      <c r="C1492" t="s">
        <v>4305</v>
      </c>
      <c r="D1492" t="s">
        <v>9230</v>
      </c>
      <c r="E1492">
        <f>teachers_trained_constructivist_male</f>
        <v>0</v>
      </c>
      <c r="F1492" t="b">
        <v>1</v>
      </c>
    </row>
    <row r="1493" spans="1:14" x14ac:dyDescent="0.35">
      <c r="A1493" t="s">
        <v>4798</v>
      </c>
      <c r="B1493" t="s">
        <v>4301</v>
      </c>
      <c r="C1493" t="s">
        <v>4798</v>
      </c>
      <c r="D1493" t="s">
        <v>9237</v>
      </c>
      <c r="E1493">
        <f>teachers_trained_constructivist_female</f>
        <v>0</v>
      </c>
      <c r="F1493" t="b">
        <v>1</v>
      </c>
    </row>
    <row r="1494" spans="1:14" x14ac:dyDescent="0.35">
      <c r="A1494" t="s">
        <v>4306</v>
      </c>
      <c r="B1494" t="s">
        <v>4301</v>
      </c>
      <c r="C1494" t="s">
        <v>4306</v>
      </c>
      <c r="D1494" t="s">
        <v>9231</v>
      </c>
      <c r="E1494">
        <f>teachers_trained_inquirybased_male</f>
        <v>0</v>
      </c>
      <c r="F1494" t="b">
        <v>1</v>
      </c>
    </row>
    <row r="1495" spans="1:14" x14ac:dyDescent="0.35">
      <c r="A1495" t="s">
        <v>4799</v>
      </c>
      <c r="B1495" t="s">
        <v>4301</v>
      </c>
      <c r="C1495" t="s">
        <v>4799</v>
      </c>
      <c r="D1495" t="s">
        <v>9238</v>
      </c>
      <c r="E1495">
        <f>teachers_trained_inquirybased_female</f>
        <v>0</v>
      </c>
      <c r="F1495" t="b">
        <v>1</v>
      </c>
    </row>
    <row r="1496" spans="1:14" x14ac:dyDescent="0.35">
      <c r="A1496" t="s">
        <v>4307</v>
      </c>
      <c r="B1496" t="s">
        <v>4301</v>
      </c>
      <c r="C1496" t="s">
        <v>4307</v>
      </c>
      <c r="D1496" t="s">
        <v>9232</v>
      </c>
      <c r="E1496">
        <f>teachers_trained_reflective_male</f>
        <v>0</v>
      </c>
      <c r="F1496" t="b">
        <v>1</v>
      </c>
    </row>
    <row r="1497" spans="1:14" x14ac:dyDescent="0.35">
      <c r="A1497" t="s">
        <v>4800</v>
      </c>
      <c r="B1497" t="s">
        <v>4301</v>
      </c>
      <c r="C1497" t="s">
        <v>4800</v>
      </c>
      <c r="D1497" t="s">
        <v>9239</v>
      </c>
      <c r="E1497">
        <f>teachers_trained_reflective_female</f>
        <v>0</v>
      </c>
      <c r="F1497" t="b">
        <v>1</v>
      </c>
    </row>
    <row r="1498" spans="1:14" x14ac:dyDescent="0.35">
      <c r="A1498" t="s">
        <v>4300</v>
      </c>
      <c r="B1498" t="s">
        <v>4301</v>
      </c>
      <c r="C1498" t="s">
        <v>4300</v>
      </c>
      <c r="D1498" t="s">
        <v>9226</v>
      </c>
      <c r="E1498">
        <f>teachers_trained_collaborative_male</f>
        <v>0</v>
      </c>
      <c r="F1498" t="b">
        <v>1</v>
      </c>
    </row>
    <row r="1499" spans="1:14" x14ac:dyDescent="0.35">
      <c r="A1499" t="s">
        <v>4794</v>
      </c>
      <c r="B1499" t="s">
        <v>4301</v>
      </c>
      <c r="C1499" t="s">
        <v>4794</v>
      </c>
      <c r="D1499" t="s">
        <v>9233</v>
      </c>
      <c r="E1499">
        <f>teachers_trained_collaborative_female</f>
        <v>0</v>
      </c>
      <c r="F1499" t="b">
        <v>1</v>
      </c>
    </row>
    <row r="1500" spans="1:14" x14ac:dyDescent="0.35">
      <c r="A1500" t="s">
        <v>4302</v>
      </c>
      <c r="B1500" t="s">
        <v>4301</v>
      </c>
      <c r="C1500" t="s">
        <v>4302</v>
      </c>
      <c r="D1500" t="s">
        <v>9227</v>
      </c>
      <c r="E1500">
        <f>teachers_trained_integrative_male</f>
        <v>0</v>
      </c>
      <c r="F1500" t="b">
        <v>1</v>
      </c>
    </row>
    <row r="1501" spans="1:14" x14ac:dyDescent="0.35">
      <c r="A1501" t="s">
        <v>4795</v>
      </c>
      <c r="B1501" t="s">
        <v>4301</v>
      </c>
      <c r="C1501" t="s">
        <v>4795</v>
      </c>
      <c r="D1501" t="s">
        <v>9234</v>
      </c>
      <c r="E1501">
        <f>teachers_trained_integrative_female</f>
        <v>0</v>
      </c>
      <c r="F1501" t="b">
        <v>1</v>
      </c>
    </row>
    <row r="1502" spans="1:14" x14ac:dyDescent="0.35">
      <c r="A1502" t="s">
        <v>4303</v>
      </c>
      <c r="B1502" t="s">
        <v>4301</v>
      </c>
      <c r="C1502" t="s">
        <v>4303</v>
      </c>
      <c r="D1502" t="s">
        <v>9228</v>
      </c>
      <c r="E1502">
        <f>teachers_trained_inclusiveeduc_male</f>
        <v>0</v>
      </c>
      <c r="F1502" t="b">
        <v>1</v>
      </c>
    </row>
    <row r="1503" spans="1:14" x14ac:dyDescent="0.35">
      <c r="A1503" t="s">
        <v>4796</v>
      </c>
      <c r="B1503" t="s">
        <v>4301</v>
      </c>
      <c r="C1503" t="s">
        <v>4796</v>
      </c>
      <c r="D1503" t="s">
        <v>9235</v>
      </c>
      <c r="E1503">
        <f>teachers_trained_inclusiveeduc_female</f>
        <v>0</v>
      </c>
      <c r="F1503" t="b">
        <v>1</v>
      </c>
    </row>
    <row r="1504" spans="1:14" x14ac:dyDescent="0.35">
      <c r="A1504" t="s">
        <v>4304</v>
      </c>
      <c r="B1504" t="s">
        <v>4301</v>
      </c>
      <c r="C1504" t="s">
        <v>4304</v>
      </c>
      <c r="D1504" t="s">
        <v>9229</v>
      </c>
      <c r="E1504">
        <f>teachers_trained_pedagogy_others_male</f>
        <v>0</v>
      </c>
      <c r="F1504" t="b">
        <v>1</v>
      </c>
    </row>
    <row r="1505" spans="1:14" s="1359" customFormat="1" ht="16" thickBot="1" x14ac:dyDescent="0.4">
      <c r="A1505" s="1359" t="s">
        <v>4797</v>
      </c>
      <c r="B1505" s="1359" t="s">
        <v>4301</v>
      </c>
      <c r="C1505" s="1359" t="s">
        <v>4797</v>
      </c>
      <c r="D1505" s="1359" t="s">
        <v>9236</v>
      </c>
      <c r="E1505" s="1359">
        <f>teachers_trained_pedagogy_others_female</f>
        <v>0</v>
      </c>
      <c r="F1505" s="1359" t="b">
        <v>1</v>
      </c>
      <c r="N1505" s="1360"/>
    </row>
    <row r="1506" spans="1:14" x14ac:dyDescent="0.35">
      <c r="A1506" t="s">
        <v>4801</v>
      </c>
      <c r="B1506" t="s">
        <v>4770</v>
      </c>
      <c r="C1506" t="s">
        <v>4801</v>
      </c>
      <c r="D1506" s="1353" t="s">
        <v>4802</v>
      </c>
      <c r="E1506">
        <f>teachers_trained_specialcpdeped_spa_m</f>
        <v>0</v>
      </c>
      <c r="F1506" t="b">
        <v>1</v>
      </c>
    </row>
    <row r="1507" spans="1:14" x14ac:dyDescent="0.35">
      <c r="A1507" t="s">
        <v>4813</v>
      </c>
      <c r="B1507" t="s">
        <v>4770</v>
      </c>
      <c r="C1507" t="s">
        <v>4813</v>
      </c>
      <c r="D1507" s="1353" t="s">
        <v>4814</v>
      </c>
      <c r="E1507">
        <f>teachers_trained_specialcpdeped_spa_f</f>
        <v>0</v>
      </c>
      <c r="F1507" t="b">
        <v>1</v>
      </c>
    </row>
    <row r="1508" spans="1:14" x14ac:dyDescent="0.35">
      <c r="A1508" t="s">
        <v>4769</v>
      </c>
      <c r="B1508" t="s">
        <v>4770</v>
      </c>
      <c r="C1508" t="s">
        <v>4769</v>
      </c>
      <c r="D1508" s="1353" t="s">
        <v>4771</v>
      </c>
      <c r="E1508">
        <f>teachers_trained_specialcpnondeped_spa_m</f>
        <v>0</v>
      </c>
      <c r="F1508" t="b">
        <v>1</v>
      </c>
    </row>
    <row r="1509" spans="1:14" x14ac:dyDescent="0.35">
      <c r="A1509" t="s">
        <v>4782</v>
      </c>
      <c r="B1509" t="s">
        <v>4770</v>
      </c>
      <c r="C1509" t="s">
        <v>4782</v>
      </c>
      <c r="D1509" s="1353" t="s">
        <v>4783</v>
      </c>
      <c r="E1509">
        <f>teachers_trained_specialcpnondeped_spa_f</f>
        <v>0</v>
      </c>
      <c r="F1509" t="b">
        <v>1</v>
      </c>
    </row>
    <row r="1510" spans="1:14" x14ac:dyDescent="0.35">
      <c r="A1510" t="s">
        <v>4803</v>
      </c>
      <c r="B1510" t="s">
        <v>4770</v>
      </c>
      <c r="C1510" t="s">
        <v>4803</v>
      </c>
      <c r="D1510" s="1353" t="s">
        <v>4804</v>
      </c>
      <c r="E1510">
        <f>teachers_trained_specialcpdeped_spfl_m</f>
        <v>0</v>
      </c>
      <c r="F1510" t="b">
        <v>1</v>
      </c>
    </row>
    <row r="1511" spans="1:14" x14ac:dyDescent="0.35">
      <c r="A1511" t="s">
        <v>4815</v>
      </c>
      <c r="B1511" t="s">
        <v>4770</v>
      </c>
      <c r="C1511" t="s">
        <v>4815</v>
      </c>
      <c r="D1511" s="1353" t="s">
        <v>4816</v>
      </c>
      <c r="E1511">
        <f>teachers_trained_specialcpdeped_spfl_f</f>
        <v>0</v>
      </c>
      <c r="F1511" t="b">
        <v>1</v>
      </c>
    </row>
    <row r="1512" spans="1:14" x14ac:dyDescent="0.35">
      <c r="A1512" t="s">
        <v>4772</v>
      </c>
      <c r="B1512" t="s">
        <v>4770</v>
      </c>
      <c r="C1512" t="s">
        <v>4772</v>
      </c>
      <c r="D1512" s="1353" t="s">
        <v>4773</v>
      </c>
      <c r="E1512">
        <f>teachers_trained_specialcpnondeped_spfl_m</f>
        <v>0</v>
      </c>
      <c r="F1512" t="b">
        <v>1</v>
      </c>
    </row>
    <row r="1513" spans="1:14" x14ac:dyDescent="0.35">
      <c r="A1513" t="s">
        <v>4784</v>
      </c>
      <c r="B1513" t="s">
        <v>4770</v>
      </c>
      <c r="C1513" t="s">
        <v>4784</v>
      </c>
      <c r="D1513" s="1353" t="s">
        <v>4785</v>
      </c>
      <c r="E1513">
        <f>teachers_trained_specialcpnondeped_spfl_f</f>
        <v>0</v>
      </c>
      <c r="F1513" t="b">
        <v>1</v>
      </c>
    </row>
    <row r="1514" spans="1:14" x14ac:dyDescent="0.35">
      <c r="A1514" t="s">
        <v>4805</v>
      </c>
      <c r="B1514" t="s">
        <v>4770</v>
      </c>
      <c r="C1514" t="s">
        <v>4805</v>
      </c>
      <c r="D1514" s="1353" t="s">
        <v>4806</v>
      </c>
      <c r="E1514">
        <f>teachers_trained_specialcpdeped_spj_m</f>
        <v>0</v>
      </c>
      <c r="F1514" t="b">
        <v>1</v>
      </c>
    </row>
    <row r="1515" spans="1:14" x14ac:dyDescent="0.35">
      <c r="A1515" t="s">
        <v>4817</v>
      </c>
      <c r="B1515" t="s">
        <v>4770</v>
      </c>
      <c r="C1515" t="s">
        <v>4817</v>
      </c>
      <c r="D1515" s="1353" t="s">
        <v>4818</v>
      </c>
      <c r="E1515">
        <f>teachers_trained_specialcpdeped_spj_f</f>
        <v>0</v>
      </c>
      <c r="F1515" t="b">
        <v>1</v>
      </c>
    </row>
    <row r="1516" spans="1:14" x14ac:dyDescent="0.35">
      <c r="A1516" t="s">
        <v>4774</v>
      </c>
      <c r="B1516" t="s">
        <v>4770</v>
      </c>
      <c r="C1516" t="s">
        <v>4774</v>
      </c>
      <c r="D1516" s="1353" t="s">
        <v>4775</v>
      </c>
      <c r="E1516">
        <f>teachers_trained_specialcpnondeped_spj_m</f>
        <v>0</v>
      </c>
      <c r="F1516" t="b">
        <v>1</v>
      </c>
    </row>
    <row r="1517" spans="1:14" x14ac:dyDescent="0.35">
      <c r="A1517" t="s">
        <v>4786</v>
      </c>
      <c r="B1517" t="s">
        <v>4770</v>
      </c>
      <c r="C1517" t="s">
        <v>4786</v>
      </c>
      <c r="D1517" s="1353" t="s">
        <v>4787</v>
      </c>
      <c r="E1517">
        <f>teachers_trained_specialcpnondeped_spj_f</f>
        <v>0</v>
      </c>
      <c r="F1517" t="b">
        <v>1</v>
      </c>
    </row>
    <row r="1518" spans="1:14" x14ac:dyDescent="0.35">
      <c r="A1518" t="s">
        <v>4807</v>
      </c>
      <c r="B1518" t="s">
        <v>4770</v>
      </c>
      <c r="C1518" t="s">
        <v>4807</v>
      </c>
      <c r="D1518" s="1353" t="s">
        <v>4808</v>
      </c>
      <c r="E1518">
        <f>teachers_trained_specialcpdeped_spste_m</f>
        <v>0</v>
      </c>
      <c r="F1518" t="b">
        <v>1</v>
      </c>
    </row>
    <row r="1519" spans="1:14" x14ac:dyDescent="0.35">
      <c r="A1519" t="s">
        <v>4819</v>
      </c>
      <c r="B1519" t="s">
        <v>4770</v>
      </c>
      <c r="C1519" t="s">
        <v>4819</v>
      </c>
      <c r="D1519" s="1353" t="s">
        <v>4820</v>
      </c>
      <c r="E1519">
        <f>teachers_trained_specialcpdeped_spste_f</f>
        <v>0</v>
      </c>
      <c r="F1519" t="b">
        <v>1</v>
      </c>
    </row>
    <row r="1520" spans="1:14" x14ac:dyDescent="0.35">
      <c r="A1520" t="s">
        <v>4776</v>
      </c>
      <c r="B1520" t="s">
        <v>4770</v>
      </c>
      <c r="C1520" t="s">
        <v>4776</v>
      </c>
      <c r="D1520" s="1353" t="s">
        <v>4777</v>
      </c>
      <c r="E1520">
        <f>teachers_trained_specialcpnondeped_spste_m</f>
        <v>0</v>
      </c>
      <c r="F1520" t="b">
        <v>1</v>
      </c>
    </row>
    <row r="1521" spans="1:14" x14ac:dyDescent="0.35">
      <c r="A1521" t="s">
        <v>4788</v>
      </c>
      <c r="B1521" t="s">
        <v>4770</v>
      </c>
      <c r="C1521" t="s">
        <v>4788</v>
      </c>
      <c r="D1521" s="1353" t="s">
        <v>4789</v>
      </c>
      <c r="E1521">
        <f>teachers_trained_specialcpnondeped_spste_f</f>
        <v>0</v>
      </c>
      <c r="F1521" t="b">
        <v>1</v>
      </c>
    </row>
    <row r="1522" spans="1:14" x14ac:dyDescent="0.35">
      <c r="A1522" t="s">
        <v>4809</v>
      </c>
      <c r="B1522" t="s">
        <v>4770</v>
      </c>
      <c r="C1522" t="s">
        <v>4809</v>
      </c>
      <c r="D1522" s="1353" t="s">
        <v>4810</v>
      </c>
      <c r="E1522">
        <f>teachers_trained_specialcpdeped_sps_m</f>
        <v>0</v>
      </c>
      <c r="F1522" t="b">
        <v>1</v>
      </c>
    </row>
    <row r="1523" spans="1:14" x14ac:dyDescent="0.35">
      <c r="A1523" t="s">
        <v>4821</v>
      </c>
      <c r="B1523" t="s">
        <v>4770</v>
      </c>
      <c r="C1523" t="s">
        <v>4821</v>
      </c>
      <c r="D1523" s="1353" t="s">
        <v>4822</v>
      </c>
      <c r="E1523">
        <f>teachers_trained_specialcpdeped_sps_f</f>
        <v>0</v>
      </c>
      <c r="F1523" t="b">
        <v>1</v>
      </c>
    </row>
    <row r="1524" spans="1:14" x14ac:dyDescent="0.35">
      <c r="A1524" t="s">
        <v>4778</v>
      </c>
      <c r="B1524" t="s">
        <v>4770</v>
      </c>
      <c r="C1524" t="s">
        <v>4778</v>
      </c>
      <c r="D1524" s="1353" t="s">
        <v>4779</v>
      </c>
      <c r="E1524">
        <f>teachers_trained_specialcpnondeped_sps_m</f>
        <v>0</v>
      </c>
      <c r="F1524" t="b">
        <v>1</v>
      </c>
    </row>
    <row r="1525" spans="1:14" x14ac:dyDescent="0.35">
      <c r="A1525" t="s">
        <v>4790</v>
      </c>
      <c r="B1525" t="s">
        <v>4770</v>
      </c>
      <c r="C1525" t="s">
        <v>4790</v>
      </c>
      <c r="D1525" s="1353" t="s">
        <v>4791</v>
      </c>
      <c r="E1525">
        <f>teachers_trained_specialcpnondeped_sps_f</f>
        <v>0</v>
      </c>
      <c r="F1525" t="b">
        <v>1</v>
      </c>
    </row>
    <row r="1526" spans="1:14" x14ac:dyDescent="0.35">
      <c r="A1526" t="s">
        <v>4811</v>
      </c>
      <c r="B1526" t="s">
        <v>4770</v>
      </c>
      <c r="C1526" t="s">
        <v>4811</v>
      </c>
      <c r="D1526" s="1353" t="s">
        <v>4812</v>
      </c>
      <c r="E1526">
        <f>teachers_trained_specialcpdeped_sptve_m</f>
        <v>0</v>
      </c>
      <c r="F1526" t="b">
        <v>1</v>
      </c>
    </row>
    <row r="1527" spans="1:14" x14ac:dyDescent="0.35">
      <c r="A1527" t="s">
        <v>4823</v>
      </c>
      <c r="B1527" t="s">
        <v>4770</v>
      </c>
      <c r="C1527" t="s">
        <v>4823</v>
      </c>
      <c r="D1527" s="1353" t="s">
        <v>4824</v>
      </c>
      <c r="E1527">
        <f>teachers_trained_specialcpdeped_sptve_f</f>
        <v>0</v>
      </c>
      <c r="F1527" t="b">
        <v>1</v>
      </c>
    </row>
    <row r="1528" spans="1:14" x14ac:dyDescent="0.35">
      <c r="A1528" t="s">
        <v>4780</v>
      </c>
      <c r="B1528" t="s">
        <v>4770</v>
      </c>
      <c r="C1528" t="s">
        <v>4780</v>
      </c>
      <c r="D1528" s="1353" t="s">
        <v>4781</v>
      </c>
      <c r="E1528">
        <f>teachers_trained_specialcpnondeped_sptve_m</f>
        <v>0</v>
      </c>
      <c r="F1528" t="b">
        <v>1</v>
      </c>
    </row>
    <row r="1529" spans="1:14" s="1359" customFormat="1" ht="16" thickBot="1" x14ac:dyDescent="0.4">
      <c r="A1529" s="1359" t="s">
        <v>4792</v>
      </c>
      <c r="B1529" s="1359" t="s">
        <v>4770</v>
      </c>
      <c r="C1529" s="1359" t="s">
        <v>4792</v>
      </c>
      <c r="D1529" s="1361" t="s">
        <v>4793</v>
      </c>
      <c r="E1529" s="1359">
        <f>teachers_trained_specialcpnondeped_sptve_f</f>
        <v>0</v>
      </c>
      <c r="F1529" s="1359" t="b">
        <v>1</v>
      </c>
      <c r="N1529" s="1360"/>
    </row>
    <row r="1530" spans="1:14" s="1362" customFormat="1" x14ac:dyDescent="0.35">
      <c r="A1530" s="1362" t="s">
        <v>4901</v>
      </c>
      <c r="B1530" s="1362" t="s">
        <v>4899</v>
      </c>
      <c r="C1530" s="1362" t="s">
        <v>4901</v>
      </c>
      <c r="D1530" s="1363" t="s">
        <v>4902</v>
      </c>
      <c r="E1530" s="1362">
        <f>jhs_teachers_cbgs_coo_g7_m</f>
        <v>6</v>
      </c>
      <c r="F1530" s="1362" t="b">
        <v>1</v>
      </c>
      <c r="N1530" s="1364"/>
    </row>
    <row r="1531" spans="1:14" x14ac:dyDescent="0.35">
      <c r="A1531" t="s">
        <v>4909</v>
      </c>
      <c r="B1531" t="s">
        <v>4899</v>
      </c>
      <c r="C1531" t="s">
        <v>4909</v>
      </c>
      <c r="D1531" s="1353" t="s">
        <v>4910</v>
      </c>
      <c r="E1531">
        <f>jhs_teachers_cbgs_coo_g7_f</f>
        <v>14</v>
      </c>
      <c r="F1531" t="b">
        <v>1</v>
      </c>
    </row>
    <row r="1532" spans="1:14" x14ac:dyDescent="0.35">
      <c r="A1532" t="s">
        <v>4933</v>
      </c>
      <c r="B1532" t="s">
        <v>4899</v>
      </c>
      <c r="C1532" t="s">
        <v>4933</v>
      </c>
      <c r="D1532" s="1353" t="s">
        <v>4934</v>
      </c>
      <c r="E1532">
        <f>jhs_teachers_cbgs_cmo_g7_m</f>
        <v>6</v>
      </c>
      <c r="F1532" t="b">
        <v>1</v>
      </c>
    </row>
    <row r="1533" spans="1:14" x14ac:dyDescent="0.35">
      <c r="A1533" t="s">
        <v>4973</v>
      </c>
      <c r="B1533" t="s">
        <v>4899</v>
      </c>
      <c r="C1533" t="s">
        <v>4973</v>
      </c>
      <c r="D1533" s="1353" t="s">
        <v>4974</v>
      </c>
      <c r="E1533">
        <f>jhs_teachers_cbgs_cmo_g7_f</f>
        <v>23</v>
      </c>
      <c r="F1533" t="b">
        <v>1</v>
      </c>
    </row>
    <row r="1534" spans="1:14" x14ac:dyDescent="0.35">
      <c r="A1534" t="s">
        <v>4903</v>
      </c>
      <c r="B1534" t="s">
        <v>4899</v>
      </c>
      <c r="C1534" t="s">
        <v>4903</v>
      </c>
      <c r="D1534" s="1353" t="s">
        <v>4904</v>
      </c>
      <c r="E1534">
        <f>jhs_teachers_cbgs_coo_g8_m</f>
        <v>9</v>
      </c>
      <c r="F1534" t="b">
        <v>1</v>
      </c>
    </row>
    <row r="1535" spans="1:14" x14ac:dyDescent="0.35">
      <c r="A1535" t="s">
        <v>4911</v>
      </c>
      <c r="B1535" t="s">
        <v>4899</v>
      </c>
      <c r="C1535" t="s">
        <v>4911</v>
      </c>
      <c r="D1535" s="1353" t="s">
        <v>4912</v>
      </c>
      <c r="E1535">
        <f>jhs_teachers_cbgs_coo_g8_f</f>
        <v>14</v>
      </c>
      <c r="F1535" t="b">
        <v>1</v>
      </c>
    </row>
    <row r="1536" spans="1:14" x14ac:dyDescent="0.35">
      <c r="A1536" t="s">
        <v>4935</v>
      </c>
      <c r="B1536" t="s">
        <v>4899</v>
      </c>
      <c r="C1536" t="s">
        <v>4935</v>
      </c>
      <c r="D1536" s="1353" t="s">
        <v>4936</v>
      </c>
      <c r="E1536">
        <f>jhs_teachers_cbgs_cmo_g8_m</f>
        <v>13</v>
      </c>
      <c r="F1536" t="b">
        <v>1</v>
      </c>
    </row>
    <row r="1537" spans="1:14" x14ac:dyDescent="0.35">
      <c r="A1537" t="s">
        <v>4975</v>
      </c>
      <c r="B1537" t="s">
        <v>4899</v>
      </c>
      <c r="C1537" t="s">
        <v>4975</v>
      </c>
      <c r="D1537" s="1353" t="s">
        <v>4976</v>
      </c>
      <c r="E1537">
        <f>jhs_teachers_cbgs_cmo_g8_f</f>
        <v>18</v>
      </c>
      <c r="F1537" t="b">
        <v>1</v>
      </c>
    </row>
    <row r="1538" spans="1:14" x14ac:dyDescent="0.35">
      <c r="A1538" t="s">
        <v>4905</v>
      </c>
      <c r="B1538" t="s">
        <v>4899</v>
      </c>
      <c r="C1538" t="s">
        <v>4905</v>
      </c>
      <c r="D1538" s="1353" t="s">
        <v>4906</v>
      </c>
      <c r="E1538">
        <f>jhs_teachers_cbgs_coo_g9_m</f>
        <v>2</v>
      </c>
      <c r="F1538" t="b">
        <v>1</v>
      </c>
    </row>
    <row r="1539" spans="1:14" x14ac:dyDescent="0.35">
      <c r="A1539" t="s">
        <v>4913</v>
      </c>
      <c r="B1539" t="s">
        <v>4899</v>
      </c>
      <c r="C1539" t="s">
        <v>4913</v>
      </c>
      <c r="D1539" s="1353" t="s">
        <v>4914</v>
      </c>
      <c r="E1539">
        <f>jhs_teachers_cbgs_coo_g9_f</f>
        <v>13</v>
      </c>
      <c r="F1539" t="b">
        <v>1</v>
      </c>
    </row>
    <row r="1540" spans="1:14" x14ac:dyDescent="0.35">
      <c r="A1540" t="s">
        <v>4937</v>
      </c>
      <c r="B1540" t="s">
        <v>4899</v>
      </c>
      <c r="C1540" t="s">
        <v>4937</v>
      </c>
      <c r="D1540" s="1353" t="s">
        <v>4938</v>
      </c>
      <c r="E1540">
        <f>jhs_teachers_cbgs_cmo_g9_m</f>
        <v>7</v>
      </c>
      <c r="F1540" t="b">
        <v>1</v>
      </c>
    </row>
    <row r="1541" spans="1:14" x14ac:dyDescent="0.35">
      <c r="A1541" t="s">
        <v>4977</v>
      </c>
      <c r="B1541" t="s">
        <v>4899</v>
      </c>
      <c r="C1541" t="s">
        <v>4977</v>
      </c>
      <c r="D1541" s="1353" t="s">
        <v>4978</v>
      </c>
      <c r="E1541">
        <f>jhs_teachers_cbgs_cmo_g9_f</f>
        <v>23</v>
      </c>
      <c r="F1541" t="b">
        <v>1</v>
      </c>
    </row>
    <row r="1542" spans="1:14" x14ac:dyDescent="0.35">
      <c r="A1542" t="s">
        <v>4898</v>
      </c>
      <c r="B1542" t="s">
        <v>4899</v>
      </c>
      <c r="C1542" t="s">
        <v>4898</v>
      </c>
      <c r="D1542" s="1353" t="s">
        <v>4900</v>
      </c>
      <c r="E1542">
        <f>jhs_teachers_cbgs_coo_g10_m</f>
        <v>1</v>
      </c>
      <c r="F1542" t="b">
        <v>1</v>
      </c>
    </row>
    <row r="1543" spans="1:14" ht="15" customHeight="1" x14ac:dyDescent="0.35">
      <c r="A1543" t="s">
        <v>4907</v>
      </c>
      <c r="B1543" t="s">
        <v>4899</v>
      </c>
      <c r="C1543" t="s">
        <v>4907</v>
      </c>
      <c r="D1543" s="1353" t="s">
        <v>4908</v>
      </c>
      <c r="E1543">
        <f>jhs_teachers_cbgs_coo_g10_f</f>
        <v>13</v>
      </c>
      <c r="F1543" t="b">
        <v>1</v>
      </c>
    </row>
    <row r="1544" spans="1:14" x14ac:dyDescent="0.35">
      <c r="A1544" t="s">
        <v>4931</v>
      </c>
      <c r="B1544" t="s">
        <v>4899</v>
      </c>
      <c r="C1544" t="s">
        <v>4931</v>
      </c>
      <c r="D1544" s="1353" t="s">
        <v>4932</v>
      </c>
      <c r="E1544">
        <f>jhs_teachers_cbgs_cmo_g10_m</f>
        <v>5</v>
      </c>
      <c r="F1544" t="b">
        <v>1</v>
      </c>
    </row>
    <row r="1545" spans="1:14" s="1359" customFormat="1" ht="16" thickBot="1" x14ac:dyDescent="0.4">
      <c r="A1545" s="1359" t="s">
        <v>4955</v>
      </c>
      <c r="B1545" s="1359" t="s">
        <v>4899</v>
      </c>
      <c r="C1545" s="1359" t="s">
        <v>4955</v>
      </c>
      <c r="D1545" s="1361" t="s">
        <v>4956</v>
      </c>
      <c r="E1545" s="1359">
        <f>jhs_teachers_cbgs_cmo_g10_f</f>
        <v>24</v>
      </c>
      <c r="F1545" s="1359" t="b">
        <v>1</v>
      </c>
      <c r="N1545" s="1360"/>
    </row>
    <row r="1546" spans="1:14" s="1362" customFormat="1" x14ac:dyDescent="0.35">
      <c r="A1546" s="1362" t="s">
        <v>4915</v>
      </c>
      <c r="B1546" s="1362" t="s">
        <v>4826</v>
      </c>
      <c r="C1546" s="1362" t="s">
        <v>4915</v>
      </c>
      <c r="D1546" s="1363" t="s">
        <v>4916</v>
      </c>
      <c r="E1546" s="1362">
        <f>numteach_assign_eng_g7_m</f>
        <v>1</v>
      </c>
      <c r="F1546" s="1362" t="b">
        <v>1</v>
      </c>
      <c r="N1546" s="1364"/>
    </row>
    <row r="1547" spans="1:14" x14ac:dyDescent="0.35">
      <c r="A1547" t="s">
        <v>4939</v>
      </c>
      <c r="B1547" t="s">
        <v>4826</v>
      </c>
      <c r="C1547" t="s">
        <v>4939</v>
      </c>
      <c r="D1547" s="1353" t="s">
        <v>4940</v>
      </c>
      <c r="E1547">
        <f>numteach_assign_eng_g7_f</f>
        <v>4</v>
      </c>
      <c r="F1547" t="b">
        <v>1</v>
      </c>
    </row>
    <row r="1548" spans="1:14" x14ac:dyDescent="0.35">
      <c r="A1548" t="s">
        <v>4957</v>
      </c>
      <c r="B1548" t="s">
        <v>4826</v>
      </c>
      <c r="C1548" t="s">
        <v>4957</v>
      </c>
      <c r="D1548" s="1353" t="s">
        <v>4958</v>
      </c>
      <c r="E1548">
        <f>numteach_assign_eng_g8_m</f>
        <v>1</v>
      </c>
      <c r="F1548" t="b">
        <v>1</v>
      </c>
    </row>
    <row r="1549" spans="1:14" x14ac:dyDescent="0.35">
      <c r="A1549" t="s">
        <v>4979</v>
      </c>
      <c r="B1549" t="s">
        <v>4826</v>
      </c>
      <c r="C1549" t="s">
        <v>4979</v>
      </c>
      <c r="D1549" s="1353" t="s">
        <v>4980</v>
      </c>
      <c r="E1549">
        <f>numteach_assign_eng_g8_f</f>
        <v>4</v>
      </c>
      <c r="F1549" t="b">
        <v>1</v>
      </c>
    </row>
    <row r="1550" spans="1:14" x14ac:dyDescent="0.35">
      <c r="A1550" t="s">
        <v>4825</v>
      </c>
      <c r="B1550" t="s">
        <v>4826</v>
      </c>
      <c r="C1550" t="s">
        <v>4825</v>
      </c>
      <c r="D1550" s="1353" t="s">
        <v>4827</v>
      </c>
      <c r="E1550">
        <f>numteach_assign_eng_g9_m</f>
        <v>0</v>
      </c>
      <c r="F1550" t="b">
        <v>1</v>
      </c>
    </row>
    <row r="1551" spans="1:14" x14ac:dyDescent="0.35">
      <c r="A1551" t="s">
        <v>4842</v>
      </c>
      <c r="B1551" t="s">
        <v>4826</v>
      </c>
      <c r="C1551" t="s">
        <v>4842</v>
      </c>
      <c r="D1551" s="1353" t="s">
        <v>4843</v>
      </c>
      <c r="E1551">
        <f>numteach_assign_eng_g9_f</f>
        <v>3</v>
      </c>
      <c r="F1551" t="b">
        <v>1</v>
      </c>
    </row>
    <row r="1552" spans="1:14" x14ac:dyDescent="0.35">
      <c r="A1552" t="s">
        <v>4858</v>
      </c>
      <c r="B1552" t="s">
        <v>4826</v>
      </c>
      <c r="C1552" t="s">
        <v>4858</v>
      </c>
      <c r="D1552" s="1353" t="s">
        <v>4859</v>
      </c>
      <c r="E1552">
        <f>numteach_assign_eng_g10_m</f>
        <v>1</v>
      </c>
      <c r="F1552" t="b">
        <v>1</v>
      </c>
    </row>
    <row r="1553" spans="1:6" x14ac:dyDescent="0.35">
      <c r="A1553" t="s">
        <v>4874</v>
      </c>
      <c r="B1553" t="s">
        <v>4826</v>
      </c>
      <c r="C1553" t="s">
        <v>4874</v>
      </c>
      <c r="D1553" s="1353" t="s">
        <v>4875</v>
      </c>
      <c r="E1553">
        <f>numteach_assign_eng_g10_f</f>
        <v>2</v>
      </c>
      <c r="F1553" t="b">
        <v>1</v>
      </c>
    </row>
    <row r="1554" spans="1:6" x14ac:dyDescent="0.35">
      <c r="A1554" t="s">
        <v>4917</v>
      </c>
      <c r="B1554" t="s">
        <v>4826</v>
      </c>
      <c r="C1554" t="s">
        <v>4917</v>
      </c>
      <c r="D1554" s="1353" t="s">
        <v>4918</v>
      </c>
      <c r="E1554">
        <f>numteach_assign_math_g7_m</f>
        <v>1</v>
      </c>
      <c r="F1554" t="b">
        <v>1</v>
      </c>
    </row>
    <row r="1555" spans="1:6" x14ac:dyDescent="0.35">
      <c r="A1555" t="s">
        <v>4941</v>
      </c>
      <c r="B1555" t="s">
        <v>4826</v>
      </c>
      <c r="C1555" t="s">
        <v>4941</v>
      </c>
      <c r="D1555" s="1353" t="s">
        <v>4942</v>
      </c>
      <c r="E1555">
        <f>numteach_assign_math_g7_f</f>
        <v>2</v>
      </c>
      <c r="F1555" t="b">
        <v>1</v>
      </c>
    </row>
    <row r="1556" spans="1:6" x14ac:dyDescent="0.35">
      <c r="A1556" t="s">
        <v>4959</v>
      </c>
      <c r="B1556" t="s">
        <v>4826</v>
      </c>
      <c r="C1556" t="s">
        <v>4959</v>
      </c>
      <c r="D1556" s="1353" t="s">
        <v>4960</v>
      </c>
      <c r="E1556">
        <f>numteach_assign_math_g8_m</f>
        <v>2</v>
      </c>
      <c r="F1556" t="b">
        <v>1</v>
      </c>
    </row>
    <row r="1557" spans="1:6" x14ac:dyDescent="0.35">
      <c r="A1557" t="s">
        <v>4981</v>
      </c>
      <c r="B1557" t="s">
        <v>4826</v>
      </c>
      <c r="C1557" t="s">
        <v>4981</v>
      </c>
      <c r="D1557" s="1353" t="s">
        <v>4982</v>
      </c>
      <c r="E1557">
        <f>numteach_assign_math_g8_f</f>
        <v>3</v>
      </c>
      <c r="F1557" t="b">
        <v>1</v>
      </c>
    </row>
    <row r="1558" spans="1:6" x14ac:dyDescent="0.35">
      <c r="A1558" t="s">
        <v>4828</v>
      </c>
      <c r="B1558" t="s">
        <v>4826</v>
      </c>
      <c r="C1558" t="s">
        <v>4828</v>
      </c>
      <c r="D1558" s="1353" t="s">
        <v>4829</v>
      </c>
      <c r="E1558">
        <f>numteach_assign_math_g9_m</f>
        <v>0</v>
      </c>
      <c r="F1558" t="b">
        <v>1</v>
      </c>
    </row>
    <row r="1559" spans="1:6" x14ac:dyDescent="0.35">
      <c r="A1559" t="s">
        <v>4844</v>
      </c>
      <c r="B1559" t="s">
        <v>4826</v>
      </c>
      <c r="C1559" t="s">
        <v>4844</v>
      </c>
      <c r="D1559" s="1353" t="s">
        <v>4845</v>
      </c>
      <c r="E1559">
        <f>numteach_assign_math_g9_f</f>
        <v>2</v>
      </c>
      <c r="F1559" t="b">
        <v>1</v>
      </c>
    </row>
    <row r="1560" spans="1:6" x14ac:dyDescent="0.35">
      <c r="A1560" t="s">
        <v>4860</v>
      </c>
      <c r="B1560" t="s">
        <v>4826</v>
      </c>
      <c r="C1560" t="s">
        <v>4860</v>
      </c>
      <c r="D1560" s="1353" t="s">
        <v>4861</v>
      </c>
      <c r="E1560">
        <f>numteach_assign_math_g10_m</f>
        <v>0</v>
      </c>
      <c r="F1560" t="b">
        <v>1</v>
      </c>
    </row>
    <row r="1561" spans="1:6" x14ac:dyDescent="0.35">
      <c r="A1561" t="s">
        <v>4876</v>
      </c>
      <c r="B1561" t="s">
        <v>4826</v>
      </c>
      <c r="C1561" t="s">
        <v>4876</v>
      </c>
      <c r="D1561" s="1353" t="s">
        <v>4877</v>
      </c>
      <c r="E1561">
        <f>numteach_assign_math_g10_f</f>
        <v>4</v>
      </c>
      <c r="F1561" t="b">
        <v>1</v>
      </c>
    </row>
    <row r="1562" spans="1:6" x14ac:dyDescent="0.35">
      <c r="A1562" t="s">
        <v>4919</v>
      </c>
      <c r="B1562" t="s">
        <v>4826</v>
      </c>
      <c r="C1562" t="s">
        <v>4919</v>
      </c>
      <c r="D1562" s="1353" t="s">
        <v>4920</v>
      </c>
      <c r="E1562">
        <f>numteach_assign_fil_g7_m</f>
        <v>1</v>
      </c>
      <c r="F1562" t="b">
        <v>1</v>
      </c>
    </row>
    <row r="1563" spans="1:6" x14ac:dyDescent="0.35">
      <c r="A1563" t="s">
        <v>4943</v>
      </c>
      <c r="B1563" t="s">
        <v>4826</v>
      </c>
      <c r="C1563" t="s">
        <v>4943</v>
      </c>
      <c r="D1563" s="1353" t="s">
        <v>4944</v>
      </c>
      <c r="E1563">
        <f>numteach_assign_fil_g7_f</f>
        <v>2</v>
      </c>
      <c r="F1563" t="b">
        <v>1</v>
      </c>
    </row>
    <row r="1564" spans="1:6" x14ac:dyDescent="0.35">
      <c r="A1564" t="s">
        <v>4961</v>
      </c>
      <c r="B1564" t="s">
        <v>4826</v>
      </c>
      <c r="C1564" t="s">
        <v>4961</v>
      </c>
      <c r="D1564" s="1353" t="s">
        <v>4962</v>
      </c>
      <c r="E1564">
        <f>numteach_assign_fil_g8_m</f>
        <v>1</v>
      </c>
      <c r="F1564" t="b">
        <v>1</v>
      </c>
    </row>
    <row r="1565" spans="1:6" x14ac:dyDescent="0.35">
      <c r="A1565" t="s">
        <v>4983</v>
      </c>
      <c r="B1565" t="s">
        <v>4826</v>
      </c>
      <c r="C1565" t="s">
        <v>4983</v>
      </c>
      <c r="D1565" s="1353" t="s">
        <v>4984</v>
      </c>
      <c r="E1565">
        <f>numteach_assign_fil_g8_f</f>
        <v>1</v>
      </c>
      <c r="F1565" t="b">
        <v>1</v>
      </c>
    </row>
    <row r="1566" spans="1:6" x14ac:dyDescent="0.35">
      <c r="A1566" t="s">
        <v>4830</v>
      </c>
      <c r="B1566" t="s">
        <v>4826</v>
      </c>
      <c r="C1566" t="s">
        <v>4830</v>
      </c>
      <c r="D1566" s="1353" t="s">
        <v>4831</v>
      </c>
      <c r="E1566">
        <f>numteach_assign_fil_g9_m</f>
        <v>0</v>
      </c>
      <c r="F1566" t="b">
        <v>1</v>
      </c>
    </row>
    <row r="1567" spans="1:6" x14ac:dyDescent="0.35">
      <c r="A1567" t="s">
        <v>4846</v>
      </c>
      <c r="B1567" t="s">
        <v>4826</v>
      </c>
      <c r="C1567" t="s">
        <v>4846</v>
      </c>
      <c r="D1567" s="1353" t="s">
        <v>4847</v>
      </c>
      <c r="E1567">
        <f>numteach_assign_fil_g9_f</f>
        <v>4</v>
      </c>
      <c r="F1567" t="b">
        <v>1</v>
      </c>
    </row>
    <row r="1568" spans="1:6" x14ac:dyDescent="0.35">
      <c r="A1568" t="s">
        <v>4862</v>
      </c>
      <c r="B1568" t="s">
        <v>4826</v>
      </c>
      <c r="C1568" t="s">
        <v>4862</v>
      </c>
      <c r="D1568" s="1353" t="s">
        <v>4863</v>
      </c>
      <c r="E1568">
        <f>numteach_assign_fil_g10_m</f>
        <v>0</v>
      </c>
      <c r="F1568" t="b">
        <v>1</v>
      </c>
    </row>
    <row r="1569" spans="1:6" x14ac:dyDescent="0.35">
      <c r="A1569" t="s">
        <v>4878</v>
      </c>
      <c r="B1569" t="s">
        <v>4826</v>
      </c>
      <c r="C1569" t="s">
        <v>4878</v>
      </c>
      <c r="D1569" s="1353" t="s">
        <v>4879</v>
      </c>
      <c r="E1569">
        <f>numteach_assign_fil_g10_f</f>
        <v>2</v>
      </c>
      <c r="F1569" t="b">
        <v>1</v>
      </c>
    </row>
    <row r="1570" spans="1:6" x14ac:dyDescent="0.35">
      <c r="A1570" t="s">
        <v>4921</v>
      </c>
      <c r="B1570" t="s">
        <v>4826</v>
      </c>
      <c r="C1570" t="s">
        <v>4921</v>
      </c>
      <c r="D1570" s="1353" t="s">
        <v>4922</v>
      </c>
      <c r="E1570">
        <f>numteach_assign_sci_g7_m</f>
        <v>0</v>
      </c>
      <c r="F1570" t="b">
        <v>1</v>
      </c>
    </row>
    <row r="1571" spans="1:6" x14ac:dyDescent="0.35">
      <c r="A1571" t="s">
        <v>4945</v>
      </c>
      <c r="B1571" t="s">
        <v>4826</v>
      </c>
      <c r="C1571" t="s">
        <v>4945</v>
      </c>
      <c r="D1571" s="1353" t="s">
        <v>4946</v>
      </c>
      <c r="E1571">
        <f>numteach_assign_sci_g7_f</f>
        <v>4</v>
      </c>
      <c r="F1571" t="b">
        <v>1</v>
      </c>
    </row>
    <row r="1572" spans="1:6" x14ac:dyDescent="0.35">
      <c r="A1572" t="s">
        <v>4963</v>
      </c>
      <c r="B1572" t="s">
        <v>4826</v>
      </c>
      <c r="C1572" t="s">
        <v>4963</v>
      </c>
      <c r="D1572" s="1353" t="s">
        <v>4964</v>
      </c>
      <c r="E1572">
        <f>numteach_assign_sci_g8_m</f>
        <v>1</v>
      </c>
      <c r="F1572" t="b">
        <v>1</v>
      </c>
    </row>
    <row r="1573" spans="1:6" x14ac:dyDescent="0.35">
      <c r="A1573" t="s">
        <v>4985</v>
      </c>
      <c r="B1573" t="s">
        <v>4826</v>
      </c>
      <c r="C1573" t="s">
        <v>4985</v>
      </c>
      <c r="D1573" s="1353" t="s">
        <v>4986</v>
      </c>
      <c r="E1573">
        <f>numteach_assign_sci_g8_f</f>
        <v>5</v>
      </c>
      <c r="F1573" t="b">
        <v>1</v>
      </c>
    </row>
    <row r="1574" spans="1:6" x14ac:dyDescent="0.35">
      <c r="A1574" t="s">
        <v>4832</v>
      </c>
      <c r="B1574" t="s">
        <v>4826</v>
      </c>
      <c r="C1574" t="s">
        <v>4832</v>
      </c>
      <c r="D1574" s="1353" t="s">
        <v>4833</v>
      </c>
      <c r="E1574">
        <f>numteach_assign_sci_g9_m</f>
        <v>1</v>
      </c>
      <c r="F1574" t="b">
        <v>1</v>
      </c>
    </row>
    <row r="1575" spans="1:6" x14ac:dyDescent="0.35">
      <c r="A1575" t="s">
        <v>4848</v>
      </c>
      <c r="B1575" t="s">
        <v>4826</v>
      </c>
      <c r="C1575" t="s">
        <v>4848</v>
      </c>
      <c r="D1575" s="1353" t="s">
        <v>4849</v>
      </c>
      <c r="E1575">
        <f>numteach_assign_sci_g9_f</f>
        <v>3</v>
      </c>
      <c r="F1575" t="b">
        <v>1</v>
      </c>
    </row>
    <row r="1576" spans="1:6" x14ac:dyDescent="0.35">
      <c r="A1576" t="s">
        <v>4864</v>
      </c>
      <c r="B1576" t="s">
        <v>4826</v>
      </c>
      <c r="C1576" t="s">
        <v>4864</v>
      </c>
      <c r="D1576" s="1353" t="s">
        <v>4865</v>
      </c>
      <c r="E1576">
        <f>numteach_assign_sci_g10_m</f>
        <v>0</v>
      </c>
      <c r="F1576" t="b">
        <v>1</v>
      </c>
    </row>
    <row r="1577" spans="1:6" x14ac:dyDescent="0.35">
      <c r="A1577" t="s">
        <v>4880</v>
      </c>
      <c r="B1577" t="s">
        <v>4826</v>
      </c>
      <c r="C1577" t="s">
        <v>4880</v>
      </c>
      <c r="D1577" s="1353" t="s">
        <v>4881</v>
      </c>
      <c r="E1577">
        <f>numteach_assign_sci_g10_f</f>
        <v>4</v>
      </c>
      <c r="F1577" t="b">
        <v>1</v>
      </c>
    </row>
    <row r="1578" spans="1:6" x14ac:dyDescent="0.35">
      <c r="A1578" t="s">
        <v>4923</v>
      </c>
      <c r="B1578" t="s">
        <v>4826</v>
      </c>
      <c r="C1578" t="s">
        <v>4923</v>
      </c>
      <c r="D1578" s="1353" t="s">
        <v>4924</v>
      </c>
      <c r="E1578">
        <f>numteach_assign_ap_g7_m</f>
        <v>0</v>
      </c>
      <c r="F1578" t="b">
        <v>1</v>
      </c>
    </row>
    <row r="1579" spans="1:6" x14ac:dyDescent="0.35">
      <c r="A1579" t="s">
        <v>4947</v>
      </c>
      <c r="B1579" t="s">
        <v>4826</v>
      </c>
      <c r="C1579" t="s">
        <v>4947</v>
      </c>
      <c r="D1579" s="1353" t="s">
        <v>4948</v>
      </c>
      <c r="E1579">
        <f>numteach_assign_ap_g7_f</f>
        <v>2</v>
      </c>
      <c r="F1579" t="b">
        <v>1</v>
      </c>
    </row>
    <row r="1580" spans="1:6" x14ac:dyDescent="0.35">
      <c r="A1580" t="s">
        <v>4965</v>
      </c>
      <c r="B1580" t="s">
        <v>4826</v>
      </c>
      <c r="C1580" t="s">
        <v>4965</v>
      </c>
      <c r="D1580" s="1353" t="s">
        <v>4966</v>
      </c>
      <c r="E1580">
        <f>numteach_assign_ap_g8_m</f>
        <v>0</v>
      </c>
      <c r="F1580" t="b">
        <v>1</v>
      </c>
    </row>
    <row r="1581" spans="1:6" x14ac:dyDescent="0.35">
      <c r="A1581" t="s">
        <v>4987</v>
      </c>
      <c r="B1581" t="s">
        <v>4826</v>
      </c>
      <c r="C1581" t="s">
        <v>4987</v>
      </c>
      <c r="D1581" s="1353" t="s">
        <v>4988</v>
      </c>
      <c r="E1581">
        <f>numteach_assign_ap_g8_f</f>
        <v>2</v>
      </c>
      <c r="F1581" t="b">
        <v>1</v>
      </c>
    </row>
    <row r="1582" spans="1:6" x14ac:dyDescent="0.35">
      <c r="A1582" t="s">
        <v>4834</v>
      </c>
      <c r="B1582" t="s">
        <v>4826</v>
      </c>
      <c r="C1582" t="s">
        <v>4834</v>
      </c>
      <c r="D1582" s="1353" t="s">
        <v>4835</v>
      </c>
      <c r="E1582">
        <f>numteach_assign_ap_g9_m</f>
        <v>0</v>
      </c>
      <c r="F1582" t="b">
        <v>1</v>
      </c>
    </row>
    <row r="1583" spans="1:6" x14ac:dyDescent="0.35">
      <c r="A1583" t="s">
        <v>4850</v>
      </c>
      <c r="B1583" t="s">
        <v>4826</v>
      </c>
      <c r="C1583" t="s">
        <v>4850</v>
      </c>
      <c r="D1583" s="1353" t="s">
        <v>4851</v>
      </c>
      <c r="E1583">
        <f>numteach_assign_ap_g9_f</f>
        <v>3</v>
      </c>
      <c r="F1583" t="b">
        <v>1</v>
      </c>
    </row>
    <row r="1584" spans="1:6" x14ac:dyDescent="0.35">
      <c r="A1584" t="s">
        <v>4866</v>
      </c>
      <c r="B1584" t="s">
        <v>4826</v>
      </c>
      <c r="C1584" t="s">
        <v>4866</v>
      </c>
      <c r="D1584" s="1353" t="s">
        <v>4867</v>
      </c>
      <c r="E1584">
        <f>numteach_assign_ap_g10_m</f>
        <v>0</v>
      </c>
      <c r="F1584" t="b">
        <v>1</v>
      </c>
    </row>
    <row r="1585" spans="1:6" x14ac:dyDescent="0.35">
      <c r="A1585" t="s">
        <v>4882</v>
      </c>
      <c r="B1585" t="s">
        <v>4826</v>
      </c>
      <c r="C1585" t="s">
        <v>4882</v>
      </c>
      <c r="D1585" s="1353" t="s">
        <v>4883</v>
      </c>
      <c r="E1585">
        <f>numteach_assign_ap_g10_f</f>
        <v>3</v>
      </c>
      <c r="F1585" t="b">
        <v>1</v>
      </c>
    </row>
    <row r="1586" spans="1:6" x14ac:dyDescent="0.35">
      <c r="A1586" t="s">
        <v>4925</v>
      </c>
      <c r="B1586" t="s">
        <v>4826</v>
      </c>
      <c r="C1586" t="s">
        <v>4925</v>
      </c>
      <c r="D1586" s="1353" t="s">
        <v>4926</v>
      </c>
      <c r="E1586">
        <f>numteach_assign_esp_g7_m</f>
        <v>0</v>
      </c>
      <c r="F1586" t="b">
        <v>1</v>
      </c>
    </row>
    <row r="1587" spans="1:6" x14ac:dyDescent="0.35">
      <c r="A1587" t="s">
        <v>4949</v>
      </c>
      <c r="B1587" t="s">
        <v>4826</v>
      </c>
      <c r="C1587" t="s">
        <v>4949</v>
      </c>
      <c r="D1587" s="1353" t="s">
        <v>4950</v>
      </c>
      <c r="E1587">
        <f>numteach_assign_esp_g7_f</f>
        <v>3</v>
      </c>
      <c r="F1587" t="b">
        <v>1</v>
      </c>
    </row>
    <row r="1588" spans="1:6" x14ac:dyDescent="0.35">
      <c r="A1588" t="s">
        <v>4967</v>
      </c>
      <c r="B1588" t="s">
        <v>4826</v>
      </c>
      <c r="C1588" t="s">
        <v>4967</v>
      </c>
      <c r="D1588" s="1353" t="s">
        <v>4968</v>
      </c>
      <c r="E1588">
        <f>numteach_assign_esp_g8_m</f>
        <v>1</v>
      </c>
      <c r="F1588" t="b">
        <v>1</v>
      </c>
    </row>
    <row r="1589" spans="1:6" x14ac:dyDescent="0.35">
      <c r="A1589" t="s">
        <v>4989</v>
      </c>
      <c r="B1589" t="s">
        <v>4826</v>
      </c>
      <c r="C1589" t="s">
        <v>4989</v>
      </c>
      <c r="D1589" s="1353" t="s">
        <v>4990</v>
      </c>
      <c r="E1589">
        <f>numteach_assign_esp_g8_f</f>
        <v>2</v>
      </c>
      <c r="F1589" t="b">
        <v>1</v>
      </c>
    </row>
    <row r="1590" spans="1:6" x14ac:dyDescent="0.35">
      <c r="A1590" t="s">
        <v>4836</v>
      </c>
      <c r="B1590" t="s">
        <v>4826</v>
      </c>
      <c r="C1590" t="s">
        <v>4836</v>
      </c>
      <c r="D1590" s="1353" t="s">
        <v>4837</v>
      </c>
      <c r="E1590">
        <f>numteach_assign_esp_g9_m</f>
        <v>0</v>
      </c>
      <c r="F1590" t="b">
        <v>1</v>
      </c>
    </row>
    <row r="1591" spans="1:6" x14ac:dyDescent="0.35">
      <c r="A1591" t="s">
        <v>4852</v>
      </c>
      <c r="B1591" t="s">
        <v>4826</v>
      </c>
      <c r="C1591" t="s">
        <v>4852</v>
      </c>
      <c r="D1591" s="1353" t="s">
        <v>4853</v>
      </c>
      <c r="E1591">
        <f>numteach_assign_esp_g9_f</f>
        <v>1</v>
      </c>
      <c r="F1591" t="b">
        <v>1</v>
      </c>
    </row>
    <row r="1592" spans="1:6" x14ac:dyDescent="0.35">
      <c r="A1592" t="s">
        <v>4868</v>
      </c>
      <c r="B1592" t="s">
        <v>4826</v>
      </c>
      <c r="C1592" t="s">
        <v>4868</v>
      </c>
      <c r="D1592" s="1353" t="s">
        <v>4869</v>
      </c>
      <c r="E1592">
        <f>numteach_assign_esp_g10_m</f>
        <v>0</v>
      </c>
      <c r="F1592" t="b">
        <v>1</v>
      </c>
    </row>
    <row r="1593" spans="1:6" x14ac:dyDescent="0.35">
      <c r="A1593" t="s">
        <v>4884</v>
      </c>
      <c r="B1593" t="s">
        <v>4826</v>
      </c>
      <c r="C1593" t="s">
        <v>4884</v>
      </c>
      <c r="D1593" s="1353" t="s">
        <v>4885</v>
      </c>
      <c r="E1593">
        <f>numteach_assign_esp_g10_f</f>
        <v>1</v>
      </c>
      <c r="F1593" t="b">
        <v>1</v>
      </c>
    </row>
    <row r="1594" spans="1:6" x14ac:dyDescent="0.35">
      <c r="A1594" t="s">
        <v>4927</v>
      </c>
      <c r="B1594" t="s">
        <v>4826</v>
      </c>
      <c r="C1594" t="s">
        <v>4927</v>
      </c>
      <c r="D1594" s="1353" t="s">
        <v>4928</v>
      </c>
      <c r="E1594">
        <f>numteach_assign_tle_g7_m</f>
        <v>4</v>
      </c>
      <c r="F1594" t="b">
        <v>1</v>
      </c>
    </row>
    <row r="1595" spans="1:6" x14ac:dyDescent="0.35">
      <c r="A1595" t="s">
        <v>4951</v>
      </c>
      <c r="B1595" t="s">
        <v>4826</v>
      </c>
      <c r="C1595" t="s">
        <v>4951</v>
      </c>
      <c r="D1595" s="1353" t="s">
        <v>4952</v>
      </c>
      <c r="E1595">
        <f>numteach_assign_tle_g7_f</f>
        <v>6</v>
      </c>
      <c r="F1595" t="b">
        <v>1</v>
      </c>
    </row>
    <row r="1596" spans="1:6" x14ac:dyDescent="0.35">
      <c r="A1596" t="s">
        <v>4969</v>
      </c>
      <c r="B1596" t="s">
        <v>4826</v>
      </c>
      <c r="C1596" t="s">
        <v>4969</v>
      </c>
      <c r="D1596" s="1353" t="s">
        <v>4970</v>
      </c>
      <c r="E1596">
        <f>numteach_assign_tle_g8_m</f>
        <v>7</v>
      </c>
      <c r="F1596" t="b">
        <v>1</v>
      </c>
    </row>
    <row r="1597" spans="1:6" x14ac:dyDescent="0.35">
      <c r="A1597" t="s">
        <v>4991</v>
      </c>
      <c r="B1597" t="s">
        <v>4826</v>
      </c>
      <c r="C1597" t="s">
        <v>4991</v>
      </c>
      <c r="D1597" s="1353" t="s">
        <v>4992</v>
      </c>
      <c r="E1597">
        <f>numteach_assign_tle_g8_f</f>
        <v>5</v>
      </c>
      <c r="F1597" t="b">
        <v>1</v>
      </c>
    </row>
    <row r="1598" spans="1:6" x14ac:dyDescent="0.35">
      <c r="A1598" t="s">
        <v>4838</v>
      </c>
      <c r="B1598" t="s">
        <v>4826</v>
      </c>
      <c r="C1598" t="s">
        <v>4838</v>
      </c>
      <c r="D1598" s="1353" t="s">
        <v>4839</v>
      </c>
      <c r="E1598">
        <f>numteach_assign_tle_g9_m</f>
        <v>5</v>
      </c>
      <c r="F1598" t="b">
        <v>1</v>
      </c>
    </row>
    <row r="1599" spans="1:6" x14ac:dyDescent="0.35">
      <c r="A1599" t="s">
        <v>4854</v>
      </c>
      <c r="B1599" t="s">
        <v>4826</v>
      </c>
      <c r="C1599" t="s">
        <v>4854</v>
      </c>
      <c r="D1599" s="1353" t="s">
        <v>4855</v>
      </c>
      <c r="E1599">
        <f>numteach_assign_tle_g9_f</f>
        <v>5</v>
      </c>
      <c r="F1599" t="b">
        <v>1</v>
      </c>
    </row>
    <row r="1600" spans="1:6" x14ac:dyDescent="0.35">
      <c r="A1600" t="s">
        <v>4870</v>
      </c>
      <c r="B1600" t="s">
        <v>4826</v>
      </c>
      <c r="C1600" t="s">
        <v>4870</v>
      </c>
      <c r="D1600" s="1353" t="s">
        <v>4871</v>
      </c>
      <c r="E1600">
        <f>numteach_assign_tle_g10_m</f>
        <v>4</v>
      </c>
      <c r="F1600" t="b">
        <v>1</v>
      </c>
    </row>
    <row r="1601" spans="1:14" x14ac:dyDescent="0.35">
      <c r="A1601" t="s">
        <v>4886</v>
      </c>
      <c r="B1601" t="s">
        <v>4826</v>
      </c>
      <c r="C1601" t="s">
        <v>4886</v>
      </c>
      <c r="D1601" s="1353" t="s">
        <v>4887</v>
      </c>
      <c r="E1601">
        <f>numteach_assign_tle_g10_f</f>
        <v>5</v>
      </c>
      <c r="F1601" t="b">
        <v>1</v>
      </c>
    </row>
    <row r="1602" spans="1:14" x14ac:dyDescent="0.35">
      <c r="A1602" t="s">
        <v>4929</v>
      </c>
      <c r="B1602" t="s">
        <v>4826</v>
      </c>
      <c r="C1602" t="s">
        <v>4929</v>
      </c>
      <c r="D1602" s="1353" t="s">
        <v>4930</v>
      </c>
      <c r="E1602">
        <f>numteach_assign_mapeh_g7_m</f>
        <v>0</v>
      </c>
      <c r="F1602" t="b">
        <v>1</v>
      </c>
    </row>
    <row r="1603" spans="1:14" x14ac:dyDescent="0.35">
      <c r="A1603" t="s">
        <v>4953</v>
      </c>
      <c r="B1603" t="s">
        <v>4826</v>
      </c>
      <c r="C1603" t="s">
        <v>4953</v>
      </c>
      <c r="D1603" s="1353" t="s">
        <v>4954</v>
      </c>
      <c r="E1603">
        <f>numteach_assign_mapeh_g7_f</f>
        <v>2</v>
      </c>
      <c r="F1603" t="b">
        <v>1</v>
      </c>
    </row>
    <row r="1604" spans="1:14" x14ac:dyDescent="0.35">
      <c r="A1604" t="s">
        <v>4971</v>
      </c>
      <c r="B1604" t="s">
        <v>4826</v>
      </c>
      <c r="C1604" t="s">
        <v>4971</v>
      </c>
      <c r="D1604" s="1353" t="s">
        <v>4972</v>
      </c>
      <c r="E1604">
        <f>numteach_assign_mapeh_g8_m</f>
        <v>0</v>
      </c>
      <c r="F1604" t="b">
        <v>1</v>
      </c>
    </row>
    <row r="1605" spans="1:14" x14ac:dyDescent="0.35">
      <c r="A1605" t="s">
        <v>4993</v>
      </c>
      <c r="B1605" t="s">
        <v>4826</v>
      </c>
      <c r="C1605" t="s">
        <v>4993</v>
      </c>
      <c r="D1605" s="1353" t="s">
        <v>4994</v>
      </c>
      <c r="E1605">
        <f>numteach_assign_mapeh_g8_f</f>
        <v>2</v>
      </c>
      <c r="F1605" t="b">
        <v>1</v>
      </c>
    </row>
    <row r="1606" spans="1:14" x14ac:dyDescent="0.35">
      <c r="A1606" t="s">
        <v>4840</v>
      </c>
      <c r="B1606" t="s">
        <v>4826</v>
      </c>
      <c r="C1606" t="s">
        <v>4840</v>
      </c>
      <c r="D1606" s="1353" t="s">
        <v>4841</v>
      </c>
      <c r="E1606">
        <f>numteach_assign_mapeh_g9_m</f>
        <v>1</v>
      </c>
      <c r="F1606" t="b">
        <v>1</v>
      </c>
    </row>
    <row r="1607" spans="1:14" x14ac:dyDescent="0.35">
      <c r="A1607" t="s">
        <v>4856</v>
      </c>
      <c r="B1607" t="s">
        <v>4826</v>
      </c>
      <c r="C1607" t="s">
        <v>4856</v>
      </c>
      <c r="D1607" s="1353" t="s">
        <v>4857</v>
      </c>
      <c r="E1607">
        <f>numteach_assign_mapeh_g9_f</f>
        <v>2</v>
      </c>
      <c r="F1607" t="b">
        <v>1</v>
      </c>
    </row>
    <row r="1608" spans="1:14" x14ac:dyDescent="0.35">
      <c r="A1608" t="s">
        <v>4872</v>
      </c>
      <c r="B1608" t="s">
        <v>4826</v>
      </c>
      <c r="C1608" t="s">
        <v>4872</v>
      </c>
      <c r="D1608" s="1353" t="s">
        <v>4873</v>
      </c>
      <c r="E1608">
        <f>numteach_assign_mapeh_g10_m</f>
        <v>0</v>
      </c>
      <c r="F1608" t="b">
        <v>1</v>
      </c>
    </row>
    <row r="1609" spans="1:14" x14ac:dyDescent="0.35">
      <c r="A1609" t="s">
        <v>4888</v>
      </c>
      <c r="B1609" t="s">
        <v>4826</v>
      </c>
      <c r="C1609" t="s">
        <v>4888</v>
      </c>
      <c r="D1609" s="1353" t="s">
        <v>4889</v>
      </c>
      <c r="E1609">
        <f>numteach_assign_mapeh_g10_f</f>
        <v>4</v>
      </c>
      <c r="F1609" t="b">
        <v>1</v>
      </c>
    </row>
    <row r="1610" spans="1:14" x14ac:dyDescent="0.35">
      <c r="A1610" t="s">
        <v>4890</v>
      </c>
      <c r="B1610" t="s">
        <v>4826</v>
      </c>
      <c r="C1610" t="s">
        <v>4890</v>
      </c>
      <c r="D1610" s="1353" t="s">
        <v>4891</v>
      </c>
      <c r="E1610">
        <f>numteach_assign_shs_subj_g11_m</f>
        <v>4</v>
      </c>
      <c r="F1610" t="b">
        <v>1</v>
      </c>
    </row>
    <row r="1611" spans="1:14" x14ac:dyDescent="0.35">
      <c r="A1611" t="s">
        <v>4892</v>
      </c>
      <c r="B1611" t="s">
        <v>4826</v>
      </c>
      <c r="C1611" t="s">
        <v>4892</v>
      </c>
      <c r="D1611" s="1353" t="s">
        <v>4893</v>
      </c>
      <c r="E1611">
        <f>numteach_assign_shs_subj_g11_f</f>
        <v>7</v>
      </c>
      <c r="F1611" t="b">
        <v>1</v>
      </c>
    </row>
    <row r="1612" spans="1:14" x14ac:dyDescent="0.35">
      <c r="A1612" t="s">
        <v>4894</v>
      </c>
      <c r="B1612" t="s">
        <v>4826</v>
      </c>
      <c r="C1612" t="s">
        <v>4894</v>
      </c>
      <c r="D1612" s="1353" t="s">
        <v>4895</v>
      </c>
      <c r="E1612">
        <f>numteach_assign_shs_subj_g12_m</f>
        <v>1</v>
      </c>
      <c r="F1612" t="b">
        <v>1</v>
      </c>
    </row>
    <row r="1613" spans="1:14" s="1359" customFormat="1" ht="16" thickBot="1" x14ac:dyDescent="0.4">
      <c r="A1613" s="1359" t="s">
        <v>4896</v>
      </c>
      <c r="B1613" s="1359" t="s">
        <v>4826</v>
      </c>
      <c r="C1613" s="1359" t="s">
        <v>4896</v>
      </c>
      <c r="D1613" s="1361" t="s">
        <v>4897</v>
      </c>
      <c r="E1613" s="1359">
        <f>numteach_assign_shs_subj_g12_f</f>
        <v>2</v>
      </c>
      <c r="F1613" s="1359" t="b">
        <v>1</v>
      </c>
      <c r="N1613" s="1360"/>
    </row>
    <row r="1614" spans="1:14" s="1362" customFormat="1" x14ac:dyDescent="0.35">
      <c r="A1614" s="1362" t="s">
        <v>5073</v>
      </c>
      <c r="B1614" s="1362" t="s">
        <v>5067</v>
      </c>
      <c r="C1614" s="1362" t="s">
        <v>5073</v>
      </c>
      <c r="D1614" s="1362" t="s">
        <v>5074</v>
      </c>
      <c r="E1614" s="1362">
        <f>numteach_highest_educ_attainment_bachelor_m</f>
        <v>10</v>
      </c>
      <c r="F1614" s="1362" t="b">
        <v>1</v>
      </c>
      <c r="N1614" s="1364"/>
    </row>
    <row r="1615" spans="1:14" x14ac:dyDescent="0.35">
      <c r="A1615" t="s">
        <v>5095</v>
      </c>
      <c r="B1615" t="s">
        <v>5067</v>
      </c>
      <c r="C1615" t="s">
        <v>5095</v>
      </c>
      <c r="D1615" t="s">
        <v>5096</v>
      </c>
      <c r="E1615">
        <f>numteach_highest_educ_attainment_bachelor_f</f>
        <v>17</v>
      </c>
      <c r="F1615" t="b">
        <v>1</v>
      </c>
    </row>
    <row r="1616" spans="1:14" x14ac:dyDescent="0.35">
      <c r="A1616" t="s">
        <v>5075</v>
      </c>
      <c r="B1616" t="s">
        <v>5067</v>
      </c>
      <c r="C1616" t="s">
        <v>5075</v>
      </c>
      <c r="D1616" t="s">
        <v>5076</v>
      </c>
      <c r="E1616">
        <f>numteach_highest_educ_attainment_master_units_m</f>
        <v>7</v>
      </c>
      <c r="F1616" t="b">
        <v>1</v>
      </c>
    </row>
    <row r="1617" spans="1:14" x14ac:dyDescent="0.35">
      <c r="A1617" t="s">
        <v>5097</v>
      </c>
      <c r="B1617" t="s">
        <v>5067</v>
      </c>
      <c r="C1617" t="s">
        <v>5097</v>
      </c>
      <c r="D1617" t="s">
        <v>5098</v>
      </c>
      <c r="E1617">
        <f>numteach_highest_educ_attainment_master_units_f</f>
        <v>33</v>
      </c>
      <c r="F1617" t="b">
        <v>1</v>
      </c>
    </row>
    <row r="1618" spans="1:14" x14ac:dyDescent="0.35">
      <c r="A1618" t="s">
        <v>5077</v>
      </c>
      <c r="B1618" t="s">
        <v>5067</v>
      </c>
      <c r="C1618" t="s">
        <v>5077</v>
      </c>
      <c r="D1618" t="s">
        <v>5078</v>
      </c>
      <c r="E1618">
        <f>numteach_highest_educ_attainment_master_m</f>
        <v>1</v>
      </c>
      <c r="F1618" t="b">
        <v>1</v>
      </c>
    </row>
    <row r="1619" spans="1:14" x14ac:dyDescent="0.35">
      <c r="A1619" t="s">
        <v>5099</v>
      </c>
      <c r="B1619" t="s">
        <v>5067</v>
      </c>
      <c r="C1619" t="s">
        <v>5099</v>
      </c>
      <c r="D1619" t="s">
        <v>5100</v>
      </c>
      <c r="E1619">
        <f>numteach_highest_educ_attainment_master_f</f>
        <v>4</v>
      </c>
      <c r="F1619" t="b">
        <v>1</v>
      </c>
    </row>
    <row r="1620" spans="1:14" x14ac:dyDescent="0.35">
      <c r="A1620" t="s">
        <v>5079</v>
      </c>
      <c r="B1620" t="s">
        <v>5067</v>
      </c>
      <c r="C1620" t="s">
        <v>5079</v>
      </c>
      <c r="D1620" t="s">
        <v>5080</v>
      </c>
      <c r="E1620">
        <f>numteach_highest_educ_attainment_doctor_units_m</f>
        <v>0</v>
      </c>
      <c r="F1620" t="b">
        <v>1</v>
      </c>
    </row>
    <row r="1621" spans="1:14" x14ac:dyDescent="0.35">
      <c r="A1621" t="s">
        <v>5101</v>
      </c>
      <c r="B1621" t="s">
        <v>5067</v>
      </c>
      <c r="C1621" t="s">
        <v>5101</v>
      </c>
      <c r="D1621" t="s">
        <v>5102</v>
      </c>
      <c r="E1621">
        <f>numteach_highest_educ_attainment_doctor_units_f</f>
        <v>1</v>
      </c>
      <c r="F1621" t="b">
        <v>1</v>
      </c>
    </row>
    <row r="1622" spans="1:14" x14ac:dyDescent="0.35">
      <c r="A1622" t="s">
        <v>5066</v>
      </c>
      <c r="B1622" t="s">
        <v>5067</v>
      </c>
      <c r="C1622" t="s">
        <v>5066</v>
      </c>
      <c r="D1622" t="s">
        <v>5068</v>
      </c>
      <c r="E1622">
        <f>numteach_highest_educ_attainment_doctor_m</f>
        <v>0</v>
      </c>
      <c r="F1622" t="b">
        <v>1</v>
      </c>
    </row>
    <row r="1623" spans="1:14" s="1359" customFormat="1" ht="16" thickBot="1" x14ac:dyDescent="0.4">
      <c r="A1623" s="1359" t="s">
        <v>5093</v>
      </c>
      <c r="B1623" s="1359" t="s">
        <v>5067</v>
      </c>
      <c r="C1623" s="1359" t="s">
        <v>5093</v>
      </c>
      <c r="D1623" s="1359" t="s">
        <v>5094</v>
      </c>
      <c r="E1623" s="1359">
        <f>numteach_highest_educ_attainment_doctor_f</f>
        <v>0</v>
      </c>
      <c r="F1623" s="1359" t="b">
        <v>1</v>
      </c>
      <c r="N1623" s="1360"/>
    </row>
    <row r="1624" spans="1:14" s="1362" customFormat="1" x14ac:dyDescent="0.35">
      <c r="A1624" s="1362" t="s">
        <v>5028</v>
      </c>
      <c r="B1624" s="1362" t="s">
        <v>5022</v>
      </c>
      <c r="C1624" s="1362" t="s">
        <v>5028</v>
      </c>
      <c r="D1624" s="1362" t="s">
        <v>5029</v>
      </c>
      <c r="E1624" s="1362">
        <f>sciteach_gensci_m</f>
        <v>0</v>
      </c>
      <c r="F1624" s="1362" t="b">
        <v>1</v>
      </c>
      <c r="N1624" s="1364"/>
    </row>
    <row r="1625" spans="1:14" x14ac:dyDescent="0.35">
      <c r="A1625" t="s">
        <v>5042</v>
      </c>
      <c r="B1625" t="s">
        <v>5022</v>
      </c>
      <c r="C1625" t="s">
        <v>5042</v>
      </c>
      <c r="D1625" t="s">
        <v>5043</v>
      </c>
      <c r="E1625">
        <f>sciteach_gensci_f</f>
        <v>5</v>
      </c>
      <c r="F1625" t="b">
        <v>1</v>
      </c>
    </row>
    <row r="1626" spans="1:14" x14ac:dyDescent="0.35">
      <c r="A1626" t="s">
        <v>5030</v>
      </c>
      <c r="B1626" t="s">
        <v>5022</v>
      </c>
      <c r="C1626" t="s">
        <v>5030</v>
      </c>
      <c r="D1626" t="s">
        <v>5031</v>
      </c>
      <c r="E1626">
        <f>sciteach_bio_m</f>
        <v>1</v>
      </c>
      <c r="F1626" t="b">
        <v>1</v>
      </c>
    </row>
    <row r="1627" spans="1:14" x14ac:dyDescent="0.35">
      <c r="A1627" t="s">
        <v>5044</v>
      </c>
      <c r="B1627" t="s">
        <v>5022</v>
      </c>
      <c r="C1627" t="s">
        <v>5044</v>
      </c>
      <c r="D1627" t="s">
        <v>5045</v>
      </c>
      <c r="E1627">
        <f>sciteach_bio_f</f>
        <v>1</v>
      </c>
      <c r="F1627" t="b">
        <v>1</v>
      </c>
    </row>
    <row r="1628" spans="1:14" x14ac:dyDescent="0.35">
      <c r="A1628" t="s">
        <v>5032</v>
      </c>
      <c r="B1628" t="s">
        <v>5022</v>
      </c>
      <c r="C1628" t="s">
        <v>5032</v>
      </c>
      <c r="D1628" t="s">
        <v>5033</v>
      </c>
      <c r="E1628">
        <f>sciteach_chem_m</f>
        <v>1</v>
      </c>
      <c r="F1628" t="b">
        <v>1</v>
      </c>
    </row>
    <row r="1629" spans="1:14" x14ac:dyDescent="0.35">
      <c r="A1629" t="s">
        <v>5046</v>
      </c>
      <c r="B1629" t="s">
        <v>5022</v>
      </c>
      <c r="C1629" t="s">
        <v>5046</v>
      </c>
      <c r="D1629" t="s">
        <v>5047</v>
      </c>
      <c r="E1629">
        <f>sciteach_chem_f</f>
        <v>0</v>
      </c>
      <c r="F1629" t="b">
        <v>1</v>
      </c>
    </row>
    <row r="1630" spans="1:14" x14ac:dyDescent="0.35">
      <c r="A1630" t="s">
        <v>5034</v>
      </c>
      <c r="B1630" t="s">
        <v>5022</v>
      </c>
      <c r="C1630" t="s">
        <v>5034</v>
      </c>
      <c r="D1630" t="s">
        <v>5035</v>
      </c>
      <c r="E1630">
        <f>sciteach_phys_m</f>
        <v>0</v>
      </c>
      <c r="F1630" t="b">
        <v>1</v>
      </c>
    </row>
    <row r="1631" spans="1:14" x14ac:dyDescent="0.35">
      <c r="A1631" t="s">
        <v>5048</v>
      </c>
      <c r="B1631" t="s">
        <v>5022</v>
      </c>
      <c r="C1631" t="s">
        <v>5048</v>
      </c>
      <c r="D1631" t="s">
        <v>5049</v>
      </c>
      <c r="E1631">
        <f>sciteach_phys_f</f>
        <v>4</v>
      </c>
      <c r="F1631" t="b">
        <v>1</v>
      </c>
    </row>
    <row r="1632" spans="1:14" x14ac:dyDescent="0.35">
      <c r="A1632" t="s">
        <v>5021</v>
      </c>
      <c r="B1632" t="s">
        <v>5022</v>
      </c>
      <c r="C1632" t="s">
        <v>5021</v>
      </c>
      <c r="D1632" t="s">
        <v>5023</v>
      </c>
      <c r="E1632">
        <f>sciteach_others_m</f>
        <v>0</v>
      </c>
      <c r="F1632" t="b">
        <v>1</v>
      </c>
    </row>
    <row r="1633" spans="1:14" s="1359" customFormat="1" ht="16" thickBot="1" x14ac:dyDescent="0.4">
      <c r="A1633" s="1359" t="s">
        <v>5040</v>
      </c>
      <c r="B1633" s="1359" t="s">
        <v>5022</v>
      </c>
      <c r="C1633" s="1359" t="s">
        <v>5040</v>
      </c>
      <c r="D1633" s="1359" t="s">
        <v>5041</v>
      </c>
      <c r="E1633" s="1359">
        <f>sciteach_others_f</f>
        <v>1</v>
      </c>
      <c r="F1633" s="1359" t="b">
        <v>1</v>
      </c>
      <c r="N1633" s="1360"/>
    </row>
    <row r="1634" spans="1:14" s="1362" customFormat="1" x14ac:dyDescent="0.35">
      <c r="A1634" s="1362" t="s">
        <v>7411</v>
      </c>
      <c r="B1634" s="1362" t="s">
        <v>4995</v>
      </c>
      <c r="C1634" s="1362" t="s">
        <v>7411</v>
      </c>
      <c r="D1634" s="1362" t="s">
        <v>7419</v>
      </c>
      <c r="E1634" s="1362">
        <f>areaspec_gradmaj_eng_under40</f>
        <v>0</v>
      </c>
      <c r="F1634" s="1362" t="b">
        <v>1</v>
      </c>
      <c r="N1634" s="1364"/>
    </row>
    <row r="1635" spans="1:14" x14ac:dyDescent="0.35">
      <c r="A1635" t="s">
        <v>7403</v>
      </c>
      <c r="B1635" t="s">
        <v>4995</v>
      </c>
      <c r="C1635" t="s">
        <v>7403</v>
      </c>
      <c r="D1635" t="s">
        <v>5081</v>
      </c>
      <c r="E1635">
        <f>areaspec_gradmaj_eng_over40</f>
        <v>0</v>
      </c>
      <c r="F1635" t="b">
        <v>1</v>
      </c>
    </row>
    <row r="1636" spans="1:14" x14ac:dyDescent="0.35">
      <c r="A1636" t="s">
        <v>7427</v>
      </c>
      <c r="B1636" t="s">
        <v>4995</v>
      </c>
      <c r="C1636" t="s">
        <v>7427</v>
      </c>
      <c r="D1636" t="s">
        <v>7443</v>
      </c>
      <c r="E1636">
        <f>areaspec_bachelormaj_eng_under40</f>
        <v>6</v>
      </c>
      <c r="F1636" t="b">
        <v>1</v>
      </c>
    </row>
    <row r="1637" spans="1:14" x14ac:dyDescent="0.35">
      <c r="A1637" t="s">
        <v>7435</v>
      </c>
      <c r="B1637" t="s">
        <v>4995</v>
      </c>
      <c r="C1637" t="s">
        <v>7435</v>
      </c>
      <c r="D1637" t="s">
        <v>7451</v>
      </c>
      <c r="E1637">
        <f>areaspec_bachelormaj_eng_over40</f>
        <v>7</v>
      </c>
      <c r="F1637" t="b">
        <v>1</v>
      </c>
    </row>
    <row r="1638" spans="1:14" x14ac:dyDescent="0.35">
      <c r="A1638" t="s">
        <v>7459</v>
      </c>
      <c r="B1638" t="s">
        <v>4995</v>
      </c>
      <c r="C1638" t="s">
        <v>7459</v>
      </c>
      <c r="D1638" t="s">
        <v>7475</v>
      </c>
      <c r="E1638">
        <f>areaspec_bachelormin_eng_under40</f>
        <v>0</v>
      </c>
      <c r="F1638" t="b">
        <v>1</v>
      </c>
    </row>
    <row r="1639" spans="1:14" x14ac:dyDescent="0.35">
      <c r="A1639" t="s">
        <v>7467</v>
      </c>
      <c r="B1639" t="s">
        <v>4995</v>
      </c>
      <c r="C1639" t="s">
        <v>7467</v>
      </c>
      <c r="D1639" t="s">
        <v>7484</v>
      </c>
      <c r="E1639">
        <f>areaspec_bachelormin_eng_over40</f>
        <v>0</v>
      </c>
      <c r="F1639" t="b">
        <v>1</v>
      </c>
    </row>
    <row r="1640" spans="1:14" x14ac:dyDescent="0.35">
      <c r="A1640" t="s">
        <v>9241</v>
      </c>
      <c r="B1640" t="s">
        <v>4995</v>
      </c>
      <c r="C1640" t="s">
        <v>9241</v>
      </c>
      <c r="D1640" t="s">
        <v>7499</v>
      </c>
      <c r="E1640" cm="1">
        <f t="array" ref="E1640">areaspec_wspcltrng_eng_under40</f>
        <v>0</v>
      </c>
      <c r="F1640" t="b">
        <v>1</v>
      </c>
    </row>
    <row r="1641" spans="1:14" x14ac:dyDescent="0.35">
      <c r="A1641" t="s">
        <v>7491</v>
      </c>
      <c r="B1641" t="s">
        <v>4995</v>
      </c>
      <c r="C1641" t="s">
        <v>7491</v>
      </c>
      <c r="D1641" t="s">
        <v>7507</v>
      </c>
      <c r="E1641">
        <f>areaspec_wspcltrng_eng_over40</f>
        <v>0</v>
      </c>
      <c r="F1641" t="b">
        <v>1</v>
      </c>
    </row>
    <row r="1642" spans="1:14" x14ac:dyDescent="0.35">
      <c r="A1642" t="s">
        <v>9240</v>
      </c>
      <c r="B1642" t="s">
        <v>4995</v>
      </c>
      <c r="C1642" t="s">
        <v>9240</v>
      </c>
      <c r="D1642" t="s">
        <v>7523</v>
      </c>
      <c r="E1642" cm="1">
        <f t="array" ref="E1642">areaspec_wospcltrng_eng_under40</f>
        <v>0</v>
      </c>
      <c r="F1642" t="b">
        <v>1</v>
      </c>
    </row>
    <row r="1643" spans="1:14" x14ac:dyDescent="0.35">
      <c r="A1643" t="s">
        <v>7515</v>
      </c>
      <c r="B1643" t="s">
        <v>4995</v>
      </c>
      <c r="C1643" t="s">
        <v>7515</v>
      </c>
      <c r="D1643" t="s">
        <v>7531</v>
      </c>
      <c r="E1643">
        <f>areaspec_wospcltrng_eng_over40</f>
        <v>0</v>
      </c>
      <c r="F1643" t="b">
        <v>1</v>
      </c>
    </row>
    <row r="1644" spans="1:14" x14ac:dyDescent="0.35">
      <c r="A1644" t="s">
        <v>7412</v>
      </c>
      <c r="B1644" t="s">
        <v>4995</v>
      </c>
      <c r="C1644" t="s">
        <v>7412</v>
      </c>
      <c r="D1644" t="s">
        <v>7420</v>
      </c>
      <c r="E1644">
        <f>areaspec_gradmaj_math_under40</f>
        <v>0</v>
      </c>
      <c r="F1644" t="b">
        <v>1</v>
      </c>
    </row>
    <row r="1645" spans="1:14" x14ac:dyDescent="0.35">
      <c r="A1645" t="s">
        <v>7404</v>
      </c>
      <c r="B1645" t="s">
        <v>4995</v>
      </c>
      <c r="C1645" t="s">
        <v>7404</v>
      </c>
      <c r="D1645" t="s">
        <v>5082</v>
      </c>
      <c r="E1645">
        <f>areaspec_gradmaj_math_over40</f>
        <v>0</v>
      </c>
      <c r="F1645" t="b">
        <v>1</v>
      </c>
    </row>
    <row r="1646" spans="1:14" x14ac:dyDescent="0.35">
      <c r="A1646" t="s">
        <v>7428</v>
      </c>
      <c r="B1646" t="s">
        <v>4995</v>
      </c>
      <c r="C1646" t="s">
        <v>7428</v>
      </c>
      <c r="D1646" t="s">
        <v>7444</v>
      </c>
      <c r="E1646">
        <f>areaspec_bachelormaj_math_under40</f>
        <v>3</v>
      </c>
      <c r="F1646" t="b">
        <v>1</v>
      </c>
    </row>
    <row r="1647" spans="1:14" x14ac:dyDescent="0.35">
      <c r="A1647" t="s">
        <v>7436</v>
      </c>
      <c r="B1647" t="s">
        <v>4995</v>
      </c>
      <c r="C1647" t="s">
        <v>7436</v>
      </c>
      <c r="D1647" t="s">
        <v>7452</v>
      </c>
      <c r="E1647">
        <f>areaspec_bachelormaj_math_over40</f>
        <v>4</v>
      </c>
      <c r="F1647" t="b">
        <v>1</v>
      </c>
    </row>
    <row r="1648" spans="1:14" x14ac:dyDescent="0.35">
      <c r="A1648" t="s">
        <v>7460</v>
      </c>
      <c r="B1648" t="s">
        <v>4995</v>
      </c>
      <c r="C1648" t="s">
        <v>7460</v>
      </c>
      <c r="D1648" t="s">
        <v>7476</v>
      </c>
      <c r="E1648">
        <f>areaspec_bachelormin_math_under40</f>
        <v>0</v>
      </c>
      <c r="F1648" t="b">
        <v>1</v>
      </c>
    </row>
    <row r="1649" spans="1:6" x14ac:dyDescent="0.35">
      <c r="A1649" t="s">
        <v>7468</v>
      </c>
      <c r="B1649" t="s">
        <v>4995</v>
      </c>
      <c r="C1649" t="s">
        <v>7468</v>
      </c>
      <c r="D1649" t="s">
        <v>7485</v>
      </c>
      <c r="E1649">
        <f>areaspec_bachelormin_math_over40</f>
        <v>0</v>
      </c>
      <c r="F1649" t="b">
        <v>1</v>
      </c>
    </row>
    <row r="1650" spans="1:6" x14ac:dyDescent="0.35">
      <c r="A1650" t="s">
        <v>9242</v>
      </c>
      <c r="B1650" t="s">
        <v>4995</v>
      </c>
      <c r="C1650" t="s">
        <v>9242</v>
      </c>
      <c r="D1650" t="s">
        <v>7500</v>
      </c>
      <c r="E1650" cm="1">
        <f t="array" ref="E1650">areaspec_wspcltrng_math_under40</f>
        <v>0</v>
      </c>
      <c r="F1650" t="b">
        <v>1</v>
      </c>
    </row>
    <row r="1651" spans="1:6" x14ac:dyDescent="0.35">
      <c r="A1651" t="s">
        <v>7492</v>
      </c>
      <c r="B1651" t="s">
        <v>4995</v>
      </c>
      <c r="C1651" t="s">
        <v>7492</v>
      </c>
      <c r="D1651" t="s">
        <v>7508</v>
      </c>
      <c r="E1651">
        <f>areaspec_wspcltrng_math_over40</f>
        <v>0</v>
      </c>
      <c r="F1651" t="b">
        <v>1</v>
      </c>
    </row>
    <row r="1652" spans="1:6" x14ac:dyDescent="0.35">
      <c r="A1652" t="s">
        <v>9243</v>
      </c>
      <c r="B1652" t="s">
        <v>4995</v>
      </c>
      <c r="C1652" t="s">
        <v>9243</v>
      </c>
      <c r="D1652" t="s">
        <v>7524</v>
      </c>
      <c r="E1652" cm="1">
        <f t="array" ref="E1652">areaspec_wospcltrng_math_under40</f>
        <v>0</v>
      </c>
      <c r="F1652" t="b">
        <v>1</v>
      </c>
    </row>
    <row r="1653" spans="1:6" x14ac:dyDescent="0.35">
      <c r="A1653" t="s">
        <v>7516</v>
      </c>
      <c r="B1653" t="s">
        <v>4995</v>
      </c>
      <c r="C1653" t="s">
        <v>7516</v>
      </c>
      <c r="D1653" t="s">
        <v>7532</v>
      </c>
      <c r="E1653">
        <f>areaspec_wospcltrng_math_over40</f>
        <v>0</v>
      </c>
      <c r="F1653" t="b">
        <v>1</v>
      </c>
    </row>
    <row r="1654" spans="1:6" x14ac:dyDescent="0.35">
      <c r="A1654" t="s">
        <v>7413</v>
      </c>
      <c r="B1654" t="s">
        <v>4995</v>
      </c>
      <c r="C1654" t="s">
        <v>7413</v>
      </c>
      <c r="D1654" t="s">
        <v>7421</v>
      </c>
      <c r="E1654">
        <f>areaspec_gradmaj_fil_under40</f>
        <v>0</v>
      </c>
      <c r="F1654" t="b">
        <v>1</v>
      </c>
    </row>
    <row r="1655" spans="1:6" x14ac:dyDescent="0.35">
      <c r="A1655" t="s">
        <v>7405</v>
      </c>
      <c r="B1655" t="s">
        <v>4995</v>
      </c>
      <c r="C1655" t="s">
        <v>7405</v>
      </c>
      <c r="D1655" t="s">
        <v>5083</v>
      </c>
      <c r="E1655">
        <f>areaspec_gradmaj_fil_over40</f>
        <v>0</v>
      </c>
      <c r="F1655" t="b">
        <v>1</v>
      </c>
    </row>
    <row r="1656" spans="1:6" x14ac:dyDescent="0.35">
      <c r="A1656" t="s">
        <v>7429</v>
      </c>
      <c r="B1656" t="s">
        <v>4995</v>
      </c>
      <c r="C1656" t="s">
        <v>7429</v>
      </c>
      <c r="D1656" t="s">
        <v>7445</v>
      </c>
      <c r="E1656">
        <f>areaspec_bachelormaj_fil_under40</f>
        <v>3</v>
      </c>
      <c r="F1656" t="b">
        <v>1</v>
      </c>
    </row>
    <row r="1657" spans="1:6" x14ac:dyDescent="0.35">
      <c r="A1657" t="s">
        <v>7437</v>
      </c>
      <c r="B1657" t="s">
        <v>4995</v>
      </c>
      <c r="C1657" t="s">
        <v>7437</v>
      </c>
      <c r="D1657" t="s">
        <v>7453</v>
      </c>
      <c r="E1657">
        <f>areaspec_bachelormaj_fil_over40</f>
        <v>3</v>
      </c>
      <c r="F1657" t="b">
        <v>1</v>
      </c>
    </row>
    <row r="1658" spans="1:6" x14ac:dyDescent="0.35">
      <c r="A1658" t="s">
        <v>7461</v>
      </c>
      <c r="B1658" t="s">
        <v>4995</v>
      </c>
      <c r="C1658" t="s">
        <v>7461</v>
      </c>
      <c r="D1658" t="s">
        <v>7477</v>
      </c>
      <c r="E1658">
        <f>areaspec_bachelormin_fil_under40</f>
        <v>0</v>
      </c>
      <c r="F1658" t="b">
        <v>1</v>
      </c>
    </row>
    <row r="1659" spans="1:6" x14ac:dyDescent="0.35">
      <c r="A1659" t="s">
        <v>7469</v>
      </c>
      <c r="B1659" t="s">
        <v>4995</v>
      </c>
      <c r="C1659" t="s">
        <v>7469</v>
      </c>
      <c r="D1659" t="s">
        <v>7486</v>
      </c>
      <c r="E1659">
        <f>areaspec_bachelormin_fil_over40</f>
        <v>0</v>
      </c>
      <c r="F1659" t="b">
        <v>1</v>
      </c>
    </row>
    <row r="1660" spans="1:6" x14ac:dyDescent="0.35">
      <c r="A1660" t="s">
        <v>9244</v>
      </c>
      <c r="B1660" t="s">
        <v>4995</v>
      </c>
      <c r="C1660" t="s">
        <v>9244</v>
      </c>
      <c r="D1660" t="s">
        <v>7501</v>
      </c>
      <c r="E1660" cm="1">
        <f t="array" ref="E1660">areaspec_wspcltrng_fil_under40</f>
        <v>0</v>
      </c>
      <c r="F1660" t="b">
        <v>1</v>
      </c>
    </row>
    <row r="1661" spans="1:6" x14ac:dyDescent="0.35">
      <c r="A1661" t="s">
        <v>7493</v>
      </c>
      <c r="B1661" t="s">
        <v>4995</v>
      </c>
      <c r="C1661" t="s">
        <v>7493</v>
      </c>
      <c r="D1661" t="s">
        <v>7509</v>
      </c>
      <c r="E1661">
        <f>areaspec_wspcltrng_fil_over40</f>
        <v>0</v>
      </c>
      <c r="F1661" t="b">
        <v>1</v>
      </c>
    </row>
    <row r="1662" spans="1:6" x14ac:dyDescent="0.35">
      <c r="A1662" t="s">
        <v>9245</v>
      </c>
      <c r="B1662" t="s">
        <v>4995</v>
      </c>
      <c r="C1662" t="s">
        <v>9245</v>
      </c>
      <c r="D1662" t="s">
        <v>7525</v>
      </c>
      <c r="E1662" cm="1">
        <f t="array" ref="E1662">areaspec_wospcltrng_fil_under40</f>
        <v>0</v>
      </c>
      <c r="F1662" t="b">
        <v>1</v>
      </c>
    </row>
    <row r="1663" spans="1:6" x14ac:dyDescent="0.35">
      <c r="A1663" t="s">
        <v>7517</v>
      </c>
      <c r="B1663" t="s">
        <v>4995</v>
      </c>
      <c r="C1663" t="s">
        <v>7517</v>
      </c>
      <c r="D1663" t="s">
        <v>7533</v>
      </c>
      <c r="E1663">
        <f>areaspec_wospcltrng_fil_over40</f>
        <v>0</v>
      </c>
      <c r="F1663" t="b">
        <v>1</v>
      </c>
    </row>
    <row r="1664" spans="1:6" x14ac:dyDescent="0.35">
      <c r="A1664" t="s">
        <v>7414</v>
      </c>
      <c r="B1664" t="s">
        <v>4995</v>
      </c>
      <c r="C1664" t="s">
        <v>7414</v>
      </c>
      <c r="D1664" t="s">
        <v>7422</v>
      </c>
      <c r="E1664">
        <f>areaspec_gradmaj_sci_under40</f>
        <v>1</v>
      </c>
      <c r="F1664" t="b">
        <v>1</v>
      </c>
    </row>
    <row r="1665" spans="1:6" x14ac:dyDescent="0.35">
      <c r="A1665" t="s">
        <v>7406</v>
      </c>
      <c r="B1665" t="s">
        <v>4995</v>
      </c>
      <c r="C1665" t="s">
        <v>7406</v>
      </c>
      <c r="D1665" t="s">
        <v>5084</v>
      </c>
      <c r="E1665">
        <f>areaspec_gradmaj_sci_over40</f>
        <v>4</v>
      </c>
      <c r="F1665" t="b">
        <v>1</v>
      </c>
    </row>
    <row r="1666" spans="1:6" x14ac:dyDescent="0.35">
      <c r="A1666" t="s">
        <v>7430</v>
      </c>
      <c r="B1666" t="s">
        <v>4995</v>
      </c>
      <c r="C1666" t="s">
        <v>7430</v>
      </c>
      <c r="D1666" t="s">
        <v>7446</v>
      </c>
      <c r="E1666">
        <f>areaspec_bachelormaj_sci_under40</f>
        <v>6</v>
      </c>
      <c r="F1666" t="b">
        <v>1</v>
      </c>
    </row>
    <row r="1667" spans="1:6" x14ac:dyDescent="0.35">
      <c r="A1667" t="s">
        <v>7438</v>
      </c>
      <c r="B1667" t="s">
        <v>4995</v>
      </c>
      <c r="C1667" t="s">
        <v>7438</v>
      </c>
      <c r="D1667" t="s">
        <v>7454</v>
      </c>
      <c r="E1667">
        <f>areaspec_bachelormaj_sci_over40</f>
        <v>7</v>
      </c>
      <c r="F1667" t="b">
        <v>1</v>
      </c>
    </row>
    <row r="1668" spans="1:6" x14ac:dyDescent="0.35">
      <c r="A1668" t="s">
        <v>7462</v>
      </c>
      <c r="B1668" t="s">
        <v>4995</v>
      </c>
      <c r="C1668" t="s">
        <v>7462</v>
      </c>
      <c r="D1668" t="s">
        <v>7478</v>
      </c>
      <c r="E1668">
        <f>areaspec_bachelormin_sci_under40</f>
        <v>0</v>
      </c>
      <c r="F1668" t="b">
        <v>1</v>
      </c>
    </row>
    <row r="1669" spans="1:6" x14ac:dyDescent="0.35">
      <c r="A1669" t="s">
        <v>7470</v>
      </c>
      <c r="B1669" t="s">
        <v>4995</v>
      </c>
      <c r="C1669" t="s">
        <v>7470</v>
      </c>
      <c r="D1669" t="s">
        <v>7487</v>
      </c>
      <c r="E1669">
        <f>areaspec_bachelormin_sci_over40</f>
        <v>0</v>
      </c>
      <c r="F1669" t="b">
        <v>1</v>
      </c>
    </row>
    <row r="1670" spans="1:6" x14ac:dyDescent="0.35">
      <c r="A1670" t="s">
        <v>9246</v>
      </c>
      <c r="B1670" t="s">
        <v>4995</v>
      </c>
      <c r="C1670" t="s">
        <v>9246</v>
      </c>
      <c r="D1670" t="s">
        <v>7502</v>
      </c>
      <c r="E1670" cm="1">
        <f t="array" ref="E1670">areaspec_wspcltrng_sci_under40</f>
        <v>0</v>
      </c>
      <c r="F1670" t="b">
        <v>1</v>
      </c>
    </row>
    <row r="1671" spans="1:6" x14ac:dyDescent="0.35">
      <c r="A1671" t="s">
        <v>7494</v>
      </c>
      <c r="B1671" t="s">
        <v>4995</v>
      </c>
      <c r="C1671" t="s">
        <v>7494</v>
      </c>
      <c r="D1671" t="s">
        <v>7510</v>
      </c>
      <c r="E1671">
        <f>areaspec_wspcltrng_sci_over40</f>
        <v>0</v>
      </c>
      <c r="F1671" t="b">
        <v>1</v>
      </c>
    </row>
    <row r="1672" spans="1:6" x14ac:dyDescent="0.35">
      <c r="A1672" t="s">
        <v>9247</v>
      </c>
      <c r="B1672" t="s">
        <v>4995</v>
      </c>
      <c r="C1672" t="s">
        <v>9247</v>
      </c>
      <c r="D1672" t="s">
        <v>7526</v>
      </c>
      <c r="E1672" cm="1">
        <f t="array" ref="E1672">areaspec_wospcltrng_sci_under40</f>
        <v>0</v>
      </c>
      <c r="F1672" t="b">
        <v>1</v>
      </c>
    </row>
    <row r="1673" spans="1:6" x14ac:dyDescent="0.35">
      <c r="A1673" t="s">
        <v>7518</v>
      </c>
      <c r="B1673" t="s">
        <v>4995</v>
      </c>
      <c r="C1673" t="s">
        <v>7518</v>
      </c>
      <c r="D1673" t="s">
        <v>7534</v>
      </c>
      <c r="E1673">
        <f>areaspec_wospcltrng_sci_over40</f>
        <v>0</v>
      </c>
      <c r="F1673" t="b">
        <v>1</v>
      </c>
    </row>
    <row r="1674" spans="1:6" x14ac:dyDescent="0.35">
      <c r="A1674" t="s">
        <v>7415</v>
      </c>
      <c r="B1674" t="s">
        <v>4995</v>
      </c>
      <c r="C1674" t="s">
        <v>7415</v>
      </c>
      <c r="D1674" t="s">
        <v>7423</v>
      </c>
      <c r="E1674">
        <f>areaspec_gradmaj_ap_under40</f>
        <v>0</v>
      </c>
      <c r="F1674" t="b">
        <v>1</v>
      </c>
    </row>
    <row r="1675" spans="1:6" x14ac:dyDescent="0.35">
      <c r="A1675" t="s">
        <v>7407</v>
      </c>
      <c r="B1675" t="s">
        <v>4995</v>
      </c>
      <c r="C1675" t="s">
        <v>7407</v>
      </c>
      <c r="D1675" t="s">
        <v>5085</v>
      </c>
      <c r="E1675">
        <f>areaspec_gradmaj_ap_over40</f>
        <v>0</v>
      </c>
      <c r="F1675" t="b">
        <v>1</v>
      </c>
    </row>
    <row r="1676" spans="1:6" x14ac:dyDescent="0.35">
      <c r="A1676" t="s">
        <v>7431</v>
      </c>
      <c r="B1676" t="s">
        <v>4995</v>
      </c>
      <c r="C1676" t="s">
        <v>7431</v>
      </c>
      <c r="D1676" t="s">
        <v>7447</v>
      </c>
      <c r="E1676">
        <f>areaspec_bachelormaj_ap_under40</f>
        <v>3</v>
      </c>
      <c r="F1676" t="b">
        <v>1</v>
      </c>
    </row>
    <row r="1677" spans="1:6" x14ac:dyDescent="0.35">
      <c r="A1677" t="s">
        <v>7439</v>
      </c>
      <c r="B1677" t="s">
        <v>4995</v>
      </c>
      <c r="C1677" t="s">
        <v>7439</v>
      </c>
      <c r="D1677" t="s">
        <v>7455</v>
      </c>
      <c r="E1677">
        <f>areaspec_bachelormaj_ap_over40</f>
        <v>4</v>
      </c>
      <c r="F1677" t="b">
        <v>1</v>
      </c>
    </row>
    <row r="1678" spans="1:6" x14ac:dyDescent="0.35">
      <c r="A1678" t="s">
        <v>7463</v>
      </c>
      <c r="B1678" t="s">
        <v>4995</v>
      </c>
      <c r="C1678" t="s">
        <v>7463</v>
      </c>
      <c r="D1678" t="s">
        <v>7479</v>
      </c>
      <c r="E1678">
        <f>areaspec_bachelormin_ap_under40</f>
        <v>0</v>
      </c>
      <c r="F1678" t="b">
        <v>1</v>
      </c>
    </row>
    <row r="1679" spans="1:6" x14ac:dyDescent="0.35">
      <c r="A1679" t="s">
        <v>7471</v>
      </c>
      <c r="B1679" t="s">
        <v>4995</v>
      </c>
      <c r="C1679" t="s">
        <v>7471</v>
      </c>
      <c r="D1679" t="s">
        <v>7488</v>
      </c>
      <c r="E1679">
        <f>areaspec_bachelormin_ap_over40</f>
        <v>0</v>
      </c>
      <c r="F1679" t="b">
        <v>1</v>
      </c>
    </row>
    <row r="1680" spans="1:6" x14ac:dyDescent="0.35">
      <c r="A1680" t="s">
        <v>9248</v>
      </c>
      <c r="B1680" t="s">
        <v>4995</v>
      </c>
      <c r="C1680" t="s">
        <v>9248</v>
      </c>
      <c r="D1680" t="s">
        <v>7503</v>
      </c>
      <c r="E1680" cm="1">
        <f t="array" ref="E1680">areaspec_wspcltrng_ap_under40</f>
        <v>2</v>
      </c>
      <c r="F1680" t="b">
        <v>1</v>
      </c>
    </row>
    <row r="1681" spans="1:6" x14ac:dyDescent="0.35">
      <c r="A1681" t="s">
        <v>7495</v>
      </c>
      <c r="B1681" t="s">
        <v>4995</v>
      </c>
      <c r="C1681" t="s">
        <v>7495</v>
      </c>
      <c r="D1681" t="s">
        <v>7511</v>
      </c>
      <c r="E1681">
        <f>areaspec_wspcltrng_ap_over40</f>
        <v>0</v>
      </c>
      <c r="F1681" t="b">
        <v>1</v>
      </c>
    </row>
    <row r="1682" spans="1:6" x14ac:dyDescent="0.35">
      <c r="A1682" t="s">
        <v>9249</v>
      </c>
      <c r="B1682" t="s">
        <v>4995</v>
      </c>
      <c r="C1682" t="s">
        <v>9249</v>
      </c>
      <c r="D1682" t="s">
        <v>7527</v>
      </c>
      <c r="E1682" cm="1">
        <f t="array" ref="E1682">areaspec_wospcltrng_ap_under40</f>
        <v>0</v>
      </c>
      <c r="F1682" t="b">
        <v>1</v>
      </c>
    </row>
    <row r="1683" spans="1:6" x14ac:dyDescent="0.35">
      <c r="A1683" t="s">
        <v>7519</v>
      </c>
      <c r="B1683" t="s">
        <v>4995</v>
      </c>
      <c r="C1683" t="s">
        <v>7519</v>
      </c>
      <c r="D1683" t="s">
        <v>7535</v>
      </c>
      <c r="E1683">
        <f>areaspec_wospcltrng_ap_over40</f>
        <v>0</v>
      </c>
      <c r="F1683" t="b">
        <v>1</v>
      </c>
    </row>
    <row r="1684" spans="1:6" x14ac:dyDescent="0.35">
      <c r="A1684" t="s">
        <v>7416</v>
      </c>
      <c r="B1684" t="s">
        <v>4995</v>
      </c>
      <c r="C1684" t="s">
        <v>7416</v>
      </c>
      <c r="D1684" t="s">
        <v>7424</v>
      </c>
      <c r="E1684">
        <f>areaspec_gradmaj_esp_under40</f>
        <v>0</v>
      </c>
      <c r="F1684" t="b">
        <v>1</v>
      </c>
    </row>
    <row r="1685" spans="1:6" x14ac:dyDescent="0.35">
      <c r="A1685" t="s">
        <v>7408</v>
      </c>
      <c r="B1685" t="s">
        <v>4995</v>
      </c>
      <c r="C1685" t="s">
        <v>7408</v>
      </c>
      <c r="D1685" t="s">
        <v>5086</v>
      </c>
      <c r="E1685">
        <f>areaspec_gradmaj_esp_over40</f>
        <v>0</v>
      </c>
      <c r="F1685" t="b">
        <v>1</v>
      </c>
    </row>
    <row r="1686" spans="1:6" x14ac:dyDescent="0.35">
      <c r="A1686" t="s">
        <v>7432</v>
      </c>
      <c r="B1686" t="s">
        <v>4995</v>
      </c>
      <c r="C1686" t="s">
        <v>7432</v>
      </c>
      <c r="D1686" t="s">
        <v>7448</v>
      </c>
      <c r="E1686">
        <f>areaspec_bachelormaj_esp_under40</f>
        <v>0</v>
      </c>
      <c r="F1686" t="b">
        <v>1</v>
      </c>
    </row>
    <row r="1687" spans="1:6" x14ac:dyDescent="0.35">
      <c r="A1687" t="s">
        <v>7440</v>
      </c>
      <c r="B1687" t="s">
        <v>4995</v>
      </c>
      <c r="C1687" t="s">
        <v>7440</v>
      </c>
      <c r="D1687" t="s">
        <v>7456</v>
      </c>
      <c r="E1687">
        <f>areaspec_bachelormaj_esp_over40</f>
        <v>0</v>
      </c>
      <c r="F1687" t="b">
        <v>1</v>
      </c>
    </row>
    <row r="1688" spans="1:6" x14ac:dyDescent="0.35">
      <c r="A1688" t="s">
        <v>7464</v>
      </c>
      <c r="B1688" t="s">
        <v>4995</v>
      </c>
      <c r="C1688" t="s">
        <v>7464</v>
      </c>
      <c r="D1688" t="s">
        <v>7480</v>
      </c>
      <c r="E1688">
        <f>areaspec_bachelormin_esp_under40</f>
        <v>0</v>
      </c>
      <c r="F1688" t="b">
        <v>1</v>
      </c>
    </row>
    <row r="1689" spans="1:6" x14ac:dyDescent="0.35">
      <c r="A1689" t="s">
        <v>7472</v>
      </c>
      <c r="B1689" t="s">
        <v>4995</v>
      </c>
      <c r="C1689" t="s">
        <v>7472</v>
      </c>
      <c r="D1689" t="s">
        <v>7489</v>
      </c>
      <c r="E1689">
        <f>areaspec_bachelormin_esp_over40</f>
        <v>0</v>
      </c>
      <c r="F1689" t="b">
        <v>1</v>
      </c>
    </row>
    <row r="1690" spans="1:6" x14ac:dyDescent="0.35">
      <c r="A1690" t="s">
        <v>9250</v>
      </c>
      <c r="B1690" t="s">
        <v>4995</v>
      </c>
      <c r="C1690" t="s">
        <v>9250</v>
      </c>
      <c r="D1690" t="s">
        <v>7504</v>
      </c>
      <c r="E1690" cm="1">
        <f t="array" ref="E1690">areaspec_wspcltrng_esp_under40</f>
        <v>3</v>
      </c>
      <c r="F1690" t="b">
        <v>1</v>
      </c>
    </row>
    <row r="1691" spans="1:6" x14ac:dyDescent="0.35">
      <c r="A1691" t="s">
        <v>7496</v>
      </c>
      <c r="B1691" t="s">
        <v>4995</v>
      </c>
      <c r="C1691" t="s">
        <v>7496</v>
      </c>
      <c r="D1691" t="s">
        <v>7512</v>
      </c>
      <c r="E1691">
        <f>areaspec_wspcltrng_esp_over40</f>
        <v>4</v>
      </c>
      <c r="F1691" t="b">
        <v>1</v>
      </c>
    </row>
    <row r="1692" spans="1:6" x14ac:dyDescent="0.35">
      <c r="A1692" t="s">
        <v>9251</v>
      </c>
      <c r="B1692" t="s">
        <v>4995</v>
      </c>
      <c r="C1692" t="s">
        <v>9251</v>
      </c>
      <c r="D1692" t="s">
        <v>7528</v>
      </c>
      <c r="E1692" cm="1">
        <f t="array" ref="E1692">areaspec_wospcltrng_esp_under40</f>
        <v>0</v>
      </c>
      <c r="F1692" t="b">
        <v>1</v>
      </c>
    </row>
    <row r="1693" spans="1:6" x14ac:dyDescent="0.35">
      <c r="A1693" t="s">
        <v>7520</v>
      </c>
      <c r="B1693" t="s">
        <v>4995</v>
      </c>
      <c r="C1693" t="s">
        <v>7520</v>
      </c>
      <c r="D1693" t="s">
        <v>7536</v>
      </c>
      <c r="E1693">
        <f>areaspec_wospcltrng_esp_over40</f>
        <v>0</v>
      </c>
      <c r="F1693" t="b">
        <v>1</v>
      </c>
    </row>
    <row r="1694" spans="1:6" x14ac:dyDescent="0.35">
      <c r="A1694" t="s">
        <v>7417</v>
      </c>
      <c r="B1694" t="s">
        <v>4995</v>
      </c>
      <c r="C1694" t="s">
        <v>7417</v>
      </c>
      <c r="D1694" t="s">
        <v>7425</v>
      </c>
      <c r="E1694">
        <f>areaspec_gradmaj_tle_under40</f>
        <v>0</v>
      </c>
      <c r="F1694" t="b">
        <v>1</v>
      </c>
    </row>
    <row r="1695" spans="1:6" x14ac:dyDescent="0.35">
      <c r="A1695" t="s">
        <v>7409</v>
      </c>
      <c r="B1695" t="s">
        <v>4995</v>
      </c>
      <c r="C1695" t="s">
        <v>7409</v>
      </c>
      <c r="D1695" t="s">
        <v>5087</v>
      </c>
      <c r="E1695">
        <f>areaspec_gradmaj_tle_over40</f>
        <v>0</v>
      </c>
      <c r="F1695" t="b">
        <v>1</v>
      </c>
    </row>
    <row r="1696" spans="1:6" x14ac:dyDescent="0.35">
      <c r="A1696" t="s">
        <v>7433</v>
      </c>
      <c r="B1696" t="s">
        <v>4995</v>
      </c>
      <c r="C1696" t="s">
        <v>7433</v>
      </c>
      <c r="D1696" t="s">
        <v>7449</v>
      </c>
      <c r="E1696">
        <f>areaspec_bachelormaj_tle_under40</f>
        <v>5</v>
      </c>
      <c r="F1696" t="b">
        <v>1</v>
      </c>
    </row>
    <row r="1697" spans="1:6" x14ac:dyDescent="0.35">
      <c r="A1697" t="s">
        <v>7441</v>
      </c>
      <c r="B1697" t="s">
        <v>4995</v>
      </c>
      <c r="C1697" t="s">
        <v>7441</v>
      </c>
      <c r="D1697" t="s">
        <v>7457</v>
      </c>
      <c r="E1697">
        <f>areaspec_bachelormaj_tle_over40</f>
        <v>10</v>
      </c>
      <c r="F1697" t="b">
        <v>1</v>
      </c>
    </row>
    <row r="1698" spans="1:6" x14ac:dyDescent="0.35">
      <c r="A1698" t="s">
        <v>7465</v>
      </c>
      <c r="B1698" t="s">
        <v>4995</v>
      </c>
      <c r="C1698" t="s">
        <v>7465</v>
      </c>
      <c r="D1698" t="s">
        <v>7481</v>
      </c>
      <c r="E1698">
        <f>areaspec_bachelormin_tle_under40</f>
        <v>0</v>
      </c>
      <c r="F1698" t="b">
        <v>1</v>
      </c>
    </row>
    <row r="1699" spans="1:6" x14ac:dyDescent="0.35">
      <c r="A1699" t="s">
        <v>7473</v>
      </c>
      <c r="B1699" t="s">
        <v>4995</v>
      </c>
      <c r="C1699" t="s">
        <v>7473</v>
      </c>
      <c r="D1699" t="s">
        <v>7490</v>
      </c>
      <c r="E1699">
        <f>areaspec_bachelormin_tle_over40</f>
        <v>0</v>
      </c>
      <c r="F1699" t="b">
        <v>1</v>
      </c>
    </row>
    <row r="1700" spans="1:6" x14ac:dyDescent="0.35">
      <c r="A1700" t="s">
        <v>9252</v>
      </c>
      <c r="B1700" t="s">
        <v>4995</v>
      </c>
      <c r="C1700" t="s">
        <v>9252</v>
      </c>
      <c r="D1700" t="s">
        <v>7505</v>
      </c>
      <c r="E1700" cm="1">
        <f t="array" ref="E1700">areaspec_wspcltrng_tle_under40</f>
        <v>0</v>
      </c>
      <c r="F1700" t="b">
        <v>1</v>
      </c>
    </row>
    <row r="1701" spans="1:6" x14ac:dyDescent="0.35">
      <c r="A1701" t="s">
        <v>7497</v>
      </c>
      <c r="B1701" t="s">
        <v>4995</v>
      </c>
      <c r="C1701" t="s">
        <v>7497</v>
      </c>
      <c r="D1701" t="s">
        <v>7513</v>
      </c>
      <c r="E1701">
        <f>areaspec_wspcltrng_tle_over40</f>
        <v>3</v>
      </c>
      <c r="F1701" t="b">
        <v>1</v>
      </c>
    </row>
    <row r="1702" spans="1:6" x14ac:dyDescent="0.35">
      <c r="A1702" t="s">
        <v>9253</v>
      </c>
      <c r="B1702" t="s">
        <v>4995</v>
      </c>
      <c r="C1702" t="s">
        <v>9253</v>
      </c>
      <c r="D1702" t="s">
        <v>7529</v>
      </c>
      <c r="E1702" cm="1">
        <f t="array" ref="E1702">areaspec_wospcltrng_tle_under40</f>
        <v>0</v>
      </c>
      <c r="F1702" t="b">
        <v>1</v>
      </c>
    </row>
    <row r="1703" spans="1:6" x14ac:dyDescent="0.35">
      <c r="A1703" t="s">
        <v>7521</v>
      </c>
      <c r="B1703" t="s">
        <v>4995</v>
      </c>
      <c r="C1703" t="s">
        <v>7521</v>
      </c>
      <c r="D1703" t="s">
        <v>7537</v>
      </c>
      <c r="E1703">
        <f>areaspec_wospcltrng_tle_over40</f>
        <v>0</v>
      </c>
      <c r="F1703" t="b">
        <v>1</v>
      </c>
    </row>
    <row r="1704" spans="1:6" x14ac:dyDescent="0.35">
      <c r="A1704" t="s">
        <v>7418</v>
      </c>
      <c r="B1704" t="s">
        <v>4995</v>
      </c>
      <c r="C1704" t="s">
        <v>7418</v>
      </c>
      <c r="D1704" t="s">
        <v>7426</v>
      </c>
      <c r="E1704">
        <f>areaspec_gradmaj_mapeh_under40</f>
        <v>0</v>
      </c>
      <c r="F1704" t="b">
        <v>1</v>
      </c>
    </row>
    <row r="1705" spans="1:6" x14ac:dyDescent="0.35">
      <c r="A1705" t="s">
        <v>7410</v>
      </c>
      <c r="B1705" t="s">
        <v>4995</v>
      </c>
      <c r="C1705" t="s">
        <v>7410</v>
      </c>
      <c r="D1705" t="s">
        <v>5088</v>
      </c>
      <c r="E1705">
        <f>areaspec_gradmaj_mapeh_over40</f>
        <v>0</v>
      </c>
      <c r="F1705" t="b">
        <v>1</v>
      </c>
    </row>
    <row r="1706" spans="1:6" x14ac:dyDescent="0.35">
      <c r="A1706" t="s">
        <v>7434</v>
      </c>
      <c r="B1706" t="s">
        <v>4995</v>
      </c>
      <c r="C1706" t="s">
        <v>7434</v>
      </c>
      <c r="D1706" t="s">
        <v>7450</v>
      </c>
      <c r="E1706">
        <f>areaspec_bachelormaj_mapeh_under40</f>
        <v>3</v>
      </c>
      <c r="F1706" t="b">
        <v>1</v>
      </c>
    </row>
    <row r="1707" spans="1:6" x14ac:dyDescent="0.35">
      <c r="A1707" t="s">
        <v>7442</v>
      </c>
      <c r="B1707" t="s">
        <v>4995</v>
      </c>
      <c r="C1707" t="s">
        <v>7442</v>
      </c>
      <c r="D1707" t="s">
        <v>7458</v>
      </c>
      <c r="E1707">
        <f>areaspec_bachelormaj_mapeh_over40</f>
        <v>3</v>
      </c>
      <c r="F1707" t="b">
        <v>1</v>
      </c>
    </row>
    <row r="1708" spans="1:6" x14ac:dyDescent="0.35">
      <c r="A1708" t="s">
        <v>7466</v>
      </c>
      <c r="B1708" t="s">
        <v>4995</v>
      </c>
      <c r="C1708" t="s">
        <v>7466</v>
      </c>
      <c r="D1708" t="s">
        <v>7482</v>
      </c>
      <c r="E1708">
        <f>areaspec_bachelormin_mapeh_under40</f>
        <v>0</v>
      </c>
      <c r="F1708" t="b">
        <v>1</v>
      </c>
    </row>
    <row r="1709" spans="1:6" x14ac:dyDescent="0.35">
      <c r="A1709" t="s">
        <v>7474</v>
      </c>
      <c r="B1709" t="s">
        <v>4995</v>
      </c>
      <c r="C1709" t="s">
        <v>7474</v>
      </c>
      <c r="D1709" t="s">
        <v>7483</v>
      </c>
      <c r="E1709">
        <f>areaspec_bachelormin_mapeh_over40</f>
        <v>0</v>
      </c>
      <c r="F1709" t="b">
        <v>1</v>
      </c>
    </row>
    <row r="1710" spans="1:6" x14ac:dyDescent="0.35">
      <c r="A1710" t="s">
        <v>9254</v>
      </c>
      <c r="B1710" t="s">
        <v>4995</v>
      </c>
      <c r="C1710" t="s">
        <v>9254</v>
      </c>
      <c r="D1710" t="s">
        <v>7506</v>
      </c>
      <c r="E1710" cm="1">
        <f t="array" ref="E1710">areaspec_wspcltrng_mapeh_under40</f>
        <v>0</v>
      </c>
      <c r="F1710" t="b">
        <v>1</v>
      </c>
    </row>
    <row r="1711" spans="1:6" x14ac:dyDescent="0.35">
      <c r="A1711" t="s">
        <v>7498</v>
      </c>
      <c r="B1711" t="s">
        <v>4995</v>
      </c>
      <c r="C1711" t="s">
        <v>7498</v>
      </c>
      <c r="D1711" t="s">
        <v>7514</v>
      </c>
      <c r="E1711">
        <f>areaspec_wspcltrng_mapeh_over40</f>
        <v>0</v>
      </c>
      <c r="F1711" t="b">
        <v>1</v>
      </c>
    </row>
    <row r="1712" spans="1:6" x14ac:dyDescent="0.35">
      <c r="A1712" t="s">
        <v>9255</v>
      </c>
      <c r="B1712" t="s">
        <v>4995</v>
      </c>
      <c r="C1712" t="s">
        <v>9255</v>
      </c>
      <c r="D1712" t="s">
        <v>7530</v>
      </c>
      <c r="E1712" cm="1">
        <f t="array" ref="E1712">areaspec_wospcltrng_mapeh_under40</f>
        <v>0</v>
      </c>
      <c r="F1712" t="b">
        <v>1</v>
      </c>
    </row>
    <row r="1713" spans="1:14" ht="16" thickBot="1" x14ac:dyDescent="0.4">
      <c r="A1713" t="s">
        <v>7522</v>
      </c>
      <c r="B1713" t="s">
        <v>4995</v>
      </c>
      <c r="C1713" t="s">
        <v>7522</v>
      </c>
      <c r="D1713" t="s">
        <v>7538</v>
      </c>
      <c r="E1713">
        <f>areaspec_wospcltrng_mapeh_over40</f>
        <v>0</v>
      </c>
      <c r="F1713" t="b">
        <v>1</v>
      </c>
    </row>
    <row r="1714" spans="1:14" s="1350" customFormat="1" x14ac:dyDescent="0.35">
      <c r="A1714" s="1350" t="s">
        <v>5058</v>
      </c>
      <c r="B1714" s="1350" t="s">
        <v>4997</v>
      </c>
      <c r="C1714" s="1350" t="s">
        <v>5058</v>
      </c>
      <c r="D1714" s="1350" t="s">
        <v>9256</v>
      </c>
      <c r="E1714" s="1350">
        <f>mathnsciteach_eng_engmaj_fulltime</f>
        <v>12</v>
      </c>
      <c r="F1714" s="1350" t="b">
        <v>1</v>
      </c>
      <c r="N1714" s="1357"/>
    </row>
    <row r="1715" spans="1:14" x14ac:dyDescent="0.35">
      <c r="A1715" t="s">
        <v>5062</v>
      </c>
      <c r="B1715" t="s">
        <v>4997</v>
      </c>
      <c r="C1715" t="s">
        <v>5062</v>
      </c>
      <c r="D1715" t="s">
        <v>9257</v>
      </c>
      <c r="E1715">
        <f>mathnsciteach_eng_filmaj_fulltime</f>
        <v>0</v>
      </c>
      <c r="F1715" t="b">
        <v>1</v>
      </c>
    </row>
    <row r="1716" spans="1:14" x14ac:dyDescent="0.35">
      <c r="A1716" t="s">
        <v>5069</v>
      </c>
      <c r="B1716" t="s">
        <v>4997</v>
      </c>
      <c r="C1716" t="s">
        <v>5069</v>
      </c>
      <c r="D1716" t="s">
        <v>9258</v>
      </c>
      <c r="E1716">
        <f>mathnsciteach_eng_mathmaj_fulltime</f>
        <v>0</v>
      </c>
      <c r="F1716" t="b">
        <v>1</v>
      </c>
    </row>
    <row r="1717" spans="1:14" x14ac:dyDescent="0.35">
      <c r="A1717" t="s">
        <v>5089</v>
      </c>
      <c r="B1717" t="s">
        <v>4997</v>
      </c>
      <c r="C1717" t="s">
        <v>5089</v>
      </c>
      <c r="D1717" t="s">
        <v>9259</v>
      </c>
      <c r="E1717">
        <f>mathnsciteach_eng_scimaj_fulltime</f>
        <v>0</v>
      </c>
      <c r="F1717" t="b">
        <v>1</v>
      </c>
    </row>
    <row r="1718" spans="1:14" x14ac:dyDescent="0.35">
      <c r="A1718" t="s">
        <v>5103</v>
      </c>
      <c r="B1718" t="s">
        <v>4997</v>
      </c>
      <c r="C1718" t="s">
        <v>5103</v>
      </c>
      <c r="D1718" t="s">
        <v>9260</v>
      </c>
      <c r="E1718">
        <f>mathnsciteach_eng_engmin_fulltime</f>
        <v>0</v>
      </c>
      <c r="F1718" t="b">
        <v>1</v>
      </c>
    </row>
    <row r="1719" spans="1:14" x14ac:dyDescent="0.35">
      <c r="A1719" t="s">
        <v>5107</v>
      </c>
      <c r="B1719" t="s">
        <v>4997</v>
      </c>
      <c r="C1719" t="s">
        <v>5107</v>
      </c>
      <c r="D1719" t="s">
        <v>9261</v>
      </c>
      <c r="E1719">
        <f>mathnsciteach_eng_filmin_fulltime</f>
        <v>0</v>
      </c>
      <c r="F1719" t="b">
        <v>1</v>
      </c>
    </row>
    <row r="1720" spans="1:14" x14ac:dyDescent="0.35">
      <c r="A1720" t="s">
        <v>5111</v>
      </c>
      <c r="B1720" t="s">
        <v>4997</v>
      </c>
      <c r="C1720" t="s">
        <v>5111</v>
      </c>
      <c r="D1720" t="s">
        <v>9262</v>
      </c>
      <c r="E1720">
        <f>mathnsciteach_eng_mathmin_fulltime</f>
        <v>0</v>
      </c>
      <c r="F1720" t="b">
        <v>1</v>
      </c>
    </row>
    <row r="1721" spans="1:14" x14ac:dyDescent="0.35">
      <c r="A1721" t="s">
        <v>4996</v>
      </c>
      <c r="B1721" t="s">
        <v>4997</v>
      </c>
      <c r="C1721" t="s">
        <v>4996</v>
      </c>
      <c r="D1721" t="s">
        <v>7397</v>
      </c>
      <c r="E1721">
        <f>mathnsciteach_eng_scimin_fulltime</f>
        <v>0</v>
      </c>
      <c r="F1721" t="b">
        <v>1</v>
      </c>
    </row>
    <row r="1722" spans="1:14" x14ac:dyDescent="0.35">
      <c r="A1722" t="s">
        <v>12575</v>
      </c>
      <c r="B1722" t="s">
        <v>4997</v>
      </c>
      <c r="C1722" t="s">
        <v>12575</v>
      </c>
      <c r="D1722" t="s">
        <v>7400</v>
      </c>
      <c r="E1722">
        <f>mathnsciteach_eng_othermajmin_fulltime</f>
        <v>0</v>
      </c>
      <c r="F1722" t="b">
        <v>1</v>
      </c>
    </row>
    <row r="1723" spans="1:14" x14ac:dyDescent="0.35">
      <c r="A1723" t="s">
        <v>5001</v>
      </c>
      <c r="B1723" t="s">
        <v>4997</v>
      </c>
      <c r="C1723" t="s">
        <v>5001</v>
      </c>
      <c r="D1723" t="s">
        <v>9263</v>
      </c>
      <c r="E1723">
        <f>mathnsciteach_eng_engmaj_parttime</f>
        <v>0</v>
      </c>
      <c r="F1723" t="b">
        <v>1</v>
      </c>
    </row>
    <row r="1724" spans="1:14" x14ac:dyDescent="0.35">
      <c r="A1724" t="s">
        <v>5005</v>
      </c>
      <c r="B1724" t="s">
        <v>4997</v>
      </c>
      <c r="C1724" t="s">
        <v>5005</v>
      </c>
      <c r="D1724" t="s">
        <v>9264</v>
      </c>
      <c r="E1724">
        <f>mathnsciteach_eng_filmaj_parttime</f>
        <v>0</v>
      </c>
      <c r="F1724" t="b">
        <v>1</v>
      </c>
    </row>
    <row r="1725" spans="1:14" x14ac:dyDescent="0.35">
      <c r="A1725" t="s">
        <v>5009</v>
      </c>
      <c r="B1725" t="s">
        <v>4997</v>
      </c>
      <c r="C1725" t="s">
        <v>5009</v>
      </c>
      <c r="D1725" t="s">
        <v>9265</v>
      </c>
      <c r="E1725">
        <f>mathnsciteach_eng_mathmaj_parttime</f>
        <v>0</v>
      </c>
      <c r="F1725" t="b">
        <v>1</v>
      </c>
    </row>
    <row r="1726" spans="1:14" x14ac:dyDescent="0.35">
      <c r="A1726" t="s">
        <v>5013</v>
      </c>
      <c r="B1726" t="s">
        <v>4997</v>
      </c>
      <c r="C1726" t="s">
        <v>5013</v>
      </c>
      <c r="D1726" t="s">
        <v>9266</v>
      </c>
      <c r="E1726">
        <f>mathnsciteach_eng_scimaj_parttime</f>
        <v>0</v>
      </c>
      <c r="F1726" t="b">
        <v>1</v>
      </c>
    </row>
    <row r="1727" spans="1:14" x14ac:dyDescent="0.35">
      <c r="A1727" t="s">
        <v>5017</v>
      </c>
      <c r="B1727" t="s">
        <v>4997</v>
      </c>
      <c r="C1727" t="s">
        <v>5017</v>
      </c>
      <c r="D1727" t="s">
        <v>9267</v>
      </c>
      <c r="E1727">
        <f>mathnsciteach_eng_engmin_parttime</f>
        <v>0</v>
      </c>
      <c r="F1727" t="b">
        <v>1</v>
      </c>
    </row>
    <row r="1728" spans="1:14" x14ac:dyDescent="0.35">
      <c r="A1728" t="s">
        <v>5024</v>
      </c>
      <c r="B1728" t="s">
        <v>4997</v>
      </c>
      <c r="C1728" t="s">
        <v>5024</v>
      </c>
      <c r="D1728" t="s">
        <v>9268</v>
      </c>
      <c r="E1728">
        <f>mathnsciteach_eng_filmin_parttime</f>
        <v>0</v>
      </c>
      <c r="F1728" t="b">
        <v>1</v>
      </c>
    </row>
    <row r="1729" spans="1:6" x14ac:dyDescent="0.35">
      <c r="A1729" t="s">
        <v>5036</v>
      </c>
      <c r="B1729" t="s">
        <v>4997</v>
      </c>
      <c r="C1729" t="s">
        <v>5036</v>
      </c>
      <c r="D1729" t="s">
        <v>9269</v>
      </c>
      <c r="E1729">
        <f>mathnsciteach_eng_mathmin_parttime</f>
        <v>0</v>
      </c>
      <c r="F1729" t="b">
        <v>1</v>
      </c>
    </row>
    <row r="1730" spans="1:6" x14ac:dyDescent="0.35">
      <c r="A1730" t="s">
        <v>5050</v>
      </c>
      <c r="B1730" t="s">
        <v>4997</v>
      </c>
      <c r="C1730" t="s">
        <v>5050</v>
      </c>
      <c r="D1730" t="s">
        <v>9270</v>
      </c>
      <c r="E1730">
        <f>mathnsciteach_eng_scimin_parttime</f>
        <v>0</v>
      </c>
      <c r="F1730" t="b">
        <v>1</v>
      </c>
    </row>
    <row r="1731" spans="1:6" x14ac:dyDescent="0.35">
      <c r="A1731" t="s">
        <v>5054</v>
      </c>
      <c r="B1731" t="s">
        <v>4997</v>
      </c>
      <c r="C1731" t="s">
        <v>5054</v>
      </c>
      <c r="D1731" t="s">
        <v>9271</v>
      </c>
      <c r="E1731">
        <f>mathnsciteach_eng_othermajmin_parttime</f>
        <v>0</v>
      </c>
      <c r="F1731" t="b">
        <v>1</v>
      </c>
    </row>
    <row r="1732" spans="1:6" x14ac:dyDescent="0.35">
      <c r="A1732" t="s">
        <v>5059</v>
      </c>
      <c r="B1732" t="s">
        <v>4997</v>
      </c>
      <c r="C1732" t="s">
        <v>5059</v>
      </c>
      <c r="D1732" t="s">
        <v>9272</v>
      </c>
      <c r="E1732">
        <f>mathnsciteach_fil_engmaj_fulltime</f>
        <v>3</v>
      </c>
      <c r="F1732" t="b">
        <v>1</v>
      </c>
    </row>
    <row r="1733" spans="1:6" x14ac:dyDescent="0.35">
      <c r="A1733" t="s">
        <v>5063</v>
      </c>
      <c r="B1733" t="s">
        <v>4997</v>
      </c>
      <c r="C1733" t="s">
        <v>5063</v>
      </c>
      <c r="D1733" t="s">
        <v>9273</v>
      </c>
      <c r="E1733">
        <f>mathnsciteach_fil_filmaj_fulltime</f>
        <v>7</v>
      </c>
      <c r="F1733" t="b">
        <v>1</v>
      </c>
    </row>
    <row r="1734" spans="1:6" x14ac:dyDescent="0.35">
      <c r="A1734" t="s">
        <v>5070</v>
      </c>
      <c r="B1734" t="s">
        <v>4997</v>
      </c>
      <c r="C1734" t="s">
        <v>5070</v>
      </c>
      <c r="D1734" t="s">
        <v>9274</v>
      </c>
      <c r="E1734">
        <f>mathnsciteach_fil_mathmaj_fulltime</f>
        <v>0</v>
      </c>
      <c r="F1734" t="b">
        <v>1</v>
      </c>
    </row>
    <row r="1735" spans="1:6" x14ac:dyDescent="0.35">
      <c r="A1735" t="s">
        <v>5090</v>
      </c>
      <c r="B1735" t="s">
        <v>4997</v>
      </c>
      <c r="C1735" t="s">
        <v>5090</v>
      </c>
      <c r="D1735" t="s">
        <v>9275</v>
      </c>
      <c r="E1735">
        <f>mathnsciteach_fil_scimaj_fulltime</f>
        <v>0</v>
      </c>
      <c r="F1735" t="b">
        <v>1</v>
      </c>
    </row>
    <row r="1736" spans="1:6" x14ac:dyDescent="0.35">
      <c r="A1736" t="s">
        <v>5104</v>
      </c>
      <c r="B1736" t="s">
        <v>4997</v>
      </c>
      <c r="C1736" t="s">
        <v>5104</v>
      </c>
      <c r="D1736" t="s">
        <v>9276</v>
      </c>
      <c r="E1736">
        <f>mathnsciteach_fil_engmin_fulltime</f>
        <v>0</v>
      </c>
      <c r="F1736" t="b">
        <v>1</v>
      </c>
    </row>
    <row r="1737" spans="1:6" x14ac:dyDescent="0.35">
      <c r="A1737" t="s">
        <v>5108</v>
      </c>
      <c r="B1737" t="s">
        <v>4997</v>
      </c>
      <c r="C1737" t="s">
        <v>5108</v>
      </c>
      <c r="D1737" t="s">
        <v>9277</v>
      </c>
      <c r="E1737">
        <f>mathnsciteach_fil_filmin_fulltime</f>
        <v>0</v>
      </c>
      <c r="F1737" t="b">
        <v>1</v>
      </c>
    </row>
    <row r="1738" spans="1:6" x14ac:dyDescent="0.35">
      <c r="A1738" t="s">
        <v>5112</v>
      </c>
      <c r="B1738" t="s">
        <v>4997</v>
      </c>
      <c r="C1738" t="s">
        <v>5112</v>
      </c>
      <c r="D1738" t="s">
        <v>9278</v>
      </c>
      <c r="E1738">
        <f>mathnsciteach_fil_mathmin_fulltime</f>
        <v>0</v>
      </c>
      <c r="F1738" t="b">
        <v>1</v>
      </c>
    </row>
    <row r="1739" spans="1:6" x14ac:dyDescent="0.35">
      <c r="A1739" t="s">
        <v>4998</v>
      </c>
      <c r="B1739" t="s">
        <v>4997</v>
      </c>
      <c r="C1739" t="s">
        <v>4998</v>
      </c>
      <c r="D1739" t="s">
        <v>7398</v>
      </c>
      <c r="E1739">
        <f>mathnsciteach_fil_scimin_fulltime</f>
        <v>0</v>
      </c>
      <c r="F1739" t="b">
        <v>1</v>
      </c>
    </row>
    <row r="1740" spans="1:6" x14ac:dyDescent="0.35">
      <c r="A1740" t="s">
        <v>12576</v>
      </c>
      <c r="B1740" t="s">
        <v>4997</v>
      </c>
      <c r="C1740" t="s">
        <v>12576</v>
      </c>
      <c r="D1740" t="s">
        <v>7401</v>
      </c>
      <c r="E1740">
        <f>mathnsciteach_fil_othermajmin_fulltime</f>
        <v>0</v>
      </c>
      <c r="F1740" t="b">
        <v>1</v>
      </c>
    </row>
    <row r="1741" spans="1:6" x14ac:dyDescent="0.35">
      <c r="A1741" t="s">
        <v>5002</v>
      </c>
      <c r="B1741" t="s">
        <v>4997</v>
      </c>
      <c r="C1741" t="s">
        <v>5002</v>
      </c>
      <c r="D1741" t="s">
        <v>9279</v>
      </c>
      <c r="E1741">
        <f>mathnsciteach_fil_engmaj_parttime</f>
        <v>0</v>
      </c>
      <c r="F1741" t="b">
        <v>1</v>
      </c>
    </row>
    <row r="1742" spans="1:6" x14ac:dyDescent="0.35">
      <c r="A1742" t="s">
        <v>5006</v>
      </c>
      <c r="B1742" t="s">
        <v>4997</v>
      </c>
      <c r="C1742" t="s">
        <v>5006</v>
      </c>
      <c r="D1742" t="s">
        <v>9280</v>
      </c>
      <c r="E1742">
        <f>mathnsciteach_fil_filmaj_parttime</f>
        <v>0</v>
      </c>
      <c r="F1742" t="b">
        <v>1</v>
      </c>
    </row>
    <row r="1743" spans="1:6" x14ac:dyDescent="0.35">
      <c r="A1743" t="s">
        <v>5010</v>
      </c>
      <c r="B1743" t="s">
        <v>4997</v>
      </c>
      <c r="C1743" t="s">
        <v>5010</v>
      </c>
      <c r="D1743" t="s">
        <v>9281</v>
      </c>
      <c r="E1743">
        <f>mathnsciteach_fil_mathmaj_parttime</f>
        <v>0</v>
      </c>
      <c r="F1743" t="b">
        <v>1</v>
      </c>
    </row>
    <row r="1744" spans="1:6" x14ac:dyDescent="0.35">
      <c r="A1744" t="s">
        <v>5014</v>
      </c>
      <c r="B1744" t="s">
        <v>4997</v>
      </c>
      <c r="C1744" t="s">
        <v>5014</v>
      </c>
      <c r="D1744" t="s">
        <v>9282</v>
      </c>
      <c r="E1744">
        <f>mathnsciteach_fil_scimaj_parttime</f>
        <v>0</v>
      </c>
      <c r="F1744" t="b">
        <v>1</v>
      </c>
    </row>
    <row r="1745" spans="1:6" x14ac:dyDescent="0.35">
      <c r="A1745" t="s">
        <v>5018</v>
      </c>
      <c r="B1745" t="s">
        <v>4997</v>
      </c>
      <c r="C1745" t="s">
        <v>5018</v>
      </c>
      <c r="D1745" t="s">
        <v>9283</v>
      </c>
      <c r="E1745">
        <f>mathnsciteach_fil_engmin_parttime</f>
        <v>0</v>
      </c>
      <c r="F1745" t="b">
        <v>1</v>
      </c>
    </row>
    <row r="1746" spans="1:6" x14ac:dyDescent="0.35">
      <c r="A1746" t="s">
        <v>5025</v>
      </c>
      <c r="B1746" t="s">
        <v>4997</v>
      </c>
      <c r="C1746" t="s">
        <v>5025</v>
      </c>
      <c r="D1746" t="s">
        <v>9284</v>
      </c>
      <c r="E1746">
        <f>mathnsciteach_fil_filmin_parttime</f>
        <v>0</v>
      </c>
      <c r="F1746" t="b">
        <v>1</v>
      </c>
    </row>
    <row r="1747" spans="1:6" x14ac:dyDescent="0.35">
      <c r="A1747" t="s">
        <v>5037</v>
      </c>
      <c r="B1747" t="s">
        <v>4997</v>
      </c>
      <c r="C1747" t="s">
        <v>5037</v>
      </c>
      <c r="D1747" t="s">
        <v>9285</v>
      </c>
      <c r="E1747">
        <f>mathnsciteach_fil_mathmin_parttime</f>
        <v>0</v>
      </c>
      <c r="F1747" t="b">
        <v>1</v>
      </c>
    </row>
    <row r="1748" spans="1:6" x14ac:dyDescent="0.35">
      <c r="A1748" t="s">
        <v>5051</v>
      </c>
      <c r="B1748" t="s">
        <v>4997</v>
      </c>
      <c r="C1748" t="s">
        <v>5051</v>
      </c>
      <c r="D1748" t="s">
        <v>9286</v>
      </c>
      <c r="E1748">
        <f>mathnsciteach_fil_scimin_parttime</f>
        <v>0</v>
      </c>
      <c r="F1748" t="b">
        <v>1</v>
      </c>
    </row>
    <row r="1749" spans="1:6" x14ac:dyDescent="0.35">
      <c r="A1749" t="s">
        <v>5055</v>
      </c>
      <c r="B1749" t="s">
        <v>4997</v>
      </c>
      <c r="C1749" t="s">
        <v>5055</v>
      </c>
      <c r="D1749" t="s">
        <v>9287</v>
      </c>
      <c r="E1749">
        <f>mathnsciteach_fil_othermajmin_parttime</f>
        <v>0</v>
      </c>
      <c r="F1749" t="b">
        <v>1</v>
      </c>
    </row>
    <row r="1750" spans="1:6" x14ac:dyDescent="0.35">
      <c r="A1750" t="s">
        <v>5060</v>
      </c>
      <c r="B1750" t="s">
        <v>4997</v>
      </c>
      <c r="C1750" t="s">
        <v>5060</v>
      </c>
      <c r="D1750" t="s">
        <v>9288</v>
      </c>
      <c r="E1750">
        <f>mathnsciteach_math_engmaj_fulltime</f>
        <v>0</v>
      </c>
      <c r="F1750" t="b">
        <v>1</v>
      </c>
    </row>
    <row r="1751" spans="1:6" x14ac:dyDescent="0.35">
      <c r="A1751" t="s">
        <v>5064</v>
      </c>
      <c r="B1751" t="s">
        <v>4997</v>
      </c>
      <c r="C1751" t="s">
        <v>5064</v>
      </c>
      <c r="D1751" t="s">
        <v>9289</v>
      </c>
      <c r="E1751">
        <f>mathnsciteach_math_filmaj_fulltime</f>
        <v>0</v>
      </c>
      <c r="F1751" t="b">
        <v>1</v>
      </c>
    </row>
    <row r="1752" spans="1:6" x14ac:dyDescent="0.35">
      <c r="A1752" t="s">
        <v>5071</v>
      </c>
      <c r="B1752" t="s">
        <v>4997</v>
      </c>
      <c r="C1752" t="s">
        <v>5071</v>
      </c>
      <c r="D1752" t="s">
        <v>9290</v>
      </c>
      <c r="E1752">
        <f>mathnsciteach_math_mathmaj_fulltime</f>
        <v>10</v>
      </c>
      <c r="F1752" t="b">
        <v>1</v>
      </c>
    </row>
    <row r="1753" spans="1:6" x14ac:dyDescent="0.35">
      <c r="A1753" t="s">
        <v>5091</v>
      </c>
      <c r="B1753" t="s">
        <v>4997</v>
      </c>
      <c r="C1753" t="s">
        <v>5091</v>
      </c>
      <c r="D1753" t="s">
        <v>9291</v>
      </c>
      <c r="E1753">
        <f>mathnsciteach_math_scimaj_fulltime</f>
        <v>2</v>
      </c>
      <c r="F1753" t="b">
        <v>1</v>
      </c>
    </row>
    <row r="1754" spans="1:6" x14ac:dyDescent="0.35">
      <c r="A1754" t="s">
        <v>5105</v>
      </c>
      <c r="B1754" t="s">
        <v>4997</v>
      </c>
      <c r="C1754" t="s">
        <v>5105</v>
      </c>
      <c r="D1754" t="s">
        <v>9292</v>
      </c>
      <c r="E1754">
        <f>mathnsciteach_math_engmin_fulltime</f>
        <v>0</v>
      </c>
      <c r="F1754" t="b">
        <v>1</v>
      </c>
    </row>
    <row r="1755" spans="1:6" x14ac:dyDescent="0.35">
      <c r="A1755" t="s">
        <v>5109</v>
      </c>
      <c r="B1755" t="s">
        <v>4997</v>
      </c>
      <c r="C1755" t="s">
        <v>5109</v>
      </c>
      <c r="D1755" t="s">
        <v>9293</v>
      </c>
      <c r="E1755">
        <f>mathnsciteach_math_filmin_fulltime</f>
        <v>0</v>
      </c>
      <c r="F1755" t="b">
        <v>1</v>
      </c>
    </row>
    <row r="1756" spans="1:6" x14ac:dyDescent="0.35">
      <c r="A1756" t="s">
        <v>5113</v>
      </c>
      <c r="B1756" t="s">
        <v>4997</v>
      </c>
      <c r="C1756" t="s">
        <v>5113</v>
      </c>
      <c r="D1756" t="s">
        <v>9294</v>
      </c>
      <c r="E1756">
        <f>mathnsciteach_math_mathmin_fulltime</f>
        <v>0</v>
      </c>
      <c r="F1756" t="b">
        <v>1</v>
      </c>
    </row>
    <row r="1757" spans="1:6" x14ac:dyDescent="0.35">
      <c r="A1757" t="s">
        <v>4999</v>
      </c>
      <c r="B1757" t="s">
        <v>4997</v>
      </c>
      <c r="C1757" t="s">
        <v>4999</v>
      </c>
      <c r="D1757" t="s">
        <v>7399</v>
      </c>
      <c r="E1757">
        <f>mathnsciteach_math_scimin_fulltime</f>
        <v>0</v>
      </c>
      <c r="F1757" t="b">
        <v>1</v>
      </c>
    </row>
    <row r="1758" spans="1:6" x14ac:dyDescent="0.35">
      <c r="A1758" t="s">
        <v>12577</v>
      </c>
      <c r="B1758" t="s">
        <v>4997</v>
      </c>
      <c r="C1758" t="s">
        <v>12577</v>
      </c>
      <c r="D1758" t="s">
        <v>7402</v>
      </c>
      <c r="E1758">
        <f>mathnsciteach_math_othermajmin_fulltime</f>
        <v>0</v>
      </c>
      <c r="F1758" t="b">
        <v>1</v>
      </c>
    </row>
    <row r="1759" spans="1:6" x14ac:dyDescent="0.35">
      <c r="A1759" t="s">
        <v>5003</v>
      </c>
      <c r="B1759" t="s">
        <v>4997</v>
      </c>
      <c r="C1759" t="s">
        <v>5003</v>
      </c>
      <c r="D1759" t="s">
        <v>9295</v>
      </c>
      <c r="E1759">
        <f>mathnsciteach_math_engmaj_parttime</f>
        <v>0</v>
      </c>
      <c r="F1759" t="b">
        <v>1</v>
      </c>
    </row>
    <row r="1760" spans="1:6" x14ac:dyDescent="0.35">
      <c r="A1760" t="s">
        <v>5007</v>
      </c>
      <c r="B1760" t="s">
        <v>4997</v>
      </c>
      <c r="C1760" t="s">
        <v>5007</v>
      </c>
      <c r="D1760" t="s">
        <v>9296</v>
      </c>
      <c r="E1760">
        <f>mathnsciteach_math_filmaj_parttime</f>
        <v>0</v>
      </c>
      <c r="F1760" t="b">
        <v>1</v>
      </c>
    </row>
    <row r="1761" spans="1:6" x14ac:dyDescent="0.35">
      <c r="A1761" t="s">
        <v>5011</v>
      </c>
      <c r="B1761" t="s">
        <v>4997</v>
      </c>
      <c r="C1761" t="s">
        <v>5011</v>
      </c>
      <c r="D1761" t="s">
        <v>9297</v>
      </c>
      <c r="E1761">
        <f>mathnsciteach_math_mathmaj_parttime</f>
        <v>0</v>
      </c>
      <c r="F1761" t="b">
        <v>1</v>
      </c>
    </row>
    <row r="1762" spans="1:6" x14ac:dyDescent="0.35">
      <c r="A1762" t="s">
        <v>5015</v>
      </c>
      <c r="B1762" t="s">
        <v>4997</v>
      </c>
      <c r="C1762" t="s">
        <v>5015</v>
      </c>
      <c r="D1762" t="s">
        <v>9298</v>
      </c>
      <c r="E1762">
        <f>mathnsciteach_math_scimaj_parttime</f>
        <v>0</v>
      </c>
      <c r="F1762" t="b">
        <v>1</v>
      </c>
    </row>
    <row r="1763" spans="1:6" x14ac:dyDescent="0.35">
      <c r="A1763" t="s">
        <v>5019</v>
      </c>
      <c r="B1763" t="s">
        <v>4997</v>
      </c>
      <c r="C1763" t="s">
        <v>5019</v>
      </c>
      <c r="D1763" t="s">
        <v>9299</v>
      </c>
      <c r="E1763">
        <f>mathnsciteach_math_engmin_parttime</f>
        <v>0</v>
      </c>
      <c r="F1763" t="b">
        <v>1</v>
      </c>
    </row>
    <row r="1764" spans="1:6" x14ac:dyDescent="0.35">
      <c r="A1764" t="s">
        <v>5026</v>
      </c>
      <c r="B1764" t="s">
        <v>4997</v>
      </c>
      <c r="C1764" t="s">
        <v>5026</v>
      </c>
      <c r="D1764" t="s">
        <v>9300</v>
      </c>
      <c r="E1764">
        <f>mathnsciteach_math_filmin_parttime</f>
        <v>0</v>
      </c>
      <c r="F1764" t="b">
        <v>1</v>
      </c>
    </row>
    <row r="1765" spans="1:6" x14ac:dyDescent="0.35">
      <c r="A1765" t="s">
        <v>5038</v>
      </c>
      <c r="B1765" t="s">
        <v>4997</v>
      </c>
      <c r="C1765" t="s">
        <v>5038</v>
      </c>
      <c r="D1765" t="s">
        <v>9301</v>
      </c>
      <c r="E1765">
        <f>mathnsciteach_math_mathmin_parttime</f>
        <v>0</v>
      </c>
      <c r="F1765" t="b">
        <v>1</v>
      </c>
    </row>
    <row r="1766" spans="1:6" x14ac:dyDescent="0.35">
      <c r="A1766" t="s">
        <v>5052</v>
      </c>
      <c r="B1766" t="s">
        <v>4997</v>
      </c>
      <c r="C1766" t="s">
        <v>5052</v>
      </c>
      <c r="D1766" t="s">
        <v>9302</v>
      </c>
      <c r="E1766">
        <f>mathnsciteach_math_scimin_parttime</f>
        <v>0</v>
      </c>
      <c r="F1766" t="b">
        <v>1</v>
      </c>
    </row>
    <row r="1767" spans="1:6" x14ac:dyDescent="0.35">
      <c r="A1767" t="s">
        <v>5056</v>
      </c>
      <c r="B1767" t="s">
        <v>4997</v>
      </c>
      <c r="C1767" t="s">
        <v>5056</v>
      </c>
      <c r="D1767" t="s">
        <v>9303</v>
      </c>
      <c r="E1767">
        <f>mathnsciteach_math_othermajmin_parttime</f>
        <v>0</v>
      </c>
      <c r="F1767" t="b">
        <v>1</v>
      </c>
    </row>
    <row r="1768" spans="1:6" x14ac:dyDescent="0.35">
      <c r="A1768" t="s">
        <v>5061</v>
      </c>
      <c r="B1768" t="s">
        <v>4997</v>
      </c>
      <c r="C1768" t="s">
        <v>5061</v>
      </c>
      <c r="D1768" t="s">
        <v>9288</v>
      </c>
      <c r="E1768">
        <f>mathnsciteach_sci_engmaj_fulltime</f>
        <v>0</v>
      </c>
      <c r="F1768" t="b">
        <v>1</v>
      </c>
    </row>
    <row r="1769" spans="1:6" x14ac:dyDescent="0.35">
      <c r="A1769" t="s">
        <v>5065</v>
      </c>
      <c r="B1769" t="s">
        <v>4997</v>
      </c>
      <c r="C1769" t="s">
        <v>5065</v>
      </c>
      <c r="D1769" t="s">
        <v>9289</v>
      </c>
      <c r="E1769">
        <f>mathnsciteach_sci_filmaj_fulltime</f>
        <v>0</v>
      </c>
      <c r="F1769" t="b">
        <v>1</v>
      </c>
    </row>
    <row r="1770" spans="1:6" x14ac:dyDescent="0.35">
      <c r="A1770" t="s">
        <v>5072</v>
      </c>
      <c r="B1770" t="s">
        <v>4997</v>
      </c>
      <c r="C1770" t="s">
        <v>5072</v>
      </c>
      <c r="D1770" t="s">
        <v>9290</v>
      </c>
      <c r="E1770">
        <f>mathnsciteach_sci_mathmaj_fulltime</f>
        <v>0</v>
      </c>
      <c r="F1770" t="b">
        <v>1</v>
      </c>
    </row>
    <row r="1771" spans="1:6" x14ac:dyDescent="0.35">
      <c r="A1771" t="s">
        <v>5092</v>
      </c>
      <c r="B1771" t="s">
        <v>4997</v>
      </c>
      <c r="C1771" t="s">
        <v>5092</v>
      </c>
      <c r="D1771" t="s">
        <v>9291</v>
      </c>
      <c r="E1771">
        <f>mathnsciteach_sci_scimaj_fulltime</f>
        <v>13</v>
      </c>
      <c r="F1771" t="b">
        <v>1</v>
      </c>
    </row>
    <row r="1772" spans="1:6" x14ac:dyDescent="0.35">
      <c r="A1772" t="s">
        <v>5106</v>
      </c>
      <c r="B1772" t="s">
        <v>4997</v>
      </c>
      <c r="C1772" t="s">
        <v>5106</v>
      </c>
      <c r="D1772" t="s">
        <v>9292</v>
      </c>
      <c r="E1772">
        <f>mathnsciteach_sci_engmin_fulltime</f>
        <v>0</v>
      </c>
      <c r="F1772" t="b">
        <v>1</v>
      </c>
    </row>
    <row r="1773" spans="1:6" x14ac:dyDescent="0.35">
      <c r="A1773" t="s">
        <v>5110</v>
      </c>
      <c r="B1773" t="s">
        <v>4997</v>
      </c>
      <c r="C1773" t="s">
        <v>5110</v>
      </c>
      <c r="D1773" t="s">
        <v>9293</v>
      </c>
      <c r="E1773">
        <f>mathnsciteach_sci_filmin_fulltime</f>
        <v>0</v>
      </c>
      <c r="F1773" t="b">
        <v>1</v>
      </c>
    </row>
    <row r="1774" spans="1:6" x14ac:dyDescent="0.35">
      <c r="A1774" t="s">
        <v>5114</v>
      </c>
      <c r="B1774" t="s">
        <v>4997</v>
      </c>
      <c r="C1774" t="s">
        <v>5114</v>
      </c>
      <c r="D1774" t="s">
        <v>9294</v>
      </c>
      <c r="E1774">
        <f>mathnsciteach_sci_mathmin_fulltime</f>
        <v>0</v>
      </c>
      <c r="F1774" t="b">
        <v>1</v>
      </c>
    </row>
    <row r="1775" spans="1:6" x14ac:dyDescent="0.35">
      <c r="A1775" t="s">
        <v>5000</v>
      </c>
      <c r="B1775" t="s">
        <v>4997</v>
      </c>
      <c r="C1775" t="s">
        <v>5000</v>
      </c>
      <c r="D1775" t="s">
        <v>7399</v>
      </c>
      <c r="E1775">
        <f>mathnsciteach_sci_scimin_fulltime</f>
        <v>0</v>
      </c>
      <c r="F1775" t="b">
        <v>1</v>
      </c>
    </row>
    <row r="1776" spans="1:6" x14ac:dyDescent="0.35">
      <c r="A1776" t="s">
        <v>12578</v>
      </c>
      <c r="B1776" t="s">
        <v>4997</v>
      </c>
      <c r="C1776" t="s">
        <v>12578</v>
      </c>
      <c r="D1776" t="s">
        <v>7402</v>
      </c>
      <c r="E1776">
        <f>mathnsciteach_sci_othermajmin_fulltime</f>
        <v>0</v>
      </c>
      <c r="F1776" t="b">
        <v>1</v>
      </c>
    </row>
    <row r="1777" spans="1:14" x14ac:dyDescent="0.35">
      <c r="A1777" t="s">
        <v>5004</v>
      </c>
      <c r="B1777" t="s">
        <v>4997</v>
      </c>
      <c r="C1777" t="s">
        <v>5004</v>
      </c>
      <c r="D1777" t="s">
        <v>9295</v>
      </c>
      <c r="E1777">
        <f>mathnsciteach_sci_engmaj_parttime</f>
        <v>0</v>
      </c>
      <c r="F1777" t="b">
        <v>1</v>
      </c>
    </row>
    <row r="1778" spans="1:14" x14ac:dyDescent="0.35">
      <c r="A1778" t="s">
        <v>5008</v>
      </c>
      <c r="B1778" t="s">
        <v>4997</v>
      </c>
      <c r="C1778" t="s">
        <v>5008</v>
      </c>
      <c r="D1778" t="s">
        <v>9296</v>
      </c>
      <c r="E1778">
        <f>mathnsciteach_sci_filmaj_parttime</f>
        <v>0</v>
      </c>
      <c r="F1778" t="b">
        <v>1</v>
      </c>
    </row>
    <row r="1779" spans="1:14" x14ac:dyDescent="0.35">
      <c r="A1779" t="s">
        <v>5012</v>
      </c>
      <c r="B1779" t="s">
        <v>4997</v>
      </c>
      <c r="C1779" t="s">
        <v>5012</v>
      </c>
      <c r="D1779" t="s">
        <v>9297</v>
      </c>
      <c r="E1779">
        <f>mathnsciteach_sci_mathmaj_parttime</f>
        <v>0</v>
      </c>
      <c r="F1779" t="b">
        <v>1</v>
      </c>
    </row>
    <row r="1780" spans="1:14" x14ac:dyDescent="0.35">
      <c r="A1780" t="s">
        <v>5016</v>
      </c>
      <c r="B1780" t="s">
        <v>4997</v>
      </c>
      <c r="C1780" t="s">
        <v>5016</v>
      </c>
      <c r="D1780" t="s">
        <v>9298</v>
      </c>
      <c r="E1780">
        <f>mathnsciteach_sci_scimaj_parttime</f>
        <v>0</v>
      </c>
      <c r="F1780" t="b">
        <v>1</v>
      </c>
    </row>
    <row r="1781" spans="1:14" x14ac:dyDescent="0.35">
      <c r="A1781" t="s">
        <v>5020</v>
      </c>
      <c r="B1781" t="s">
        <v>4997</v>
      </c>
      <c r="C1781" t="s">
        <v>5020</v>
      </c>
      <c r="D1781" t="s">
        <v>9299</v>
      </c>
      <c r="E1781">
        <f>mathnsciteach_sci_engmin_parttime</f>
        <v>0</v>
      </c>
      <c r="F1781" t="b">
        <v>1</v>
      </c>
    </row>
    <row r="1782" spans="1:14" x14ac:dyDescent="0.35">
      <c r="A1782" t="s">
        <v>5027</v>
      </c>
      <c r="B1782" t="s">
        <v>4997</v>
      </c>
      <c r="C1782" t="s">
        <v>5027</v>
      </c>
      <c r="D1782" t="s">
        <v>9300</v>
      </c>
      <c r="E1782">
        <f>mathnsciteach_sci_filmin_parttime</f>
        <v>0</v>
      </c>
      <c r="F1782" t="b">
        <v>1</v>
      </c>
    </row>
    <row r="1783" spans="1:14" x14ac:dyDescent="0.35">
      <c r="A1783" t="s">
        <v>5039</v>
      </c>
      <c r="B1783" t="s">
        <v>4997</v>
      </c>
      <c r="C1783" t="s">
        <v>5039</v>
      </c>
      <c r="D1783" t="s">
        <v>9301</v>
      </c>
      <c r="E1783">
        <f>mathnsciteach_sci_mathmin_parttime</f>
        <v>0</v>
      </c>
      <c r="F1783" t="b">
        <v>1</v>
      </c>
    </row>
    <row r="1784" spans="1:14" x14ac:dyDescent="0.35">
      <c r="A1784" t="s">
        <v>5053</v>
      </c>
      <c r="B1784" t="s">
        <v>4997</v>
      </c>
      <c r="C1784" t="s">
        <v>5053</v>
      </c>
      <c r="D1784" t="s">
        <v>9302</v>
      </c>
      <c r="E1784">
        <f>mathnsciteach_sci_scimin_parttime</f>
        <v>0</v>
      </c>
      <c r="F1784" t="b">
        <v>1</v>
      </c>
    </row>
    <row r="1785" spans="1:14" s="1348" customFormat="1" ht="16" thickBot="1" x14ac:dyDescent="0.4">
      <c r="A1785" s="1348" t="s">
        <v>5057</v>
      </c>
      <c r="B1785" s="1348" t="s">
        <v>4997</v>
      </c>
      <c r="C1785" s="1348" t="s">
        <v>5057</v>
      </c>
      <c r="D1785" s="1348" t="s">
        <v>9303</v>
      </c>
      <c r="E1785" s="1348">
        <f>mathnsciteach_sci_othermajmin_parttime</f>
        <v>0</v>
      </c>
      <c r="F1785" s="1348" t="b">
        <v>1</v>
      </c>
      <c r="N1785" s="1358"/>
    </row>
    <row r="1786" spans="1:14" x14ac:dyDescent="0.35">
      <c r="A1786" t="s">
        <v>4505</v>
      </c>
      <c r="B1786" t="s">
        <v>4383</v>
      </c>
      <c r="C1786" t="s">
        <v>4505</v>
      </c>
      <c r="D1786" t="s">
        <v>9304</v>
      </c>
      <c r="E1786">
        <f>tchr_he_beautycare_m_g7</f>
        <v>0</v>
      </c>
      <c r="F1786" t="b">
        <v>1</v>
      </c>
    </row>
    <row r="1787" spans="1:14" x14ac:dyDescent="0.35">
      <c r="A1787" t="s">
        <v>4530</v>
      </c>
      <c r="B1787" t="s">
        <v>4383</v>
      </c>
      <c r="C1787" t="s">
        <v>4530</v>
      </c>
      <c r="D1787" t="s">
        <v>9305</v>
      </c>
      <c r="E1787">
        <f>tchr_he_beautycare_f_g7</f>
        <v>0</v>
      </c>
      <c r="F1787" t="b">
        <v>1</v>
      </c>
    </row>
    <row r="1788" spans="1:14" x14ac:dyDescent="0.35">
      <c r="A1788" t="s">
        <v>4555</v>
      </c>
      <c r="B1788" t="s">
        <v>4383</v>
      </c>
      <c r="C1788" t="s">
        <v>4555</v>
      </c>
      <c r="D1788" t="s">
        <v>9306</v>
      </c>
      <c r="E1788">
        <f>tchr_he_beautycare_m_g8</f>
        <v>0</v>
      </c>
      <c r="F1788" t="b">
        <v>1</v>
      </c>
    </row>
    <row r="1789" spans="1:14" x14ac:dyDescent="0.35">
      <c r="A1789" t="s">
        <v>4580</v>
      </c>
      <c r="B1789" t="s">
        <v>4383</v>
      </c>
      <c r="C1789" t="s">
        <v>4580</v>
      </c>
      <c r="D1789" t="s">
        <v>9309</v>
      </c>
      <c r="E1789">
        <f>tchr_he_beautycare_f_g8</f>
        <v>1</v>
      </c>
      <c r="F1789" t="b">
        <v>1</v>
      </c>
    </row>
    <row r="1790" spans="1:14" x14ac:dyDescent="0.35">
      <c r="A1790" t="s">
        <v>4404</v>
      </c>
      <c r="B1790" t="s">
        <v>4383</v>
      </c>
      <c r="C1790" t="s">
        <v>4404</v>
      </c>
      <c r="D1790" t="s">
        <v>9310</v>
      </c>
      <c r="E1790">
        <f>tchr_he_beautycare_m_g9</f>
        <v>0</v>
      </c>
      <c r="F1790" t="b">
        <v>1</v>
      </c>
    </row>
    <row r="1791" spans="1:14" x14ac:dyDescent="0.35">
      <c r="A1791" t="s">
        <v>4430</v>
      </c>
      <c r="B1791" t="s">
        <v>4383</v>
      </c>
      <c r="C1791" t="s">
        <v>4430</v>
      </c>
      <c r="D1791" t="s">
        <v>9311</v>
      </c>
      <c r="E1791">
        <f>tchr_he_beautycare_f_g9</f>
        <v>1</v>
      </c>
      <c r="F1791" t="b">
        <v>1</v>
      </c>
    </row>
    <row r="1792" spans="1:14" x14ac:dyDescent="0.35">
      <c r="A1792" t="s">
        <v>4455</v>
      </c>
      <c r="B1792" t="s">
        <v>4383</v>
      </c>
      <c r="C1792" t="s">
        <v>4455</v>
      </c>
      <c r="D1792" t="s">
        <v>9312</v>
      </c>
      <c r="E1792">
        <f>tchr_he_beautycare_m_g10</f>
        <v>0</v>
      </c>
      <c r="F1792" t="b">
        <v>1</v>
      </c>
    </row>
    <row r="1793" spans="1:6" x14ac:dyDescent="0.35">
      <c r="A1793" t="s">
        <v>4480</v>
      </c>
      <c r="B1793" t="s">
        <v>4383</v>
      </c>
      <c r="C1793" t="s">
        <v>4480</v>
      </c>
      <c r="D1793" t="s">
        <v>9313</v>
      </c>
      <c r="E1793">
        <f>tchr_he_beautycare_f_g10</f>
        <v>1</v>
      </c>
      <c r="F1793" t="b">
        <v>1</v>
      </c>
    </row>
    <row r="1794" spans="1:6" x14ac:dyDescent="0.35">
      <c r="A1794" t="s">
        <v>4506</v>
      </c>
      <c r="B1794" t="s">
        <v>4383</v>
      </c>
      <c r="C1794" t="s">
        <v>4506</v>
      </c>
      <c r="D1794" t="s">
        <v>9314</v>
      </c>
      <c r="E1794">
        <f>tchr_he_caregiving_m_g7</f>
        <v>0</v>
      </c>
      <c r="F1794" t="b">
        <v>1</v>
      </c>
    </row>
    <row r="1795" spans="1:6" x14ac:dyDescent="0.35">
      <c r="A1795" t="s">
        <v>4531</v>
      </c>
      <c r="B1795" t="s">
        <v>4383</v>
      </c>
      <c r="C1795" t="s">
        <v>4531</v>
      </c>
      <c r="D1795" t="s">
        <v>9315</v>
      </c>
      <c r="E1795">
        <f>tchr_he_caregiving_f_g7</f>
        <v>0</v>
      </c>
      <c r="F1795" t="b">
        <v>1</v>
      </c>
    </row>
    <row r="1796" spans="1:6" x14ac:dyDescent="0.35">
      <c r="A1796" t="s">
        <v>4556</v>
      </c>
      <c r="B1796" t="s">
        <v>4383</v>
      </c>
      <c r="C1796" t="s">
        <v>4556</v>
      </c>
      <c r="D1796" t="s">
        <v>9307</v>
      </c>
      <c r="E1796">
        <f>tchr_he_caregiving_m_g8</f>
        <v>0</v>
      </c>
      <c r="F1796" t="b">
        <v>1</v>
      </c>
    </row>
    <row r="1797" spans="1:6" x14ac:dyDescent="0.35">
      <c r="A1797" t="s">
        <v>4581</v>
      </c>
      <c r="B1797" t="s">
        <v>4383</v>
      </c>
      <c r="C1797" t="s">
        <v>4581</v>
      </c>
      <c r="D1797" t="s">
        <v>9316</v>
      </c>
      <c r="E1797">
        <f>tchr_he_caregiving_f_g8</f>
        <v>0</v>
      </c>
      <c r="F1797" t="b">
        <v>1</v>
      </c>
    </row>
    <row r="1798" spans="1:6" x14ac:dyDescent="0.35">
      <c r="A1798" t="s">
        <v>4405</v>
      </c>
      <c r="B1798" t="s">
        <v>4383</v>
      </c>
      <c r="C1798" t="s">
        <v>4405</v>
      </c>
      <c r="D1798" t="s">
        <v>9317</v>
      </c>
      <c r="E1798">
        <f>tchr_he_caregiving_m_g9</f>
        <v>0</v>
      </c>
      <c r="F1798" t="b">
        <v>1</v>
      </c>
    </row>
    <row r="1799" spans="1:6" x14ac:dyDescent="0.35">
      <c r="A1799" t="s">
        <v>4431</v>
      </c>
      <c r="B1799" t="s">
        <v>4383</v>
      </c>
      <c r="C1799" t="s">
        <v>4431</v>
      </c>
      <c r="D1799" t="s">
        <v>9318</v>
      </c>
      <c r="E1799">
        <f>tchr_he_caregiving_f_g9</f>
        <v>0</v>
      </c>
      <c r="F1799" t="b">
        <v>1</v>
      </c>
    </row>
    <row r="1800" spans="1:6" x14ac:dyDescent="0.35">
      <c r="A1800" t="s">
        <v>4456</v>
      </c>
      <c r="B1800" t="s">
        <v>4383</v>
      </c>
      <c r="C1800" t="s">
        <v>4456</v>
      </c>
      <c r="D1800" t="s">
        <v>9319</v>
      </c>
      <c r="E1800">
        <f>tchr_he_caregiving_m_g10</f>
        <v>0</v>
      </c>
      <c r="F1800" t="b">
        <v>1</v>
      </c>
    </row>
    <row r="1801" spans="1:6" x14ac:dyDescent="0.35">
      <c r="A1801" t="s">
        <v>4481</v>
      </c>
      <c r="B1801" t="s">
        <v>4383</v>
      </c>
      <c r="C1801" t="s">
        <v>4481</v>
      </c>
      <c r="D1801" t="s">
        <v>9320</v>
      </c>
      <c r="E1801">
        <f>tchr_he_caregiving_f_g10</f>
        <v>0</v>
      </c>
      <c r="F1801" t="b">
        <v>1</v>
      </c>
    </row>
    <row r="1802" spans="1:6" x14ac:dyDescent="0.35">
      <c r="A1802" t="s">
        <v>4507</v>
      </c>
      <c r="B1802" t="s">
        <v>4383</v>
      </c>
      <c r="C1802" t="s">
        <v>4507</v>
      </c>
      <c r="D1802" t="s">
        <v>9321</v>
      </c>
      <c r="E1802">
        <f>tchr_he_cookery_m_g7</f>
        <v>0</v>
      </c>
      <c r="F1802" t="b">
        <v>1</v>
      </c>
    </row>
    <row r="1803" spans="1:6" x14ac:dyDescent="0.35">
      <c r="A1803" t="s">
        <v>4532</v>
      </c>
      <c r="B1803" t="s">
        <v>4383</v>
      </c>
      <c r="C1803" t="s">
        <v>4532</v>
      </c>
      <c r="D1803" t="s">
        <v>9322</v>
      </c>
      <c r="E1803">
        <f>tchr_he_cookery_f_g7</f>
        <v>1</v>
      </c>
      <c r="F1803" t="b">
        <v>1</v>
      </c>
    </row>
    <row r="1804" spans="1:6" x14ac:dyDescent="0.35">
      <c r="A1804" t="s">
        <v>4557</v>
      </c>
      <c r="B1804" t="s">
        <v>4383</v>
      </c>
      <c r="C1804" t="s">
        <v>4557</v>
      </c>
      <c r="D1804" t="s">
        <v>9308</v>
      </c>
      <c r="E1804">
        <f>tchr_he_cookery_m_g8</f>
        <v>0</v>
      </c>
      <c r="F1804" t="b">
        <v>1</v>
      </c>
    </row>
    <row r="1805" spans="1:6" x14ac:dyDescent="0.35">
      <c r="A1805" t="s">
        <v>4582</v>
      </c>
      <c r="B1805" t="s">
        <v>4383</v>
      </c>
      <c r="C1805" t="s">
        <v>4582</v>
      </c>
      <c r="D1805" t="s">
        <v>9323</v>
      </c>
      <c r="E1805">
        <f>tchr_he_cookery_f_g8</f>
        <v>1</v>
      </c>
      <c r="F1805" t="b">
        <v>1</v>
      </c>
    </row>
    <row r="1806" spans="1:6" x14ac:dyDescent="0.35">
      <c r="A1806" t="s">
        <v>4406</v>
      </c>
      <c r="B1806" t="s">
        <v>4383</v>
      </c>
      <c r="C1806" t="s">
        <v>4406</v>
      </c>
      <c r="D1806" t="s">
        <v>9324</v>
      </c>
      <c r="E1806">
        <f>tchr_he_cookery_m_g9</f>
        <v>0</v>
      </c>
      <c r="F1806" t="b">
        <v>1</v>
      </c>
    </row>
    <row r="1807" spans="1:6" x14ac:dyDescent="0.35">
      <c r="A1807" t="s">
        <v>4432</v>
      </c>
      <c r="B1807" t="s">
        <v>4383</v>
      </c>
      <c r="C1807" t="s">
        <v>4432</v>
      </c>
      <c r="D1807" t="s">
        <v>9325</v>
      </c>
      <c r="E1807">
        <f>tchr_he_cookery_f_g9</f>
        <v>1</v>
      </c>
      <c r="F1807" t="b">
        <v>1</v>
      </c>
    </row>
    <row r="1808" spans="1:6" x14ac:dyDescent="0.35">
      <c r="A1808" t="s">
        <v>4457</v>
      </c>
      <c r="B1808" t="s">
        <v>4383</v>
      </c>
      <c r="C1808" t="s">
        <v>4457</v>
      </c>
      <c r="D1808" t="s">
        <v>9326</v>
      </c>
      <c r="E1808">
        <f>tchr_he_cookery_m_g10</f>
        <v>0</v>
      </c>
      <c r="F1808" t="b">
        <v>1</v>
      </c>
    </row>
    <row r="1809" spans="1:6" x14ac:dyDescent="0.35">
      <c r="A1809" t="s">
        <v>4482</v>
      </c>
      <c r="B1809" t="s">
        <v>4383</v>
      </c>
      <c r="C1809" t="s">
        <v>4482</v>
      </c>
      <c r="D1809" t="s">
        <v>9327</v>
      </c>
      <c r="E1809">
        <f>tchr_he_cookery_f_g10</f>
        <v>1</v>
      </c>
      <c r="F1809" t="b">
        <v>1</v>
      </c>
    </row>
    <row r="1810" spans="1:6" x14ac:dyDescent="0.35">
      <c r="A1810" t="s">
        <v>4483</v>
      </c>
      <c r="B1810" t="s">
        <v>4383</v>
      </c>
      <c r="C1810" t="s">
        <v>4483</v>
      </c>
      <c r="D1810" t="s">
        <v>9328</v>
      </c>
      <c r="E1810">
        <f>tchr_he_dressmaking_m_g7</f>
        <v>0</v>
      </c>
      <c r="F1810" t="b">
        <v>1</v>
      </c>
    </row>
    <row r="1811" spans="1:6" x14ac:dyDescent="0.35">
      <c r="A1811" t="s">
        <v>4508</v>
      </c>
      <c r="B1811" t="s">
        <v>4383</v>
      </c>
      <c r="C1811" t="s">
        <v>4508</v>
      </c>
      <c r="D1811" t="s">
        <v>9329</v>
      </c>
      <c r="E1811">
        <f>tchr_he_dressmaking_f_g7</f>
        <v>1</v>
      </c>
      <c r="F1811" t="b">
        <v>1</v>
      </c>
    </row>
    <row r="1812" spans="1:6" x14ac:dyDescent="0.35">
      <c r="A1812" t="s">
        <v>4533</v>
      </c>
      <c r="B1812" t="s">
        <v>4383</v>
      </c>
      <c r="C1812" t="s">
        <v>4533</v>
      </c>
      <c r="D1812" t="s">
        <v>9330</v>
      </c>
      <c r="E1812">
        <f>tchr_he_dressmaking_m_g8</f>
        <v>0</v>
      </c>
      <c r="F1812" t="b">
        <v>1</v>
      </c>
    </row>
    <row r="1813" spans="1:6" x14ac:dyDescent="0.35">
      <c r="A1813" t="s">
        <v>4558</v>
      </c>
      <c r="B1813" t="s">
        <v>4383</v>
      </c>
      <c r="C1813" t="s">
        <v>4558</v>
      </c>
      <c r="D1813" t="s">
        <v>9331</v>
      </c>
      <c r="E1813">
        <f>tchr_he_dressmaking_f_g8</f>
        <v>1</v>
      </c>
      <c r="F1813" t="b">
        <v>1</v>
      </c>
    </row>
    <row r="1814" spans="1:6" x14ac:dyDescent="0.35">
      <c r="A1814" t="s">
        <v>4382</v>
      </c>
      <c r="B1814" t="s">
        <v>4383</v>
      </c>
      <c r="C1814" t="s">
        <v>4382</v>
      </c>
      <c r="D1814" t="s">
        <v>9332</v>
      </c>
      <c r="E1814">
        <f>tchr_he_dressmaking_m_g9</f>
        <v>0</v>
      </c>
      <c r="F1814" t="b">
        <v>1</v>
      </c>
    </row>
    <row r="1815" spans="1:6" x14ac:dyDescent="0.35">
      <c r="A1815" t="s">
        <v>4408</v>
      </c>
      <c r="B1815" t="s">
        <v>4383</v>
      </c>
      <c r="C1815" t="s">
        <v>4408</v>
      </c>
      <c r="D1815" t="s">
        <v>9333</v>
      </c>
      <c r="E1815">
        <f>tchr_he_dressmaking_f_g9</f>
        <v>1</v>
      </c>
      <c r="F1815" t="b">
        <v>1</v>
      </c>
    </row>
    <row r="1816" spans="1:6" x14ac:dyDescent="0.35">
      <c r="A1816" t="s">
        <v>4433</v>
      </c>
      <c r="B1816" t="s">
        <v>4383</v>
      </c>
      <c r="C1816" t="s">
        <v>4433</v>
      </c>
      <c r="D1816" t="s">
        <v>9334</v>
      </c>
      <c r="E1816">
        <f>tchr_he_dressmaking_m_g10</f>
        <v>0</v>
      </c>
      <c r="F1816" t="b">
        <v>1</v>
      </c>
    </row>
    <row r="1817" spans="1:6" x14ac:dyDescent="0.35">
      <c r="A1817" t="s">
        <v>4458</v>
      </c>
      <c r="B1817" t="s">
        <v>4383</v>
      </c>
      <c r="C1817" t="s">
        <v>4458</v>
      </c>
      <c r="D1817" t="s">
        <v>9335</v>
      </c>
      <c r="E1817">
        <f>tchr_he_dressmaking_f_g10</f>
        <v>1</v>
      </c>
      <c r="F1817" t="b">
        <v>1</v>
      </c>
    </row>
    <row r="1818" spans="1:6" x14ac:dyDescent="0.35">
      <c r="A1818" t="s">
        <v>4484</v>
      </c>
      <c r="B1818" t="s">
        <v>4383</v>
      </c>
      <c r="C1818" t="s">
        <v>4484</v>
      </c>
      <c r="D1818" t="s">
        <v>9336</v>
      </c>
      <c r="E1818">
        <f>tchr_he_frontoffice_m_g7</f>
        <v>0</v>
      </c>
      <c r="F1818" t="b">
        <v>1</v>
      </c>
    </row>
    <row r="1819" spans="1:6" x14ac:dyDescent="0.35">
      <c r="A1819" t="s">
        <v>4509</v>
      </c>
      <c r="B1819" t="s">
        <v>4383</v>
      </c>
      <c r="C1819" t="s">
        <v>4509</v>
      </c>
      <c r="D1819" t="s">
        <v>9337</v>
      </c>
      <c r="E1819">
        <f>tchr_he_frontoffice_f_g7</f>
        <v>0</v>
      </c>
      <c r="F1819" t="b">
        <v>1</v>
      </c>
    </row>
    <row r="1820" spans="1:6" x14ac:dyDescent="0.35">
      <c r="A1820" t="s">
        <v>4534</v>
      </c>
      <c r="B1820" t="s">
        <v>4383</v>
      </c>
      <c r="C1820" t="s">
        <v>4534</v>
      </c>
      <c r="D1820" t="s">
        <v>9338</v>
      </c>
      <c r="E1820">
        <f>tchr_he_frontoffice_m_g8</f>
        <v>0</v>
      </c>
      <c r="F1820" t="b">
        <v>1</v>
      </c>
    </row>
    <row r="1821" spans="1:6" x14ac:dyDescent="0.35">
      <c r="A1821" t="s">
        <v>4559</v>
      </c>
      <c r="B1821" t="s">
        <v>4383</v>
      </c>
      <c r="C1821" t="s">
        <v>4559</v>
      </c>
      <c r="D1821" t="s">
        <v>9339</v>
      </c>
      <c r="E1821">
        <f>tchr_he_frontoffice_f_g8</f>
        <v>0</v>
      </c>
      <c r="F1821" t="b">
        <v>1</v>
      </c>
    </row>
    <row r="1822" spans="1:6" x14ac:dyDescent="0.35">
      <c r="A1822" t="s">
        <v>4384</v>
      </c>
      <c r="B1822" t="s">
        <v>4383</v>
      </c>
      <c r="C1822" t="s">
        <v>4384</v>
      </c>
      <c r="D1822" t="s">
        <v>9340</v>
      </c>
      <c r="E1822">
        <f>tchr_he_frontoffice_m_g9</f>
        <v>0</v>
      </c>
      <c r="F1822" t="b">
        <v>1</v>
      </c>
    </row>
    <row r="1823" spans="1:6" x14ac:dyDescent="0.35">
      <c r="A1823" t="s">
        <v>4409</v>
      </c>
      <c r="B1823" t="s">
        <v>4383</v>
      </c>
      <c r="C1823" t="s">
        <v>4409</v>
      </c>
      <c r="D1823" t="s">
        <v>9341</v>
      </c>
      <c r="E1823">
        <f>tchr_he_frontoffice_f_g9</f>
        <v>0</v>
      </c>
      <c r="F1823" t="b">
        <v>1</v>
      </c>
    </row>
    <row r="1824" spans="1:6" x14ac:dyDescent="0.35">
      <c r="A1824" t="s">
        <v>4434</v>
      </c>
      <c r="B1824" t="s">
        <v>4383</v>
      </c>
      <c r="C1824" t="s">
        <v>4434</v>
      </c>
      <c r="D1824" t="s">
        <v>9342</v>
      </c>
      <c r="E1824">
        <f>tchr_he_frontoffice_m_g10</f>
        <v>0</v>
      </c>
      <c r="F1824" t="b">
        <v>1</v>
      </c>
    </row>
    <row r="1825" spans="1:6" x14ac:dyDescent="0.35">
      <c r="A1825" t="s">
        <v>4459</v>
      </c>
      <c r="B1825" t="s">
        <v>4383</v>
      </c>
      <c r="C1825" t="s">
        <v>4459</v>
      </c>
      <c r="D1825" t="s">
        <v>9343</v>
      </c>
      <c r="E1825">
        <f>tchr_he_frontoffice_f_g10</f>
        <v>0</v>
      </c>
      <c r="F1825" t="b">
        <v>1</v>
      </c>
    </row>
    <row r="1826" spans="1:6" x14ac:dyDescent="0.35">
      <c r="A1826" t="s">
        <v>4485</v>
      </c>
      <c r="B1826" t="s">
        <v>4383</v>
      </c>
      <c r="C1826" t="s">
        <v>4485</v>
      </c>
      <c r="D1826" t="s">
        <v>9344</v>
      </c>
      <c r="E1826">
        <f>tchr_he_handicraft_m_g7</f>
        <v>0</v>
      </c>
      <c r="F1826" t="b">
        <v>1</v>
      </c>
    </row>
    <row r="1827" spans="1:6" x14ac:dyDescent="0.35">
      <c r="A1827" t="s">
        <v>4510</v>
      </c>
      <c r="B1827" t="s">
        <v>4383</v>
      </c>
      <c r="C1827" t="s">
        <v>4510</v>
      </c>
      <c r="D1827" t="s">
        <v>9345</v>
      </c>
      <c r="E1827">
        <f>tchr_he_handicraft_f_g7</f>
        <v>0</v>
      </c>
      <c r="F1827" t="b">
        <v>1</v>
      </c>
    </row>
    <row r="1828" spans="1:6" x14ac:dyDescent="0.35">
      <c r="A1828" t="s">
        <v>4535</v>
      </c>
      <c r="B1828" t="s">
        <v>4383</v>
      </c>
      <c r="C1828" t="s">
        <v>4535</v>
      </c>
      <c r="D1828" t="s">
        <v>9346</v>
      </c>
      <c r="E1828">
        <f>tchr_he_handicraft_m_g8</f>
        <v>0</v>
      </c>
      <c r="F1828" t="b">
        <v>1</v>
      </c>
    </row>
    <row r="1829" spans="1:6" x14ac:dyDescent="0.35">
      <c r="A1829" t="s">
        <v>4560</v>
      </c>
      <c r="B1829" t="s">
        <v>4383</v>
      </c>
      <c r="C1829" t="s">
        <v>4560</v>
      </c>
      <c r="D1829" t="s">
        <v>9347</v>
      </c>
      <c r="E1829">
        <f>tchr_he_handicraft_f_g8</f>
        <v>0</v>
      </c>
      <c r="F1829" t="b">
        <v>1</v>
      </c>
    </row>
    <row r="1830" spans="1:6" x14ac:dyDescent="0.35">
      <c r="A1830" t="s">
        <v>4385</v>
      </c>
      <c r="B1830" t="s">
        <v>4383</v>
      </c>
      <c r="C1830" t="s">
        <v>4385</v>
      </c>
      <c r="D1830" t="s">
        <v>9348</v>
      </c>
      <c r="E1830">
        <f>tchr_he_handicraft_m_g9</f>
        <v>0</v>
      </c>
      <c r="F1830" t="b">
        <v>1</v>
      </c>
    </row>
    <row r="1831" spans="1:6" x14ac:dyDescent="0.35">
      <c r="A1831" t="s">
        <v>4410</v>
      </c>
      <c r="B1831" t="s">
        <v>4383</v>
      </c>
      <c r="C1831" t="s">
        <v>4410</v>
      </c>
      <c r="D1831" t="s">
        <v>9349</v>
      </c>
      <c r="E1831">
        <f>tchr_he_handicraft_f_g9</f>
        <v>0</v>
      </c>
      <c r="F1831" t="b">
        <v>1</v>
      </c>
    </row>
    <row r="1832" spans="1:6" x14ac:dyDescent="0.35">
      <c r="A1832" t="s">
        <v>4435</v>
      </c>
      <c r="B1832" t="s">
        <v>4383</v>
      </c>
      <c r="C1832" t="s">
        <v>4435</v>
      </c>
      <c r="D1832" t="s">
        <v>9350</v>
      </c>
      <c r="E1832">
        <f>tchr_he_handicraft_m_g10</f>
        <v>0</v>
      </c>
      <c r="F1832" t="b">
        <v>1</v>
      </c>
    </row>
    <row r="1833" spans="1:6" x14ac:dyDescent="0.35">
      <c r="A1833" t="s">
        <v>4460</v>
      </c>
      <c r="B1833" t="s">
        <v>4383</v>
      </c>
      <c r="C1833" t="s">
        <v>4460</v>
      </c>
      <c r="D1833" t="s">
        <v>9351</v>
      </c>
      <c r="E1833">
        <f>tchr_he_handicraft_f_g10</f>
        <v>0</v>
      </c>
      <c r="F1833" t="b">
        <v>1</v>
      </c>
    </row>
    <row r="1834" spans="1:6" x14ac:dyDescent="0.35">
      <c r="A1834" t="s">
        <v>4486</v>
      </c>
      <c r="B1834" t="s">
        <v>4383</v>
      </c>
      <c r="C1834" t="s">
        <v>4486</v>
      </c>
      <c r="D1834" t="s">
        <v>9352</v>
      </c>
      <c r="E1834">
        <f>tchr_he_householdsrvc_m_g7</f>
        <v>0</v>
      </c>
      <c r="F1834" t="b">
        <v>1</v>
      </c>
    </row>
    <row r="1835" spans="1:6" x14ac:dyDescent="0.35">
      <c r="A1835" t="s">
        <v>4511</v>
      </c>
      <c r="B1835" t="s">
        <v>4383</v>
      </c>
      <c r="C1835" t="s">
        <v>4511</v>
      </c>
      <c r="D1835" t="s">
        <v>9353</v>
      </c>
      <c r="E1835">
        <f>tchr_he_householdsrvc_f_g7</f>
        <v>0</v>
      </c>
      <c r="F1835" t="b">
        <v>1</v>
      </c>
    </row>
    <row r="1836" spans="1:6" x14ac:dyDescent="0.35">
      <c r="A1836" t="s">
        <v>4536</v>
      </c>
      <c r="B1836" t="s">
        <v>4383</v>
      </c>
      <c r="C1836" t="s">
        <v>4536</v>
      </c>
      <c r="D1836" t="s">
        <v>9354</v>
      </c>
      <c r="E1836">
        <f>tchr_he_householdsrvc_m_g8</f>
        <v>0</v>
      </c>
      <c r="F1836" t="b">
        <v>1</v>
      </c>
    </row>
    <row r="1837" spans="1:6" x14ac:dyDescent="0.35">
      <c r="A1837" t="s">
        <v>4561</v>
      </c>
      <c r="B1837" t="s">
        <v>4383</v>
      </c>
      <c r="C1837" t="s">
        <v>4561</v>
      </c>
      <c r="D1837" t="s">
        <v>9355</v>
      </c>
      <c r="E1837">
        <f>tchr_he_householdsrvc_f_g8</f>
        <v>0</v>
      </c>
      <c r="F1837" t="b">
        <v>1</v>
      </c>
    </row>
    <row r="1838" spans="1:6" x14ac:dyDescent="0.35">
      <c r="A1838" t="s">
        <v>4386</v>
      </c>
      <c r="B1838" t="s">
        <v>4383</v>
      </c>
      <c r="C1838" t="s">
        <v>4386</v>
      </c>
      <c r="D1838" t="s">
        <v>9356</v>
      </c>
      <c r="E1838">
        <f>tchr_he_householdsrvc_m_g9</f>
        <v>0</v>
      </c>
      <c r="F1838" t="b">
        <v>1</v>
      </c>
    </row>
    <row r="1839" spans="1:6" x14ac:dyDescent="0.35">
      <c r="A1839" t="s">
        <v>4411</v>
      </c>
      <c r="B1839" t="s">
        <v>4383</v>
      </c>
      <c r="C1839" t="s">
        <v>4411</v>
      </c>
      <c r="D1839" t="s">
        <v>9357</v>
      </c>
      <c r="E1839">
        <f>tchr_he_householdsrvc_f_g9</f>
        <v>0</v>
      </c>
      <c r="F1839" t="b">
        <v>1</v>
      </c>
    </row>
    <row r="1840" spans="1:6" x14ac:dyDescent="0.35">
      <c r="A1840" t="s">
        <v>4436</v>
      </c>
      <c r="B1840" t="s">
        <v>4383</v>
      </c>
      <c r="C1840" t="s">
        <v>4436</v>
      </c>
      <c r="D1840" t="s">
        <v>9358</v>
      </c>
      <c r="E1840">
        <f>tchr_he_householdsrvc_m_g10</f>
        <v>0</v>
      </c>
      <c r="F1840" t="b">
        <v>1</v>
      </c>
    </row>
    <row r="1841" spans="1:6" x14ac:dyDescent="0.35">
      <c r="A1841" t="s">
        <v>4461</v>
      </c>
      <c r="B1841" t="s">
        <v>4383</v>
      </c>
      <c r="C1841" t="s">
        <v>4461</v>
      </c>
      <c r="D1841" t="s">
        <v>9359</v>
      </c>
      <c r="E1841">
        <f>tchr_he_householdsrvc_f_g10</f>
        <v>0</v>
      </c>
      <c r="F1841" t="b">
        <v>1</v>
      </c>
    </row>
    <row r="1842" spans="1:6" x14ac:dyDescent="0.35">
      <c r="A1842" t="s">
        <v>4487</v>
      </c>
      <c r="B1842" t="s">
        <v>4383</v>
      </c>
      <c r="C1842" t="s">
        <v>4487</v>
      </c>
      <c r="D1842" t="s">
        <v>9360</v>
      </c>
      <c r="E1842">
        <f>tchr_he_travelservices_m_g7</f>
        <v>0</v>
      </c>
      <c r="F1842" t="b">
        <v>1</v>
      </c>
    </row>
    <row r="1843" spans="1:6" x14ac:dyDescent="0.35">
      <c r="A1843" t="s">
        <v>4512</v>
      </c>
      <c r="B1843" t="s">
        <v>4383</v>
      </c>
      <c r="C1843" t="s">
        <v>4512</v>
      </c>
      <c r="D1843" t="s">
        <v>9361</v>
      </c>
      <c r="E1843">
        <f>tchr_he_travelservices_f_g7</f>
        <v>0</v>
      </c>
      <c r="F1843" t="b">
        <v>1</v>
      </c>
    </row>
    <row r="1844" spans="1:6" x14ac:dyDescent="0.35">
      <c r="A1844" t="s">
        <v>4537</v>
      </c>
      <c r="B1844" t="s">
        <v>4383</v>
      </c>
      <c r="C1844" t="s">
        <v>4537</v>
      </c>
      <c r="D1844" t="s">
        <v>9362</v>
      </c>
      <c r="E1844">
        <f>tchr_he_travelservices_m_g8</f>
        <v>0</v>
      </c>
      <c r="F1844" t="b">
        <v>1</v>
      </c>
    </row>
    <row r="1845" spans="1:6" x14ac:dyDescent="0.35">
      <c r="A1845" t="s">
        <v>4562</v>
      </c>
      <c r="B1845" t="s">
        <v>4383</v>
      </c>
      <c r="C1845" t="s">
        <v>4562</v>
      </c>
      <c r="D1845" t="s">
        <v>9363</v>
      </c>
      <c r="E1845">
        <f>tchr_he_travelservices_f_g8</f>
        <v>0</v>
      </c>
      <c r="F1845" t="b">
        <v>1</v>
      </c>
    </row>
    <row r="1846" spans="1:6" x14ac:dyDescent="0.35">
      <c r="A1846" t="s">
        <v>4407</v>
      </c>
      <c r="B1846" t="s">
        <v>4383</v>
      </c>
      <c r="C1846" t="s">
        <v>4407</v>
      </c>
      <c r="D1846" t="s">
        <v>9364</v>
      </c>
      <c r="E1846">
        <f>tchr_he_travelservices_m_g9</f>
        <v>0</v>
      </c>
      <c r="F1846" t="b">
        <v>1</v>
      </c>
    </row>
    <row r="1847" spans="1:6" x14ac:dyDescent="0.35">
      <c r="A1847" t="s">
        <v>4412</v>
      </c>
      <c r="B1847" t="s">
        <v>4383</v>
      </c>
      <c r="C1847" t="s">
        <v>4412</v>
      </c>
      <c r="D1847" t="s">
        <v>9365</v>
      </c>
      <c r="E1847">
        <f>tchr_he_travelservices_f_g9</f>
        <v>0</v>
      </c>
      <c r="F1847" t="b">
        <v>1</v>
      </c>
    </row>
    <row r="1848" spans="1:6" x14ac:dyDescent="0.35">
      <c r="A1848" t="s">
        <v>4437</v>
      </c>
      <c r="B1848" t="s">
        <v>4383</v>
      </c>
      <c r="C1848" t="s">
        <v>4437</v>
      </c>
      <c r="D1848" t="s">
        <v>9366</v>
      </c>
      <c r="E1848">
        <f>tchr_he_travelservices_m_g10</f>
        <v>0</v>
      </c>
      <c r="F1848" t="b">
        <v>1</v>
      </c>
    </row>
    <row r="1849" spans="1:6" x14ac:dyDescent="0.35">
      <c r="A1849" t="s">
        <v>4462</v>
      </c>
      <c r="B1849" t="s">
        <v>4383</v>
      </c>
      <c r="C1849" t="s">
        <v>4462</v>
      </c>
      <c r="D1849" t="s">
        <v>9367</v>
      </c>
      <c r="E1849">
        <f>tchr_he_travelservices_f_g10</f>
        <v>0</v>
      </c>
      <c r="F1849" t="b">
        <v>1</v>
      </c>
    </row>
    <row r="1850" spans="1:6" x14ac:dyDescent="0.35">
      <c r="A1850" t="s">
        <v>4488</v>
      </c>
      <c r="B1850" t="s">
        <v>4383</v>
      </c>
      <c r="C1850" t="s">
        <v>4488</v>
      </c>
      <c r="D1850" t="s">
        <v>9368</v>
      </c>
      <c r="E1850">
        <f>tchr_he_wellness_m_g7</f>
        <v>0</v>
      </c>
      <c r="F1850" t="b">
        <v>1</v>
      </c>
    </row>
    <row r="1851" spans="1:6" x14ac:dyDescent="0.35">
      <c r="A1851" t="s">
        <v>4513</v>
      </c>
      <c r="B1851" t="s">
        <v>4383</v>
      </c>
      <c r="C1851" t="s">
        <v>4513</v>
      </c>
      <c r="D1851" t="s">
        <v>9369</v>
      </c>
      <c r="E1851">
        <f>tchr_he_wellness_f_g7</f>
        <v>0</v>
      </c>
      <c r="F1851" t="b">
        <v>1</v>
      </c>
    </row>
    <row r="1852" spans="1:6" x14ac:dyDescent="0.35">
      <c r="A1852" t="s">
        <v>4538</v>
      </c>
      <c r="B1852" t="s">
        <v>4383</v>
      </c>
      <c r="C1852" t="s">
        <v>4538</v>
      </c>
      <c r="D1852" t="s">
        <v>9370</v>
      </c>
      <c r="E1852">
        <f>tchr_he_wellness_m_g8</f>
        <v>0</v>
      </c>
      <c r="F1852" t="b">
        <v>1</v>
      </c>
    </row>
    <row r="1853" spans="1:6" x14ac:dyDescent="0.35">
      <c r="A1853" t="s">
        <v>4563</v>
      </c>
      <c r="B1853" t="s">
        <v>4383</v>
      </c>
      <c r="C1853" t="s">
        <v>4563</v>
      </c>
      <c r="D1853" t="s">
        <v>9371</v>
      </c>
      <c r="E1853">
        <f>tchr_he_wellness_f_g8</f>
        <v>0</v>
      </c>
      <c r="F1853" t="b">
        <v>1</v>
      </c>
    </row>
    <row r="1854" spans="1:6" x14ac:dyDescent="0.35">
      <c r="A1854" t="s">
        <v>4387</v>
      </c>
      <c r="B1854" t="s">
        <v>4383</v>
      </c>
      <c r="C1854" t="s">
        <v>4387</v>
      </c>
      <c r="D1854" t="s">
        <v>9372</v>
      </c>
      <c r="E1854">
        <f>tchr_he_wellness_m_g9</f>
        <v>0</v>
      </c>
      <c r="F1854" t="b">
        <v>1</v>
      </c>
    </row>
    <row r="1855" spans="1:6" x14ac:dyDescent="0.35">
      <c r="A1855" t="s">
        <v>4413</v>
      </c>
      <c r="B1855" t="s">
        <v>4383</v>
      </c>
      <c r="C1855" t="s">
        <v>4413</v>
      </c>
      <c r="D1855" t="s">
        <v>9373</v>
      </c>
      <c r="E1855">
        <f>tchr_he_wellness_f_g9</f>
        <v>0</v>
      </c>
      <c r="F1855" t="b">
        <v>1</v>
      </c>
    </row>
    <row r="1856" spans="1:6" x14ac:dyDescent="0.35">
      <c r="A1856" t="s">
        <v>4438</v>
      </c>
      <c r="B1856" t="s">
        <v>4383</v>
      </c>
      <c r="C1856" t="s">
        <v>4438</v>
      </c>
      <c r="D1856" t="s">
        <v>9374</v>
      </c>
      <c r="E1856">
        <f>tchr_he_wellness_m_g10</f>
        <v>0</v>
      </c>
      <c r="F1856" t="b">
        <v>1</v>
      </c>
    </row>
    <row r="1857" spans="1:6" x14ac:dyDescent="0.35">
      <c r="A1857" t="s">
        <v>4463</v>
      </c>
      <c r="B1857" t="s">
        <v>4383</v>
      </c>
      <c r="C1857" t="s">
        <v>4463</v>
      </c>
      <c r="D1857" t="s">
        <v>9375</v>
      </c>
      <c r="E1857">
        <f>tchr_he_wellness_f_g10</f>
        <v>0</v>
      </c>
      <c r="F1857" t="b">
        <v>1</v>
      </c>
    </row>
    <row r="1858" spans="1:6" x14ac:dyDescent="0.35">
      <c r="A1858" t="s">
        <v>4489</v>
      </c>
      <c r="B1858" t="s">
        <v>4383</v>
      </c>
      <c r="C1858" t="s">
        <v>4489</v>
      </c>
      <c r="D1858" t="s">
        <v>9376</v>
      </c>
      <c r="E1858">
        <f>tchr_afa_agricrops_m_g7</f>
        <v>1</v>
      </c>
      <c r="F1858" t="b">
        <v>1</v>
      </c>
    </row>
    <row r="1859" spans="1:6" x14ac:dyDescent="0.35">
      <c r="A1859" t="s">
        <v>4514</v>
      </c>
      <c r="B1859" t="s">
        <v>4383</v>
      </c>
      <c r="C1859" t="s">
        <v>4514</v>
      </c>
      <c r="D1859" t="s">
        <v>9377</v>
      </c>
      <c r="E1859">
        <f>tchr_afa_agricrops_f_g7</f>
        <v>0</v>
      </c>
      <c r="F1859" t="b">
        <v>1</v>
      </c>
    </row>
    <row r="1860" spans="1:6" x14ac:dyDescent="0.35">
      <c r="A1860" t="s">
        <v>4539</v>
      </c>
      <c r="B1860" t="s">
        <v>4383</v>
      </c>
      <c r="C1860" t="s">
        <v>4539</v>
      </c>
      <c r="D1860" t="s">
        <v>9378</v>
      </c>
      <c r="E1860">
        <f>tchr_afa_agricrops_m_g8</f>
        <v>1</v>
      </c>
      <c r="F1860" t="b">
        <v>1</v>
      </c>
    </row>
    <row r="1861" spans="1:6" x14ac:dyDescent="0.35">
      <c r="A1861" t="s">
        <v>4564</v>
      </c>
      <c r="B1861" t="s">
        <v>4383</v>
      </c>
      <c r="C1861" t="s">
        <v>4564</v>
      </c>
      <c r="D1861" t="s">
        <v>9379</v>
      </c>
      <c r="E1861">
        <f>tchr_afa_agricrops_f_g8</f>
        <v>0</v>
      </c>
      <c r="F1861" t="b">
        <v>1</v>
      </c>
    </row>
    <row r="1862" spans="1:6" x14ac:dyDescent="0.35">
      <c r="A1862" t="s">
        <v>4388</v>
      </c>
      <c r="B1862" t="s">
        <v>4383</v>
      </c>
      <c r="C1862" t="s">
        <v>4388</v>
      </c>
      <c r="D1862" t="s">
        <v>9380</v>
      </c>
      <c r="E1862">
        <f>tchr_afa_agricrops_m_g9</f>
        <v>1</v>
      </c>
      <c r="F1862" t="b">
        <v>1</v>
      </c>
    </row>
    <row r="1863" spans="1:6" x14ac:dyDescent="0.35">
      <c r="A1863" t="s">
        <v>4414</v>
      </c>
      <c r="B1863" t="s">
        <v>4383</v>
      </c>
      <c r="C1863" t="s">
        <v>4414</v>
      </c>
      <c r="D1863" t="s">
        <v>9381</v>
      </c>
      <c r="E1863">
        <f>tchr_afa_agricrops_f_g9</f>
        <v>0</v>
      </c>
      <c r="F1863" t="b">
        <v>1</v>
      </c>
    </row>
    <row r="1864" spans="1:6" x14ac:dyDescent="0.35">
      <c r="A1864" t="s">
        <v>4439</v>
      </c>
      <c r="B1864" t="s">
        <v>4383</v>
      </c>
      <c r="C1864" t="s">
        <v>4439</v>
      </c>
      <c r="D1864" t="s">
        <v>9382</v>
      </c>
      <c r="E1864">
        <f>tchr_afa_agricrops_m_g10</f>
        <v>1</v>
      </c>
      <c r="F1864" t="b">
        <v>1</v>
      </c>
    </row>
    <row r="1865" spans="1:6" x14ac:dyDescent="0.35">
      <c r="A1865" t="s">
        <v>4464</v>
      </c>
      <c r="B1865" t="s">
        <v>4383</v>
      </c>
      <c r="C1865" t="s">
        <v>4464</v>
      </c>
      <c r="D1865" t="s">
        <v>9383</v>
      </c>
      <c r="E1865">
        <f>tchr_afa_agricrops_f_g10</f>
        <v>0</v>
      </c>
      <c r="F1865" t="b">
        <v>1</v>
      </c>
    </row>
    <row r="1866" spans="1:6" x14ac:dyDescent="0.35">
      <c r="A1866" t="s">
        <v>4490</v>
      </c>
      <c r="B1866" t="s">
        <v>4383</v>
      </c>
      <c r="C1866" t="s">
        <v>4490</v>
      </c>
      <c r="D1866" t="s">
        <v>9384</v>
      </c>
      <c r="E1866">
        <f>tchr_afa_animalprod_m_g7</f>
        <v>0</v>
      </c>
      <c r="F1866" t="b">
        <v>1</v>
      </c>
    </row>
    <row r="1867" spans="1:6" x14ac:dyDescent="0.35">
      <c r="A1867" t="s">
        <v>4515</v>
      </c>
      <c r="B1867" t="s">
        <v>4383</v>
      </c>
      <c r="C1867" t="s">
        <v>4515</v>
      </c>
      <c r="D1867" t="s">
        <v>9385</v>
      </c>
      <c r="E1867">
        <f>tchr_afa_animalprod_f_g7</f>
        <v>0</v>
      </c>
      <c r="F1867" t="b">
        <v>1</v>
      </c>
    </row>
    <row r="1868" spans="1:6" x14ac:dyDescent="0.35">
      <c r="A1868" t="s">
        <v>4540</v>
      </c>
      <c r="B1868" t="s">
        <v>4383</v>
      </c>
      <c r="C1868" t="s">
        <v>4540</v>
      </c>
      <c r="D1868" t="s">
        <v>9386</v>
      </c>
      <c r="E1868">
        <f>tchr_afa_animalprod_m_g8</f>
        <v>0</v>
      </c>
      <c r="F1868" t="b">
        <v>1</v>
      </c>
    </row>
    <row r="1869" spans="1:6" x14ac:dyDescent="0.35">
      <c r="A1869" t="s">
        <v>4565</v>
      </c>
      <c r="B1869" t="s">
        <v>4383</v>
      </c>
      <c r="C1869" t="s">
        <v>4565</v>
      </c>
      <c r="D1869" t="s">
        <v>9387</v>
      </c>
      <c r="E1869">
        <f>tchr_afa_animalprod_f_g8</f>
        <v>0</v>
      </c>
      <c r="F1869" t="b">
        <v>1</v>
      </c>
    </row>
    <row r="1870" spans="1:6" x14ac:dyDescent="0.35">
      <c r="A1870" t="s">
        <v>4389</v>
      </c>
      <c r="B1870" t="s">
        <v>4383</v>
      </c>
      <c r="C1870" t="s">
        <v>4389</v>
      </c>
      <c r="D1870" t="s">
        <v>9388</v>
      </c>
      <c r="E1870">
        <f>tchr_afa_animalprod_m_g9</f>
        <v>0</v>
      </c>
      <c r="F1870" t="b">
        <v>1</v>
      </c>
    </row>
    <row r="1871" spans="1:6" x14ac:dyDescent="0.35">
      <c r="A1871" t="s">
        <v>4415</v>
      </c>
      <c r="B1871" t="s">
        <v>4383</v>
      </c>
      <c r="C1871" t="s">
        <v>4415</v>
      </c>
      <c r="D1871" t="s">
        <v>9389</v>
      </c>
      <c r="E1871">
        <f>tchr_afa_animalprod_f_g9</f>
        <v>0</v>
      </c>
      <c r="F1871" t="b">
        <v>1</v>
      </c>
    </row>
    <row r="1872" spans="1:6" x14ac:dyDescent="0.35">
      <c r="A1872" t="s">
        <v>4440</v>
      </c>
      <c r="B1872" t="s">
        <v>4383</v>
      </c>
      <c r="C1872" t="s">
        <v>4440</v>
      </c>
      <c r="D1872" t="s">
        <v>9390</v>
      </c>
      <c r="E1872">
        <f>tchr_afa_animalprod_m_g10</f>
        <v>0</v>
      </c>
      <c r="F1872" t="b">
        <v>1</v>
      </c>
    </row>
    <row r="1873" spans="1:6" x14ac:dyDescent="0.35">
      <c r="A1873" t="s">
        <v>4465</v>
      </c>
      <c r="B1873" t="s">
        <v>4383</v>
      </c>
      <c r="C1873" t="s">
        <v>4465</v>
      </c>
      <c r="D1873" t="s">
        <v>9391</v>
      </c>
      <c r="E1873">
        <f>tchr_afa_animalprod_f_g10</f>
        <v>0</v>
      </c>
      <c r="F1873" t="b">
        <v>1</v>
      </c>
    </row>
    <row r="1874" spans="1:6" x14ac:dyDescent="0.35">
      <c r="A1874" t="s">
        <v>4491</v>
      </c>
      <c r="B1874" t="s">
        <v>4383</v>
      </c>
      <c r="C1874" t="s">
        <v>4491</v>
      </c>
      <c r="D1874" t="s">
        <v>9392</v>
      </c>
      <c r="E1874">
        <f>tchr_afa_aquaculture_m_g7</f>
        <v>0</v>
      </c>
      <c r="F1874" t="b">
        <v>1</v>
      </c>
    </row>
    <row r="1875" spans="1:6" x14ac:dyDescent="0.35">
      <c r="A1875" t="s">
        <v>4516</v>
      </c>
      <c r="B1875" t="s">
        <v>4383</v>
      </c>
      <c r="C1875" t="s">
        <v>4516</v>
      </c>
      <c r="D1875" t="s">
        <v>9393</v>
      </c>
      <c r="E1875">
        <f>tchr_afa_aquaculture_f_g7</f>
        <v>0</v>
      </c>
      <c r="F1875" t="b">
        <v>1</v>
      </c>
    </row>
    <row r="1876" spans="1:6" x14ac:dyDescent="0.35">
      <c r="A1876" t="s">
        <v>4541</v>
      </c>
      <c r="B1876" t="s">
        <v>4383</v>
      </c>
      <c r="C1876" t="s">
        <v>4541</v>
      </c>
      <c r="D1876" t="s">
        <v>9394</v>
      </c>
      <c r="E1876">
        <f>tchr_afa_aquaculture_m_g8</f>
        <v>0</v>
      </c>
      <c r="F1876" t="b">
        <v>1</v>
      </c>
    </row>
    <row r="1877" spans="1:6" x14ac:dyDescent="0.35">
      <c r="A1877" t="s">
        <v>4566</v>
      </c>
      <c r="B1877" t="s">
        <v>4383</v>
      </c>
      <c r="C1877" t="s">
        <v>4566</v>
      </c>
      <c r="D1877" t="s">
        <v>9395</v>
      </c>
      <c r="E1877">
        <f>tchr_afa_aquaculture_f_g8</f>
        <v>0</v>
      </c>
      <c r="F1877" t="b">
        <v>1</v>
      </c>
    </row>
    <row r="1878" spans="1:6" x14ac:dyDescent="0.35">
      <c r="A1878" t="s">
        <v>4390</v>
      </c>
      <c r="B1878" t="s">
        <v>4383</v>
      </c>
      <c r="C1878" t="s">
        <v>4390</v>
      </c>
      <c r="D1878" t="s">
        <v>9396</v>
      </c>
      <c r="E1878">
        <f>tchr_afa_aquaculture_m_g9</f>
        <v>0</v>
      </c>
      <c r="F1878" t="b">
        <v>1</v>
      </c>
    </row>
    <row r="1879" spans="1:6" x14ac:dyDescent="0.35">
      <c r="A1879" t="s">
        <v>4416</v>
      </c>
      <c r="B1879" t="s">
        <v>4383</v>
      </c>
      <c r="C1879" t="s">
        <v>4416</v>
      </c>
      <c r="D1879" t="s">
        <v>9397</v>
      </c>
      <c r="E1879">
        <f>tchr_afa_aquaculture_f_g9</f>
        <v>0</v>
      </c>
      <c r="F1879" t="b">
        <v>1</v>
      </c>
    </row>
    <row r="1880" spans="1:6" x14ac:dyDescent="0.35">
      <c r="A1880" t="s">
        <v>4441</v>
      </c>
      <c r="B1880" t="s">
        <v>4383</v>
      </c>
      <c r="C1880" t="s">
        <v>4441</v>
      </c>
      <c r="D1880" t="s">
        <v>9398</v>
      </c>
      <c r="E1880">
        <f>tchr_afa_aquaculture_m_g10</f>
        <v>0</v>
      </c>
      <c r="F1880" t="b">
        <v>1</v>
      </c>
    </row>
    <row r="1881" spans="1:6" x14ac:dyDescent="0.35">
      <c r="A1881" t="s">
        <v>4466</v>
      </c>
      <c r="B1881" t="s">
        <v>4383</v>
      </c>
      <c r="C1881" t="s">
        <v>4466</v>
      </c>
      <c r="D1881" t="s">
        <v>9399</v>
      </c>
      <c r="E1881">
        <f>tchr_afa_aquaculture_f_g10</f>
        <v>0</v>
      </c>
      <c r="F1881" t="b">
        <v>1</v>
      </c>
    </row>
    <row r="1882" spans="1:6" x14ac:dyDescent="0.35">
      <c r="A1882" t="s">
        <v>4492</v>
      </c>
      <c r="B1882" t="s">
        <v>4383</v>
      </c>
      <c r="C1882" t="s">
        <v>4492</v>
      </c>
      <c r="D1882" t="s">
        <v>9400</v>
      </c>
      <c r="E1882">
        <f>tchr_afa_fishprocessing_m_g7</f>
        <v>0</v>
      </c>
      <c r="F1882" t="b">
        <v>1</v>
      </c>
    </row>
    <row r="1883" spans="1:6" x14ac:dyDescent="0.35">
      <c r="A1883" t="s">
        <v>4517</v>
      </c>
      <c r="B1883" t="s">
        <v>4383</v>
      </c>
      <c r="C1883" t="s">
        <v>4517</v>
      </c>
      <c r="D1883" t="s">
        <v>9401</v>
      </c>
      <c r="E1883">
        <f>tchr_afa_fishprocessing_f_g7</f>
        <v>0</v>
      </c>
      <c r="F1883" t="b">
        <v>1</v>
      </c>
    </row>
    <row r="1884" spans="1:6" x14ac:dyDescent="0.35">
      <c r="A1884" t="s">
        <v>4542</v>
      </c>
      <c r="B1884" t="s">
        <v>4383</v>
      </c>
      <c r="C1884" t="s">
        <v>4542</v>
      </c>
      <c r="D1884" t="s">
        <v>9402</v>
      </c>
      <c r="E1884">
        <f>tchr_afa_fishprocessing_m_g8</f>
        <v>0</v>
      </c>
      <c r="F1884" t="b">
        <v>1</v>
      </c>
    </row>
    <row r="1885" spans="1:6" x14ac:dyDescent="0.35">
      <c r="A1885" t="s">
        <v>4567</v>
      </c>
      <c r="B1885" t="s">
        <v>4383</v>
      </c>
      <c r="C1885" t="s">
        <v>4567</v>
      </c>
      <c r="D1885" t="s">
        <v>9403</v>
      </c>
      <c r="E1885">
        <f>tchr_afa_fishprocessing_f_g8</f>
        <v>0</v>
      </c>
      <c r="F1885" t="b">
        <v>1</v>
      </c>
    </row>
    <row r="1886" spans="1:6" x14ac:dyDescent="0.35">
      <c r="A1886" t="s">
        <v>4391</v>
      </c>
      <c r="B1886" t="s">
        <v>4383</v>
      </c>
      <c r="C1886" t="s">
        <v>4391</v>
      </c>
      <c r="D1886" t="s">
        <v>9404</v>
      </c>
      <c r="E1886">
        <f>tchr_afa_fishprocessing_m_g9</f>
        <v>0</v>
      </c>
      <c r="F1886" t="b">
        <v>1</v>
      </c>
    </row>
    <row r="1887" spans="1:6" x14ac:dyDescent="0.35">
      <c r="A1887" t="s">
        <v>4417</v>
      </c>
      <c r="B1887" t="s">
        <v>4383</v>
      </c>
      <c r="C1887" t="s">
        <v>4417</v>
      </c>
      <c r="D1887" t="s">
        <v>9405</v>
      </c>
      <c r="E1887">
        <f>tchr_afa_fishprocessing_f_g9</f>
        <v>0</v>
      </c>
      <c r="F1887" t="b">
        <v>1</v>
      </c>
    </row>
    <row r="1888" spans="1:6" x14ac:dyDescent="0.35">
      <c r="A1888" t="s">
        <v>4442</v>
      </c>
      <c r="B1888" t="s">
        <v>4383</v>
      </c>
      <c r="C1888" t="s">
        <v>4442</v>
      </c>
      <c r="D1888" t="s">
        <v>9406</v>
      </c>
      <c r="E1888">
        <f>tchr_afa_fishprocessing_m_g10</f>
        <v>0</v>
      </c>
      <c r="F1888" t="b">
        <v>1</v>
      </c>
    </row>
    <row r="1889" spans="1:6" x14ac:dyDescent="0.35">
      <c r="A1889" t="s">
        <v>4467</v>
      </c>
      <c r="B1889" t="s">
        <v>4383</v>
      </c>
      <c r="C1889" t="s">
        <v>4467</v>
      </c>
      <c r="D1889" t="s">
        <v>9407</v>
      </c>
      <c r="E1889">
        <f>tchr_afa_fishprocessing_f_g10</f>
        <v>0</v>
      </c>
      <c r="F1889" t="b">
        <v>1</v>
      </c>
    </row>
    <row r="1890" spans="1:6" x14ac:dyDescent="0.35">
      <c r="A1890" t="s">
        <v>4493</v>
      </c>
      <c r="B1890" t="s">
        <v>4383</v>
      </c>
      <c r="C1890" t="s">
        <v>4493</v>
      </c>
      <c r="D1890" t="s">
        <v>9408</v>
      </c>
      <c r="E1890">
        <f>tchr_ia_automotiveservicing_m_g7</f>
        <v>1</v>
      </c>
      <c r="F1890" t="b">
        <v>1</v>
      </c>
    </row>
    <row r="1891" spans="1:6" x14ac:dyDescent="0.35">
      <c r="A1891" t="s">
        <v>4518</v>
      </c>
      <c r="B1891" t="s">
        <v>4383</v>
      </c>
      <c r="C1891" t="s">
        <v>4518</v>
      </c>
      <c r="D1891" t="s">
        <v>9409</v>
      </c>
      <c r="E1891">
        <f>tchr_ia_automotiveservicing_f_g7</f>
        <v>0</v>
      </c>
      <c r="F1891" t="b">
        <v>1</v>
      </c>
    </row>
    <row r="1892" spans="1:6" x14ac:dyDescent="0.35">
      <c r="A1892" t="s">
        <v>4543</v>
      </c>
      <c r="B1892" t="s">
        <v>4383</v>
      </c>
      <c r="C1892" t="s">
        <v>4543</v>
      </c>
      <c r="D1892" t="s">
        <v>9410</v>
      </c>
      <c r="E1892">
        <f>tchr_ia_automotiveservicing_m_g8</f>
        <v>1</v>
      </c>
      <c r="F1892" t="b">
        <v>1</v>
      </c>
    </row>
    <row r="1893" spans="1:6" x14ac:dyDescent="0.35">
      <c r="A1893" t="s">
        <v>4568</v>
      </c>
      <c r="B1893" t="s">
        <v>4383</v>
      </c>
      <c r="C1893" t="s">
        <v>4568</v>
      </c>
      <c r="D1893" t="s">
        <v>9411</v>
      </c>
      <c r="E1893">
        <f>tchr_ia_automotiveservicing_f_g8</f>
        <v>0</v>
      </c>
      <c r="F1893" t="b">
        <v>1</v>
      </c>
    </row>
    <row r="1894" spans="1:6" x14ac:dyDescent="0.35">
      <c r="A1894" t="s">
        <v>4392</v>
      </c>
      <c r="B1894" t="s">
        <v>4383</v>
      </c>
      <c r="C1894" t="s">
        <v>4392</v>
      </c>
      <c r="D1894" t="s">
        <v>9412</v>
      </c>
      <c r="E1894">
        <f>tchr_ia_automotiveservicing_m_g9</f>
        <v>1</v>
      </c>
      <c r="F1894" t="b">
        <v>1</v>
      </c>
    </row>
    <row r="1895" spans="1:6" x14ac:dyDescent="0.35">
      <c r="A1895" t="s">
        <v>4418</v>
      </c>
      <c r="B1895" t="s">
        <v>4383</v>
      </c>
      <c r="C1895" t="s">
        <v>4418</v>
      </c>
      <c r="D1895" t="s">
        <v>9413</v>
      </c>
      <c r="E1895">
        <f>tchr_ia_automotiveservicing_f_g9</f>
        <v>0</v>
      </c>
      <c r="F1895" t="b">
        <v>1</v>
      </c>
    </row>
    <row r="1896" spans="1:6" x14ac:dyDescent="0.35">
      <c r="A1896" t="s">
        <v>4443</v>
      </c>
      <c r="B1896" t="s">
        <v>4383</v>
      </c>
      <c r="C1896" t="s">
        <v>4443</v>
      </c>
      <c r="D1896" t="s">
        <v>9414</v>
      </c>
      <c r="E1896">
        <f>tchr_ia_automotiveservicing_m_g10</f>
        <v>1</v>
      </c>
      <c r="F1896" t="b">
        <v>1</v>
      </c>
    </row>
    <row r="1897" spans="1:6" x14ac:dyDescent="0.35">
      <c r="A1897" t="s">
        <v>4468</v>
      </c>
      <c r="B1897" t="s">
        <v>4383</v>
      </c>
      <c r="C1897" t="s">
        <v>4468</v>
      </c>
      <c r="D1897" t="s">
        <v>9415</v>
      </c>
      <c r="E1897">
        <f>tchr_ia_automotiveservicing_f_g10</f>
        <v>0</v>
      </c>
      <c r="F1897" t="b">
        <v>1</v>
      </c>
    </row>
    <row r="1898" spans="1:6" x14ac:dyDescent="0.35">
      <c r="A1898" t="s">
        <v>4494</v>
      </c>
      <c r="B1898" t="s">
        <v>4383</v>
      </c>
      <c r="C1898" t="s">
        <v>4494</v>
      </c>
      <c r="D1898" t="s">
        <v>9416</v>
      </c>
      <c r="E1898">
        <f>tchr_ia_carpentry_m_g7</f>
        <v>0</v>
      </c>
      <c r="F1898" t="b">
        <v>1</v>
      </c>
    </row>
    <row r="1899" spans="1:6" x14ac:dyDescent="0.35">
      <c r="A1899" t="s">
        <v>4519</v>
      </c>
      <c r="B1899" t="s">
        <v>4383</v>
      </c>
      <c r="C1899" t="s">
        <v>4519</v>
      </c>
      <c r="D1899" t="s">
        <v>9417</v>
      </c>
      <c r="E1899">
        <f>tchr_ia_carpentry_f_g7</f>
        <v>0</v>
      </c>
      <c r="F1899" t="b">
        <v>1</v>
      </c>
    </row>
    <row r="1900" spans="1:6" x14ac:dyDescent="0.35">
      <c r="A1900" t="s">
        <v>4544</v>
      </c>
      <c r="B1900" t="s">
        <v>4383</v>
      </c>
      <c r="C1900" t="s">
        <v>4544</v>
      </c>
      <c r="D1900" t="s">
        <v>9418</v>
      </c>
      <c r="E1900">
        <f>tchr_ia_carpentry_m_g8</f>
        <v>1</v>
      </c>
      <c r="F1900" t="b">
        <v>1</v>
      </c>
    </row>
    <row r="1901" spans="1:6" x14ac:dyDescent="0.35">
      <c r="A1901" t="s">
        <v>4569</v>
      </c>
      <c r="B1901" t="s">
        <v>4383</v>
      </c>
      <c r="C1901" t="s">
        <v>4569</v>
      </c>
      <c r="D1901" t="s">
        <v>9419</v>
      </c>
      <c r="E1901">
        <f>tchr_ia_carpentry_f_g8</f>
        <v>0</v>
      </c>
      <c r="F1901" t="b">
        <v>1</v>
      </c>
    </row>
    <row r="1902" spans="1:6" x14ac:dyDescent="0.35">
      <c r="A1902" t="s">
        <v>4393</v>
      </c>
      <c r="B1902" t="s">
        <v>4383</v>
      </c>
      <c r="C1902" t="s">
        <v>4393</v>
      </c>
      <c r="D1902" t="s">
        <v>9420</v>
      </c>
      <c r="E1902">
        <f>tchr_ia_carpentry_m_g9</f>
        <v>1</v>
      </c>
      <c r="F1902" t="b">
        <v>1</v>
      </c>
    </row>
    <row r="1903" spans="1:6" x14ac:dyDescent="0.35">
      <c r="A1903" t="s">
        <v>4419</v>
      </c>
      <c r="B1903" t="s">
        <v>4383</v>
      </c>
      <c r="C1903" t="s">
        <v>4419</v>
      </c>
      <c r="D1903" t="s">
        <v>9421</v>
      </c>
      <c r="E1903">
        <f>tchr_ia_carpentry_f_g9</f>
        <v>0</v>
      </c>
      <c r="F1903" t="b">
        <v>1</v>
      </c>
    </row>
    <row r="1904" spans="1:6" x14ac:dyDescent="0.35">
      <c r="A1904" t="s">
        <v>4444</v>
      </c>
      <c r="B1904" t="s">
        <v>4383</v>
      </c>
      <c r="C1904" t="s">
        <v>4444</v>
      </c>
      <c r="D1904" t="s">
        <v>9422</v>
      </c>
      <c r="E1904">
        <f>tchr_ia_carpentry_m_g10</f>
        <v>1</v>
      </c>
      <c r="F1904" t="b">
        <v>1</v>
      </c>
    </row>
    <row r="1905" spans="1:6" x14ac:dyDescent="0.35">
      <c r="A1905" t="s">
        <v>4469</v>
      </c>
      <c r="B1905" t="s">
        <v>4383</v>
      </c>
      <c r="C1905" t="s">
        <v>4469</v>
      </c>
      <c r="D1905" t="s">
        <v>9423</v>
      </c>
      <c r="E1905">
        <f>tchr_ia_carpentry_f_g10</f>
        <v>0</v>
      </c>
      <c r="F1905" t="b">
        <v>1</v>
      </c>
    </row>
    <row r="1906" spans="1:6" x14ac:dyDescent="0.35">
      <c r="A1906" t="s">
        <v>4495</v>
      </c>
      <c r="B1906" t="s">
        <v>4383</v>
      </c>
      <c r="C1906" t="s">
        <v>4495</v>
      </c>
      <c r="D1906" t="s">
        <v>9424</v>
      </c>
      <c r="E1906">
        <f>tchr_ia_elecinstallation_m_g7</f>
        <v>0</v>
      </c>
      <c r="F1906" t="b">
        <v>1</v>
      </c>
    </row>
    <row r="1907" spans="1:6" x14ac:dyDescent="0.35">
      <c r="A1907" t="s">
        <v>4520</v>
      </c>
      <c r="B1907" t="s">
        <v>4383</v>
      </c>
      <c r="C1907" t="s">
        <v>4520</v>
      </c>
      <c r="D1907" t="s">
        <v>9425</v>
      </c>
      <c r="E1907">
        <f>tchr_ia_elecinstallation_f_g7</f>
        <v>0</v>
      </c>
      <c r="F1907" t="b">
        <v>1</v>
      </c>
    </row>
    <row r="1908" spans="1:6" x14ac:dyDescent="0.35">
      <c r="A1908" t="s">
        <v>4545</v>
      </c>
      <c r="B1908" t="s">
        <v>4383</v>
      </c>
      <c r="C1908" t="s">
        <v>4545</v>
      </c>
      <c r="D1908" t="s">
        <v>9426</v>
      </c>
      <c r="E1908">
        <f>tchr_ia_elecinstallation_m_g8</f>
        <v>1</v>
      </c>
      <c r="F1908" t="b">
        <v>1</v>
      </c>
    </row>
    <row r="1909" spans="1:6" x14ac:dyDescent="0.35">
      <c r="A1909" t="s">
        <v>4570</v>
      </c>
      <c r="B1909" t="s">
        <v>4383</v>
      </c>
      <c r="C1909" t="s">
        <v>4570</v>
      </c>
      <c r="D1909" t="s">
        <v>9427</v>
      </c>
      <c r="E1909">
        <f>tchr_ia_elecinstallation_f_g8</f>
        <v>0</v>
      </c>
      <c r="F1909" t="b">
        <v>1</v>
      </c>
    </row>
    <row r="1910" spans="1:6" x14ac:dyDescent="0.35">
      <c r="A1910" t="s">
        <v>4394</v>
      </c>
      <c r="B1910" t="s">
        <v>4383</v>
      </c>
      <c r="C1910" t="s">
        <v>4394</v>
      </c>
      <c r="D1910" t="s">
        <v>9428</v>
      </c>
      <c r="E1910">
        <f>tchr_ia_elecinstallation_m_g9</f>
        <v>1</v>
      </c>
      <c r="F1910" t="b">
        <v>1</v>
      </c>
    </row>
    <row r="1911" spans="1:6" x14ac:dyDescent="0.35">
      <c r="A1911" t="s">
        <v>4420</v>
      </c>
      <c r="B1911" t="s">
        <v>4383</v>
      </c>
      <c r="C1911" t="s">
        <v>4420</v>
      </c>
      <c r="D1911" t="s">
        <v>9429</v>
      </c>
      <c r="E1911">
        <f>tchr_ia_elecinstallation_f_g9</f>
        <v>0</v>
      </c>
      <c r="F1911" t="b">
        <v>1</v>
      </c>
    </row>
    <row r="1912" spans="1:6" x14ac:dyDescent="0.35">
      <c r="A1912" t="s">
        <v>4445</v>
      </c>
      <c r="B1912" t="s">
        <v>4383</v>
      </c>
      <c r="C1912" t="s">
        <v>4445</v>
      </c>
      <c r="D1912" t="s">
        <v>9430</v>
      </c>
      <c r="E1912">
        <f>tchr_ia_elecinstallation_m_g10</f>
        <v>1</v>
      </c>
      <c r="F1912" t="b">
        <v>1</v>
      </c>
    </row>
    <row r="1913" spans="1:6" x14ac:dyDescent="0.35">
      <c r="A1913" t="s">
        <v>4470</v>
      </c>
      <c r="B1913" t="s">
        <v>4383</v>
      </c>
      <c r="C1913" t="s">
        <v>4470</v>
      </c>
      <c r="D1913" t="s">
        <v>9431</v>
      </c>
      <c r="E1913">
        <f>tchr_ia_elecinstallation_f_g10</f>
        <v>0</v>
      </c>
      <c r="F1913" t="b">
        <v>1</v>
      </c>
    </row>
    <row r="1914" spans="1:6" x14ac:dyDescent="0.35">
      <c r="A1914" t="s">
        <v>4496</v>
      </c>
      <c r="B1914" t="s">
        <v>4383</v>
      </c>
      <c r="C1914" t="s">
        <v>4496</v>
      </c>
      <c r="D1914" t="s">
        <v>9432</v>
      </c>
      <c r="E1914">
        <f>tchr_ia_elecproduction_m_g7</f>
        <v>0</v>
      </c>
      <c r="F1914" t="b">
        <v>1</v>
      </c>
    </row>
    <row r="1915" spans="1:6" x14ac:dyDescent="0.35">
      <c r="A1915" t="s">
        <v>4521</v>
      </c>
      <c r="B1915" t="s">
        <v>4383</v>
      </c>
      <c r="C1915" t="s">
        <v>4521</v>
      </c>
      <c r="D1915" t="s">
        <v>9433</v>
      </c>
      <c r="E1915">
        <f>tchr_ia_elecproduction_f_g7</f>
        <v>0</v>
      </c>
      <c r="F1915" t="b">
        <v>1</v>
      </c>
    </row>
    <row r="1916" spans="1:6" x14ac:dyDescent="0.35">
      <c r="A1916" t="s">
        <v>4546</v>
      </c>
      <c r="B1916" t="s">
        <v>4383</v>
      </c>
      <c r="C1916" t="s">
        <v>4546</v>
      </c>
      <c r="D1916" t="s">
        <v>9434</v>
      </c>
      <c r="E1916">
        <f>tchr_ia_elecproduction_m_g8</f>
        <v>1</v>
      </c>
      <c r="F1916" t="b">
        <v>1</v>
      </c>
    </row>
    <row r="1917" spans="1:6" x14ac:dyDescent="0.35">
      <c r="A1917" t="s">
        <v>4571</v>
      </c>
      <c r="B1917" t="s">
        <v>4383</v>
      </c>
      <c r="C1917" t="s">
        <v>4571</v>
      </c>
      <c r="D1917" t="s">
        <v>9435</v>
      </c>
      <c r="E1917">
        <f>tchr_ia_elecproduction_f_g8</f>
        <v>0</v>
      </c>
      <c r="F1917" t="b">
        <v>1</v>
      </c>
    </row>
    <row r="1918" spans="1:6" x14ac:dyDescent="0.35">
      <c r="A1918" t="s">
        <v>4395</v>
      </c>
      <c r="B1918" t="s">
        <v>4383</v>
      </c>
      <c r="C1918" t="s">
        <v>4395</v>
      </c>
      <c r="D1918" t="s">
        <v>9436</v>
      </c>
      <c r="E1918">
        <f>tchr_ia_elecproduction_m_g9</f>
        <v>1</v>
      </c>
      <c r="F1918" t="b">
        <v>1</v>
      </c>
    </row>
    <row r="1919" spans="1:6" x14ac:dyDescent="0.35">
      <c r="A1919" t="s">
        <v>4421</v>
      </c>
      <c r="B1919" t="s">
        <v>4383</v>
      </c>
      <c r="C1919" t="s">
        <v>4421</v>
      </c>
      <c r="D1919" t="s">
        <v>9437</v>
      </c>
      <c r="E1919">
        <f>tchr_ia_elecproduction_f_g9</f>
        <v>0</v>
      </c>
      <c r="F1919" t="b">
        <v>1</v>
      </c>
    </row>
    <row r="1920" spans="1:6" x14ac:dyDescent="0.35">
      <c r="A1920" t="s">
        <v>4446</v>
      </c>
      <c r="B1920" t="s">
        <v>4383</v>
      </c>
      <c r="C1920" t="s">
        <v>4446</v>
      </c>
      <c r="D1920" t="s">
        <v>9438</v>
      </c>
      <c r="E1920">
        <f>tchr_ia_elecproduction_m_g10</f>
        <v>1</v>
      </c>
      <c r="F1920" t="b">
        <v>1</v>
      </c>
    </row>
    <row r="1921" spans="1:6" x14ac:dyDescent="0.35">
      <c r="A1921" t="s">
        <v>4471</v>
      </c>
      <c r="B1921" t="s">
        <v>4383</v>
      </c>
      <c r="C1921" t="s">
        <v>4471</v>
      </c>
      <c r="D1921" t="s">
        <v>9439</v>
      </c>
      <c r="E1921">
        <f>tchr_ia_elecproduction_f_g10</f>
        <v>0</v>
      </c>
      <c r="F1921" t="b">
        <v>1</v>
      </c>
    </row>
    <row r="1922" spans="1:6" x14ac:dyDescent="0.35">
      <c r="A1922" t="s">
        <v>4497</v>
      </c>
      <c r="B1922" t="s">
        <v>4383</v>
      </c>
      <c r="C1922" t="s">
        <v>4497</v>
      </c>
      <c r="D1922" t="s">
        <v>9440</v>
      </c>
      <c r="E1922">
        <f>tchr_ia_masonry_m_g7</f>
        <v>0</v>
      </c>
      <c r="F1922" t="b">
        <v>1</v>
      </c>
    </row>
    <row r="1923" spans="1:6" x14ac:dyDescent="0.35">
      <c r="A1923" t="s">
        <v>4522</v>
      </c>
      <c r="B1923" t="s">
        <v>4383</v>
      </c>
      <c r="C1923" t="s">
        <v>4522</v>
      </c>
      <c r="D1923" t="s">
        <v>9441</v>
      </c>
      <c r="E1923">
        <f>tchr_ia_masonry_f_g7</f>
        <v>0</v>
      </c>
      <c r="F1923" t="b">
        <v>1</v>
      </c>
    </row>
    <row r="1924" spans="1:6" x14ac:dyDescent="0.35">
      <c r="A1924" t="s">
        <v>4547</v>
      </c>
      <c r="B1924" t="s">
        <v>4383</v>
      </c>
      <c r="C1924" t="s">
        <v>4547</v>
      </c>
      <c r="D1924" t="s">
        <v>9442</v>
      </c>
      <c r="E1924">
        <f>tchr_ia_masonry_m_g8</f>
        <v>0</v>
      </c>
      <c r="F1924" t="b">
        <v>1</v>
      </c>
    </row>
    <row r="1925" spans="1:6" x14ac:dyDescent="0.35">
      <c r="A1925" t="s">
        <v>4572</v>
      </c>
      <c r="B1925" t="s">
        <v>4383</v>
      </c>
      <c r="C1925" t="s">
        <v>4572</v>
      </c>
      <c r="D1925" t="s">
        <v>9443</v>
      </c>
      <c r="E1925">
        <f>tchr_ia_masonry_f_g8</f>
        <v>0</v>
      </c>
      <c r="F1925" t="b">
        <v>1</v>
      </c>
    </row>
    <row r="1926" spans="1:6" x14ac:dyDescent="0.35">
      <c r="A1926" t="s">
        <v>4396</v>
      </c>
      <c r="B1926" t="s">
        <v>4383</v>
      </c>
      <c r="C1926" t="s">
        <v>4396</v>
      </c>
      <c r="D1926" t="s">
        <v>9444</v>
      </c>
      <c r="E1926">
        <f>tchr_ia_masonry_m_g9</f>
        <v>0</v>
      </c>
      <c r="F1926" t="b">
        <v>1</v>
      </c>
    </row>
    <row r="1927" spans="1:6" x14ac:dyDescent="0.35">
      <c r="A1927" t="s">
        <v>4422</v>
      </c>
      <c r="B1927" t="s">
        <v>4383</v>
      </c>
      <c r="C1927" t="s">
        <v>4422</v>
      </c>
      <c r="D1927" t="s">
        <v>9445</v>
      </c>
      <c r="E1927">
        <f>tchr_ia_masonry_f_g9</f>
        <v>0</v>
      </c>
      <c r="F1927" t="b">
        <v>1</v>
      </c>
    </row>
    <row r="1928" spans="1:6" x14ac:dyDescent="0.35">
      <c r="A1928" t="s">
        <v>4447</v>
      </c>
      <c r="B1928" t="s">
        <v>4383</v>
      </c>
      <c r="C1928" t="s">
        <v>4447</v>
      </c>
      <c r="D1928" t="s">
        <v>9446</v>
      </c>
      <c r="E1928">
        <f>tchr_ia_masonry_m_g10</f>
        <v>0</v>
      </c>
      <c r="F1928" t="b">
        <v>1</v>
      </c>
    </row>
    <row r="1929" spans="1:6" x14ac:dyDescent="0.35">
      <c r="A1929" t="s">
        <v>4472</v>
      </c>
      <c r="B1929" t="s">
        <v>4383</v>
      </c>
      <c r="C1929" t="s">
        <v>4472</v>
      </c>
      <c r="D1929" t="s">
        <v>9447</v>
      </c>
      <c r="E1929">
        <f>tchr_ia_masonry_f_g10</f>
        <v>0</v>
      </c>
      <c r="F1929" t="b">
        <v>1</v>
      </c>
    </row>
    <row r="1930" spans="1:6" x14ac:dyDescent="0.35">
      <c r="A1930" t="s">
        <v>4498</v>
      </c>
      <c r="B1930" t="s">
        <v>4383</v>
      </c>
      <c r="C1930" t="s">
        <v>4498</v>
      </c>
      <c r="D1930" t="s">
        <v>9448</v>
      </c>
      <c r="E1930">
        <f>tchr_ia_plumbing_m_g7</f>
        <v>0</v>
      </c>
      <c r="F1930" t="b">
        <v>1</v>
      </c>
    </row>
    <row r="1931" spans="1:6" x14ac:dyDescent="0.35">
      <c r="A1931" t="s">
        <v>4523</v>
      </c>
      <c r="B1931" t="s">
        <v>4383</v>
      </c>
      <c r="C1931" t="s">
        <v>4523</v>
      </c>
      <c r="D1931" t="s">
        <v>9449</v>
      </c>
      <c r="E1931">
        <f>tchr_ia_plumbing_f_g7</f>
        <v>0</v>
      </c>
      <c r="F1931" t="b">
        <v>1</v>
      </c>
    </row>
    <row r="1932" spans="1:6" x14ac:dyDescent="0.35">
      <c r="A1932" t="s">
        <v>4548</v>
      </c>
      <c r="B1932" t="s">
        <v>4383</v>
      </c>
      <c r="C1932" t="s">
        <v>4548</v>
      </c>
      <c r="D1932" t="s">
        <v>9450</v>
      </c>
      <c r="E1932">
        <f>tchr_ia_plumbing_m_g8</f>
        <v>0</v>
      </c>
      <c r="F1932" t="b">
        <v>1</v>
      </c>
    </row>
    <row r="1933" spans="1:6" x14ac:dyDescent="0.35">
      <c r="A1933" t="s">
        <v>4573</v>
      </c>
      <c r="B1933" t="s">
        <v>4383</v>
      </c>
      <c r="C1933" t="s">
        <v>4573</v>
      </c>
      <c r="D1933" t="s">
        <v>9451</v>
      </c>
      <c r="E1933">
        <f>tchr_ia_plumbing_f_g8</f>
        <v>0</v>
      </c>
      <c r="F1933" t="b">
        <v>1</v>
      </c>
    </row>
    <row r="1934" spans="1:6" x14ac:dyDescent="0.35">
      <c r="A1934" t="s">
        <v>4397</v>
      </c>
      <c r="B1934" t="s">
        <v>4383</v>
      </c>
      <c r="C1934" t="s">
        <v>4397</v>
      </c>
      <c r="D1934" t="s">
        <v>9452</v>
      </c>
      <c r="E1934">
        <f>tchr_ia_plumbing_m_g9</f>
        <v>0</v>
      </c>
      <c r="F1934" t="b">
        <v>1</v>
      </c>
    </row>
    <row r="1935" spans="1:6" x14ac:dyDescent="0.35">
      <c r="A1935" t="s">
        <v>4423</v>
      </c>
      <c r="B1935" t="s">
        <v>4383</v>
      </c>
      <c r="C1935" t="s">
        <v>4423</v>
      </c>
      <c r="D1935" t="s">
        <v>9453</v>
      </c>
      <c r="E1935">
        <f>tchr_ia_plumbing_f_g9</f>
        <v>0</v>
      </c>
      <c r="F1935" t="b">
        <v>1</v>
      </c>
    </row>
    <row r="1936" spans="1:6" x14ac:dyDescent="0.35">
      <c r="A1936" t="s">
        <v>4448</v>
      </c>
      <c r="B1936" t="s">
        <v>4383</v>
      </c>
      <c r="C1936" t="s">
        <v>4448</v>
      </c>
      <c r="D1936" t="s">
        <v>9454</v>
      </c>
      <c r="E1936">
        <f>tchr_ia_plumbing_m_g10</f>
        <v>0</v>
      </c>
      <c r="F1936" t="b">
        <v>1</v>
      </c>
    </row>
    <row r="1937" spans="1:6" x14ac:dyDescent="0.35">
      <c r="A1937" t="s">
        <v>4473</v>
      </c>
      <c r="B1937" t="s">
        <v>4383</v>
      </c>
      <c r="C1937" t="s">
        <v>4473</v>
      </c>
      <c r="D1937" t="s">
        <v>9455</v>
      </c>
      <c r="E1937">
        <f>tchr_ia_plumbing_f_g10</f>
        <v>0</v>
      </c>
      <c r="F1937" t="b">
        <v>1</v>
      </c>
    </row>
    <row r="1938" spans="1:6" x14ac:dyDescent="0.35">
      <c r="A1938" t="s">
        <v>4499</v>
      </c>
      <c r="B1938" t="s">
        <v>4383</v>
      </c>
      <c r="C1938" t="s">
        <v>4499</v>
      </c>
      <c r="D1938" t="s">
        <v>9456</v>
      </c>
      <c r="E1938">
        <f>tchr_ia_refnairconditioning_m_g7</f>
        <v>0</v>
      </c>
      <c r="F1938" t="b">
        <v>1</v>
      </c>
    </row>
    <row r="1939" spans="1:6" x14ac:dyDescent="0.35">
      <c r="A1939" t="s">
        <v>4524</v>
      </c>
      <c r="B1939" t="s">
        <v>4383</v>
      </c>
      <c r="C1939" t="s">
        <v>4524</v>
      </c>
      <c r="D1939" t="s">
        <v>9457</v>
      </c>
      <c r="E1939">
        <f>tchr_ia_refnairconditioning_f_g7</f>
        <v>0</v>
      </c>
      <c r="F1939" t="b">
        <v>1</v>
      </c>
    </row>
    <row r="1940" spans="1:6" x14ac:dyDescent="0.35">
      <c r="A1940" t="s">
        <v>4549</v>
      </c>
      <c r="B1940" t="s">
        <v>4383</v>
      </c>
      <c r="C1940" t="s">
        <v>4549</v>
      </c>
      <c r="D1940" t="s">
        <v>9458</v>
      </c>
      <c r="E1940">
        <f>tchr_ia_refnairconditioning_m_g8</f>
        <v>0</v>
      </c>
      <c r="F1940" t="b">
        <v>1</v>
      </c>
    </row>
    <row r="1941" spans="1:6" x14ac:dyDescent="0.35">
      <c r="A1941" t="s">
        <v>4574</v>
      </c>
      <c r="B1941" t="s">
        <v>4383</v>
      </c>
      <c r="C1941" t="s">
        <v>4574</v>
      </c>
      <c r="D1941" t="s">
        <v>9459</v>
      </c>
      <c r="E1941">
        <f>tchr_ia_refnairconditioning_f_g8</f>
        <v>0</v>
      </c>
      <c r="F1941" t="b">
        <v>1</v>
      </c>
    </row>
    <row r="1942" spans="1:6" x14ac:dyDescent="0.35">
      <c r="A1942" t="s">
        <v>4398</v>
      </c>
      <c r="B1942" t="s">
        <v>4383</v>
      </c>
      <c r="C1942" t="s">
        <v>4398</v>
      </c>
      <c r="D1942" t="s">
        <v>9460</v>
      </c>
      <c r="E1942">
        <f>tchr_ia_refnairconditioning_m_g9</f>
        <v>0</v>
      </c>
      <c r="F1942" t="b">
        <v>1</v>
      </c>
    </row>
    <row r="1943" spans="1:6" x14ac:dyDescent="0.35">
      <c r="A1943" t="s">
        <v>4424</v>
      </c>
      <c r="B1943" t="s">
        <v>4383</v>
      </c>
      <c r="C1943" t="s">
        <v>4424</v>
      </c>
      <c r="D1943" t="s">
        <v>9461</v>
      </c>
      <c r="E1943">
        <f>tchr_ia_refnairconditioning_f_g9</f>
        <v>0</v>
      </c>
      <c r="F1943" t="b">
        <v>1</v>
      </c>
    </row>
    <row r="1944" spans="1:6" x14ac:dyDescent="0.35">
      <c r="A1944" t="s">
        <v>4449</v>
      </c>
      <c r="B1944" t="s">
        <v>4383</v>
      </c>
      <c r="C1944" t="s">
        <v>4449</v>
      </c>
      <c r="D1944" t="s">
        <v>9462</v>
      </c>
      <c r="E1944">
        <f>tchr_ia_refnairconditioning_m_g10</f>
        <v>0</v>
      </c>
      <c r="F1944" t="b">
        <v>1</v>
      </c>
    </row>
    <row r="1945" spans="1:6" x14ac:dyDescent="0.35">
      <c r="A1945" t="s">
        <v>4474</v>
      </c>
      <c r="B1945" t="s">
        <v>4383</v>
      </c>
      <c r="C1945" t="s">
        <v>4474</v>
      </c>
      <c r="D1945" t="s">
        <v>9463</v>
      </c>
      <c r="E1945">
        <f>tchr_ia_refnairconditioning_f_g10</f>
        <v>0</v>
      </c>
      <c r="F1945" t="b">
        <v>1</v>
      </c>
    </row>
    <row r="1946" spans="1:6" x14ac:dyDescent="0.35">
      <c r="A1946" t="s">
        <v>4500</v>
      </c>
      <c r="B1946" t="s">
        <v>4383</v>
      </c>
      <c r="C1946" t="s">
        <v>4500</v>
      </c>
      <c r="D1946" t="s">
        <v>9464</v>
      </c>
      <c r="E1946">
        <f>tchr_ia_shieldedmetalwelding_m_g7</f>
        <v>0</v>
      </c>
      <c r="F1946" t="b">
        <v>1</v>
      </c>
    </row>
    <row r="1947" spans="1:6" x14ac:dyDescent="0.35">
      <c r="A1947" t="s">
        <v>4525</v>
      </c>
      <c r="B1947" t="s">
        <v>4383</v>
      </c>
      <c r="C1947" t="s">
        <v>4525</v>
      </c>
      <c r="D1947" t="s">
        <v>9465</v>
      </c>
      <c r="E1947">
        <f>tchr_ia_shieldedmetalwelding_f_g7</f>
        <v>0</v>
      </c>
      <c r="F1947" t="b">
        <v>1</v>
      </c>
    </row>
    <row r="1948" spans="1:6" x14ac:dyDescent="0.35">
      <c r="A1948" t="s">
        <v>4550</v>
      </c>
      <c r="B1948" t="s">
        <v>4383</v>
      </c>
      <c r="C1948" t="s">
        <v>4550</v>
      </c>
      <c r="D1948" t="s">
        <v>9466</v>
      </c>
      <c r="E1948">
        <f>tchr_ia_shieldedmetalwelding_m_g8</f>
        <v>0</v>
      </c>
      <c r="F1948" t="b">
        <v>1</v>
      </c>
    </row>
    <row r="1949" spans="1:6" x14ac:dyDescent="0.35">
      <c r="A1949" t="s">
        <v>4575</v>
      </c>
      <c r="B1949" t="s">
        <v>4383</v>
      </c>
      <c r="C1949" t="s">
        <v>4575</v>
      </c>
      <c r="D1949" t="s">
        <v>9467</v>
      </c>
      <c r="E1949">
        <f>tchr_ia_shieldedmetalwelding_f_g8</f>
        <v>1</v>
      </c>
      <c r="F1949" t="b">
        <v>1</v>
      </c>
    </row>
    <row r="1950" spans="1:6" x14ac:dyDescent="0.35">
      <c r="A1950" t="s">
        <v>4399</v>
      </c>
      <c r="B1950" t="s">
        <v>4383</v>
      </c>
      <c r="C1950" t="s">
        <v>4399</v>
      </c>
      <c r="D1950" t="s">
        <v>9468</v>
      </c>
      <c r="E1950">
        <f>tchr_ia_shieldedmetalwelding_m_g9</f>
        <v>1</v>
      </c>
      <c r="F1950" t="b">
        <v>1</v>
      </c>
    </row>
    <row r="1951" spans="1:6" x14ac:dyDescent="0.35">
      <c r="A1951" t="s">
        <v>4425</v>
      </c>
      <c r="B1951" t="s">
        <v>4383</v>
      </c>
      <c r="C1951" t="s">
        <v>4425</v>
      </c>
      <c r="D1951" t="s">
        <v>9469</v>
      </c>
      <c r="E1951">
        <f>tchr_ia_shieldedmetalwelding_f_g9</f>
        <v>0</v>
      </c>
      <c r="F1951" t="b">
        <v>1</v>
      </c>
    </row>
    <row r="1952" spans="1:6" x14ac:dyDescent="0.35">
      <c r="A1952" t="s">
        <v>4450</v>
      </c>
      <c r="B1952" t="s">
        <v>4383</v>
      </c>
      <c r="C1952" t="s">
        <v>4450</v>
      </c>
      <c r="D1952" t="s">
        <v>9470</v>
      </c>
      <c r="E1952">
        <f>tchr_ia_shieldedmetalwelding_m_g10</f>
        <v>1</v>
      </c>
      <c r="F1952" t="b">
        <v>1</v>
      </c>
    </row>
    <row r="1953" spans="1:6" x14ac:dyDescent="0.35">
      <c r="A1953" t="s">
        <v>4475</v>
      </c>
      <c r="B1953" t="s">
        <v>4383</v>
      </c>
      <c r="C1953" t="s">
        <v>4475</v>
      </c>
      <c r="D1953" t="s">
        <v>9471</v>
      </c>
      <c r="E1953">
        <f>tchr_ia_shieldedmetalwelding_f_g10</f>
        <v>0</v>
      </c>
      <c r="F1953" t="b">
        <v>1</v>
      </c>
    </row>
    <row r="1954" spans="1:6" x14ac:dyDescent="0.35">
      <c r="A1954" t="s">
        <v>4501</v>
      </c>
      <c r="B1954" t="s">
        <v>4383</v>
      </c>
      <c r="C1954" t="s">
        <v>4501</v>
      </c>
      <c r="D1954" t="s">
        <v>9472</v>
      </c>
      <c r="E1954">
        <f>tchr_ict_compsystemservicing_m_g7</f>
        <v>0</v>
      </c>
      <c r="F1954" t="b">
        <v>1</v>
      </c>
    </row>
    <row r="1955" spans="1:6" x14ac:dyDescent="0.35">
      <c r="A1955" t="s">
        <v>4526</v>
      </c>
      <c r="B1955" t="s">
        <v>4383</v>
      </c>
      <c r="C1955" t="s">
        <v>4526</v>
      </c>
      <c r="D1955" t="s">
        <v>9473</v>
      </c>
      <c r="E1955">
        <f>tchr_ict_compsystemservicing_f_g7</f>
        <v>0</v>
      </c>
      <c r="F1955" t="b">
        <v>1</v>
      </c>
    </row>
    <row r="1956" spans="1:6" x14ac:dyDescent="0.35">
      <c r="A1956" t="s">
        <v>4551</v>
      </c>
      <c r="B1956" t="s">
        <v>4383</v>
      </c>
      <c r="C1956" t="s">
        <v>4551</v>
      </c>
      <c r="D1956" t="s">
        <v>9474</v>
      </c>
      <c r="E1956">
        <f>tchr_ict_compsystemservicing_m_g8</f>
        <v>0</v>
      </c>
      <c r="F1956" t="b">
        <v>1</v>
      </c>
    </row>
    <row r="1957" spans="1:6" x14ac:dyDescent="0.35">
      <c r="A1957" t="s">
        <v>4576</v>
      </c>
      <c r="B1957" t="s">
        <v>4383</v>
      </c>
      <c r="C1957" t="s">
        <v>4576</v>
      </c>
      <c r="D1957" t="s">
        <v>9475</v>
      </c>
      <c r="E1957">
        <f>tchr_ict_compsystemservicing_f_g8</f>
        <v>0</v>
      </c>
      <c r="F1957" t="b">
        <v>1</v>
      </c>
    </row>
    <row r="1958" spans="1:6" x14ac:dyDescent="0.35">
      <c r="A1958" t="s">
        <v>4400</v>
      </c>
      <c r="B1958" t="s">
        <v>4383</v>
      </c>
      <c r="C1958" t="s">
        <v>4400</v>
      </c>
      <c r="D1958" t="s">
        <v>9476</v>
      </c>
      <c r="E1958">
        <f>tchr_ict_compsystemservicing_m_g9</f>
        <v>0</v>
      </c>
      <c r="F1958" t="b">
        <v>1</v>
      </c>
    </row>
    <row r="1959" spans="1:6" x14ac:dyDescent="0.35">
      <c r="A1959" t="s">
        <v>4426</v>
      </c>
      <c r="B1959" t="s">
        <v>4383</v>
      </c>
      <c r="C1959" t="s">
        <v>4426</v>
      </c>
      <c r="D1959" t="s">
        <v>9477</v>
      </c>
      <c r="E1959">
        <f>tchr_ict_compsystemservicing_f_g9</f>
        <v>0</v>
      </c>
      <c r="F1959" t="b">
        <v>1</v>
      </c>
    </row>
    <row r="1960" spans="1:6" x14ac:dyDescent="0.35">
      <c r="A1960" t="s">
        <v>4451</v>
      </c>
      <c r="B1960" t="s">
        <v>4383</v>
      </c>
      <c r="C1960" t="s">
        <v>4451</v>
      </c>
      <c r="D1960" t="s">
        <v>9478</v>
      </c>
      <c r="E1960">
        <f>tchr_ict_compsystemservicing_m_g10</f>
        <v>0</v>
      </c>
      <c r="F1960" t="b">
        <v>1</v>
      </c>
    </row>
    <row r="1961" spans="1:6" x14ac:dyDescent="0.35">
      <c r="A1961" t="s">
        <v>4476</v>
      </c>
      <c r="B1961" t="s">
        <v>4383</v>
      </c>
      <c r="C1961" t="s">
        <v>4476</v>
      </c>
      <c r="D1961" t="s">
        <v>9479</v>
      </c>
      <c r="E1961">
        <f>tchr_ict_compsystemservicing_f_g10</f>
        <v>0</v>
      </c>
      <c r="F1961" t="b">
        <v>1</v>
      </c>
    </row>
    <row r="1962" spans="1:6" x14ac:dyDescent="0.35">
      <c r="A1962" t="s">
        <v>4502</v>
      </c>
      <c r="B1962" t="s">
        <v>4383</v>
      </c>
      <c r="C1962" t="s">
        <v>4502</v>
      </c>
      <c r="D1962" t="s">
        <v>9480</v>
      </c>
      <c r="E1962">
        <f>tchr_ict_contactcenterservices_m_g7</f>
        <v>0</v>
      </c>
      <c r="F1962" t="b">
        <v>1</v>
      </c>
    </row>
    <row r="1963" spans="1:6" x14ac:dyDescent="0.35">
      <c r="A1963" t="s">
        <v>4527</v>
      </c>
      <c r="B1963" t="s">
        <v>4383</v>
      </c>
      <c r="C1963" t="s">
        <v>4527</v>
      </c>
      <c r="D1963" t="s">
        <v>9481</v>
      </c>
      <c r="E1963">
        <f>tchr_ict_contactcenterservices_f_g7</f>
        <v>0</v>
      </c>
      <c r="F1963" t="b">
        <v>1</v>
      </c>
    </row>
    <row r="1964" spans="1:6" x14ac:dyDescent="0.35">
      <c r="A1964" t="s">
        <v>4552</v>
      </c>
      <c r="B1964" t="s">
        <v>4383</v>
      </c>
      <c r="C1964" t="s">
        <v>4552</v>
      </c>
      <c r="D1964" t="s">
        <v>9482</v>
      </c>
      <c r="E1964">
        <f>tchr_ict_contactcenterservices_m_g8</f>
        <v>0</v>
      </c>
      <c r="F1964" t="b">
        <v>1</v>
      </c>
    </row>
    <row r="1965" spans="1:6" x14ac:dyDescent="0.35">
      <c r="A1965" t="s">
        <v>4577</v>
      </c>
      <c r="B1965" t="s">
        <v>4383</v>
      </c>
      <c r="C1965" t="s">
        <v>4577</v>
      </c>
      <c r="D1965" t="s">
        <v>9483</v>
      </c>
      <c r="E1965">
        <f>tchr_ict_contactcenterservices_f_g8</f>
        <v>0</v>
      </c>
      <c r="F1965" t="b">
        <v>1</v>
      </c>
    </row>
    <row r="1966" spans="1:6" x14ac:dyDescent="0.35">
      <c r="A1966" t="s">
        <v>4401</v>
      </c>
      <c r="B1966" t="s">
        <v>4383</v>
      </c>
      <c r="C1966" t="s">
        <v>4401</v>
      </c>
      <c r="D1966" t="s">
        <v>9484</v>
      </c>
      <c r="E1966">
        <f>tchr_ict_contactcenterservices_m_g9</f>
        <v>0</v>
      </c>
      <c r="F1966" t="b">
        <v>1</v>
      </c>
    </row>
    <row r="1967" spans="1:6" x14ac:dyDescent="0.35">
      <c r="A1967" t="s">
        <v>4427</v>
      </c>
      <c r="B1967" t="s">
        <v>4383</v>
      </c>
      <c r="C1967" t="s">
        <v>4427</v>
      </c>
      <c r="D1967" t="s">
        <v>9485</v>
      </c>
      <c r="E1967">
        <f>tchr_ict_contactcenterservices_f_g9</f>
        <v>0</v>
      </c>
      <c r="F1967" t="b">
        <v>1</v>
      </c>
    </row>
    <row r="1968" spans="1:6" x14ac:dyDescent="0.35">
      <c r="A1968" t="s">
        <v>4452</v>
      </c>
      <c r="B1968" t="s">
        <v>4383</v>
      </c>
      <c r="C1968" t="s">
        <v>4452</v>
      </c>
      <c r="D1968" t="s">
        <v>9486</v>
      </c>
      <c r="E1968">
        <f>tchr_ict_contactcenterservices_m_g10</f>
        <v>0</v>
      </c>
      <c r="F1968" t="b">
        <v>1</v>
      </c>
    </row>
    <row r="1969" spans="1:6" x14ac:dyDescent="0.35">
      <c r="A1969" t="s">
        <v>4477</v>
      </c>
      <c r="B1969" t="s">
        <v>4383</v>
      </c>
      <c r="C1969" t="s">
        <v>4477</v>
      </c>
      <c r="D1969" t="s">
        <v>9487</v>
      </c>
      <c r="E1969">
        <f>tchr_ict_contactcenterservices_f_g10</f>
        <v>0</v>
      </c>
      <c r="F1969" t="b">
        <v>1</v>
      </c>
    </row>
    <row r="1970" spans="1:6" x14ac:dyDescent="0.35">
      <c r="A1970" t="s">
        <v>4503</v>
      </c>
      <c r="B1970" t="s">
        <v>4383</v>
      </c>
      <c r="C1970" t="s">
        <v>4503</v>
      </c>
      <c r="D1970" t="s">
        <v>9488</v>
      </c>
      <c r="E1970">
        <f>tchr_ict_illustration_m_g7</f>
        <v>0</v>
      </c>
      <c r="F1970" t="b">
        <v>1</v>
      </c>
    </row>
    <row r="1971" spans="1:6" x14ac:dyDescent="0.35">
      <c r="A1971" t="s">
        <v>4528</v>
      </c>
      <c r="B1971" t="s">
        <v>4383</v>
      </c>
      <c r="C1971" t="s">
        <v>4528</v>
      </c>
      <c r="D1971" t="s">
        <v>9489</v>
      </c>
      <c r="E1971">
        <f>tchr_ict_illustration_f_g7</f>
        <v>0</v>
      </c>
      <c r="F1971" t="b">
        <v>1</v>
      </c>
    </row>
    <row r="1972" spans="1:6" x14ac:dyDescent="0.35">
      <c r="A1972" t="s">
        <v>4553</v>
      </c>
      <c r="B1972" t="s">
        <v>4383</v>
      </c>
      <c r="C1972" t="s">
        <v>4553</v>
      </c>
      <c r="D1972" t="s">
        <v>9490</v>
      </c>
      <c r="E1972">
        <f>tchr_ict_illustration_m_g8</f>
        <v>0</v>
      </c>
      <c r="F1972" t="b">
        <v>1</v>
      </c>
    </row>
    <row r="1973" spans="1:6" x14ac:dyDescent="0.35">
      <c r="A1973" t="s">
        <v>4578</v>
      </c>
      <c r="B1973" t="s">
        <v>4383</v>
      </c>
      <c r="C1973" t="s">
        <v>4578</v>
      </c>
      <c r="D1973" t="s">
        <v>9491</v>
      </c>
      <c r="E1973">
        <f>tchr_ict_illustration_f_g8</f>
        <v>0</v>
      </c>
      <c r="F1973" t="b">
        <v>1</v>
      </c>
    </row>
    <row r="1974" spans="1:6" x14ac:dyDescent="0.35">
      <c r="A1974" t="s">
        <v>4402</v>
      </c>
      <c r="B1974" t="s">
        <v>4383</v>
      </c>
      <c r="C1974" t="s">
        <v>4402</v>
      </c>
      <c r="D1974" t="s">
        <v>9492</v>
      </c>
      <c r="E1974">
        <f>tchr_ict_illustration_m_g9</f>
        <v>0</v>
      </c>
      <c r="F1974" t="b">
        <v>1</v>
      </c>
    </row>
    <row r="1975" spans="1:6" x14ac:dyDescent="0.35">
      <c r="A1975" t="s">
        <v>4428</v>
      </c>
      <c r="B1975" t="s">
        <v>4383</v>
      </c>
      <c r="C1975" t="s">
        <v>4428</v>
      </c>
      <c r="D1975" t="s">
        <v>9493</v>
      </c>
      <c r="E1975">
        <f>tchr_ict_illustration_f_g9</f>
        <v>0</v>
      </c>
      <c r="F1975" t="b">
        <v>1</v>
      </c>
    </row>
    <row r="1976" spans="1:6" x14ac:dyDescent="0.35">
      <c r="A1976" t="s">
        <v>4453</v>
      </c>
      <c r="B1976" t="s">
        <v>4383</v>
      </c>
      <c r="C1976" t="s">
        <v>4453</v>
      </c>
      <c r="D1976" t="s">
        <v>9494</v>
      </c>
      <c r="E1976">
        <f>tchr_ict_illustration_m_g10</f>
        <v>0</v>
      </c>
      <c r="F1976" t="b">
        <v>1</v>
      </c>
    </row>
    <row r="1977" spans="1:6" x14ac:dyDescent="0.35">
      <c r="A1977" t="s">
        <v>4478</v>
      </c>
      <c r="B1977" t="s">
        <v>4383</v>
      </c>
      <c r="C1977" t="s">
        <v>4478</v>
      </c>
      <c r="D1977" t="s">
        <v>9495</v>
      </c>
      <c r="E1977">
        <f>tchr_ict_illustration_f_g10</f>
        <v>0</v>
      </c>
      <c r="F1977" t="b">
        <v>1</v>
      </c>
    </row>
    <row r="1978" spans="1:6" x14ac:dyDescent="0.35">
      <c r="A1978" t="s">
        <v>4504</v>
      </c>
      <c r="B1978" t="s">
        <v>4383</v>
      </c>
      <c r="C1978" t="s">
        <v>4504</v>
      </c>
      <c r="D1978" t="s">
        <v>9496</v>
      </c>
      <c r="E1978">
        <f>tchr_ict_techdrafting_m_g7</f>
        <v>0</v>
      </c>
      <c r="F1978" t="b">
        <v>1</v>
      </c>
    </row>
    <row r="1979" spans="1:6" x14ac:dyDescent="0.35">
      <c r="A1979" t="s">
        <v>4529</v>
      </c>
      <c r="B1979" t="s">
        <v>4383</v>
      </c>
      <c r="C1979" t="s">
        <v>4529</v>
      </c>
      <c r="D1979" t="s">
        <v>9497</v>
      </c>
      <c r="E1979">
        <f>tchr_ict_techdrafting_f_g7</f>
        <v>0</v>
      </c>
      <c r="F1979" t="b">
        <v>1</v>
      </c>
    </row>
    <row r="1980" spans="1:6" x14ac:dyDescent="0.35">
      <c r="A1980" t="s">
        <v>4554</v>
      </c>
      <c r="B1980" t="s">
        <v>4383</v>
      </c>
      <c r="C1980" t="s">
        <v>4554</v>
      </c>
      <c r="D1980" t="s">
        <v>9498</v>
      </c>
      <c r="E1980">
        <f>tchr_ict_techdrafting_m_g8</f>
        <v>0</v>
      </c>
      <c r="F1980" t="b">
        <v>1</v>
      </c>
    </row>
    <row r="1981" spans="1:6" x14ac:dyDescent="0.35">
      <c r="A1981" t="s">
        <v>4579</v>
      </c>
      <c r="B1981" t="s">
        <v>4383</v>
      </c>
      <c r="C1981" t="s">
        <v>4579</v>
      </c>
      <c r="D1981" t="s">
        <v>9499</v>
      </c>
      <c r="E1981">
        <f>tchr_ict_techdrafting_f_g8</f>
        <v>0</v>
      </c>
      <c r="F1981" t="b">
        <v>1</v>
      </c>
    </row>
    <row r="1982" spans="1:6" x14ac:dyDescent="0.35">
      <c r="A1982" t="s">
        <v>4403</v>
      </c>
      <c r="B1982" t="s">
        <v>4383</v>
      </c>
      <c r="C1982" t="s">
        <v>4403</v>
      </c>
      <c r="D1982" t="s">
        <v>9500</v>
      </c>
      <c r="E1982">
        <f>tchr_ict_techdrafting_m_g9</f>
        <v>0</v>
      </c>
      <c r="F1982" t="b">
        <v>1</v>
      </c>
    </row>
    <row r="1983" spans="1:6" x14ac:dyDescent="0.35">
      <c r="A1983" t="s">
        <v>4429</v>
      </c>
      <c r="B1983" t="s">
        <v>4383</v>
      </c>
      <c r="C1983" t="s">
        <v>4429</v>
      </c>
      <c r="D1983" t="s">
        <v>9501</v>
      </c>
      <c r="E1983">
        <f>tchr_ict_techdrafting_f_g9</f>
        <v>0</v>
      </c>
      <c r="F1983" t="b">
        <v>1</v>
      </c>
    </row>
    <row r="1984" spans="1:6" x14ac:dyDescent="0.35">
      <c r="A1984" t="s">
        <v>4454</v>
      </c>
      <c r="B1984" t="s">
        <v>4383</v>
      </c>
      <c r="C1984" t="s">
        <v>4454</v>
      </c>
      <c r="D1984" t="s">
        <v>9502</v>
      </c>
      <c r="E1984">
        <f>tchr_ict_techdrafting_m_g10</f>
        <v>0</v>
      </c>
      <c r="F1984" t="b">
        <v>1</v>
      </c>
    </row>
    <row r="1985" spans="1:14" s="1348" customFormat="1" ht="16" thickBot="1" x14ac:dyDescent="0.4">
      <c r="A1985" s="1348" t="s">
        <v>4479</v>
      </c>
      <c r="B1985" s="1348" t="s">
        <v>4383</v>
      </c>
      <c r="C1985" s="1348" t="s">
        <v>4479</v>
      </c>
      <c r="D1985" s="1348" t="s">
        <v>9503</v>
      </c>
      <c r="E1985" s="1348">
        <f>tchr_ict_techdrafting_f_g10</f>
        <v>0</v>
      </c>
      <c r="F1985" s="1348" t="b">
        <v>1</v>
      </c>
      <c r="N1985" s="1358"/>
    </row>
    <row r="1986" spans="1:14" x14ac:dyDescent="0.35">
      <c r="A1986" t="s">
        <v>4606</v>
      </c>
      <c r="B1986" t="s">
        <v>4602</v>
      </c>
      <c r="C1986" t="s">
        <v>4606</v>
      </c>
      <c r="D1986" t="s">
        <v>4607</v>
      </c>
      <c r="E1986">
        <f>teacher_foreignlang_chn_m</f>
        <v>0</v>
      </c>
      <c r="F1986" t="b">
        <v>1</v>
      </c>
      <c r="H1986" s="1350"/>
    </row>
    <row r="1987" spans="1:14" x14ac:dyDescent="0.35">
      <c r="A1987" t="s">
        <v>4618</v>
      </c>
      <c r="B1987" t="s">
        <v>4602</v>
      </c>
      <c r="C1987" t="s">
        <v>4618</v>
      </c>
      <c r="D1987" t="s">
        <v>4619</v>
      </c>
      <c r="E1987">
        <f>teacher_foreignlang_chn_f</f>
        <v>0</v>
      </c>
      <c r="F1987" t="b">
        <v>1</v>
      </c>
    </row>
    <row r="1988" spans="1:14" x14ac:dyDescent="0.35">
      <c r="A1988" t="s">
        <v>4612</v>
      </c>
      <c r="B1988" t="s">
        <v>4602</v>
      </c>
      <c r="C1988" t="s">
        <v>4612</v>
      </c>
      <c r="D1988" t="s">
        <v>4613</v>
      </c>
      <c r="E1988">
        <f>teacher_foreignlang_fre_m</f>
        <v>0</v>
      </c>
      <c r="F1988" t="b">
        <v>1</v>
      </c>
    </row>
    <row r="1989" spans="1:14" x14ac:dyDescent="0.35">
      <c r="A1989" t="s">
        <v>4624</v>
      </c>
      <c r="B1989" t="s">
        <v>4602</v>
      </c>
      <c r="C1989" t="s">
        <v>4624</v>
      </c>
      <c r="D1989" t="s">
        <v>4625</v>
      </c>
      <c r="E1989">
        <f>teacher_foreignlang_fre_f</f>
        <v>0</v>
      </c>
      <c r="F1989" t="b">
        <v>1</v>
      </c>
    </row>
    <row r="1990" spans="1:14" x14ac:dyDescent="0.35">
      <c r="A1990" t="s">
        <v>4601</v>
      </c>
      <c r="B1990" t="s">
        <v>4602</v>
      </c>
      <c r="C1990" t="s">
        <v>4601</v>
      </c>
      <c r="D1990" t="s">
        <v>4603</v>
      </c>
      <c r="E1990">
        <f>teacher_foreignlang_ger_m</f>
        <v>0</v>
      </c>
      <c r="F1990" t="b">
        <v>1</v>
      </c>
    </row>
    <row r="1991" spans="1:14" x14ac:dyDescent="0.35">
      <c r="A1991" t="s">
        <v>4614</v>
      </c>
      <c r="B1991" t="s">
        <v>4602</v>
      </c>
      <c r="C1991" t="s">
        <v>4614</v>
      </c>
      <c r="D1991" t="s">
        <v>4615</v>
      </c>
      <c r="E1991">
        <f>teacher_foreignlang_ger_f</f>
        <v>0</v>
      </c>
      <c r="F1991" t="b">
        <v>1</v>
      </c>
    </row>
    <row r="1992" spans="1:14" x14ac:dyDescent="0.35">
      <c r="A1992" t="s">
        <v>4608</v>
      </c>
      <c r="B1992" t="s">
        <v>4602</v>
      </c>
      <c r="C1992" t="s">
        <v>4608</v>
      </c>
      <c r="D1992" t="s">
        <v>4609</v>
      </c>
      <c r="E1992">
        <f>teacher_foreignlang_jap_m</f>
        <v>0</v>
      </c>
      <c r="F1992" t="b">
        <v>1</v>
      </c>
    </row>
    <row r="1993" spans="1:14" x14ac:dyDescent="0.35">
      <c r="A1993" t="s">
        <v>4620</v>
      </c>
      <c r="B1993" t="s">
        <v>4602</v>
      </c>
      <c r="C1993" t="s">
        <v>4620</v>
      </c>
      <c r="D1993" t="s">
        <v>4621</v>
      </c>
      <c r="E1993">
        <f>teacher_foreignlang_jap_f</f>
        <v>0</v>
      </c>
      <c r="F1993" t="b">
        <v>1</v>
      </c>
    </row>
    <row r="1994" spans="1:14" x14ac:dyDescent="0.35">
      <c r="A1994" t="s">
        <v>4604</v>
      </c>
      <c r="B1994" t="s">
        <v>4602</v>
      </c>
      <c r="C1994" t="s">
        <v>4604</v>
      </c>
      <c r="D1994" t="s">
        <v>4605</v>
      </c>
      <c r="E1994">
        <f>teacher_foreignlang_kor_m</f>
        <v>0</v>
      </c>
      <c r="F1994" t="b">
        <v>1</v>
      </c>
    </row>
    <row r="1995" spans="1:14" x14ac:dyDescent="0.35">
      <c r="A1995" t="s">
        <v>4616</v>
      </c>
      <c r="B1995" t="s">
        <v>4602</v>
      </c>
      <c r="C1995" t="s">
        <v>4616</v>
      </c>
      <c r="D1995" t="s">
        <v>4617</v>
      </c>
      <c r="E1995">
        <f>teacher_foreignlang_kor_f</f>
        <v>0</v>
      </c>
      <c r="F1995" t="b">
        <v>1</v>
      </c>
    </row>
    <row r="1996" spans="1:14" x14ac:dyDescent="0.35">
      <c r="A1996" t="s">
        <v>4610</v>
      </c>
      <c r="B1996" t="s">
        <v>4602</v>
      </c>
      <c r="C1996" t="s">
        <v>4610</v>
      </c>
      <c r="D1996" t="s">
        <v>4611</v>
      </c>
      <c r="E1996">
        <f>teacher_foreignlang_spa_m</f>
        <v>0</v>
      </c>
      <c r="F1996" t="b">
        <v>1</v>
      </c>
    </row>
    <row r="1997" spans="1:14" s="1348" customFormat="1" ht="16" thickBot="1" x14ac:dyDescent="0.4">
      <c r="A1997" s="1348" t="s">
        <v>4622</v>
      </c>
      <c r="B1997" s="1348" t="s">
        <v>4602</v>
      </c>
      <c r="C1997" s="1348" t="s">
        <v>4622</v>
      </c>
      <c r="D1997" s="1348" t="s">
        <v>4623</v>
      </c>
      <c r="E1997" s="1348">
        <f>teacher_foreignlang_spa_f</f>
        <v>0</v>
      </c>
      <c r="F1997" s="1348" t="b">
        <v>1</v>
      </c>
      <c r="N1997" s="1358"/>
    </row>
    <row r="1998" spans="1:14" x14ac:dyDescent="0.35">
      <c r="A1998" t="s">
        <v>4593</v>
      </c>
      <c r="B1998" t="s">
        <v>4594</v>
      </c>
      <c r="C1998" t="s">
        <v>4593</v>
      </c>
      <c r="D1998" t="s">
        <v>12591</v>
      </c>
      <c r="E1998" t="b">
        <f>lac_session_yes</f>
        <v>1</v>
      </c>
      <c r="F1998" t="b">
        <f>ISLOGICAL(E1998)</f>
        <v>1</v>
      </c>
      <c r="G1998" t="s">
        <v>12516</v>
      </c>
    </row>
    <row r="1999" spans="1:14" x14ac:dyDescent="0.35">
      <c r="A1999" t="s">
        <v>12533</v>
      </c>
      <c r="B1999" t="s">
        <v>4594</v>
      </c>
      <c r="C1999" t="s">
        <v>12533</v>
      </c>
      <c r="D1999" t="s">
        <v>4595</v>
      </c>
      <c r="E1999">
        <f>lac_session_last_sy</f>
        <v>7</v>
      </c>
      <c r="F1999" t="b">
        <v>1</v>
      </c>
    </row>
    <row r="2000" spans="1:14" x14ac:dyDescent="0.35">
      <c r="A2000" t="s">
        <v>12534</v>
      </c>
      <c r="B2000" t="s">
        <v>4594</v>
      </c>
      <c r="C2000" t="s">
        <v>12534</v>
      </c>
      <c r="D2000" t="s">
        <v>4596</v>
      </c>
      <c r="E2000">
        <f>lac_session_plan_curr_sy</f>
        <v>10</v>
      </c>
      <c r="F2000" t="b">
        <v>1</v>
      </c>
    </row>
    <row r="2001" spans="1:14" x14ac:dyDescent="0.35">
      <c r="A2001" t="s">
        <v>4597</v>
      </c>
      <c r="B2001" t="s">
        <v>4594</v>
      </c>
      <c r="C2001" t="s">
        <v>4597</v>
      </c>
      <c r="D2001" t="s">
        <v>4598</v>
      </c>
      <c r="E2001" t="str">
        <f>do_cid_pers_name</f>
        <v>RONE RAY M. PORTACION  /  May 17, 2023</v>
      </c>
      <c r="F2001" t="b">
        <v>1</v>
      </c>
    </row>
    <row r="2002" spans="1:14" s="1348" customFormat="1" ht="16" thickBot="1" x14ac:dyDescent="0.4">
      <c r="A2002" s="1348" t="s">
        <v>4599</v>
      </c>
      <c r="B2002" s="1348" t="s">
        <v>4594</v>
      </c>
      <c r="C2002" s="1348" t="s">
        <v>4599</v>
      </c>
      <c r="D2002" s="1348" t="s">
        <v>4600</v>
      </c>
      <c r="E2002" s="1348" t="str">
        <f>do_cid_pers_post</f>
        <v>Education Program Supervisor</v>
      </c>
      <c r="F2002" s="1348" t="b">
        <v>1</v>
      </c>
      <c r="N2002" s="1358"/>
    </row>
    <row r="2003" spans="1:14" x14ac:dyDescent="0.35">
      <c r="A2003" t="s">
        <v>4589</v>
      </c>
      <c r="B2003" t="s">
        <v>4583</v>
      </c>
      <c r="C2003" t="s">
        <v>4589</v>
      </c>
      <c r="D2003" t="s">
        <v>4590</v>
      </c>
      <c r="E2003" t="b">
        <f>action_research_yes</f>
        <v>1</v>
      </c>
      <c r="F2003" t="b">
        <f>ISLOGICAL(E2003)</f>
        <v>1</v>
      </c>
      <c r="G2003" t="s">
        <v>12516</v>
      </c>
    </row>
    <row r="2004" spans="1:14" x14ac:dyDescent="0.35">
      <c r="A2004" t="s">
        <v>12535</v>
      </c>
      <c r="B2004" t="s">
        <v>4583</v>
      </c>
      <c r="C2004" t="s">
        <v>12535</v>
      </c>
      <c r="D2004" t="s">
        <v>4584</v>
      </c>
      <c r="E2004">
        <f>action_research_last_sy</f>
        <v>2</v>
      </c>
      <c r="F2004" t="b">
        <v>1</v>
      </c>
    </row>
    <row r="2005" spans="1:14" x14ac:dyDescent="0.35">
      <c r="A2005" t="s">
        <v>4585</v>
      </c>
      <c r="B2005" t="s">
        <v>4583</v>
      </c>
      <c r="C2005" t="s">
        <v>4585</v>
      </c>
      <c r="D2005" t="s">
        <v>4586</v>
      </c>
      <c r="E2005">
        <f>action_research_ongoing</f>
        <v>7</v>
      </c>
      <c r="F2005" t="b">
        <v>1</v>
      </c>
    </row>
    <row r="2006" spans="1:14" x14ac:dyDescent="0.35">
      <c r="A2006" t="s">
        <v>4587</v>
      </c>
      <c r="B2006" t="s">
        <v>4583</v>
      </c>
      <c r="C2006" t="s">
        <v>4587</v>
      </c>
      <c r="D2006" t="s">
        <v>4588</v>
      </c>
      <c r="E2006">
        <f>action_research_tobe_conducted</f>
        <v>2</v>
      </c>
      <c r="F2006" t="b">
        <v>1</v>
      </c>
    </row>
    <row r="2007" spans="1:14" s="1348" customFormat="1" ht="16" thickBot="1" x14ac:dyDescent="0.4">
      <c r="A2007" s="1348" t="s">
        <v>4591</v>
      </c>
      <c r="B2007" s="1348" t="s">
        <v>4583</v>
      </c>
      <c r="C2007" s="1348" t="s">
        <v>4591</v>
      </c>
      <c r="D2007" s="1348" t="s">
        <v>4592</v>
      </c>
      <c r="E2007" s="1348" t="str">
        <f>do_seps_prs_sgod_name</f>
        <v>RONE RAY M. PORTACION /  May 17, 2023</v>
      </c>
      <c r="F2007" s="1348" t="b">
        <v>1</v>
      </c>
      <c r="N2007" s="1358"/>
    </row>
    <row r="2008" spans="1:14" x14ac:dyDescent="0.35">
      <c r="A2008" t="s">
        <v>8888</v>
      </c>
      <c r="B2008" t="s">
        <v>9504</v>
      </c>
      <c r="C2008" t="s">
        <v>8888</v>
      </c>
      <c r="D2008" t="s">
        <v>8920</v>
      </c>
      <c r="E2008">
        <f>oer_developed_locally_original_1st_g7</f>
        <v>3</v>
      </c>
      <c r="F2008" t="b">
        <v>1</v>
      </c>
    </row>
    <row r="2009" spans="1:14" x14ac:dyDescent="0.35">
      <c r="A2009" t="s">
        <v>8892</v>
      </c>
      <c r="B2009" t="s">
        <v>9504</v>
      </c>
      <c r="C2009" t="s">
        <v>8892</v>
      </c>
      <c r="D2009" t="s">
        <v>8924</v>
      </c>
      <c r="E2009">
        <f>oer_developed_locally_original_2nd_g7</f>
        <v>3</v>
      </c>
      <c r="F2009" t="b">
        <v>1</v>
      </c>
    </row>
    <row r="2010" spans="1:14" x14ac:dyDescent="0.35">
      <c r="A2010" t="s">
        <v>8893</v>
      </c>
      <c r="B2010" t="s">
        <v>9504</v>
      </c>
      <c r="C2010" t="s">
        <v>8893</v>
      </c>
      <c r="D2010" t="s">
        <v>8925</v>
      </c>
      <c r="E2010">
        <f>oer_developed_locally_original_3rd_g7</f>
        <v>5</v>
      </c>
      <c r="F2010" t="b">
        <v>1</v>
      </c>
    </row>
    <row r="2011" spans="1:14" x14ac:dyDescent="0.35">
      <c r="A2011" t="s">
        <v>8894</v>
      </c>
      <c r="B2011" t="s">
        <v>9504</v>
      </c>
      <c r="C2011" t="s">
        <v>8894</v>
      </c>
      <c r="D2011" t="s">
        <v>8926</v>
      </c>
      <c r="E2011">
        <f>oer_developed_locally_original_4th_g7</f>
        <v>3</v>
      </c>
      <c r="F2011" t="b">
        <v>1</v>
      </c>
    </row>
    <row r="2012" spans="1:14" x14ac:dyDescent="0.35">
      <c r="A2012" t="s">
        <v>8904</v>
      </c>
      <c r="B2012" t="s">
        <v>9504</v>
      </c>
      <c r="C2012" t="s">
        <v>8904</v>
      </c>
      <c r="D2012" t="s">
        <v>8936</v>
      </c>
      <c r="E2012">
        <f>oer_developed_locally_reuse_1st_g7</f>
        <v>3</v>
      </c>
      <c r="F2012" t="b">
        <v>1</v>
      </c>
    </row>
    <row r="2013" spans="1:14" x14ac:dyDescent="0.35">
      <c r="A2013" t="s">
        <v>8905</v>
      </c>
      <c r="B2013" t="s">
        <v>9504</v>
      </c>
      <c r="C2013" t="s">
        <v>8905</v>
      </c>
      <c r="D2013" t="s">
        <v>8939</v>
      </c>
      <c r="E2013">
        <f>oer_developed_locally_reuse_2nd_g7</f>
        <v>3</v>
      </c>
      <c r="F2013" t="b">
        <v>1</v>
      </c>
    </row>
    <row r="2014" spans="1:14" x14ac:dyDescent="0.35">
      <c r="A2014" t="s">
        <v>8906</v>
      </c>
      <c r="B2014" t="s">
        <v>9504</v>
      </c>
      <c r="C2014" t="s">
        <v>8906</v>
      </c>
      <c r="D2014" t="s">
        <v>8940</v>
      </c>
      <c r="E2014">
        <f>oer_developed_locally_reuse_3rd_g7</f>
        <v>5</v>
      </c>
      <c r="F2014" t="b">
        <v>1</v>
      </c>
    </row>
    <row r="2015" spans="1:14" x14ac:dyDescent="0.35">
      <c r="A2015" t="s">
        <v>8907</v>
      </c>
      <c r="B2015" t="s">
        <v>9504</v>
      </c>
      <c r="C2015" t="s">
        <v>8907</v>
      </c>
      <c r="D2015" t="s">
        <v>8941</v>
      </c>
      <c r="E2015">
        <f>oer_developed_locally_reuse_4th_g7</f>
        <v>3</v>
      </c>
      <c r="F2015" t="b">
        <v>1</v>
      </c>
    </row>
    <row r="2016" spans="1:14" x14ac:dyDescent="0.35">
      <c r="A2016" t="s">
        <v>8897</v>
      </c>
      <c r="B2016" t="s">
        <v>9504</v>
      </c>
      <c r="C2016" t="s">
        <v>8897</v>
      </c>
      <c r="D2016" t="s">
        <v>8921</v>
      </c>
      <c r="E2016">
        <f>oer_developed_locally_original_1st_g8</f>
        <v>1</v>
      </c>
      <c r="F2016" t="b">
        <v>1</v>
      </c>
    </row>
    <row r="2017" spans="1:6" x14ac:dyDescent="0.35">
      <c r="A2017" t="s">
        <v>8889</v>
      </c>
      <c r="B2017" t="s">
        <v>9504</v>
      </c>
      <c r="C2017" t="s">
        <v>8889</v>
      </c>
      <c r="D2017" t="s">
        <v>8930</v>
      </c>
      <c r="E2017">
        <f>oer_developed_locally_original_2nd_g8</f>
        <v>0</v>
      </c>
      <c r="F2017" t="b">
        <v>1</v>
      </c>
    </row>
    <row r="2018" spans="1:6" x14ac:dyDescent="0.35">
      <c r="A2018" t="s">
        <v>8895</v>
      </c>
      <c r="B2018" t="s">
        <v>9504</v>
      </c>
      <c r="C2018" t="s">
        <v>8895</v>
      </c>
      <c r="D2018" t="s">
        <v>8931</v>
      </c>
      <c r="E2018">
        <f>oer_developed_locally_original_3rd_g8</f>
        <v>1</v>
      </c>
      <c r="F2018" t="b">
        <v>1</v>
      </c>
    </row>
    <row r="2019" spans="1:6" x14ac:dyDescent="0.35">
      <c r="A2019" t="s">
        <v>8896</v>
      </c>
      <c r="B2019" t="s">
        <v>9504</v>
      </c>
      <c r="C2019" t="s">
        <v>8896</v>
      </c>
      <c r="D2019" t="s">
        <v>8927</v>
      </c>
      <c r="E2019">
        <f>oer_developed_locally_original_4th_g8</f>
        <v>0</v>
      </c>
      <c r="F2019" t="b">
        <v>1</v>
      </c>
    </row>
    <row r="2020" spans="1:6" x14ac:dyDescent="0.35">
      <c r="A2020" t="s">
        <v>8908</v>
      </c>
      <c r="B2020" t="s">
        <v>9504</v>
      </c>
      <c r="C2020" t="s">
        <v>8908</v>
      </c>
      <c r="D2020" t="s">
        <v>8937</v>
      </c>
      <c r="E2020">
        <f>oer_developed_locally_reuse_1st_g8</f>
        <v>0</v>
      </c>
      <c r="F2020" t="b">
        <v>1</v>
      </c>
    </row>
    <row r="2021" spans="1:6" x14ac:dyDescent="0.35">
      <c r="A2021" t="s">
        <v>8909</v>
      </c>
      <c r="B2021" t="s">
        <v>9504</v>
      </c>
      <c r="C2021" t="s">
        <v>8909</v>
      </c>
      <c r="D2021" t="s">
        <v>8944</v>
      </c>
      <c r="E2021">
        <f>oer_developed_locally_reuse_2nd_g8</f>
        <v>0</v>
      </c>
      <c r="F2021" t="b">
        <v>1</v>
      </c>
    </row>
    <row r="2022" spans="1:6" x14ac:dyDescent="0.35">
      <c r="A2022" t="s">
        <v>8910</v>
      </c>
      <c r="B2022" t="s">
        <v>9504</v>
      </c>
      <c r="C2022" t="s">
        <v>8910</v>
      </c>
      <c r="D2022" t="s">
        <v>8945</v>
      </c>
      <c r="E2022">
        <f>oer_developed_locally_reuse_3rd_g8</f>
        <v>0</v>
      </c>
      <c r="F2022" t="b">
        <v>1</v>
      </c>
    </row>
    <row r="2023" spans="1:6" x14ac:dyDescent="0.35">
      <c r="A2023" t="s">
        <v>8911</v>
      </c>
      <c r="B2023" t="s">
        <v>9504</v>
      </c>
      <c r="C2023" t="s">
        <v>8911</v>
      </c>
      <c r="D2023" t="s">
        <v>8942</v>
      </c>
      <c r="E2023">
        <f>oer_developed_locally_reuse_4th_g8</f>
        <v>0</v>
      </c>
      <c r="F2023" t="b">
        <v>1</v>
      </c>
    </row>
    <row r="2024" spans="1:6" x14ac:dyDescent="0.35">
      <c r="A2024" t="s">
        <v>8898</v>
      </c>
      <c r="B2024" t="s">
        <v>9504</v>
      </c>
      <c r="C2024" t="s">
        <v>8898</v>
      </c>
      <c r="D2024" t="s">
        <v>8922</v>
      </c>
      <c r="E2024">
        <f>oer_developed_locally_original_1st_g9</f>
        <v>2</v>
      </c>
      <c r="F2024" t="b">
        <v>1</v>
      </c>
    </row>
    <row r="2025" spans="1:6" x14ac:dyDescent="0.35">
      <c r="A2025" t="s">
        <v>8899</v>
      </c>
      <c r="B2025" t="s">
        <v>9504</v>
      </c>
      <c r="C2025" t="s">
        <v>8899</v>
      </c>
      <c r="D2025" t="s">
        <v>8932</v>
      </c>
      <c r="E2025">
        <f>oer_developed_locally_original_2nd_g9</f>
        <v>2</v>
      </c>
      <c r="F2025" t="b">
        <v>1</v>
      </c>
    </row>
    <row r="2026" spans="1:6" x14ac:dyDescent="0.35">
      <c r="A2026" t="s">
        <v>8890</v>
      </c>
      <c r="B2026" t="s">
        <v>9504</v>
      </c>
      <c r="C2026" t="s">
        <v>8890</v>
      </c>
      <c r="D2026" t="s">
        <v>8933</v>
      </c>
      <c r="E2026">
        <f>oer_developed_locally_original_3rd_g9</f>
        <v>2</v>
      </c>
      <c r="F2026" t="b">
        <v>1</v>
      </c>
    </row>
    <row r="2027" spans="1:6" x14ac:dyDescent="0.35">
      <c r="A2027" t="s">
        <v>8900</v>
      </c>
      <c r="B2027" t="s">
        <v>9504</v>
      </c>
      <c r="C2027" t="s">
        <v>8900</v>
      </c>
      <c r="D2027" t="s">
        <v>8928</v>
      </c>
      <c r="E2027">
        <f>oer_developed_locally_original_4th_g9</f>
        <v>2</v>
      </c>
      <c r="F2027" t="b">
        <v>1</v>
      </c>
    </row>
    <row r="2028" spans="1:6" x14ac:dyDescent="0.35">
      <c r="A2028" t="s">
        <v>8912</v>
      </c>
      <c r="B2028" t="s">
        <v>9504</v>
      </c>
      <c r="C2028" t="s">
        <v>8912</v>
      </c>
      <c r="D2028" t="s">
        <v>8938</v>
      </c>
      <c r="E2028">
        <f>oer_developed_locally_reuse_1st_g9</f>
        <v>3</v>
      </c>
      <c r="F2028" t="b">
        <v>1</v>
      </c>
    </row>
    <row r="2029" spans="1:6" x14ac:dyDescent="0.35">
      <c r="A2029" t="s">
        <v>8913</v>
      </c>
      <c r="B2029" t="s">
        <v>9504</v>
      </c>
      <c r="C2029" t="s">
        <v>8913</v>
      </c>
      <c r="D2029" t="s">
        <v>8946</v>
      </c>
      <c r="E2029">
        <f>oer_developed_locally_reuse_2nd_g9</f>
        <v>3</v>
      </c>
      <c r="F2029" t="b">
        <v>1</v>
      </c>
    </row>
    <row r="2030" spans="1:6" x14ac:dyDescent="0.35">
      <c r="A2030" t="s">
        <v>8914</v>
      </c>
      <c r="B2030" t="s">
        <v>9504</v>
      </c>
      <c r="C2030" t="s">
        <v>8914</v>
      </c>
      <c r="D2030" t="s">
        <v>8947</v>
      </c>
      <c r="E2030">
        <f>oer_developed_locally_reuse_3rd_g9</f>
        <v>3</v>
      </c>
      <c r="F2030" t="b">
        <v>1</v>
      </c>
    </row>
    <row r="2031" spans="1:6" x14ac:dyDescent="0.35">
      <c r="A2031" t="s">
        <v>8915</v>
      </c>
      <c r="B2031" t="s">
        <v>9504</v>
      </c>
      <c r="C2031" t="s">
        <v>8915</v>
      </c>
      <c r="D2031" t="s">
        <v>8943</v>
      </c>
      <c r="E2031">
        <f>oer_developed_locally_reuse_4th_g9</f>
        <v>2</v>
      </c>
      <c r="F2031" t="b">
        <v>1</v>
      </c>
    </row>
    <row r="2032" spans="1:6" x14ac:dyDescent="0.35">
      <c r="A2032" t="s">
        <v>8901</v>
      </c>
      <c r="B2032" t="s">
        <v>9504</v>
      </c>
      <c r="C2032" t="s">
        <v>8901</v>
      </c>
      <c r="D2032" t="s">
        <v>8923</v>
      </c>
      <c r="E2032">
        <f>oer_developed_locally_original_1st_g10</f>
        <v>26</v>
      </c>
      <c r="F2032" t="b">
        <v>1</v>
      </c>
    </row>
    <row r="2033" spans="1:14" x14ac:dyDescent="0.35">
      <c r="A2033" t="s">
        <v>8902</v>
      </c>
      <c r="B2033" t="s">
        <v>9504</v>
      </c>
      <c r="C2033" t="s">
        <v>8902</v>
      </c>
      <c r="D2033" t="s">
        <v>8934</v>
      </c>
      <c r="E2033">
        <f>oer_developed_locally_original_2nd_g10</f>
        <v>23</v>
      </c>
      <c r="F2033" t="b">
        <v>1</v>
      </c>
    </row>
    <row r="2034" spans="1:14" x14ac:dyDescent="0.35">
      <c r="A2034" t="s">
        <v>8903</v>
      </c>
      <c r="B2034" t="s">
        <v>9504</v>
      </c>
      <c r="C2034" t="s">
        <v>8903</v>
      </c>
      <c r="D2034" t="s">
        <v>8935</v>
      </c>
      <c r="E2034">
        <f>oer_developed_locally_original_3rd_g10</f>
        <v>18</v>
      </c>
      <c r="F2034" t="b">
        <v>1</v>
      </c>
    </row>
    <row r="2035" spans="1:14" x14ac:dyDescent="0.35">
      <c r="A2035" t="s">
        <v>8891</v>
      </c>
      <c r="B2035" t="s">
        <v>9504</v>
      </c>
      <c r="C2035" t="s">
        <v>8891</v>
      </c>
      <c r="D2035" t="s">
        <v>8929</v>
      </c>
      <c r="E2035">
        <f>oer_developed_locally_original_4th_g10</f>
        <v>17</v>
      </c>
      <c r="F2035" t="b">
        <v>1</v>
      </c>
    </row>
    <row r="2036" spans="1:14" x14ac:dyDescent="0.35">
      <c r="A2036" t="s">
        <v>8916</v>
      </c>
      <c r="B2036" t="s">
        <v>9504</v>
      </c>
      <c r="C2036" t="s">
        <v>8916</v>
      </c>
      <c r="D2036" t="s">
        <v>8948</v>
      </c>
      <c r="E2036">
        <f>oer_developed_locally_reuse_1st_g10</f>
        <v>0</v>
      </c>
      <c r="F2036" t="b">
        <v>1</v>
      </c>
    </row>
    <row r="2037" spans="1:14" x14ac:dyDescent="0.35">
      <c r="A2037" t="s">
        <v>8917</v>
      </c>
      <c r="B2037" t="s">
        <v>9504</v>
      </c>
      <c r="C2037" t="s">
        <v>8917</v>
      </c>
      <c r="D2037" t="s">
        <v>8949</v>
      </c>
      <c r="E2037">
        <f>oer_developed_locally_reuse_2nd_g10</f>
        <v>0</v>
      </c>
      <c r="F2037" t="b">
        <v>1</v>
      </c>
    </row>
    <row r="2038" spans="1:14" x14ac:dyDescent="0.35">
      <c r="A2038" t="s">
        <v>8918</v>
      </c>
      <c r="B2038" t="s">
        <v>9504</v>
      </c>
      <c r="C2038" t="s">
        <v>8918</v>
      </c>
      <c r="D2038" t="s">
        <v>8950</v>
      </c>
      <c r="E2038">
        <f>oer_developed_locally_reuse_3rd_g10</f>
        <v>0</v>
      </c>
      <c r="F2038" t="b">
        <v>1</v>
      </c>
    </row>
    <row r="2039" spans="1:14" s="1348" customFormat="1" ht="16" thickBot="1" x14ac:dyDescent="0.4">
      <c r="A2039" s="1348" t="s">
        <v>8919</v>
      </c>
      <c r="B2039" s="1348" t="s">
        <v>9504</v>
      </c>
      <c r="C2039" s="1348" t="s">
        <v>8919</v>
      </c>
      <c r="D2039" s="1348" t="s">
        <v>8951</v>
      </c>
      <c r="E2039" s="1348">
        <f>oer_developed_locally_reuse_4th_g10</f>
        <v>0</v>
      </c>
      <c r="F2039" s="1348" t="b">
        <v>1</v>
      </c>
      <c r="N2039" s="1358"/>
    </row>
    <row r="2040" spans="1:14" s="1350" customFormat="1" x14ac:dyDescent="0.35">
      <c r="A2040" s="1350" t="s">
        <v>8952</v>
      </c>
      <c r="B2040" s="1350" t="s">
        <v>9505</v>
      </c>
      <c r="C2040" s="1350" t="s">
        <v>8952</v>
      </c>
      <c r="D2040" s="1350" t="s">
        <v>8958</v>
      </c>
      <c r="E2040" s="1350">
        <f>depedtv_frequent_m</f>
        <v>0</v>
      </c>
      <c r="F2040" s="1350" t="b">
        <v>1</v>
      </c>
      <c r="N2040" s="1357"/>
    </row>
    <row r="2041" spans="1:14" x14ac:dyDescent="0.35">
      <c r="A2041" t="s">
        <v>8953</v>
      </c>
      <c r="B2041" t="s">
        <v>9505</v>
      </c>
      <c r="C2041" t="s">
        <v>8953</v>
      </c>
      <c r="D2041" t="s">
        <v>8959</v>
      </c>
      <c r="E2041">
        <f>depedtv_frequent_f</f>
        <v>0</v>
      </c>
      <c r="F2041" t="b">
        <v>1</v>
      </c>
    </row>
    <row r="2042" spans="1:14" x14ac:dyDescent="0.35">
      <c r="A2042" t="s">
        <v>8954</v>
      </c>
      <c r="B2042" t="s">
        <v>9505</v>
      </c>
      <c r="C2042" t="s">
        <v>8954</v>
      </c>
      <c r="D2042" t="s">
        <v>8962</v>
      </c>
      <c r="E2042">
        <f>depedtv_seldom_m</f>
        <v>0</v>
      </c>
      <c r="F2042" t="b">
        <v>1</v>
      </c>
    </row>
    <row r="2043" spans="1:14" x14ac:dyDescent="0.35">
      <c r="A2043" t="s">
        <v>8955</v>
      </c>
      <c r="B2043" t="s">
        <v>9505</v>
      </c>
      <c r="C2043" t="s">
        <v>8955</v>
      </c>
      <c r="D2043" t="s">
        <v>8960</v>
      </c>
      <c r="E2043">
        <f>depedtv_seldom_f</f>
        <v>0</v>
      </c>
      <c r="F2043" t="b">
        <v>1</v>
      </c>
    </row>
    <row r="2044" spans="1:14" x14ac:dyDescent="0.35">
      <c r="A2044" t="s">
        <v>8956</v>
      </c>
      <c r="B2044" t="s">
        <v>9505</v>
      </c>
      <c r="C2044" t="s">
        <v>8956</v>
      </c>
      <c r="D2044" t="s">
        <v>8963</v>
      </c>
      <c r="E2044">
        <f>depedtv_never_m</f>
        <v>0</v>
      </c>
      <c r="F2044" t="b">
        <v>1</v>
      </c>
    </row>
    <row r="2045" spans="1:14" x14ac:dyDescent="0.35">
      <c r="A2045" t="s">
        <v>8957</v>
      </c>
      <c r="B2045" t="s">
        <v>9505</v>
      </c>
      <c r="C2045" t="s">
        <v>8957</v>
      </c>
      <c r="D2045" t="s">
        <v>8961</v>
      </c>
      <c r="E2045">
        <f>depedtv_never_f</f>
        <v>0</v>
      </c>
      <c r="F2045" t="b">
        <v>1</v>
      </c>
    </row>
    <row r="2046" spans="1:14" x14ac:dyDescent="0.35">
      <c r="A2046" t="s">
        <v>8964</v>
      </c>
      <c r="B2046" t="s">
        <v>9505</v>
      </c>
      <c r="C2046" t="s">
        <v>8964</v>
      </c>
      <c r="D2046" t="s">
        <v>8968</v>
      </c>
      <c r="E2046" t="b">
        <f>depedtv_method_tv</f>
        <v>0</v>
      </c>
      <c r="F2046" t="b">
        <f t="shared" ref="F2046:F2058" si="0">ISLOGICAL(E2046)</f>
        <v>1</v>
      </c>
      <c r="G2046" t="s">
        <v>12516</v>
      </c>
    </row>
    <row r="2047" spans="1:14" x14ac:dyDescent="0.35">
      <c r="A2047" t="s">
        <v>8965</v>
      </c>
      <c r="B2047" t="s">
        <v>9505</v>
      </c>
      <c r="C2047" t="s">
        <v>8965</v>
      </c>
      <c r="D2047" t="s">
        <v>8969</v>
      </c>
      <c r="E2047" t="b">
        <f>depedtv_method_facebook</f>
        <v>0</v>
      </c>
      <c r="F2047" t="b">
        <f t="shared" si="0"/>
        <v>1</v>
      </c>
      <c r="G2047" t="s">
        <v>12516</v>
      </c>
    </row>
    <row r="2048" spans="1:14" x14ac:dyDescent="0.35">
      <c r="A2048" t="s">
        <v>8966</v>
      </c>
      <c r="B2048" t="s">
        <v>9505</v>
      </c>
      <c r="C2048" t="s">
        <v>8966</v>
      </c>
      <c r="D2048" t="s">
        <v>8970</v>
      </c>
      <c r="E2048" t="b">
        <f>depedtv_method_youtube</f>
        <v>0</v>
      </c>
      <c r="F2048" t="b">
        <f t="shared" si="0"/>
        <v>1</v>
      </c>
      <c r="G2048" t="s">
        <v>12516</v>
      </c>
    </row>
    <row r="2049" spans="1:14" x14ac:dyDescent="0.35">
      <c r="A2049" t="s">
        <v>8967</v>
      </c>
      <c r="B2049" t="s">
        <v>9505</v>
      </c>
      <c r="C2049" t="s">
        <v>8967</v>
      </c>
      <c r="D2049" t="s">
        <v>8971</v>
      </c>
      <c r="E2049" t="b">
        <f>depedtv_method_download</f>
        <v>0</v>
      </c>
      <c r="F2049" t="b">
        <f t="shared" si="0"/>
        <v>1</v>
      </c>
      <c r="G2049" t="s">
        <v>12516</v>
      </c>
    </row>
    <row r="2050" spans="1:14" x14ac:dyDescent="0.35">
      <c r="A2050" t="s">
        <v>8972</v>
      </c>
      <c r="B2050" t="s">
        <v>9505</v>
      </c>
      <c r="C2050" t="s">
        <v>8972</v>
      </c>
      <c r="D2050" t="s">
        <v>8980</v>
      </c>
      <c r="E2050" t="b">
        <f>depedtv_supplemental_eng</f>
        <v>1</v>
      </c>
      <c r="F2050" t="b">
        <f t="shared" si="0"/>
        <v>1</v>
      </c>
      <c r="G2050" t="s">
        <v>12516</v>
      </c>
    </row>
    <row r="2051" spans="1:14" x14ac:dyDescent="0.35">
      <c r="A2051" t="s">
        <v>8973</v>
      </c>
      <c r="B2051" t="s">
        <v>9505</v>
      </c>
      <c r="C2051" t="s">
        <v>8973</v>
      </c>
      <c r="D2051" t="s">
        <v>8981</v>
      </c>
      <c r="E2051" t="b">
        <f>depedtv_supplemental_math</f>
        <v>1</v>
      </c>
      <c r="F2051" t="b">
        <f t="shared" si="0"/>
        <v>1</v>
      </c>
      <c r="G2051" t="s">
        <v>12516</v>
      </c>
    </row>
    <row r="2052" spans="1:14" x14ac:dyDescent="0.35">
      <c r="A2052" t="s">
        <v>8974</v>
      </c>
      <c r="B2052" t="s">
        <v>9505</v>
      </c>
      <c r="C2052" t="s">
        <v>8974</v>
      </c>
      <c r="D2052" t="s">
        <v>8982</v>
      </c>
      <c r="E2052" t="b">
        <f>depedtv_supplemental_fil</f>
        <v>1</v>
      </c>
      <c r="F2052" t="b">
        <f t="shared" si="0"/>
        <v>1</v>
      </c>
      <c r="G2052" t="s">
        <v>12516</v>
      </c>
    </row>
    <row r="2053" spans="1:14" x14ac:dyDescent="0.35">
      <c r="A2053" t="s">
        <v>8975</v>
      </c>
      <c r="B2053" t="s">
        <v>9505</v>
      </c>
      <c r="C2053" t="s">
        <v>8975</v>
      </c>
      <c r="D2053" t="s">
        <v>8983</v>
      </c>
      <c r="E2053" t="b">
        <f>depedtv_supplemental_sci</f>
        <v>1</v>
      </c>
      <c r="F2053" t="b">
        <f t="shared" si="0"/>
        <v>1</v>
      </c>
      <c r="G2053" t="s">
        <v>12516</v>
      </c>
    </row>
    <row r="2054" spans="1:14" x14ac:dyDescent="0.35">
      <c r="A2054" t="s">
        <v>8976</v>
      </c>
      <c r="B2054" t="s">
        <v>9505</v>
      </c>
      <c r="C2054" t="s">
        <v>8976</v>
      </c>
      <c r="D2054" t="s">
        <v>8984</v>
      </c>
      <c r="E2054" t="b">
        <f>depedtv_supplemental_ap</f>
        <v>1</v>
      </c>
      <c r="F2054" t="b">
        <f t="shared" si="0"/>
        <v>1</v>
      </c>
      <c r="G2054" t="s">
        <v>12516</v>
      </c>
    </row>
    <row r="2055" spans="1:14" x14ac:dyDescent="0.35">
      <c r="A2055" t="s">
        <v>8977</v>
      </c>
      <c r="B2055" t="s">
        <v>9505</v>
      </c>
      <c r="C2055" t="s">
        <v>8977</v>
      </c>
      <c r="D2055" t="s">
        <v>8985</v>
      </c>
      <c r="E2055" t="b">
        <f>depedtv_supplemental_esp</f>
        <v>1</v>
      </c>
      <c r="F2055" t="b">
        <f t="shared" si="0"/>
        <v>1</v>
      </c>
      <c r="G2055" t="s">
        <v>12516</v>
      </c>
    </row>
    <row r="2056" spans="1:14" x14ac:dyDescent="0.35">
      <c r="A2056" t="s">
        <v>9510</v>
      </c>
      <c r="B2056" t="s">
        <v>9505</v>
      </c>
      <c r="C2056" t="s">
        <v>9510</v>
      </c>
      <c r="D2056" t="s">
        <v>8986</v>
      </c>
      <c r="E2056" t="b">
        <f>depedtv_supplemental_tle</f>
        <v>1</v>
      </c>
      <c r="F2056" t="b">
        <f t="shared" si="0"/>
        <v>1</v>
      </c>
      <c r="G2056" t="s">
        <v>12516</v>
      </c>
    </row>
    <row r="2057" spans="1:14" x14ac:dyDescent="0.35">
      <c r="A2057" t="s">
        <v>9511</v>
      </c>
      <c r="B2057" t="s">
        <v>9505</v>
      </c>
      <c r="C2057" t="s">
        <v>9511</v>
      </c>
      <c r="D2057" t="s">
        <v>8987</v>
      </c>
      <c r="E2057" t="b">
        <f>depedtv_supplemental_mapeh</f>
        <v>1</v>
      </c>
      <c r="F2057" t="b">
        <f t="shared" si="0"/>
        <v>1</v>
      </c>
      <c r="G2057" t="s">
        <v>12516</v>
      </c>
    </row>
    <row r="2058" spans="1:14" x14ac:dyDescent="0.35">
      <c r="A2058" t="s">
        <v>8978</v>
      </c>
      <c r="B2058" t="s">
        <v>9505</v>
      </c>
      <c r="C2058" t="s">
        <v>8978</v>
      </c>
      <c r="D2058" t="s">
        <v>8988</v>
      </c>
      <c r="E2058" t="b">
        <f>depedtv_supplemental_others</f>
        <v>0</v>
      </c>
      <c r="F2058" t="b">
        <f t="shared" si="0"/>
        <v>1</v>
      </c>
      <c r="G2058" t="s">
        <v>12516</v>
      </c>
    </row>
    <row r="2059" spans="1:14" x14ac:dyDescent="0.35">
      <c r="A2059" t="s">
        <v>8979</v>
      </c>
      <c r="B2059" t="s">
        <v>9505</v>
      </c>
      <c r="C2059" t="s">
        <v>8979</v>
      </c>
      <c r="D2059" t="s">
        <v>8989</v>
      </c>
      <c r="E2059">
        <f>depedtv_supplemental_others_specify</f>
        <v>0</v>
      </c>
      <c r="F2059" t="b">
        <v>1</v>
      </c>
    </row>
    <row r="2060" spans="1:14" x14ac:dyDescent="0.35">
      <c r="A2060" t="s">
        <v>9506</v>
      </c>
      <c r="B2060" t="s">
        <v>9505</v>
      </c>
      <c r="C2060" t="s">
        <v>9506</v>
      </c>
      <c r="D2060" t="s">
        <v>9508</v>
      </c>
      <c r="E2060" t="str">
        <f>deps_lrdms</f>
        <v>RONE RAY M. PORTACION  /  May 17, 2023</v>
      </c>
      <c r="F2060" t="b">
        <v>1</v>
      </c>
    </row>
    <row r="2061" spans="1:14" s="1348" customFormat="1" ht="16" thickBot="1" x14ac:dyDescent="0.4">
      <c r="A2061" s="1348" t="s">
        <v>9507</v>
      </c>
      <c r="B2061" s="1348" t="s">
        <v>9505</v>
      </c>
      <c r="C2061" s="1348" t="s">
        <v>9507</v>
      </c>
      <c r="D2061" s="1348" t="s">
        <v>9509</v>
      </c>
      <c r="E2061" s="1348" t="str">
        <f>deps_lrdms_pos</f>
        <v>Education Program Supervisor</v>
      </c>
      <c r="F2061" s="1348" t="b">
        <v>1</v>
      </c>
      <c r="N2061" s="1358"/>
    </row>
    <row r="2062" spans="1:14" x14ac:dyDescent="0.35">
      <c r="A2062" t="s">
        <v>4368</v>
      </c>
      <c r="B2062" t="s">
        <v>4342</v>
      </c>
      <c r="C2062" t="s">
        <v>4368</v>
      </c>
      <c r="D2062" t="s">
        <v>9512</v>
      </c>
      <c r="E2062" t="b">
        <f>sgp_ssgcouncil_yes</f>
        <v>1</v>
      </c>
      <c r="F2062" t="b">
        <f>ISLOGICAL(E2062)</f>
        <v>1</v>
      </c>
      <c r="G2062" t="s">
        <v>12516</v>
      </c>
    </row>
    <row r="2063" spans="1:14" x14ac:dyDescent="0.35">
      <c r="A2063" t="s">
        <v>4379</v>
      </c>
      <c r="B2063" t="s">
        <v>4342</v>
      </c>
      <c r="C2063" t="s">
        <v>4379</v>
      </c>
      <c r="D2063" t="s">
        <v>9513</v>
      </c>
      <c r="E2063" t="b">
        <f>sgp_ssgadviser_yes</f>
        <v>1</v>
      </c>
      <c r="F2063" t="b">
        <f>ISLOGICAL(E2063)</f>
        <v>1</v>
      </c>
      <c r="G2063" t="s">
        <v>12516</v>
      </c>
    </row>
    <row r="2064" spans="1:14" x14ac:dyDescent="0.35">
      <c r="A2064" t="s">
        <v>4380</v>
      </c>
      <c r="B2064" t="s">
        <v>4342</v>
      </c>
      <c r="C2064" t="s">
        <v>4380</v>
      </c>
      <c r="D2064" t="s">
        <v>9514</v>
      </c>
      <c r="E2064">
        <f>sch_sgp_ssgadviser_yes_yrs_advisers</f>
        <v>3</v>
      </c>
      <c r="F2064" t="b">
        <v>1</v>
      </c>
    </row>
    <row r="2065" spans="1:7" x14ac:dyDescent="0.35">
      <c r="A2065" t="s">
        <v>4353</v>
      </c>
      <c r="B2065" t="s">
        <v>4342</v>
      </c>
      <c r="C2065" t="s">
        <v>4353</v>
      </c>
      <c r="D2065" t="s">
        <v>9515</v>
      </c>
      <c r="E2065" t="b">
        <f>ssgadviser_subjhandle_sci</f>
        <v>0</v>
      </c>
      <c r="F2065" t="b">
        <f>ISLOGICAL(E2065)</f>
        <v>1</v>
      </c>
      <c r="G2065" t="s">
        <v>12516</v>
      </c>
    </row>
    <row r="2066" spans="1:7" x14ac:dyDescent="0.35">
      <c r="A2066" t="s">
        <v>4354</v>
      </c>
      <c r="B2066" t="s">
        <v>4342</v>
      </c>
      <c r="C2066" t="s">
        <v>4354</v>
      </c>
      <c r="D2066" t="s">
        <v>9516</v>
      </c>
      <c r="E2066" t="b">
        <f>ssgadviser_subjhandle_fil</f>
        <v>0</v>
      </c>
      <c r="F2066" t="b">
        <f>ISLOGICAL(E2066)</f>
        <v>1</v>
      </c>
      <c r="G2066" t="s">
        <v>12516</v>
      </c>
    </row>
    <row r="2067" spans="1:7" x14ac:dyDescent="0.35">
      <c r="A2067" t="s">
        <v>4357</v>
      </c>
      <c r="B2067" t="s">
        <v>4342</v>
      </c>
      <c r="C2067" t="s">
        <v>4357</v>
      </c>
      <c r="D2067" t="s">
        <v>9517</v>
      </c>
      <c r="E2067" t="b">
        <f>ssgadviser_subjhandle_math</f>
        <v>0</v>
      </c>
      <c r="F2067" t="b">
        <f>ISLOGICAL(E2067)</f>
        <v>1</v>
      </c>
      <c r="G2067" t="s">
        <v>12516</v>
      </c>
    </row>
    <row r="2068" spans="1:7" x14ac:dyDescent="0.35">
      <c r="A2068" t="s">
        <v>4358</v>
      </c>
      <c r="B2068" t="s">
        <v>4342</v>
      </c>
      <c r="C2068" t="s">
        <v>4358</v>
      </c>
      <c r="D2068" t="s">
        <v>9518</v>
      </c>
      <c r="E2068" t="b">
        <f>ssgadviser_subjhandle_ap</f>
        <v>0</v>
      </c>
      <c r="F2068" t="b">
        <f>ISLOGICAL(E2068)</f>
        <v>1</v>
      </c>
      <c r="G2068" t="s">
        <v>12516</v>
      </c>
    </row>
    <row r="2069" spans="1:7" x14ac:dyDescent="0.35">
      <c r="A2069" t="s">
        <v>4381</v>
      </c>
      <c r="B2069" t="s">
        <v>4342</v>
      </c>
      <c r="C2069" t="s">
        <v>4381</v>
      </c>
      <c r="D2069" t="s">
        <v>9519</v>
      </c>
      <c r="E2069" t="b" cm="1">
        <f t="array" ref="E2069">ssgadviser_subjhandle_others</f>
        <v>1</v>
      </c>
      <c r="F2069" t="b">
        <f>ISLOGICAL(E2069)</f>
        <v>1</v>
      </c>
      <c r="G2069" t="s">
        <v>12516</v>
      </c>
    </row>
    <row r="2070" spans="1:7" x14ac:dyDescent="0.35">
      <c r="A2070" t="s">
        <v>4350</v>
      </c>
      <c r="B2070" t="s">
        <v>4342</v>
      </c>
      <c r="C2070" t="s">
        <v>4350</v>
      </c>
      <c r="D2070" t="s">
        <v>9520</v>
      </c>
      <c r="E2070" t="str">
        <f>sch_ssgadviser_subjhandle_others_specify</f>
        <v>Non-Teaching</v>
      </c>
      <c r="F2070" t="b">
        <v>1</v>
      </c>
    </row>
    <row r="2071" spans="1:7" x14ac:dyDescent="0.35">
      <c r="A2071" t="s">
        <v>4351</v>
      </c>
      <c r="B2071" t="s">
        <v>4342</v>
      </c>
      <c r="C2071" t="s">
        <v>4351</v>
      </c>
      <c r="D2071" t="s">
        <v>9521</v>
      </c>
      <c r="E2071" t="b">
        <f>ssgadviser_hiacaddegree_bachelor_degree</f>
        <v>0</v>
      </c>
      <c r="F2071" t="b">
        <f t="shared" ref="F2071:F2081" si="1">ISLOGICAL(E2071)</f>
        <v>1</v>
      </c>
      <c r="G2071" t="s">
        <v>12516</v>
      </c>
    </row>
    <row r="2072" spans="1:7" x14ac:dyDescent="0.35">
      <c r="A2072" t="s">
        <v>4352</v>
      </c>
      <c r="B2072" t="s">
        <v>4342</v>
      </c>
      <c r="C2072" t="s">
        <v>4352</v>
      </c>
      <c r="D2072" t="s">
        <v>9522</v>
      </c>
      <c r="E2072" t="b">
        <f>ssgadviser_hiacaddegree_wmaster_degree_units</f>
        <v>0</v>
      </c>
      <c r="F2072" t="b">
        <f t="shared" si="1"/>
        <v>1</v>
      </c>
      <c r="G2072" t="s">
        <v>12516</v>
      </c>
    </row>
    <row r="2073" spans="1:7" x14ac:dyDescent="0.35">
      <c r="A2073" t="s">
        <v>4355</v>
      </c>
      <c r="B2073" t="s">
        <v>4342</v>
      </c>
      <c r="C2073" t="s">
        <v>4355</v>
      </c>
      <c r="D2073" t="s">
        <v>9523</v>
      </c>
      <c r="E2073" t="b">
        <f>ssgadviser_hiacaddegree_master_degree</f>
        <v>0</v>
      </c>
      <c r="F2073" t="b">
        <f t="shared" si="1"/>
        <v>1</v>
      </c>
      <c r="G2073" t="s">
        <v>12516</v>
      </c>
    </row>
    <row r="2074" spans="1:7" x14ac:dyDescent="0.35">
      <c r="A2074" t="s">
        <v>4356</v>
      </c>
      <c r="B2074" t="s">
        <v>4342</v>
      </c>
      <c r="C2074" t="s">
        <v>4356</v>
      </c>
      <c r="D2074" t="s">
        <v>9524</v>
      </c>
      <c r="E2074" t="b">
        <f>ssgadviser_hiacaddegree_wdoctorate_degree_units</f>
        <v>1</v>
      </c>
      <c r="F2074" t="b">
        <f t="shared" si="1"/>
        <v>1</v>
      </c>
      <c r="G2074" t="s">
        <v>12516</v>
      </c>
    </row>
    <row r="2075" spans="1:7" x14ac:dyDescent="0.35">
      <c r="A2075" t="s">
        <v>4359</v>
      </c>
      <c r="B2075" t="s">
        <v>4342</v>
      </c>
      <c r="C2075" t="s">
        <v>4359</v>
      </c>
      <c r="D2075" t="s">
        <v>9525</v>
      </c>
      <c r="E2075" t="b">
        <f>ssgadviser_hiacaddegree_doctorate_degree</f>
        <v>0</v>
      </c>
      <c r="F2075" t="b">
        <f t="shared" si="1"/>
        <v>1</v>
      </c>
      <c r="G2075" t="s">
        <v>12516</v>
      </c>
    </row>
    <row r="2076" spans="1:7" x14ac:dyDescent="0.35">
      <c r="A2076" t="s">
        <v>4360</v>
      </c>
      <c r="B2076" t="s">
        <v>4342</v>
      </c>
      <c r="C2076" t="s">
        <v>4360</v>
      </c>
      <c r="D2076" t="s">
        <v>9526</v>
      </c>
      <c r="E2076" t="b">
        <f>ssgadviser_deload_yes</f>
        <v>0</v>
      </c>
      <c r="F2076" t="b">
        <f t="shared" si="1"/>
        <v>1</v>
      </c>
      <c r="G2076" t="s">
        <v>12516</v>
      </c>
    </row>
    <row r="2077" spans="1:7" x14ac:dyDescent="0.35">
      <c r="A2077" t="s">
        <v>4361</v>
      </c>
      <c r="B2077" t="s">
        <v>4342</v>
      </c>
      <c r="C2077" t="s">
        <v>4361</v>
      </c>
      <c r="D2077" t="s">
        <v>9527</v>
      </c>
      <c r="E2077" t="b">
        <f>ssg_sch_collect_fees_yes</f>
        <v>0</v>
      </c>
      <c r="F2077" t="b">
        <f t="shared" si="1"/>
        <v>1</v>
      </c>
      <c r="G2077" t="s">
        <v>12516</v>
      </c>
    </row>
    <row r="2078" spans="1:7" x14ac:dyDescent="0.35">
      <c r="A2078" t="s">
        <v>4362</v>
      </c>
      <c r="B2078" t="s">
        <v>4342</v>
      </c>
      <c r="C2078" t="s">
        <v>4362</v>
      </c>
      <c r="D2078" t="s">
        <v>9528</v>
      </c>
      <c r="E2078" t="b">
        <f>ssg_budget_sipapp_inc_yes</f>
        <v>0</v>
      </c>
      <c r="F2078" t="b">
        <f t="shared" si="1"/>
        <v>1</v>
      </c>
      <c r="G2078" t="s">
        <v>12516</v>
      </c>
    </row>
    <row r="2079" spans="1:7" x14ac:dyDescent="0.35">
      <c r="A2079" t="s">
        <v>4363</v>
      </c>
      <c r="B2079" t="s">
        <v>4342</v>
      </c>
      <c r="C2079" t="s">
        <v>4363</v>
      </c>
      <c r="D2079" t="s">
        <v>9529</v>
      </c>
      <c r="E2079" t="b">
        <f>ssg_dedicated_rm_yes</f>
        <v>0</v>
      </c>
      <c r="F2079" t="b">
        <f t="shared" si="1"/>
        <v>1</v>
      </c>
      <c r="G2079" t="s">
        <v>12516</v>
      </c>
    </row>
    <row r="2080" spans="1:7" x14ac:dyDescent="0.35">
      <c r="A2080" t="s">
        <v>4364</v>
      </c>
      <c r="B2080" t="s">
        <v>4342</v>
      </c>
      <c r="C2080" t="s">
        <v>4364</v>
      </c>
      <c r="D2080" t="s">
        <v>9530</v>
      </c>
      <c r="E2080" t="b">
        <f>ssg_joinsearch_best_ssgcoun_yes</f>
        <v>0</v>
      </c>
      <c r="F2080" t="b">
        <f t="shared" si="1"/>
        <v>1</v>
      </c>
      <c r="G2080" t="s">
        <v>12516</v>
      </c>
    </row>
    <row r="2081" spans="1:14" x14ac:dyDescent="0.35">
      <c r="A2081" t="s">
        <v>4365</v>
      </c>
      <c r="B2081" t="s">
        <v>4342</v>
      </c>
      <c r="C2081" t="s">
        <v>4365</v>
      </c>
      <c r="D2081" t="s">
        <v>9531</v>
      </c>
      <c r="E2081" t="b">
        <f>ssg_won_natlaward_yes</f>
        <v>0</v>
      </c>
      <c r="F2081" t="b">
        <f t="shared" si="1"/>
        <v>1</v>
      </c>
      <c r="G2081" t="s">
        <v>12516</v>
      </c>
    </row>
    <row r="2082" spans="1:14" x14ac:dyDescent="0.35">
      <c r="A2082" t="s">
        <v>4366</v>
      </c>
      <c r="B2082" t="s">
        <v>4342</v>
      </c>
      <c r="C2082" t="s">
        <v>4366</v>
      </c>
      <c r="D2082" t="s">
        <v>9532</v>
      </c>
      <c r="E2082">
        <f>sch_yfcpdo_num_sch_visit</f>
        <v>2</v>
      </c>
      <c r="F2082" t="b">
        <v>1</v>
      </c>
    </row>
    <row r="2083" spans="1:14" x14ac:dyDescent="0.35">
      <c r="A2083" t="s">
        <v>4367</v>
      </c>
      <c r="B2083" t="s">
        <v>4342</v>
      </c>
      <c r="C2083" t="s">
        <v>4367</v>
      </c>
      <c r="D2083" t="s">
        <v>9533</v>
      </c>
      <c r="E2083" t="b">
        <f>ssg_ssgadviser_cto_sat_yes</f>
        <v>1</v>
      </c>
      <c r="F2083" t="b">
        <f>ssg_ssgadviser_cto_sat_yes</f>
        <v>1</v>
      </c>
      <c r="G2083" t="s">
        <v>12516</v>
      </c>
    </row>
    <row r="2084" spans="1:14" x14ac:dyDescent="0.35">
      <c r="A2084" t="s">
        <v>4341</v>
      </c>
      <c r="B2084" t="s">
        <v>4342</v>
      </c>
      <c r="C2084" t="s">
        <v>4341</v>
      </c>
      <c r="D2084" t="s">
        <v>9534</v>
      </c>
      <c r="E2084" t="b">
        <f>ssg_part_learner_brigada_eskwela_yes</f>
        <v>1</v>
      </c>
      <c r="F2084" t="b">
        <f t="shared" ref="F2084:F2091" si="2">ISLOGICAL(E2084)</f>
        <v>1</v>
      </c>
      <c r="G2084" t="s">
        <v>12516</v>
      </c>
    </row>
    <row r="2085" spans="1:14" x14ac:dyDescent="0.35">
      <c r="A2085" t="s">
        <v>4343</v>
      </c>
      <c r="B2085" t="s">
        <v>4342</v>
      </c>
      <c r="C2085" t="s">
        <v>4343</v>
      </c>
      <c r="D2085" t="s">
        <v>9535</v>
      </c>
      <c r="E2085" t="b">
        <f>ssg_schlead_natl_green_prog_yes</f>
        <v>0</v>
      </c>
      <c r="F2085" t="b">
        <f t="shared" si="2"/>
        <v>1</v>
      </c>
      <c r="G2085" t="s">
        <v>12516</v>
      </c>
    </row>
    <row r="2086" spans="1:14" x14ac:dyDescent="0.35">
      <c r="A2086" t="s">
        <v>4344</v>
      </c>
      <c r="B2086" t="s">
        <v>4342</v>
      </c>
      <c r="C2086" t="s">
        <v>4344</v>
      </c>
      <c r="D2086" t="s">
        <v>9536</v>
      </c>
      <c r="E2086" t="b">
        <f>ssg_prevent_learners_dropout_yes</f>
        <v>1</v>
      </c>
      <c r="F2086" t="b">
        <f t="shared" si="2"/>
        <v>1</v>
      </c>
      <c r="G2086" t="s">
        <v>12516</v>
      </c>
    </row>
    <row r="2087" spans="1:14" x14ac:dyDescent="0.35">
      <c r="A2087" t="s">
        <v>4345</v>
      </c>
      <c r="B2087" t="s">
        <v>4342</v>
      </c>
      <c r="C2087" t="s">
        <v>4345</v>
      </c>
      <c r="D2087" t="s">
        <v>9537</v>
      </c>
      <c r="E2087" t="b">
        <f>ssg_engspeakcamp_readtutorsrvc_yes</f>
        <v>1</v>
      </c>
      <c r="F2087" t="b">
        <f t="shared" si="2"/>
        <v>1</v>
      </c>
      <c r="G2087" t="s">
        <v>12516</v>
      </c>
    </row>
    <row r="2088" spans="1:14" x14ac:dyDescent="0.35">
      <c r="A2088" t="s">
        <v>4346</v>
      </c>
      <c r="B2088" t="s">
        <v>4342</v>
      </c>
      <c r="C2088" t="s">
        <v>4346</v>
      </c>
      <c r="D2088" t="s">
        <v>9538</v>
      </c>
      <c r="E2088" t="b">
        <f>ssg_support_antidrug_abuse_educ_camp_yes</f>
        <v>1</v>
      </c>
      <c r="F2088" t="b">
        <f t="shared" si="2"/>
        <v>1</v>
      </c>
      <c r="G2088" t="s">
        <v>12516</v>
      </c>
    </row>
    <row r="2089" spans="1:14" x14ac:dyDescent="0.35">
      <c r="A2089" t="s">
        <v>4347</v>
      </c>
      <c r="B2089" t="s">
        <v>4342</v>
      </c>
      <c r="C2089" t="s">
        <v>4347</v>
      </c>
      <c r="D2089" t="s">
        <v>9539</v>
      </c>
      <c r="E2089" t="b">
        <f>ssg_sch_smoke_tobacoo_free_yes</f>
        <v>1</v>
      </c>
      <c r="F2089" t="b">
        <f t="shared" si="2"/>
        <v>1</v>
      </c>
      <c r="G2089" t="s">
        <v>12516</v>
      </c>
    </row>
    <row r="2090" spans="1:14" x14ac:dyDescent="0.35">
      <c r="A2090" t="s">
        <v>4348</v>
      </c>
      <c r="B2090" t="s">
        <v>4342</v>
      </c>
      <c r="C2090" t="s">
        <v>4348</v>
      </c>
      <c r="D2090" t="s">
        <v>9540</v>
      </c>
      <c r="E2090" t="b">
        <f>ssg_lead_learners_tchrmon_worldtchrday_yes</f>
        <v>1</v>
      </c>
      <c r="F2090" t="b">
        <f t="shared" si="2"/>
        <v>1</v>
      </c>
      <c r="G2090" t="s">
        <v>12516</v>
      </c>
    </row>
    <row r="2091" spans="1:14" x14ac:dyDescent="0.35">
      <c r="A2091" t="s">
        <v>4349</v>
      </c>
      <c r="B2091" t="s">
        <v>4342</v>
      </c>
      <c r="C2091" t="s">
        <v>4349</v>
      </c>
      <c r="D2091" t="s">
        <v>9541</v>
      </c>
      <c r="E2091" t="b">
        <f>ssg_part_learners_cocurr_actvty_yes</f>
        <v>0</v>
      </c>
      <c r="F2091" t="b">
        <f t="shared" si="2"/>
        <v>1</v>
      </c>
      <c r="G2091" t="s">
        <v>12516</v>
      </c>
    </row>
    <row r="2092" spans="1:14" x14ac:dyDescent="0.35">
      <c r="A2092" t="s">
        <v>4369</v>
      </c>
      <c r="B2092" t="s">
        <v>4342</v>
      </c>
      <c r="C2092" t="s">
        <v>4369</v>
      </c>
      <c r="D2092" t="s">
        <v>9542</v>
      </c>
      <c r="E2092" t="str">
        <f>do_yfc_coor_name</f>
        <v>MARIANNE APRIL A. BUTA  /  March 17, 2023</v>
      </c>
      <c r="F2092" t="b">
        <v>1</v>
      </c>
    </row>
    <row r="2093" spans="1:14" s="1348" customFormat="1" ht="16" thickBot="1" x14ac:dyDescent="0.4">
      <c r="A2093" s="1348" t="s">
        <v>4370</v>
      </c>
      <c r="B2093" s="1348" t="s">
        <v>4342</v>
      </c>
      <c r="C2093" s="1348" t="s">
        <v>4370</v>
      </c>
      <c r="D2093" s="1348" t="s">
        <v>9543</v>
      </c>
      <c r="E2093" s="1348" t="str">
        <f>do_yfc_coor_post</f>
        <v>Project Development Officer I</v>
      </c>
      <c r="F2093" s="1348" t="b">
        <v>1</v>
      </c>
      <c r="N2093" s="1358"/>
    </row>
    <row r="2094" spans="1:14" x14ac:dyDescent="0.35">
      <c r="A2094" t="s">
        <v>4371</v>
      </c>
      <c r="B2094" t="s">
        <v>4372</v>
      </c>
      <c r="C2094" t="s">
        <v>4371</v>
      </c>
      <c r="D2094" t="s">
        <v>9544</v>
      </c>
      <c r="E2094" t="b">
        <f>cgp_sch_gc_yes</f>
        <v>1</v>
      </c>
      <c r="F2094" t="b">
        <f>ISLOGICAL(E2094)</f>
        <v>1</v>
      </c>
      <c r="G2094" t="s">
        <v>12516</v>
      </c>
    </row>
    <row r="2095" spans="1:14" x14ac:dyDescent="0.35">
      <c r="A2095" t="s">
        <v>4373</v>
      </c>
      <c r="B2095" t="s">
        <v>4372</v>
      </c>
      <c r="C2095" t="s">
        <v>4373</v>
      </c>
      <c r="D2095" t="s">
        <v>9545</v>
      </c>
      <c r="E2095">
        <f>sch_cgp_gc_yrs_assigned</f>
        <v>21</v>
      </c>
      <c r="F2095" t="b">
        <v>1</v>
      </c>
    </row>
    <row r="2096" spans="1:14" x14ac:dyDescent="0.35">
      <c r="A2096" t="s">
        <v>4374</v>
      </c>
      <c r="B2096" t="s">
        <v>4372</v>
      </c>
      <c r="C2096" t="s">
        <v>4374</v>
      </c>
      <c r="D2096" t="s">
        <v>9546</v>
      </c>
      <c r="E2096" t="b">
        <f>cgp_guid_adv_yes</f>
        <v>1</v>
      </c>
      <c r="F2096" t="b">
        <f>ISLOGICAL(E2096)</f>
        <v>1</v>
      </c>
      <c r="G2096" t="s">
        <v>12516</v>
      </c>
    </row>
    <row r="2097" spans="1:14" x14ac:dyDescent="0.35">
      <c r="A2097" t="s">
        <v>4375</v>
      </c>
      <c r="B2097" t="s">
        <v>4372</v>
      </c>
      <c r="C2097" t="s">
        <v>4375</v>
      </c>
      <c r="D2097" t="s">
        <v>9547</v>
      </c>
      <c r="E2097">
        <f>sch_cgp_guid_adv_yrs_assigned</f>
        <v>21</v>
      </c>
      <c r="F2097" t="b">
        <v>1</v>
      </c>
    </row>
    <row r="2098" spans="1:14" x14ac:dyDescent="0.35">
      <c r="A2098" t="s">
        <v>4376</v>
      </c>
      <c r="B2098" t="s">
        <v>4372</v>
      </c>
      <c r="C2098" t="s">
        <v>4376</v>
      </c>
      <c r="D2098" t="s">
        <v>9548</v>
      </c>
      <c r="E2098" t="b">
        <f>cgp_conducted_career_guid_actvty_yes</f>
        <v>1</v>
      </c>
      <c r="F2098" t="b">
        <f>ISLOGICAL(E2098)</f>
        <v>1</v>
      </c>
      <c r="G2098" t="s">
        <v>12516</v>
      </c>
    </row>
    <row r="2099" spans="1:14" x14ac:dyDescent="0.35">
      <c r="A2099" t="s">
        <v>4377</v>
      </c>
      <c r="B2099" t="s">
        <v>4372</v>
      </c>
      <c r="C2099" t="s">
        <v>4377</v>
      </c>
      <c r="D2099" t="s">
        <v>9549</v>
      </c>
      <c r="E2099" t="b">
        <f>cgp_schfunded_career_guid_actvty_yes</f>
        <v>1</v>
      </c>
      <c r="F2099" t="b">
        <f>ISLOGICAL(E2099)</f>
        <v>1</v>
      </c>
      <c r="G2099" t="s">
        <v>12516</v>
      </c>
    </row>
    <row r="2100" spans="1:14" s="1348" customFormat="1" ht="16" thickBot="1" x14ac:dyDescent="0.4">
      <c r="A2100" s="1348" t="s">
        <v>4378</v>
      </c>
      <c r="B2100" s="1348" t="s">
        <v>4372</v>
      </c>
      <c r="C2100" s="1348" t="s">
        <v>4378</v>
      </c>
      <c r="D2100" s="1348" t="s">
        <v>9550</v>
      </c>
      <c r="E2100" s="1348" t="b">
        <f>cgp_guid_ofc_yes</f>
        <v>1</v>
      </c>
      <c r="F2100" s="1348" t="b">
        <f>ISLOGICAL(E2100)</f>
        <v>1</v>
      </c>
      <c r="G2100" s="1348" t="s">
        <v>12516</v>
      </c>
      <c r="N2100" s="1358"/>
    </row>
    <row r="2101" spans="1:14" x14ac:dyDescent="0.35">
      <c r="A2101" t="s">
        <v>4655</v>
      </c>
      <c r="B2101" t="s">
        <v>4627</v>
      </c>
      <c r="C2101" t="s">
        <v>4655</v>
      </c>
      <c r="D2101" t="s">
        <v>9551</v>
      </c>
      <c r="E2101">
        <f>sch_num_funct_computers_acad_desktop_depeddcp</f>
        <v>119</v>
      </c>
      <c r="F2101" t="b">
        <v>1</v>
      </c>
    </row>
    <row r="2102" spans="1:14" x14ac:dyDescent="0.35">
      <c r="A2102" t="s">
        <v>4663</v>
      </c>
      <c r="B2102" t="s">
        <v>4627</v>
      </c>
      <c r="C2102" t="s">
        <v>4663</v>
      </c>
      <c r="D2102" t="s">
        <v>9552</v>
      </c>
      <c r="E2102">
        <f>sch_num_funct_computers_acad_desktop_depednondcp</f>
        <v>0</v>
      </c>
      <c r="F2102" t="b">
        <v>1</v>
      </c>
    </row>
    <row r="2103" spans="1:14" x14ac:dyDescent="0.35">
      <c r="A2103" t="s">
        <v>4671</v>
      </c>
      <c r="B2103" t="s">
        <v>4627</v>
      </c>
      <c r="C2103" t="s">
        <v>4671</v>
      </c>
      <c r="D2103" t="s">
        <v>9553</v>
      </c>
      <c r="E2103">
        <f>sch_num_funct_computers_acad_desktop_lgusef</f>
        <v>0</v>
      </c>
      <c r="F2103" t="b">
        <v>1</v>
      </c>
    </row>
    <row r="2104" spans="1:14" x14ac:dyDescent="0.35">
      <c r="A2104" t="s">
        <v>4679</v>
      </c>
      <c r="B2104" t="s">
        <v>4627</v>
      </c>
      <c r="C2104" t="s">
        <v>4679</v>
      </c>
      <c r="D2104" t="s">
        <v>9554</v>
      </c>
      <c r="E2104">
        <f>sch_num_funct_computers_acad_desktop_pta</f>
        <v>0</v>
      </c>
      <c r="F2104" t="b">
        <v>1</v>
      </c>
    </row>
    <row r="2105" spans="1:14" x14ac:dyDescent="0.35">
      <c r="A2105" t="s">
        <v>4631</v>
      </c>
      <c r="B2105" t="s">
        <v>4627</v>
      </c>
      <c r="C2105" t="s">
        <v>4631</v>
      </c>
      <c r="D2105" t="s">
        <v>9555</v>
      </c>
      <c r="E2105">
        <f>sch_num_funct_computers_acad_desktop_privatedon</f>
        <v>0</v>
      </c>
      <c r="F2105" t="b">
        <v>1</v>
      </c>
    </row>
    <row r="2106" spans="1:14" x14ac:dyDescent="0.35">
      <c r="A2106" t="s">
        <v>4639</v>
      </c>
      <c r="B2106" t="s">
        <v>4627</v>
      </c>
      <c r="C2106" t="s">
        <v>4639</v>
      </c>
      <c r="D2106" t="s">
        <v>9556</v>
      </c>
      <c r="E2106">
        <f>sch_num_funct_computers_acad_desktop_othergov</f>
        <v>0</v>
      </c>
      <c r="F2106" t="b">
        <v>1</v>
      </c>
    </row>
    <row r="2107" spans="1:14" x14ac:dyDescent="0.35">
      <c r="A2107" t="s">
        <v>4647</v>
      </c>
      <c r="B2107" t="s">
        <v>4627</v>
      </c>
      <c r="C2107" t="s">
        <v>4647</v>
      </c>
      <c r="D2107" t="s">
        <v>9557</v>
      </c>
      <c r="E2107">
        <f>sch_num_funct_computers_acad_desktop_others</f>
        <v>0</v>
      </c>
      <c r="F2107" t="b">
        <v>1</v>
      </c>
    </row>
    <row r="2108" spans="1:14" x14ac:dyDescent="0.35">
      <c r="A2108" t="s">
        <v>4656</v>
      </c>
      <c r="B2108" t="s">
        <v>4627</v>
      </c>
      <c r="C2108" t="s">
        <v>4656</v>
      </c>
      <c r="D2108" t="s">
        <v>9558</v>
      </c>
      <c r="E2108">
        <f>sch_num_funct_computers_acad_notnetbook_depeddcp</f>
        <v>0</v>
      </c>
      <c r="F2108" t="b">
        <v>1</v>
      </c>
    </row>
    <row r="2109" spans="1:14" x14ac:dyDescent="0.35">
      <c r="A2109" t="s">
        <v>4664</v>
      </c>
      <c r="B2109" t="s">
        <v>4627</v>
      </c>
      <c r="C2109" t="s">
        <v>4664</v>
      </c>
      <c r="D2109" t="s">
        <v>9559</v>
      </c>
      <c r="E2109">
        <f>sch_num_funct_computers_acad_notnetbook_depednondcp</f>
        <v>0</v>
      </c>
      <c r="F2109" t="b">
        <v>1</v>
      </c>
    </row>
    <row r="2110" spans="1:14" x14ac:dyDescent="0.35">
      <c r="A2110" t="s">
        <v>4672</v>
      </c>
      <c r="B2110" t="s">
        <v>4627</v>
      </c>
      <c r="C2110" t="s">
        <v>4672</v>
      </c>
      <c r="D2110" t="s">
        <v>9560</v>
      </c>
      <c r="E2110">
        <f>sch_num_funct_computers_acad_notnetbook_lgusef</f>
        <v>0</v>
      </c>
      <c r="F2110" t="b">
        <v>1</v>
      </c>
    </row>
    <row r="2111" spans="1:14" x14ac:dyDescent="0.35">
      <c r="A2111" t="s">
        <v>4680</v>
      </c>
      <c r="B2111" t="s">
        <v>4627</v>
      </c>
      <c r="C2111" t="s">
        <v>4680</v>
      </c>
      <c r="D2111" t="s">
        <v>9561</v>
      </c>
      <c r="E2111">
        <f>sch_num_funct_computers_acad_notnetbook_pta</f>
        <v>0</v>
      </c>
      <c r="F2111" t="b">
        <v>1</v>
      </c>
    </row>
    <row r="2112" spans="1:14" x14ac:dyDescent="0.35">
      <c r="A2112" t="s">
        <v>4632</v>
      </c>
      <c r="B2112" t="s">
        <v>4627</v>
      </c>
      <c r="C2112" t="s">
        <v>4632</v>
      </c>
      <c r="D2112" t="s">
        <v>9562</v>
      </c>
      <c r="E2112">
        <f>sch_num_funct_computers_acad_notnetbook_privatedon</f>
        <v>0</v>
      </c>
      <c r="F2112" t="b">
        <v>1</v>
      </c>
    </row>
    <row r="2113" spans="1:14" x14ac:dyDescent="0.35">
      <c r="A2113" t="s">
        <v>4640</v>
      </c>
      <c r="B2113" t="s">
        <v>4627</v>
      </c>
      <c r="C2113" t="s">
        <v>4640</v>
      </c>
      <c r="D2113" t="s">
        <v>9563</v>
      </c>
      <c r="E2113">
        <f>sch_num_funct_computers_acad_notnetbook_othergov</f>
        <v>0</v>
      </c>
      <c r="F2113" t="b">
        <v>1</v>
      </c>
    </row>
    <row r="2114" spans="1:14" x14ac:dyDescent="0.35">
      <c r="A2114" t="s">
        <v>4648</v>
      </c>
      <c r="B2114" t="s">
        <v>4627</v>
      </c>
      <c r="C2114" t="s">
        <v>4648</v>
      </c>
      <c r="D2114" t="s">
        <v>9564</v>
      </c>
      <c r="E2114">
        <f>sch_num_funct_computers_acad_notnetbook_others</f>
        <v>0</v>
      </c>
      <c r="F2114" t="b">
        <v>1</v>
      </c>
    </row>
    <row r="2115" spans="1:14" x14ac:dyDescent="0.35">
      <c r="A2115" t="s">
        <v>4657</v>
      </c>
      <c r="B2115" t="s">
        <v>4627</v>
      </c>
      <c r="C2115" t="s">
        <v>4657</v>
      </c>
      <c r="D2115" t="s">
        <v>9565</v>
      </c>
      <c r="E2115">
        <f>sch_num_funct_computers_acad_tablet_depeddcp</f>
        <v>0</v>
      </c>
      <c r="F2115" t="b">
        <v>1</v>
      </c>
      <c r="N2115"/>
    </row>
    <row r="2116" spans="1:14" x14ac:dyDescent="0.35">
      <c r="A2116" t="s">
        <v>4665</v>
      </c>
      <c r="B2116" t="s">
        <v>4627</v>
      </c>
      <c r="C2116" t="s">
        <v>4665</v>
      </c>
      <c r="D2116" t="s">
        <v>9566</v>
      </c>
      <c r="E2116">
        <f>sch_num_funct_computers_acad_tablet_depednondcp</f>
        <v>56</v>
      </c>
      <c r="F2116" t="b">
        <v>1</v>
      </c>
      <c r="N2116"/>
    </row>
    <row r="2117" spans="1:14" x14ac:dyDescent="0.35">
      <c r="A2117" t="s">
        <v>4673</v>
      </c>
      <c r="B2117" t="s">
        <v>4627</v>
      </c>
      <c r="C2117" t="s">
        <v>4673</v>
      </c>
      <c r="D2117" t="s">
        <v>9567</v>
      </c>
      <c r="E2117">
        <f>sch_num_funct_computers_acad_tablet_lgusef</f>
        <v>0</v>
      </c>
      <c r="F2117" t="b">
        <v>1</v>
      </c>
      <c r="N2117"/>
    </row>
    <row r="2118" spans="1:14" x14ac:dyDescent="0.35">
      <c r="A2118" t="s">
        <v>4681</v>
      </c>
      <c r="B2118" t="s">
        <v>4627</v>
      </c>
      <c r="C2118" t="s">
        <v>4681</v>
      </c>
      <c r="D2118" t="s">
        <v>9568</v>
      </c>
      <c r="E2118">
        <f>sch_num_funct_computers_acad_tablet_pta</f>
        <v>0</v>
      </c>
      <c r="F2118" t="b">
        <v>1</v>
      </c>
      <c r="N2118"/>
    </row>
    <row r="2119" spans="1:14" x14ac:dyDescent="0.35">
      <c r="A2119" t="s">
        <v>4633</v>
      </c>
      <c r="B2119" t="s">
        <v>4627</v>
      </c>
      <c r="C2119" t="s">
        <v>4633</v>
      </c>
      <c r="D2119" t="s">
        <v>9569</v>
      </c>
      <c r="E2119">
        <f>sch_num_funct_computers_acad_tablet_privatedon</f>
        <v>0</v>
      </c>
      <c r="F2119" t="b">
        <v>1</v>
      </c>
      <c r="N2119"/>
    </row>
    <row r="2120" spans="1:14" x14ac:dyDescent="0.35">
      <c r="A2120" t="s">
        <v>4641</v>
      </c>
      <c r="B2120" t="s">
        <v>4627</v>
      </c>
      <c r="C2120" t="s">
        <v>4641</v>
      </c>
      <c r="D2120" t="s">
        <v>9570</v>
      </c>
      <c r="E2120">
        <f>sch_num_funct_computers_acad_tablet_othergov</f>
        <v>0</v>
      </c>
      <c r="F2120" t="b">
        <v>1</v>
      </c>
      <c r="N2120"/>
    </row>
    <row r="2121" spans="1:14" x14ac:dyDescent="0.35">
      <c r="A2121" t="s">
        <v>4649</v>
      </c>
      <c r="B2121" t="s">
        <v>4627</v>
      </c>
      <c r="C2121" t="s">
        <v>4649</v>
      </c>
      <c r="D2121" t="s">
        <v>9571</v>
      </c>
      <c r="E2121">
        <f>sch_num_funct_computers_acad_tablet_others</f>
        <v>0</v>
      </c>
      <c r="F2121" t="b">
        <v>1</v>
      </c>
      <c r="N2121"/>
    </row>
    <row r="2122" spans="1:14" x14ac:dyDescent="0.35">
      <c r="A2122" t="s">
        <v>7764</v>
      </c>
      <c r="B2122" t="s">
        <v>4627</v>
      </c>
      <c r="C2122" t="s">
        <v>7764</v>
      </c>
      <c r="D2122" t="s">
        <v>9572</v>
      </c>
      <c r="E2122">
        <f>sch_num_funct_computers_acad_tabletpc_depeddcp</f>
        <v>0</v>
      </c>
      <c r="F2122" t="b">
        <v>1</v>
      </c>
    </row>
    <row r="2123" spans="1:14" x14ac:dyDescent="0.35">
      <c r="A2123" t="s">
        <v>7766</v>
      </c>
      <c r="B2123" t="s">
        <v>4627</v>
      </c>
      <c r="C2123" t="s">
        <v>7766</v>
      </c>
      <c r="D2123" t="s">
        <v>9573</v>
      </c>
      <c r="E2123">
        <f>sch_num_funct_computers_acad_tabletpc_depednondcp</f>
        <v>0</v>
      </c>
      <c r="F2123" t="b">
        <v>1</v>
      </c>
    </row>
    <row r="2124" spans="1:14" x14ac:dyDescent="0.35">
      <c r="A2124" t="s">
        <v>7768</v>
      </c>
      <c r="B2124" t="s">
        <v>4627</v>
      </c>
      <c r="C2124" t="s">
        <v>7768</v>
      </c>
      <c r="D2124" t="s">
        <v>9574</v>
      </c>
      <c r="E2124">
        <f>sch_num_funct_computers_acad_tabletpc_lgusef</f>
        <v>0</v>
      </c>
      <c r="F2124" t="b">
        <v>1</v>
      </c>
    </row>
    <row r="2125" spans="1:14" x14ac:dyDescent="0.35">
      <c r="A2125" t="s">
        <v>7770</v>
      </c>
      <c r="B2125" t="s">
        <v>4627</v>
      </c>
      <c r="C2125" t="s">
        <v>7770</v>
      </c>
      <c r="D2125" t="s">
        <v>9575</v>
      </c>
      <c r="E2125">
        <f>sch_num_funct_computers_acad_tabletpc_pta</f>
        <v>0</v>
      </c>
      <c r="F2125" t="b">
        <v>1</v>
      </c>
    </row>
    <row r="2126" spans="1:14" x14ac:dyDescent="0.35">
      <c r="A2126" t="s">
        <v>7758</v>
      </c>
      <c r="B2126" t="s">
        <v>4627</v>
      </c>
      <c r="C2126" t="s">
        <v>7758</v>
      </c>
      <c r="D2126" t="s">
        <v>9576</v>
      </c>
      <c r="E2126" cm="1">
        <f t="array" ref="E2126">sch_num_funct_computers_acad_tabletpc_privatedon</f>
        <v>0</v>
      </c>
      <c r="F2126" t="b">
        <v>1</v>
      </c>
    </row>
    <row r="2127" spans="1:14" x14ac:dyDescent="0.35">
      <c r="A2127" t="s">
        <v>7760</v>
      </c>
      <c r="B2127" t="s">
        <v>4627</v>
      </c>
      <c r="C2127" t="s">
        <v>7760</v>
      </c>
      <c r="D2127" t="s">
        <v>9577</v>
      </c>
      <c r="E2127">
        <f>sch_num_funct_computers_acad_tabletpc_othergov</f>
        <v>0</v>
      </c>
      <c r="F2127" t="b">
        <v>1</v>
      </c>
    </row>
    <row r="2128" spans="1:14" x14ac:dyDescent="0.35">
      <c r="A2128" t="s">
        <v>7762</v>
      </c>
      <c r="B2128" t="s">
        <v>4627</v>
      </c>
      <c r="C2128" t="s">
        <v>7762</v>
      </c>
      <c r="D2128" t="s">
        <v>9578</v>
      </c>
      <c r="E2128">
        <f>sch_num_funct_computers_acad_tabletpc_others</f>
        <v>0</v>
      </c>
      <c r="F2128" t="b">
        <v>1</v>
      </c>
    </row>
    <row r="2129" spans="1:6" x14ac:dyDescent="0.35">
      <c r="A2129" t="s">
        <v>4658</v>
      </c>
      <c r="B2129" t="s">
        <v>4627</v>
      </c>
      <c r="C2129" t="s">
        <v>4658</v>
      </c>
      <c r="D2129" t="s">
        <v>9579</v>
      </c>
      <c r="E2129">
        <f>sch_num_funct_computers_acad_dvt_depeddcp</f>
        <v>126</v>
      </c>
      <c r="F2129" t="b">
        <v>1</v>
      </c>
    </row>
    <row r="2130" spans="1:6" x14ac:dyDescent="0.35">
      <c r="A2130" t="s">
        <v>4666</v>
      </c>
      <c r="B2130" t="s">
        <v>4627</v>
      </c>
      <c r="C2130" t="s">
        <v>4666</v>
      </c>
      <c r="D2130" t="s">
        <v>9580</v>
      </c>
      <c r="E2130">
        <f>sch_num_funct_computers_acad_dvt_depednondcp</f>
        <v>0</v>
      </c>
      <c r="F2130" t="b">
        <v>1</v>
      </c>
    </row>
    <row r="2131" spans="1:6" x14ac:dyDescent="0.35">
      <c r="A2131" t="s">
        <v>4674</v>
      </c>
      <c r="B2131" t="s">
        <v>4627</v>
      </c>
      <c r="C2131" t="s">
        <v>4674</v>
      </c>
      <c r="D2131" t="s">
        <v>9581</v>
      </c>
      <c r="E2131">
        <f>sch_num_funct_computers_acad_dvt_lgusef</f>
        <v>0</v>
      </c>
      <c r="F2131" t="b">
        <v>1</v>
      </c>
    </row>
    <row r="2132" spans="1:6" x14ac:dyDescent="0.35">
      <c r="A2132" t="s">
        <v>4682</v>
      </c>
      <c r="B2132" t="s">
        <v>4627</v>
      </c>
      <c r="C2132" t="s">
        <v>4682</v>
      </c>
      <c r="D2132" t="s">
        <v>9582</v>
      </c>
      <c r="E2132">
        <f>sch_num_funct_computers_acad_dvt_pta</f>
        <v>0</v>
      </c>
      <c r="F2132" t="b">
        <v>1</v>
      </c>
    </row>
    <row r="2133" spans="1:6" x14ac:dyDescent="0.35">
      <c r="A2133" t="s">
        <v>4634</v>
      </c>
      <c r="B2133" t="s">
        <v>4627</v>
      </c>
      <c r="C2133" t="s">
        <v>4634</v>
      </c>
      <c r="D2133" t="s">
        <v>9583</v>
      </c>
      <c r="E2133">
        <f>sch_num_funct_computers_acad_dvt_privatedon</f>
        <v>0</v>
      </c>
      <c r="F2133" t="b">
        <v>1</v>
      </c>
    </row>
    <row r="2134" spans="1:6" x14ac:dyDescent="0.35">
      <c r="A2134" t="s">
        <v>4642</v>
      </c>
      <c r="B2134" t="s">
        <v>4627</v>
      </c>
      <c r="C2134" t="s">
        <v>4642</v>
      </c>
      <c r="D2134" t="s">
        <v>9584</v>
      </c>
      <c r="E2134">
        <f>sch_num_funct_computers_acad_dvt_othergov</f>
        <v>0</v>
      </c>
      <c r="F2134" t="b">
        <v>1</v>
      </c>
    </row>
    <row r="2135" spans="1:6" x14ac:dyDescent="0.35">
      <c r="A2135" t="s">
        <v>4650</v>
      </c>
      <c r="B2135" t="s">
        <v>4627</v>
      </c>
      <c r="C2135" t="s">
        <v>4650</v>
      </c>
      <c r="D2135" t="s">
        <v>9585</v>
      </c>
      <c r="E2135">
        <f>sch_num_funct_computers_acad_dvt_others</f>
        <v>0</v>
      </c>
      <c r="F2135" t="b">
        <v>1</v>
      </c>
    </row>
    <row r="2136" spans="1:6" x14ac:dyDescent="0.35">
      <c r="A2136" t="s">
        <v>4651</v>
      </c>
      <c r="B2136" t="s">
        <v>4627</v>
      </c>
      <c r="C2136" t="s">
        <v>4651</v>
      </c>
      <c r="D2136" t="s">
        <v>9586</v>
      </c>
      <c r="E2136">
        <f>sch_num_funct_computers_admin_desktop_depeddcp</f>
        <v>9</v>
      </c>
      <c r="F2136" t="b">
        <v>1</v>
      </c>
    </row>
    <row r="2137" spans="1:6" x14ac:dyDescent="0.35">
      <c r="A2137" t="s">
        <v>4659</v>
      </c>
      <c r="B2137" t="s">
        <v>4627</v>
      </c>
      <c r="C2137" t="s">
        <v>4659</v>
      </c>
      <c r="D2137" t="s">
        <v>9587</v>
      </c>
      <c r="E2137">
        <f>sch_num_funct_computers_admin_desktop_depednondcp</f>
        <v>3</v>
      </c>
      <c r="F2137" t="b">
        <v>1</v>
      </c>
    </row>
    <row r="2138" spans="1:6" x14ac:dyDescent="0.35">
      <c r="A2138" t="s">
        <v>4667</v>
      </c>
      <c r="B2138" t="s">
        <v>4627</v>
      </c>
      <c r="C2138" t="s">
        <v>4667</v>
      </c>
      <c r="D2138" t="s">
        <v>9588</v>
      </c>
      <c r="E2138">
        <f>sch_num_funct_computers_admin_desktop_lgusef</f>
        <v>0</v>
      </c>
      <c r="F2138" t="b">
        <v>1</v>
      </c>
    </row>
    <row r="2139" spans="1:6" x14ac:dyDescent="0.35">
      <c r="A2139" t="s">
        <v>4675</v>
      </c>
      <c r="B2139" t="s">
        <v>4627</v>
      </c>
      <c r="C2139" t="s">
        <v>4675</v>
      </c>
      <c r="D2139" t="s">
        <v>9589</v>
      </c>
      <c r="E2139">
        <f>sch_num_funct_computers_admin_desktop_pta</f>
        <v>0</v>
      </c>
      <c r="F2139" t="b">
        <v>1</v>
      </c>
    </row>
    <row r="2140" spans="1:6" x14ac:dyDescent="0.35">
      <c r="A2140" t="s">
        <v>4626</v>
      </c>
      <c r="B2140" t="s">
        <v>4627</v>
      </c>
      <c r="C2140" t="s">
        <v>4626</v>
      </c>
      <c r="D2140" t="s">
        <v>9590</v>
      </c>
      <c r="E2140">
        <f>sch_num_funct_computers_admin_desktop_privatedon</f>
        <v>0</v>
      </c>
      <c r="F2140" t="b">
        <v>1</v>
      </c>
    </row>
    <row r="2141" spans="1:6" x14ac:dyDescent="0.35">
      <c r="A2141" t="s">
        <v>4635</v>
      </c>
      <c r="B2141" t="s">
        <v>4627</v>
      </c>
      <c r="C2141" t="s">
        <v>4635</v>
      </c>
      <c r="D2141" t="s">
        <v>9591</v>
      </c>
      <c r="E2141">
        <f>sch_num_funct_computers_admin_desktop_othergov</f>
        <v>0</v>
      </c>
      <c r="F2141" t="b">
        <v>1</v>
      </c>
    </row>
    <row r="2142" spans="1:6" x14ac:dyDescent="0.35">
      <c r="A2142" t="s">
        <v>4643</v>
      </c>
      <c r="B2142" t="s">
        <v>4627</v>
      </c>
      <c r="C2142" t="s">
        <v>4643</v>
      </c>
      <c r="D2142" t="s">
        <v>9592</v>
      </c>
      <c r="E2142">
        <f>sch_num_funct_computers_admin_desktop_others</f>
        <v>0</v>
      </c>
      <c r="F2142" t="b">
        <v>1</v>
      </c>
    </row>
    <row r="2143" spans="1:6" x14ac:dyDescent="0.35">
      <c r="A2143" t="s">
        <v>4652</v>
      </c>
      <c r="B2143" t="s">
        <v>4627</v>
      </c>
      <c r="C2143" t="s">
        <v>4652</v>
      </c>
      <c r="D2143" t="s">
        <v>9593</v>
      </c>
      <c r="E2143">
        <f>sch_num_funct_computers_admin_notnetbook_depeddcp</f>
        <v>0</v>
      </c>
      <c r="F2143" t="b">
        <v>1</v>
      </c>
    </row>
    <row r="2144" spans="1:6" x14ac:dyDescent="0.35">
      <c r="A2144" t="s">
        <v>4660</v>
      </c>
      <c r="B2144" t="s">
        <v>4627</v>
      </c>
      <c r="C2144" t="s">
        <v>4660</v>
      </c>
      <c r="D2144" t="s">
        <v>9594</v>
      </c>
      <c r="E2144">
        <f>sch_num_funct_computers_admin_notnetbook_depednondcp</f>
        <v>0</v>
      </c>
      <c r="F2144" t="b">
        <v>1</v>
      </c>
    </row>
    <row r="2145" spans="1:6" x14ac:dyDescent="0.35">
      <c r="A2145" t="s">
        <v>4668</v>
      </c>
      <c r="B2145" t="s">
        <v>4627</v>
      </c>
      <c r="C2145" t="s">
        <v>4668</v>
      </c>
      <c r="D2145" t="s">
        <v>9595</v>
      </c>
      <c r="E2145">
        <f>sch_num_funct_computers_admin_notnetbook_lgusef</f>
        <v>0</v>
      </c>
      <c r="F2145" t="b">
        <v>1</v>
      </c>
    </row>
    <row r="2146" spans="1:6" x14ac:dyDescent="0.35">
      <c r="A2146" t="s">
        <v>4676</v>
      </c>
      <c r="B2146" t="s">
        <v>4627</v>
      </c>
      <c r="C2146" t="s">
        <v>4676</v>
      </c>
      <c r="D2146" t="s">
        <v>9596</v>
      </c>
      <c r="E2146">
        <f>sch_num_funct_computers_admin_notnetbook_pta</f>
        <v>0</v>
      </c>
      <c r="F2146" t="b">
        <v>1</v>
      </c>
    </row>
    <row r="2147" spans="1:6" x14ac:dyDescent="0.35">
      <c r="A2147" t="s">
        <v>4628</v>
      </c>
      <c r="B2147" t="s">
        <v>4627</v>
      </c>
      <c r="C2147" t="s">
        <v>4628</v>
      </c>
      <c r="D2147" t="s">
        <v>9597</v>
      </c>
      <c r="E2147">
        <f>sch_num_funct_computers_admin_notnetbook_privatedon</f>
        <v>0</v>
      </c>
      <c r="F2147" t="b">
        <v>1</v>
      </c>
    </row>
    <row r="2148" spans="1:6" x14ac:dyDescent="0.35">
      <c r="A2148" t="s">
        <v>4636</v>
      </c>
      <c r="B2148" t="s">
        <v>4627</v>
      </c>
      <c r="C2148" t="s">
        <v>4636</v>
      </c>
      <c r="D2148" t="s">
        <v>9598</v>
      </c>
      <c r="E2148">
        <f>sch_num_funct_computers_admin_notnetbook_othergov</f>
        <v>0</v>
      </c>
      <c r="F2148" t="b">
        <v>1</v>
      </c>
    </row>
    <row r="2149" spans="1:6" x14ac:dyDescent="0.35">
      <c r="A2149" t="s">
        <v>4644</v>
      </c>
      <c r="B2149" t="s">
        <v>4627</v>
      </c>
      <c r="C2149" t="s">
        <v>4644</v>
      </c>
      <c r="D2149" t="s">
        <v>9599</v>
      </c>
      <c r="E2149">
        <f>sch_num_funct_computers_admin_notnetbook_others</f>
        <v>0</v>
      </c>
      <c r="F2149" t="b">
        <v>1</v>
      </c>
    </row>
    <row r="2150" spans="1:6" x14ac:dyDescent="0.35">
      <c r="A2150" t="s">
        <v>4653</v>
      </c>
      <c r="B2150" t="s">
        <v>4627</v>
      </c>
      <c r="C2150" t="s">
        <v>4653</v>
      </c>
      <c r="D2150" t="s">
        <v>9600</v>
      </c>
      <c r="E2150">
        <f>sch_num_funct_computers_admin_tablet_depeddcp</f>
        <v>0</v>
      </c>
      <c r="F2150" t="b">
        <v>1</v>
      </c>
    </row>
    <row r="2151" spans="1:6" x14ac:dyDescent="0.35">
      <c r="A2151" t="s">
        <v>4661</v>
      </c>
      <c r="B2151" t="s">
        <v>4627</v>
      </c>
      <c r="C2151" t="s">
        <v>4661</v>
      </c>
      <c r="D2151" t="s">
        <v>9601</v>
      </c>
      <c r="E2151">
        <f>sch_num_funct_computers_admin_tablet_depednondcp</f>
        <v>0</v>
      </c>
      <c r="F2151" t="b">
        <v>1</v>
      </c>
    </row>
    <row r="2152" spans="1:6" x14ac:dyDescent="0.35">
      <c r="A2152" t="s">
        <v>4669</v>
      </c>
      <c r="B2152" t="s">
        <v>4627</v>
      </c>
      <c r="C2152" t="s">
        <v>4669</v>
      </c>
      <c r="D2152" t="s">
        <v>9602</v>
      </c>
      <c r="E2152">
        <f>sch_num_funct_computers_admin_tablet_lgusef</f>
        <v>0</v>
      </c>
      <c r="F2152" t="b">
        <v>1</v>
      </c>
    </row>
    <row r="2153" spans="1:6" x14ac:dyDescent="0.35">
      <c r="A2153" t="s">
        <v>4677</v>
      </c>
      <c r="B2153" t="s">
        <v>4627</v>
      </c>
      <c r="C2153" t="s">
        <v>4677</v>
      </c>
      <c r="D2153" t="s">
        <v>9603</v>
      </c>
      <c r="E2153">
        <f>sch_num_funct_computers_admin_tablet_pta</f>
        <v>0</v>
      </c>
      <c r="F2153" t="b">
        <v>1</v>
      </c>
    </row>
    <row r="2154" spans="1:6" x14ac:dyDescent="0.35">
      <c r="A2154" t="s">
        <v>4629</v>
      </c>
      <c r="B2154" t="s">
        <v>4627</v>
      </c>
      <c r="C2154" t="s">
        <v>4629</v>
      </c>
      <c r="D2154" t="s">
        <v>9604</v>
      </c>
      <c r="E2154">
        <f>sch_num_funct_computers_admin_tablet_privatedon</f>
        <v>0</v>
      </c>
      <c r="F2154" t="b">
        <v>1</v>
      </c>
    </row>
    <row r="2155" spans="1:6" x14ac:dyDescent="0.35">
      <c r="A2155" t="s">
        <v>4637</v>
      </c>
      <c r="B2155" t="s">
        <v>4627</v>
      </c>
      <c r="C2155" t="s">
        <v>4637</v>
      </c>
      <c r="D2155" t="s">
        <v>9605</v>
      </c>
      <c r="E2155">
        <f>sch_num_funct_computers_admin_tablet_othergov</f>
        <v>0</v>
      </c>
      <c r="F2155" t="b">
        <v>1</v>
      </c>
    </row>
    <row r="2156" spans="1:6" x14ac:dyDescent="0.35">
      <c r="A2156" t="s">
        <v>4645</v>
      </c>
      <c r="B2156" t="s">
        <v>4627</v>
      </c>
      <c r="C2156" t="s">
        <v>4645</v>
      </c>
      <c r="D2156" t="s">
        <v>9606</v>
      </c>
      <c r="E2156">
        <f>sch_num_funct_computers_admin_tablet_others</f>
        <v>0</v>
      </c>
      <c r="F2156" t="b">
        <v>1</v>
      </c>
    </row>
    <row r="2157" spans="1:6" x14ac:dyDescent="0.35">
      <c r="A2157" t="s">
        <v>7763</v>
      </c>
      <c r="B2157" t="s">
        <v>4627</v>
      </c>
      <c r="C2157" t="s">
        <v>7763</v>
      </c>
      <c r="D2157" t="s">
        <v>9607</v>
      </c>
      <c r="E2157">
        <f>sch_num_funct_computers_admin_tabletpc_depeddcp</f>
        <v>0</v>
      </c>
      <c r="F2157" t="b">
        <v>1</v>
      </c>
    </row>
    <row r="2158" spans="1:6" x14ac:dyDescent="0.35">
      <c r="A2158" t="s">
        <v>7765</v>
      </c>
      <c r="B2158" t="s">
        <v>4627</v>
      </c>
      <c r="C2158" t="s">
        <v>7765</v>
      </c>
      <c r="D2158" t="s">
        <v>9608</v>
      </c>
      <c r="E2158">
        <f>sch_num_funct_computers_admin_tabletpc_depednondcp</f>
        <v>0</v>
      </c>
      <c r="F2158" t="b">
        <v>1</v>
      </c>
    </row>
    <row r="2159" spans="1:6" x14ac:dyDescent="0.35">
      <c r="A2159" t="s">
        <v>7767</v>
      </c>
      <c r="B2159" t="s">
        <v>4627</v>
      </c>
      <c r="C2159" t="s">
        <v>7767</v>
      </c>
      <c r="D2159" t="s">
        <v>9609</v>
      </c>
      <c r="E2159">
        <f>sch_num_funct_computers_admin_tabletpc_lgusef</f>
        <v>0</v>
      </c>
      <c r="F2159" t="b">
        <v>1</v>
      </c>
    </row>
    <row r="2160" spans="1:6" x14ac:dyDescent="0.35">
      <c r="A2160" t="s">
        <v>7769</v>
      </c>
      <c r="B2160" t="s">
        <v>4627</v>
      </c>
      <c r="C2160" t="s">
        <v>7769</v>
      </c>
      <c r="D2160" t="s">
        <v>9610</v>
      </c>
      <c r="E2160">
        <f>sch_num_funct_computers_admin_tabletpc_pta</f>
        <v>0</v>
      </c>
      <c r="F2160" t="b">
        <v>1</v>
      </c>
    </row>
    <row r="2161" spans="1:14" x14ac:dyDescent="0.35">
      <c r="A2161" t="s">
        <v>7757</v>
      </c>
      <c r="B2161" t="s">
        <v>4627</v>
      </c>
      <c r="C2161" t="s">
        <v>7757</v>
      </c>
      <c r="D2161" t="s">
        <v>9611</v>
      </c>
      <c r="E2161" cm="1">
        <f t="array" ref="E2161">sch_num_funct_computers_admin_tabletpc_privatedon</f>
        <v>0</v>
      </c>
      <c r="F2161" t="b">
        <v>1</v>
      </c>
    </row>
    <row r="2162" spans="1:14" x14ac:dyDescent="0.35">
      <c r="A2162" t="s">
        <v>7759</v>
      </c>
      <c r="B2162" t="s">
        <v>4627</v>
      </c>
      <c r="C2162" t="s">
        <v>7759</v>
      </c>
      <c r="D2162" t="s">
        <v>9612</v>
      </c>
      <c r="E2162">
        <f>sch_num_funct_computers_admin_tabletpc_othergov</f>
        <v>0</v>
      </c>
      <c r="F2162" t="b">
        <v>1</v>
      </c>
    </row>
    <row r="2163" spans="1:14" x14ac:dyDescent="0.35">
      <c r="A2163" t="s">
        <v>7761</v>
      </c>
      <c r="B2163" t="s">
        <v>4627</v>
      </c>
      <c r="C2163" t="s">
        <v>7761</v>
      </c>
      <c r="D2163" t="s">
        <v>9613</v>
      </c>
      <c r="E2163" cm="1">
        <f t="array" ref="E2163">sch_num_funct_computers_admin_tabletpc_others</f>
        <v>0</v>
      </c>
      <c r="F2163" t="b">
        <v>1</v>
      </c>
    </row>
    <row r="2164" spans="1:14" x14ac:dyDescent="0.35">
      <c r="A2164" t="s">
        <v>4654</v>
      </c>
      <c r="B2164" t="s">
        <v>4627</v>
      </c>
      <c r="C2164" t="s">
        <v>4654</v>
      </c>
      <c r="D2164" t="s">
        <v>9614</v>
      </c>
      <c r="E2164">
        <f>sch_num_funct_computers_admin_dvt_depeddcp</f>
        <v>0</v>
      </c>
      <c r="F2164" t="b">
        <v>1</v>
      </c>
    </row>
    <row r="2165" spans="1:14" x14ac:dyDescent="0.35">
      <c r="A2165" t="s">
        <v>4662</v>
      </c>
      <c r="B2165" t="s">
        <v>4627</v>
      </c>
      <c r="C2165" t="s">
        <v>4662</v>
      </c>
      <c r="D2165" t="s">
        <v>9615</v>
      </c>
      <c r="E2165">
        <f>sch_num_funct_computers_admin_dvt_depednondcp</f>
        <v>0</v>
      </c>
      <c r="F2165" t="b">
        <v>1</v>
      </c>
    </row>
    <row r="2166" spans="1:14" x14ac:dyDescent="0.35">
      <c r="A2166" t="s">
        <v>4670</v>
      </c>
      <c r="B2166" t="s">
        <v>4627</v>
      </c>
      <c r="C2166" t="s">
        <v>4670</v>
      </c>
      <c r="D2166" t="s">
        <v>9616</v>
      </c>
      <c r="E2166">
        <f>sch_num_funct_computers_admin_dvt_lgusef</f>
        <v>0</v>
      </c>
      <c r="F2166" t="b">
        <v>1</v>
      </c>
    </row>
    <row r="2167" spans="1:14" x14ac:dyDescent="0.35">
      <c r="A2167" t="s">
        <v>4678</v>
      </c>
      <c r="B2167" t="s">
        <v>4627</v>
      </c>
      <c r="C2167" t="s">
        <v>4678</v>
      </c>
      <c r="D2167" t="s">
        <v>9617</v>
      </c>
      <c r="E2167">
        <f>sch_num_funct_computers_admin_dvt_pta</f>
        <v>0</v>
      </c>
      <c r="F2167" t="b">
        <v>1</v>
      </c>
    </row>
    <row r="2168" spans="1:14" x14ac:dyDescent="0.35">
      <c r="A2168" t="s">
        <v>4630</v>
      </c>
      <c r="B2168" t="s">
        <v>4627</v>
      </c>
      <c r="C2168" t="s">
        <v>4630</v>
      </c>
      <c r="D2168" t="s">
        <v>9618</v>
      </c>
      <c r="E2168">
        <f>sch_num_funct_computers_admin_dvt_privatedon</f>
        <v>0</v>
      </c>
      <c r="F2168" t="b">
        <v>1</v>
      </c>
    </row>
    <row r="2169" spans="1:14" x14ac:dyDescent="0.35">
      <c r="A2169" t="s">
        <v>4638</v>
      </c>
      <c r="B2169" t="s">
        <v>4627</v>
      </c>
      <c r="C2169" t="s">
        <v>4638</v>
      </c>
      <c r="D2169" t="s">
        <v>9619</v>
      </c>
      <c r="E2169">
        <f>sch_num_funct_computers_admin_dvt_othergov</f>
        <v>0</v>
      </c>
      <c r="F2169" t="b">
        <v>1</v>
      </c>
    </row>
    <row r="2170" spans="1:14" x14ac:dyDescent="0.35">
      <c r="A2170" t="s">
        <v>4646</v>
      </c>
      <c r="B2170" t="s">
        <v>4627</v>
      </c>
      <c r="C2170" t="s">
        <v>4646</v>
      </c>
      <c r="D2170" t="s">
        <v>9620</v>
      </c>
      <c r="E2170">
        <f>sch_num_funct_computers_admin_dvt_others</f>
        <v>0</v>
      </c>
      <c r="F2170" t="b">
        <v>1</v>
      </c>
    </row>
    <row r="2171" spans="1:14" s="1348" customFormat="1" ht="16" thickBot="1" x14ac:dyDescent="0.4">
      <c r="A2171" s="1348" t="s">
        <v>4683</v>
      </c>
      <c r="B2171" s="1348" t="s">
        <v>4627</v>
      </c>
      <c r="C2171" s="1348" t="s">
        <v>4683</v>
      </c>
      <c r="D2171" s="1348" t="s">
        <v>9621</v>
      </c>
      <c r="E2171" s="1348" t="str">
        <f>do_ito_name</f>
        <v>ANNE VALERIE KERSTEINE I. VILLANUEVA /  May 17, 2022</v>
      </c>
      <c r="F2171" s="1348" t="b">
        <v>1</v>
      </c>
      <c r="N2171" s="1358"/>
    </row>
    <row r="2172" spans="1:14" x14ac:dyDescent="0.35">
      <c r="A2172" t="s">
        <v>4730</v>
      </c>
      <c r="B2172" t="s">
        <v>4685</v>
      </c>
      <c r="C2172" t="s">
        <v>4730</v>
      </c>
      <c r="D2172" t="s">
        <v>7592</v>
      </c>
      <c r="E2172">
        <f>sch_num_funct_computers_acad_ledtv_depeddcp</f>
        <v>0</v>
      </c>
      <c r="F2172" t="b">
        <v>1</v>
      </c>
    </row>
    <row r="2173" spans="1:14" x14ac:dyDescent="0.35">
      <c r="A2173" t="s">
        <v>4742</v>
      </c>
      <c r="B2173" t="s">
        <v>4685</v>
      </c>
      <c r="C2173" t="s">
        <v>4742</v>
      </c>
      <c r="D2173" t="s">
        <v>7605</v>
      </c>
      <c r="E2173">
        <f>sch_num_funct_computers_acad_ledtv_depednondcp</f>
        <v>0</v>
      </c>
      <c r="F2173" t="b">
        <v>1</v>
      </c>
    </row>
    <row r="2174" spans="1:14" x14ac:dyDescent="0.35">
      <c r="A2174" t="s">
        <v>4754</v>
      </c>
      <c r="B2174" t="s">
        <v>4685</v>
      </c>
      <c r="C2174" t="s">
        <v>4754</v>
      </c>
      <c r="D2174" t="s">
        <v>7619</v>
      </c>
      <c r="E2174">
        <f>sch_num_funct_computers_acad_ledtv_lgusef</f>
        <v>0</v>
      </c>
      <c r="F2174" t="b">
        <v>1</v>
      </c>
    </row>
    <row r="2175" spans="1:14" x14ac:dyDescent="0.35">
      <c r="A2175" t="s">
        <v>4766</v>
      </c>
      <c r="B2175" t="s">
        <v>4685</v>
      </c>
      <c r="C2175" t="s">
        <v>4766</v>
      </c>
      <c r="D2175" t="s">
        <v>7634</v>
      </c>
      <c r="E2175">
        <f>sch_num_funct_computers_acad_ledtv_pta</f>
        <v>35</v>
      </c>
      <c r="F2175" t="b">
        <v>1</v>
      </c>
    </row>
    <row r="2176" spans="1:14" x14ac:dyDescent="0.35">
      <c r="A2176" t="s">
        <v>4693</v>
      </c>
      <c r="B2176" t="s">
        <v>4685</v>
      </c>
      <c r="C2176" t="s">
        <v>4693</v>
      </c>
      <c r="D2176" t="s">
        <v>7550</v>
      </c>
      <c r="E2176">
        <f>sch_num_funct_computers_acad_ledtv_privatedon</f>
        <v>0</v>
      </c>
      <c r="F2176" t="b">
        <v>1</v>
      </c>
    </row>
    <row r="2177" spans="1:6" x14ac:dyDescent="0.35">
      <c r="A2177" t="s">
        <v>4705</v>
      </c>
      <c r="B2177" t="s">
        <v>4685</v>
      </c>
      <c r="C2177" t="s">
        <v>4705</v>
      </c>
      <c r="D2177" t="s">
        <v>7563</v>
      </c>
      <c r="E2177">
        <f>sch_num_funct_computers_acad_ledtv_othergov</f>
        <v>0</v>
      </c>
      <c r="F2177" t="b">
        <v>1</v>
      </c>
    </row>
    <row r="2178" spans="1:6" x14ac:dyDescent="0.35">
      <c r="A2178" t="s">
        <v>4717</v>
      </c>
      <c r="B2178" t="s">
        <v>4685</v>
      </c>
      <c r="C2178" t="s">
        <v>4717</v>
      </c>
      <c r="D2178" t="s">
        <v>7577</v>
      </c>
      <c r="E2178">
        <f>sch_num_funct_computers_acad_ledtv_others</f>
        <v>0</v>
      </c>
      <c r="F2178" t="b">
        <v>1</v>
      </c>
    </row>
    <row r="2179" spans="1:6" x14ac:dyDescent="0.35">
      <c r="A2179" t="s">
        <v>4731</v>
      </c>
      <c r="B2179" t="s">
        <v>4685</v>
      </c>
      <c r="C2179" t="s">
        <v>4731</v>
      </c>
      <c r="D2179" t="s">
        <v>7593</v>
      </c>
      <c r="E2179">
        <f>sch_num_funct_computers_acad_netswitch_depeddcp</f>
        <v>16</v>
      </c>
      <c r="F2179" t="b">
        <v>1</v>
      </c>
    </row>
    <row r="2180" spans="1:6" x14ac:dyDescent="0.35">
      <c r="A2180" t="s">
        <v>4743</v>
      </c>
      <c r="B2180" t="s">
        <v>4685</v>
      </c>
      <c r="C2180" t="s">
        <v>4743</v>
      </c>
      <c r="D2180" t="s">
        <v>7606</v>
      </c>
      <c r="E2180">
        <f>sch_num_funct_computers_acad_netswitch_depednondcp</f>
        <v>0</v>
      </c>
      <c r="F2180" t="b">
        <v>1</v>
      </c>
    </row>
    <row r="2181" spans="1:6" x14ac:dyDescent="0.35">
      <c r="A2181" t="s">
        <v>4755</v>
      </c>
      <c r="B2181" t="s">
        <v>4685</v>
      </c>
      <c r="C2181" t="s">
        <v>4755</v>
      </c>
      <c r="D2181" t="s">
        <v>7620</v>
      </c>
      <c r="E2181">
        <f>sch_num_funct_computers_acad_netswitch_lgusef</f>
        <v>0</v>
      </c>
      <c r="F2181" t="b">
        <v>1</v>
      </c>
    </row>
    <row r="2182" spans="1:6" x14ac:dyDescent="0.35">
      <c r="A2182" t="s">
        <v>4767</v>
      </c>
      <c r="B2182" t="s">
        <v>4685</v>
      </c>
      <c r="C2182" t="s">
        <v>4767</v>
      </c>
      <c r="D2182" t="s">
        <v>7635</v>
      </c>
      <c r="E2182">
        <f>sch_num_funct_computers_acad_netswitch_pta</f>
        <v>0</v>
      </c>
      <c r="F2182" t="b">
        <v>1</v>
      </c>
    </row>
    <row r="2183" spans="1:6" x14ac:dyDescent="0.35">
      <c r="A2183" t="s">
        <v>4694</v>
      </c>
      <c r="B2183" t="s">
        <v>4685</v>
      </c>
      <c r="C2183" t="s">
        <v>4694</v>
      </c>
      <c r="D2183" t="s">
        <v>7551</v>
      </c>
      <c r="E2183">
        <f>sch_num_funct_computers_acad_netswitch_privatedon</f>
        <v>0</v>
      </c>
      <c r="F2183" t="b">
        <v>1</v>
      </c>
    </row>
    <row r="2184" spans="1:6" x14ac:dyDescent="0.35">
      <c r="A2184" t="s">
        <v>4706</v>
      </c>
      <c r="B2184" t="s">
        <v>4685</v>
      </c>
      <c r="C2184" t="s">
        <v>4706</v>
      </c>
      <c r="D2184" t="s">
        <v>7564</v>
      </c>
      <c r="E2184">
        <f>sch_num_funct_computers_acad_netswitch_othergov</f>
        <v>0</v>
      </c>
      <c r="F2184" t="b">
        <v>1</v>
      </c>
    </row>
    <row r="2185" spans="1:6" x14ac:dyDescent="0.35">
      <c r="A2185" t="s">
        <v>4718</v>
      </c>
      <c r="B2185" t="s">
        <v>4685</v>
      </c>
      <c r="C2185" t="s">
        <v>4718</v>
      </c>
      <c r="D2185" t="s">
        <v>7578</v>
      </c>
      <c r="E2185">
        <f>sch_num_funct_computers_acad_netswitch_others</f>
        <v>0</v>
      </c>
      <c r="F2185" t="b">
        <v>1</v>
      </c>
    </row>
    <row r="2186" spans="1:6" x14ac:dyDescent="0.35">
      <c r="A2186" t="s">
        <v>4732</v>
      </c>
      <c r="B2186" t="s">
        <v>4685</v>
      </c>
      <c r="C2186" t="s">
        <v>4732</v>
      </c>
      <c r="D2186" t="s">
        <v>7594</v>
      </c>
      <c r="E2186">
        <f>sch_num_funct_computers_acad_printer_depeddcp</f>
        <v>1</v>
      </c>
      <c r="F2186" t="b">
        <v>1</v>
      </c>
    </row>
    <row r="2187" spans="1:6" x14ac:dyDescent="0.35">
      <c r="A2187" t="s">
        <v>4744</v>
      </c>
      <c r="B2187" t="s">
        <v>4685</v>
      </c>
      <c r="C2187" t="s">
        <v>4744</v>
      </c>
      <c r="D2187" t="s">
        <v>7607</v>
      </c>
      <c r="E2187">
        <f>sch_num_funct_computers_acad_printer_depednondcp</f>
        <v>0</v>
      </c>
      <c r="F2187" t="b">
        <v>1</v>
      </c>
    </row>
    <row r="2188" spans="1:6" x14ac:dyDescent="0.35">
      <c r="A2188" t="s">
        <v>4756</v>
      </c>
      <c r="B2188" t="s">
        <v>4685</v>
      </c>
      <c r="C2188" t="s">
        <v>4756</v>
      </c>
      <c r="D2188" t="s">
        <v>7621</v>
      </c>
      <c r="E2188">
        <f>sch_num_funct_computers_acad_printer_lgusef</f>
        <v>0</v>
      </c>
      <c r="F2188" t="b">
        <v>1</v>
      </c>
    </row>
    <row r="2189" spans="1:6" x14ac:dyDescent="0.35">
      <c r="A2189" t="s">
        <v>4768</v>
      </c>
      <c r="B2189" t="s">
        <v>4685</v>
      </c>
      <c r="C2189" t="s">
        <v>4768</v>
      </c>
      <c r="D2189" t="s">
        <v>7636</v>
      </c>
      <c r="E2189">
        <f>sch_num_funct_computers_acad_printer_pta</f>
        <v>0</v>
      </c>
      <c r="F2189" t="b">
        <v>1</v>
      </c>
    </row>
    <row r="2190" spans="1:6" x14ac:dyDescent="0.35">
      <c r="A2190" t="s">
        <v>4695</v>
      </c>
      <c r="B2190" t="s">
        <v>4685</v>
      </c>
      <c r="C2190" t="s">
        <v>4695</v>
      </c>
      <c r="D2190" t="s">
        <v>7552</v>
      </c>
      <c r="E2190">
        <f>sch_num_funct_computers_acad_printer_privatedon</f>
        <v>0</v>
      </c>
      <c r="F2190" t="b">
        <v>1</v>
      </c>
    </row>
    <row r="2191" spans="1:6" x14ac:dyDescent="0.35">
      <c r="A2191" t="s">
        <v>4707</v>
      </c>
      <c r="B2191" t="s">
        <v>4685</v>
      </c>
      <c r="C2191" t="s">
        <v>4707</v>
      </c>
      <c r="D2191" t="s">
        <v>7565</v>
      </c>
      <c r="E2191">
        <f>sch_num_funct_computers_acad_printer_othergov</f>
        <v>0</v>
      </c>
      <c r="F2191" t="b">
        <v>1</v>
      </c>
    </row>
    <row r="2192" spans="1:6" x14ac:dyDescent="0.35">
      <c r="A2192" t="s">
        <v>4719</v>
      </c>
      <c r="B2192" t="s">
        <v>4685</v>
      </c>
      <c r="C2192" t="s">
        <v>4719</v>
      </c>
      <c r="D2192" t="s">
        <v>7579</v>
      </c>
      <c r="E2192">
        <f>sch_num_funct_computers_acad_printer_others</f>
        <v>0</v>
      </c>
      <c r="F2192" t="b">
        <v>1</v>
      </c>
    </row>
    <row r="2193" spans="1:6" x14ac:dyDescent="0.35">
      <c r="A2193" t="s">
        <v>4721</v>
      </c>
      <c r="B2193" t="s">
        <v>4685</v>
      </c>
      <c r="C2193" t="s">
        <v>4721</v>
      </c>
      <c r="D2193" t="s">
        <v>7581</v>
      </c>
      <c r="E2193">
        <f>sch_num_funct_computers_acad_projector_depeddcp</f>
        <v>1</v>
      </c>
      <c r="F2193" t="b">
        <v>1</v>
      </c>
    </row>
    <row r="2194" spans="1:6" x14ac:dyDescent="0.35">
      <c r="A2194" t="s">
        <v>4733</v>
      </c>
      <c r="B2194" t="s">
        <v>4685</v>
      </c>
      <c r="C2194" t="s">
        <v>4733</v>
      </c>
      <c r="D2194" t="s">
        <v>7595</v>
      </c>
      <c r="E2194">
        <f>sch_num_funct_computers_acad_projector_depednondcp</f>
        <v>0</v>
      </c>
      <c r="F2194" t="b">
        <v>1</v>
      </c>
    </row>
    <row r="2195" spans="1:6" x14ac:dyDescent="0.35">
      <c r="A2195" t="s">
        <v>4745</v>
      </c>
      <c r="B2195" t="s">
        <v>4685</v>
      </c>
      <c r="C2195" t="s">
        <v>4745</v>
      </c>
      <c r="D2195" t="s">
        <v>7609</v>
      </c>
      <c r="E2195">
        <f>sch_num_funct_computers_acad_projector_lgusef</f>
        <v>0</v>
      </c>
      <c r="F2195" t="b">
        <v>1</v>
      </c>
    </row>
    <row r="2196" spans="1:6" x14ac:dyDescent="0.35">
      <c r="A2196" t="s">
        <v>4757</v>
      </c>
      <c r="B2196" t="s">
        <v>4685</v>
      </c>
      <c r="C2196" t="s">
        <v>4757</v>
      </c>
      <c r="D2196" t="s">
        <v>7623</v>
      </c>
      <c r="E2196">
        <f>sch_num_funct_computers_acad_projector_pta</f>
        <v>0</v>
      </c>
      <c r="F2196" t="b">
        <v>1</v>
      </c>
    </row>
    <row r="2197" spans="1:6" x14ac:dyDescent="0.35">
      <c r="A2197" t="s">
        <v>4696</v>
      </c>
      <c r="B2197" t="s">
        <v>4685</v>
      </c>
      <c r="C2197" t="s">
        <v>4696</v>
      </c>
      <c r="D2197" t="s">
        <v>7553</v>
      </c>
      <c r="E2197">
        <f>sch_num_funct_computers_acad_projector_privatedon</f>
        <v>0</v>
      </c>
      <c r="F2197" t="b">
        <v>1</v>
      </c>
    </row>
    <row r="2198" spans="1:6" x14ac:dyDescent="0.35">
      <c r="A2198" t="s">
        <v>4708</v>
      </c>
      <c r="B2198" t="s">
        <v>4685</v>
      </c>
      <c r="C2198" t="s">
        <v>4708</v>
      </c>
      <c r="D2198" t="s">
        <v>7566</v>
      </c>
      <c r="E2198">
        <f>sch_num_funct_computers_acad_projector_othergov</f>
        <v>0</v>
      </c>
      <c r="F2198" t="b">
        <v>1</v>
      </c>
    </row>
    <row r="2199" spans="1:6" x14ac:dyDescent="0.35">
      <c r="A2199" t="s">
        <v>4720</v>
      </c>
      <c r="B2199" t="s">
        <v>4685</v>
      </c>
      <c r="C2199" t="s">
        <v>4720</v>
      </c>
      <c r="D2199" t="s">
        <v>7580</v>
      </c>
      <c r="E2199">
        <f>sch_num_funct_computers_acad_projector_others</f>
        <v>0</v>
      </c>
      <c r="F2199" t="b">
        <v>1</v>
      </c>
    </row>
    <row r="2200" spans="1:6" x14ac:dyDescent="0.35">
      <c r="A2200" t="s">
        <v>4722</v>
      </c>
      <c r="B2200" t="s">
        <v>4685</v>
      </c>
      <c r="C2200" t="s">
        <v>4722</v>
      </c>
      <c r="D2200" t="s">
        <v>7582</v>
      </c>
      <c r="E2200">
        <f>sch_num_funct_computers_acad_ups_depeddcp</f>
        <v>16</v>
      </c>
      <c r="F2200" t="b">
        <v>1</v>
      </c>
    </row>
    <row r="2201" spans="1:6" x14ac:dyDescent="0.35">
      <c r="A2201" t="s">
        <v>4734</v>
      </c>
      <c r="B2201" t="s">
        <v>4685</v>
      </c>
      <c r="C2201" t="s">
        <v>4734</v>
      </c>
      <c r="D2201" t="s">
        <v>7596</v>
      </c>
      <c r="E2201">
        <f>sch_num_funct_computers_acad_ups_depednondcp</f>
        <v>0</v>
      </c>
      <c r="F2201" t="b">
        <v>1</v>
      </c>
    </row>
    <row r="2202" spans="1:6" x14ac:dyDescent="0.35">
      <c r="A2202" t="s">
        <v>4746</v>
      </c>
      <c r="B2202" t="s">
        <v>4685</v>
      </c>
      <c r="C2202" t="s">
        <v>4746</v>
      </c>
      <c r="D2202" t="s">
        <v>7610</v>
      </c>
      <c r="E2202">
        <f>sch_num_funct_computers_acad_ups_lgusef</f>
        <v>0</v>
      </c>
      <c r="F2202" t="b">
        <v>1</v>
      </c>
    </row>
    <row r="2203" spans="1:6" x14ac:dyDescent="0.35">
      <c r="A2203" t="s">
        <v>4758</v>
      </c>
      <c r="B2203" t="s">
        <v>4685</v>
      </c>
      <c r="C2203" t="s">
        <v>4758</v>
      </c>
      <c r="D2203" t="s">
        <v>7624</v>
      </c>
      <c r="E2203">
        <f>sch_num_funct_computers_acad_ups_pta</f>
        <v>0</v>
      </c>
      <c r="F2203" t="b">
        <v>1</v>
      </c>
    </row>
    <row r="2204" spans="1:6" x14ac:dyDescent="0.35">
      <c r="A2204" t="s">
        <v>4684</v>
      </c>
      <c r="B2204" t="s">
        <v>4685</v>
      </c>
      <c r="C2204" t="s">
        <v>4684</v>
      </c>
      <c r="D2204" t="s">
        <v>7539</v>
      </c>
      <c r="E2204">
        <f>sch_num_funct_computers_acad_ups_privatedon</f>
        <v>0</v>
      </c>
      <c r="F2204" t="b">
        <v>1</v>
      </c>
    </row>
    <row r="2205" spans="1:6" ht="15" customHeight="1" x14ac:dyDescent="0.35">
      <c r="A2205" t="s">
        <v>4697</v>
      </c>
      <c r="B2205" t="s">
        <v>4685</v>
      </c>
      <c r="C2205" t="s">
        <v>4697</v>
      </c>
      <c r="D2205" t="s">
        <v>7554</v>
      </c>
      <c r="E2205">
        <f>sch_num_funct_computers_acad_ups_othergov</f>
        <v>0</v>
      </c>
      <c r="F2205" t="b">
        <v>1</v>
      </c>
    </row>
    <row r="2206" spans="1:6" x14ac:dyDescent="0.35">
      <c r="A2206" t="s">
        <v>4709</v>
      </c>
      <c r="B2206" t="s">
        <v>4685</v>
      </c>
      <c r="C2206" t="s">
        <v>4709</v>
      </c>
      <c r="D2206" t="s">
        <v>7568</v>
      </c>
      <c r="E2206">
        <f>sch_num_funct_computers_acad_ups_others</f>
        <v>0</v>
      </c>
      <c r="F2206" t="b">
        <v>1</v>
      </c>
    </row>
    <row r="2207" spans="1:6" x14ac:dyDescent="0.35">
      <c r="A2207" t="s">
        <v>4723</v>
      </c>
      <c r="B2207" t="s">
        <v>4685</v>
      </c>
      <c r="C2207" t="s">
        <v>4723</v>
      </c>
      <c r="D2207" t="s">
        <v>7583</v>
      </c>
      <c r="E2207">
        <f>sch_num_funct_computers_acad_router_depeddcp</f>
        <v>12</v>
      </c>
      <c r="F2207" t="b">
        <v>1</v>
      </c>
    </row>
    <row r="2208" spans="1:6" x14ac:dyDescent="0.35">
      <c r="A2208" t="s">
        <v>4735</v>
      </c>
      <c r="B2208" t="s">
        <v>4685</v>
      </c>
      <c r="C2208" t="s">
        <v>4735</v>
      </c>
      <c r="D2208" t="s">
        <v>7597</v>
      </c>
      <c r="E2208">
        <f>sch_num_funct_computers_acad_router_depednondcp</f>
        <v>0</v>
      </c>
      <c r="F2208" t="b">
        <v>1</v>
      </c>
    </row>
    <row r="2209" spans="1:6" x14ac:dyDescent="0.35">
      <c r="A2209" t="s">
        <v>4747</v>
      </c>
      <c r="B2209" t="s">
        <v>4685</v>
      </c>
      <c r="C2209" t="s">
        <v>4747</v>
      </c>
      <c r="D2209" t="s">
        <v>7611</v>
      </c>
      <c r="E2209">
        <f>sch_num_funct_computers_acad_router_lgusef</f>
        <v>0</v>
      </c>
      <c r="F2209" t="b">
        <v>1</v>
      </c>
    </row>
    <row r="2210" spans="1:6" x14ac:dyDescent="0.35">
      <c r="A2210" t="s">
        <v>4759</v>
      </c>
      <c r="B2210" t="s">
        <v>4685</v>
      </c>
      <c r="C2210" t="s">
        <v>4759</v>
      </c>
      <c r="D2210" t="s">
        <v>7625</v>
      </c>
      <c r="E2210">
        <f>sch_num_funct_computers_acad_router_pta</f>
        <v>0</v>
      </c>
      <c r="F2210" t="b">
        <v>1</v>
      </c>
    </row>
    <row r="2211" spans="1:6" x14ac:dyDescent="0.35">
      <c r="A2211" t="s">
        <v>4686</v>
      </c>
      <c r="B2211" t="s">
        <v>4685</v>
      </c>
      <c r="C2211" t="s">
        <v>4686</v>
      </c>
      <c r="D2211" t="s">
        <v>7540</v>
      </c>
      <c r="E2211">
        <f>sch_num_funct_computers_acad_router_privatedon</f>
        <v>0</v>
      </c>
      <c r="F2211" t="b">
        <v>1</v>
      </c>
    </row>
    <row r="2212" spans="1:6" x14ac:dyDescent="0.35">
      <c r="A2212" t="s">
        <v>4698</v>
      </c>
      <c r="B2212" t="s">
        <v>4685</v>
      </c>
      <c r="C2212" t="s">
        <v>4698</v>
      </c>
      <c r="D2212" t="s">
        <v>7555</v>
      </c>
      <c r="E2212">
        <f>sch_num_funct_computers_acad_router_othergov</f>
        <v>0</v>
      </c>
      <c r="F2212" t="b">
        <v>1</v>
      </c>
    </row>
    <row r="2213" spans="1:6" x14ac:dyDescent="0.35">
      <c r="A2213" t="s">
        <v>4710</v>
      </c>
      <c r="B2213" t="s">
        <v>4685</v>
      </c>
      <c r="C2213" t="s">
        <v>4710</v>
      </c>
      <c r="D2213" t="s">
        <v>7569</v>
      </c>
      <c r="E2213">
        <f>sch_num_funct_computers_acad_router_others</f>
        <v>0</v>
      </c>
      <c r="F2213" t="b">
        <v>1</v>
      </c>
    </row>
    <row r="2214" spans="1:6" x14ac:dyDescent="0.35">
      <c r="A2214" t="s">
        <v>7584</v>
      </c>
      <c r="B2214" t="s">
        <v>4685</v>
      </c>
      <c r="C2214" t="s">
        <v>7584</v>
      </c>
      <c r="D2214" t="s">
        <v>7585</v>
      </c>
      <c r="E2214" cm="1">
        <f t="array" ref="E2214">sch_num_funct_computers_acad_lapel_depeddcp</f>
        <v>1</v>
      </c>
      <c r="F2214" t="b">
        <v>1</v>
      </c>
    </row>
    <row r="2215" spans="1:6" x14ac:dyDescent="0.35">
      <c r="A2215" t="s">
        <v>7608</v>
      </c>
      <c r="B2215" t="s">
        <v>4685</v>
      </c>
      <c r="C2215" t="s">
        <v>7608</v>
      </c>
      <c r="D2215" t="s">
        <v>7598</v>
      </c>
      <c r="E2215" cm="1">
        <f t="array" ref="E2215">sch_num_funct_computers_acad_lapel_depednondcp</f>
        <v>0</v>
      </c>
      <c r="F2215" t="b">
        <v>1</v>
      </c>
    </row>
    <row r="2216" spans="1:6" x14ac:dyDescent="0.35">
      <c r="A2216" t="s">
        <v>7622</v>
      </c>
      <c r="B2216" t="s">
        <v>4685</v>
      </c>
      <c r="C2216" t="s">
        <v>7622</v>
      </c>
      <c r="D2216" t="s">
        <v>7612</v>
      </c>
      <c r="E2216" cm="1">
        <f t="array" ref="E2216">sch_num_funct_computers_acad_lapel_lgusef</f>
        <v>0</v>
      </c>
      <c r="F2216" t="b">
        <v>1</v>
      </c>
    </row>
    <row r="2217" spans="1:6" x14ac:dyDescent="0.35">
      <c r="A2217" t="s">
        <v>7633</v>
      </c>
      <c r="B2217" t="s">
        <v>4685</v>
      </c>
      <c r="C2217" t="s">
        <v>7633</v>
      </c>
      <c r="D2217" t="s">
        <v>7626</v>
      </c>
      <c r="E2217" cm="1">
        <f t="array" ref="E2217">sch_num_funct_computers_acad_lapel_pta</f>
        <v>0</v>
      </c>
      <c r="F2217" t="b">
        <v>1</v>
      </c>
    </row>
    <row r="2218" spans="1:6" x14ac:dyDescent="0.35">
      <c r="A2218" t="s">
        <v>7542</v>
      </c>
      <c r="B2218" t="s">
        <v>4685</v>
      </c>
      <c r="C2218" t="s">
        <v>7542</v>
      </c>
      <c r="D2218" t="s">
        <v>7541</v>
      </c>
      <c r="E2218" cm="1">
        <f t="array" ref="E2218">sch_num_funct_computers_acad_lapel_privatedon</f>
        <v>0</v>
      </c>
      <c r="F2218" t="b">
        <v>1</v>
      </c>
    </row>
    <row r="2219" spans="1:6" x14ac:dyDescent="0.35">
      <c r="A2219" t="s">
        <v>7549</v>
      </c>
      <c r="B2219" t="s">
        <v>4685</v>
      </c>
      <c r="C2219" t="s">
        <v>7549</v>
      </c>
      <c r="D2219" t="s">
        <v>7556</v>
      </c>
      <c r="E2219" cm="1">
        <f t="array" ref="E2219">sch_num_funct_computers_acad_lapel_othergov</f>
        <v>0</v>
      </c>
      <c r="F2219" t="b">
        <v>1</v>
      </c>
    </row>
    <row r="2220" spans="1:6" x14ac:dyDescent="0.35">
      <c r="A2220" t="s">
        <v>7567</v>
      </c>
      <c r="B2220" t="s">
        <v>4685</v>
      </c>
      <c r="C2220" t="s">
        <v>7567</v>
      </c>
      <c r="D2220" t="s">
        <v>7570</v>
      </c>
      <c r="E2220" cm="1">
        <f t="array" ref="E2220">sch_num_funct_computers_acad_lapel_others</f>
        <v>0</v>
      </c>
      <c r="F2220" t="b">
        <v>1</v>
      </c>
    </row>
    <row r="2221" spans="1:6" x14ac:dyDescent="0.35">
      <c r="A2221" t="s">
        <v>4724</v>
      </c>
      <c r="B2221" t="s">
        <v>4685</v>
      </c>
      <c r="C2221" t="s">
        <v>4724</v>
      </c>
      <c r="D2221" t="s">
        <v>7586</v>
      </c>
      <c r="E2221">
        <f>sch_num_funct_computers_admin_ledtv_depeddcp</f>
        <v>0</v>
      </c>
      <c r="F2221" t="b">
        <v>1</v>
      </c>
    </row>
    <row r="2222" spans="1:6" x14ac:dyDescent="0.35">
      <c r="A2222" t="s">
        <v>4736</v>
      </c>
      <c r="B2222" t="s">
        <v>4685</v>
      </c>
      <c r="C2222" t="s">
        <v>4736</v>
      </c>
      <c r="D2222" t="s">
        <v>7599</v>
      </c>
      <c r="E2222">
        <f>sch_num_funct_computers_admin_ledtv_depednondcp</f>
        <v>0</v>
      </c>
      <c r="F2222" t="b">
        <v>1</v>
      </c>
    </row>
    <row r="2223" spans="1:6" x14ac:dyDescent="0.35">
      <c r="A2223" t="s">
        <v>4748</v>
      </c>
      <c r="B2223" t="s">
        <v>4685</v>
      </c>
      <c r="C2223" t="s">
        <v>4748</v>
      </c>
      <c r="D2223" t="s">
        <v>7613</v>
      </c>
      <c r="E2223">
        <f>sch_num_funct_computers_admin_ledtv_lgusef</f>
        <v>0</v>
      </c>
      <c r="F2223" t="b">
        <v>1</v>
      </c>
    </row>
    <row r="2224" spans="1:6" x14ac:dyDescent="0.35">
      <c r="A2224" t="s">
        <v>4760</v>
      </c>
      <c r="B2224" t="s">
        <v>4685</v>
      </c>
      <c r="C2224" t="s">
        <v>4760</v>
      </c>
      <c r="D2224" t="s">
        <v>7627</v>
      </c>
      <c r="E2224">
        <f>sch_num_funct_computers_admin_ledtv_pta</f>
        <v>0</v>
      </c>
      <c r="F2224" t="b">
        <v>1</v>
      </c>
    </row>
    <row r="2225" spans="1:6" x14ac:dyDescent="0.35">
      <c r="A2225" t="s">
        <v>4687</v>
      </c>
      <c r="B2225" t="s">
        <v>4685</v>
      </c>
      <c r="C2225" t="s">
        <v>4687</v>
      </c>
      <c r="D2225" t="s">
        <v>7543</v>
      </c>
      <c r="E2225">
        <f>sch_num_funct_computers_admin_ledtv_privatedon</f>
        <v>0</v>
      </c>
      <c r="F2225" t="b">
        <v>1</v>
      </c>
    </row>
    <row r="2226" spans="1:6" x14ac:dyDescent="0.35">
      <c r="A2226" t="s">
        <v>4699</v>
      </c>
      <c r="B2226" t="s">
        <v>4685</v>
      </c>
      <c r="C2226" t="s">
        <v>4699</v>
      </c>
      <c r="D2226" t="s">
        <v>7557</v>
      </c>
      <c r="E2226">
        <f>sch_num_funct_computers_admin_ledtv_othergov</f>
        <v>0</v>
      </c>
      <c r="F2226" t="b">
        <v>1</v>
      </c>
    </row>
    <row r="2227" spans="1:6" x14ac:dyDescent="0.35">
      <c r="A2227" t="s">
        <v>4711</v>
      </c>
      <c r="B2227" t="s">
        <v>4685</v>
      </c>
      <c r="C2227" t="s">
        <v>4711</v>
      </c>
      <c r="D2227" t="s">
        <v>7571</v>
      </c>
      <c r="E2227">
        <f>sch_num_funct_computers_admin_ledtv_others</f>
        <v>0</v>
      </c>
      <c r="F2227" t="b">
        <v>1</v>
      </c>
    </row>
    <row r="2228" spans="1:6" x14ac:dyDescent="0.35">
      <c r="A2228" t="s">
        <v>4725</v>
      </c>
      <c r="B2228" t="s">
        <v>4685</v>
      </c>
      <c r="C2228" t="s">
        <v>4725</v>
      </c>
      <c r="D2228" t="s">
        <v>7587</v>
      </c>
      <c r="E2228">
        <f>sch_num_funct_computers_admin_netswitch_depeddcp</f>
        <v>0</v>
      </c>
      <c r="F2228" t="b">
        <v>1</v>
      </c>
    </row>
    <row r="2229" spans="1:6" x14ac:dyDescent="0.35">
      <c r="A2229" t="s">
        <v>4737</v>
      </c>
      <c r="B2229" t="s">
        <v>4685</v>
      </c>
      <c r="C2229" t="s">
        <v>4737</v>
      </c>
      <c r="D2229" t="s">
        <v>7600</v>
      </c>
      <c r="E2229">
        <f>sch_num_funct_computers_admin_netswitch_depednondcp</f>
        <v>0</v>
      </c>
      <c r="F2229" t="b">
        <v>1</v>
      </c>
    </row>
    <row r="2230" spans="1:6" x14ac:dyDescent="0.35">
      <c r="A2230" t="s">
        <v>4749</v>
      </c>
      <c r="B2230" t="s">
        <v>4685</v>
      </c>
      <c r="C2230" t="s">
        <v>4749</v>
      </c>
      <c r="D2230" t="s">
        <v>7614</v>
      </c>
      <c r="E2230">
        <f>sch_num_funct_computers_admin_netswitch_lgusef</f>
        <v>0</v>
      </c>
      <c r="F2230" t="b">
        <v>1</v>
      </c>
    </row>
    <row r="2231" spans="1:6" x14ac:dyDescent="0.35">
      <c r="A2231" t="s">
        <v>4761</v>
      </c>
      <c r="B2231" t="s">
        <v>4685</v>
      </c>
      <c r="C2231" t="s">
        <v>4761</v>
      </c>
      <c r="D2231" t="s">
        <v>7628</v>
      </c>
      <c r="E2231">
        <f>sch_num_funct_computers_admin_netswitch_pta</f>
        <v>0</v>
      </c>
      <c r="F2231" t="b">
        <v>1</v>
      </c>
    </row>
    <row r="2232" spans="1:6" x14ac:dyDescent="0.35">
      <c r="A2232" t="s">
        <v>4688</v>
      </c>
      <c r="B2232" t="s">
        <v>4685</v>
      </c>
      <c r="C2232" t="s">
        <v>4688</v>
      </c>
      <c r="D2232" t="s">
        <v>7544</v>
      </c>
      <c r="E2232">
        <f>sch_num_funct_computers_admin_netswitch_privatedon</f>
        <v>0</v>
      </c>
      <c r="F2232" t="b">
        <v>1</v>
      </c>
    </row>
    <row r="2233" spans="1:6" x14ac:dyDescent="0.35">
      <c r="A2233" t="s">
        <v>4700</v>
      </c>
      <c r="B2233" t="s">
        <v>4685</v>
      </c>
      <c r="C2233" t="s">
        <v>4700</v>
      </c>
      <c r="D2233" t="s">
        <v>7558</v>
      </c>
      <c r="E2233">
        <f>sch_num_funct_computers_admin_netswitch_othergov</f>
        <v>0</v>
      </c>
      <c r="F2233" t="b">
        <v>1</v>
      </c>
    </row>
    <row r="2234" spans="1:6" x14ac:dyDescent="0.35">
      <c r="A2234" t="s">
        <v>4712</v>
      </c>
      <c r="B2234" t="s">
        <v>4685</v>
      </c>
      <c r="C2234" t="s">
        <v>4712</v>
      </c>
      <c r="D2234" t="s">
        <v>7572</v>
      </c>
      <c r="E2234">
        <f>sch_num_funct_computers_admin_netswitch_others</f>
        <v>0</v>
      </c>
      <c r="F2234" t="b">
        <v>1</v>
      </c>
    </row>
    <row r="2235" spans="1:6" x14ac:dyDescent="0.35">
      <c r="A2235" t="s">
        <v>4726</v>
      </c>
      <c r="B2235" t="s">
        <v>4685</v>
      </c>
      <c r="C2235" t="s">
        <v>4726</v>
      </c>
      <c r="D2235" t="s">
        <v>7588</v>
      </c>
      <c r="E2235">
        <f>sch_num_funct_computers_admin_printer_depeddcp</f>
        <v>0</v>
      </c>
      <c r="F2235" t="b">
        <v>1</v>
      </c>
    </row>
    <row r="2236" spans="1:6" x14ac:dyDescent="0.35">
      <c r="A2236" t="s">
        <v>4738</v>
      </c>
      <c r="B2236" t="s">
        <v>4685</v>
      </c>
      <c r="C2236" t="s">
        <v>4738</v>
      </c>
      <c r="D2236" t="s">
        <v>7601</v>
      </c>
      <c r="E2236">
        <f>sch_num_funct_computers_admin_printer_depednondcp</f>
        <v>22</v>
      </c>
      <c r="F2236" t="b">
        <v>1</v>
      </c>
    </row>
    <row r="2237" spans="1:6" x14ac:dyDescent="0.35">
      <c r="A2237" t="s">
        <v>4750</v>
      </c>
      <c r="B2237" t="s">
        <v>4685</v>
      </c>
      <c r="C2237" t="s">
        <v>4750</v>
      </c>
      <c r="D2237" t="s">
        <v>7615</v>
      </c>
      <c r="E2237">
        <f>sch_num_funct_computers_admin_printer_lgusef</f>
        <v>0</v>
      </c>
      <c r="F2237" t="b">
        <v>1</v>
      </c>
    </row>
    <row r="2238" spans="1:6" x14ac:dyDescent="0.35">
      <c r="A2238" t="s">
        <v>4762</v>
      </c>
      <c r="B2238" t="s">
        <v>4685</v>
      </c>
      <c r="C2238" t="s">
        <v>4762</v>
      </c>
      <c r="D2238" t="s">
        <v>7629</v>
      </c>
      <c r="E2238">
        <f>sch_num_funct_computers_admin_printer_pta</f>
        <v>3</v>
      </c>
      <c r="F2238" t="b">
        <v>1</v>
      </c>
    </row>
    <row r="2239" spans="1:6" x14ac:dyDescent="0.35">
      <c r="A2239" t="s">
        <v>4689</v>
      </c>
      <c r="B2239" t="s">
        <v>4685</v>
      </c>
      <c r="C2239" t="s">
        <v>4689</v>
      </c>
      <c r="D2239" t="s">
        <v>7545</v>
      </c>
      <c r="E2239">
        <f>sch_num_funct_computers_admin_printer_privatedon</f>
        <v>0</v>
      </c>
      <c r="F2239" t="b">
        <v>1</v>
      </c>
    </row>
    <row r="2240" spans="1:6" x14ac:dyDescent="0.35">
      <c r="A2240" t="s">
        <v>4701</v>
      </c>
      <c r="B2240" t="s">
        <v>4685</v>
      </c>
      <c r="C2240" t="s">
        <v>4701</v>
      </c>
      <c r="D2240" t="s">
        <v>7559</v>
      </c>
      <c r="E2240">
        <f>sch_num_funct_computers_admin_printer_othergov</f>
        <v>0</v>
      </c>
      <c r="F2240" t="b">
        <v>1</v>
      </c>
    </row>
    <row r="2241" spans="1:6" x14ac:dyDescent="0.35">
      <c r="A2241" t="s">
        <v>4713</v>
      </c>
      <c r="B2241" t="s">
        <v>4685</v>
      </c>
      <c r="C2241" t="s">
        <v>4713</v>
      </c>
      <c r="D2241" t="s">
        <v>7573</v>
      </c>
      <c r="E2241">
        <f>sch_num_funct_computers_admin_printer_others</f>
        <v>0</v>
      </c>
      <c r="F2241" t="b">
        <v>1</v>
      </c>
    </row>
    <row r="2242" spans="1:6" x14ac:dyDescent="0.35">
      <c r="A2242" t="s">
        <v>4727</v>
      </c>
      <c r="B2242" t="s">
        <v>4685</v>
      </c>
      <c r="C2242" t="s">
        <v>4727</v>
      </c>
      <c r="D2242" t="s">
        <v>7589</v>
      </c>
      <c r="E2242">
        <f>sch_num_funct_computers_admin_projector_depeddcp</f>
        <v>0</v>
      </c>
      <c r="F2242" t="b">
        <v>1</v>
      </c>
    </row>
    <row r="2243" spans="1:6" x14ac:dyDescent="0.35">
      <c r="A2243" t="s">
        <v>4739</v>
      </c>
      <c r="B2243" t="s">
        <v>4685</v>
      </c>
      <c r="C2243" t="s">
        <v>4739</v>
      </c>
      <c r="D2243" t="s">
        <v>7602</v>
      </c>
      <c r="E2243">
        <f>sch_num_funct_computers_admin_projector_depednondcp</f>
        <v>0</v>
      </c>
      <c r="F2243" t="b">
        <v>1</v>
      </c>
    </row>
    <row r="2244" spans="1:6" x14ac:dyDescent="0.35">
      <c r="A2244" t="s">
        <v>4751</v>
      </c>
      <c r="B2244" t="s">
        <v>4685</v>
      </c>
      <c r="C2244" t="s">
        <v>4751</v>
      </c>
      <c r="D2244" t="s">
        <v>7616</v>
      </c>
      <c r="E2244">
        <f>sch_num_funct_computers_admin_projector_lgusef</f>
        <v>0</v>
      </c>
      <c r="F2244" t="b">
        <v>1</v>
      </c>
    </row>
    <row r="2245" spans="1:6" x14ac:dyDescent="0.35">
      <c r="A2245" t="s">
        <v>4763</v>
      </c>
      <c r="B2245" t="s">
        <v>4685</v>
      </c>
      <c r="C2245" t="s">
        <v>4763</v>
      </c>
      <c r="D2245" t="s">
        <v>7630</v>
      </c>
      <c r="E2245">
        <f>sch_num_funct_computers_admin_projector_pta</f>
        <v>0</v>
      </c>
      <c r="F2245" t="b">
        <v>1</v>
      </c>
    </row>
    <row r="2246" spans="1:6" x14ac:dyDescent="0.35">
      <c r="A2246" t="s">
        <v>4690</v>
      </c>
      <c r="B2246" t="s">
        <v>4685</v>
      </c>
      <c r="C2246" t="s">
        <v>4690</v>
      </c>
      <c r="D2246" t="s">
        <v>7546</v>
      </c>
      <c r="E2246">
        <f>sch_num_funct_computers_admin_projector_privatedon</f>
        <v>0</v>
      </c>
      <c r="F2246" t="b">
        <v>1</v>
      </c>
    </row>
    <row r="2247" spans="1:6" x14ac:dyDescent="0.35">
      <c r="A2247" t="s">
        <v>4702</v>
      </c>
      <c r="B2247" t="s">
        <v>4685</v>
      </c>
      <c r="C2247" t="s">
        <v>4702</v>
      </c>
      <c r="D2247" t="s">
        <v>7560</v>
      </c>
      <c r="E2247">
        <f>sch_num_funct_computers_admin_projector_othergov</f>
        <v>0</v>
      </c>
      <c r="F2247" t="b">
        <v>1</v>
      </c>
    </row>
    <row r="2248" spans="1:6" x14ac:dyDescent="0.35">
      <c r="A2248" t="s">
        <v>4714</v>
      </c>
      <c r="B2248" t="s">
        <v>4685</v>
      </c>
      <c r="C2248" t="s">
        <v>4714</v>
      </c>
      <c r="D2248" t="s">
        <v>7574</v>
      </c>
      <c r="E2248">
        <f>sch_num_funct_computers_admin_projector_others</f>
        <v>0</v>
      </c>
      <c r="F2248" t="b">
        <v>1</v>
      </c>
    </row>
    <row r="2249" spans="1:6" x14ac:dyDescent="0.35">
      <c r="A2249" t="s">
        <v>4728</v>
      </c>
      <c r="B2249" t="s">
        <v>4685</v>
      </c>
      <c r="C2249" t="s">
        <v>4728</v>
      </c>
      <c r="D2249" t="s">
        <v>7590</v>
      </c>
      <c r="E2249">
        <f>sch_num_funct_computers_admin_ups_depeddcp</f>
        <v>3</v>
      </c>
      <c r="F2249" t="b">
        <v>1</v>
      </c>
    </row>
    <row r="2250" spans="1:6" x14ac:dyDescent="0.35">
      <c r="A2250" t="s">
        <v>4740</v>
      </c>
      <c r="B2250" t="s">
        <v>4685</v>
      </c>
      <c r="C2250" t="s">
        <v>4740</v>
      </c>
      <c r="D2250" t="s">
        <v>7603</v>
      </c>
      <c r="E2250">
        <f>sch_num_funct_computers_admin_ups_depednondcp</f>
        <v>0</v>
      </c>
      <c r="F2250" t="b">
        <v>1</v>
      </c>
    </row>
    <row r="2251" spans="1:6" x14ac:dyDescent="0.35">
      <c r="A2251" t="s">
        <v>4752</v>
      </c>
      <c r="B2251" t="s">
        <v>4685</v>
      </c>
      <c r="C2251" t="s">
        <v>4752</v>
      </c>
      <c r="D2251" t="s">
        <v>7617</v>
      </c>
      <c r="E2251">
        <f>sch_num_funct_computers_admin_ups_lgusef</f>
        <v>0</v>
      </c>
      <c r="F2251" t="b">
        <v>1</v>
      </c>
    </row>
    <row r="2252" spans="1:6" x14ac:dyDescent="0.35">
      <c r="A2252" t="s">
        <v>4764</v>
      </c>
      <c r="B2252" t="s">
        <v>4685</v>
      </c>
      <c r="C2252" t="s">
        <v>4764</v>
      </c>
      <c r="D2252" t="s">
        <v>7631</v>
      </c>
      <c r="E2252">
        <f>sch_num_funct_computers_admin_ups_pta</f>
        <v>0</v>
      </c>
      <c r="F2252" t="b">
        <v>1</v>
      </c>
    </row>
    <row r="2253" spans="1:6" x14ac:dyDescent="0.35">
      <c r="A2253" t="s">
        <v>4691</v>
      </c>
      <c r="B2253" t="s">
        <v>4685</v>
      </c>
      <c r="C2253" t="s">
        <v>4691</v>
      </c>
      <c r="D2253" t="s">
        <v>7547</v>
      </c>
      <c r="E2253">
        <f>sch_num_funct_computers_admin_ups_privatedon</f>
        <v>0</v>
      </c>
      <c r="F2253" t="b">
        <v>1</v>
      </c>
    </row>
    <row r="2254" spans="1:6" x14ac:dyDescent="0.35">
      <c r="A2254" t="s">
        <v>4703</v>
      </c>
      <c r="B2254" t="s">
        <v>4685</v>
      </c>
      <c r="C2254" t="s">
        <v>4703</v>
      </c>
      <c r="D2254" t="s">
        <v>7561</v>
      </c>
      <c r="E2254">
        <f>sch_num_funct_computers_admin_ups_othergov</f>
        <v>0</v>
      </c>
      <c r="F2254" t="b">
        <v>1</v>
      </c>
    </row>
    <row r="2255" spans="1:6" x14ac:dyDescent="0.35">
      <c r="A2255" t="s">
        <v>4715</v>
      </c>
      <c r="B2255" t="s">
        <v>4685</v>
      </c>
      <c r="C2255" t="s">
        <v>4715</v>
      </c>
      <c r="D2255" t="s">
        <v>7575</v>
      </c>
      <c r="E2255">
        <f>sch_num_funct_computers_admin_ups_others</f>
        <v>0</v>
      </c>
      <c r="F2255" t="b">
        <v>1</v>
      </c>
    </row>
    <row r="2256" spans="1:6" x14ac:dyDescent="0.35">
      <c r="A2256" t="s">
        <v>4729</v>
      </c>
      <c r="B2256" t="s">
        <v>4685</v>
      </c>
      <c r="C2256" t="s">
        <v>4729</v>
      </c>
      <c r="D2256" t="s">
        <v>7591</v>
      </c>
      <c r="E2256">
        <f>sch_num_funct_computers_admin_router_depeddcp</f>
        <v>0</v>
      </c>
      <c r="F2256" t="b">
        <v>1</v>
      </c>
    </row>
    <row r="2257" spans="1:14" x14ac:dyDescent="0.35">
      <c r="A2257" t="s">
        <v>4741</v>
      </c>
      <c r="B2257" t="s">
        <v>4685</v>
      </c>
      <c r="C2257" t="s">
        <v>4741</v>
      </c>
      <c r="D2257" t="s">
        <v>7604</v>
      </c>
      <c r="E2257">
        <f>sch_num_funct_computers_admin_router_depednondcp</f>
        <v>2</v>
      </c>
      <c r="F2257" t="b">
        <v>1</v>
      </c>
    </row>
    <row r="2258" spans="1:14" x14ac:dyDescent="0.35">
      <c r="A2258" t="s">
        <v>4753</v>
      </c>
      <c r="B2258" t="s">
        <v>4685</v>
      </c>
      <c r="C2258" t="s">
        <v>4753</v>
      </c>
      <c r="D2258" t="s">
        <v>7618</v>
      </c>
      <c r="E2258">
        <f>sch_num_funct_computers_admin_router_lgusef</f>
        <v>0</v>
      </c>
      <c r="F2258" t="b">
        <v>1</v>
      </c>
    </row>
    <row r="2259" spans="1:14" x14ac:dyDescent="0.35">
      <c r="A2259" t="s">
        <v>4765</v>
      </c>
      <c r="B2259" t="s">
        <v>4685</v>
      </c>
      <c r="C2259" t="s">
        <v>4765</v>
      </c>
      <c r="D2259" t="s">
        <v>7632</v>
      </c>
      <c r="E2259">
        <f>sch_num_funct_computers_admin_router_pta</f>
        <v>0</v>
      </c>
      <c r="F2259" t="b">
        <v>1</v>
      </c>
    </row>
    <row r="2260" spans="1:14" x14ac:dyDescent="0.35">
      <c r="A2260" t="s">
        <v>4692</v>
      </c>
      <c r="B2260" t="s">
        <v>4685</v>
      </c>
      <c r="C2260" t="s">
        <v>4692</v>
      </c>
      <c r="D2260" t="s">
        <v>7548</v>
      </c>
      <c r="E2260">
        <f>sch_num_funct_computers_admin_router_privatedon</f>
        <v>0</v>
      </c>
      <c r="F2260" t="b">
        <v>1</v>
      </c>
    </row>
    <row r="2261" spans="1:14" x14ac:dyDescent="0.35">
      <c r="A2261" t="s">
        <v>4704</v>
      </c>
      <c r="B2261" t="s">
        <v>4685</v>
      </c>
      <c r="C2261" t="s">
        <v>4704</v>
      </c>
      <c r="D2261" t="s">
        <v>7562</v>
      </c>
      <c r="E2261">
        <f>sch_num_funct_computers_admin_router_othergov</f>
        <v>0</v>
      </c>
      <c r="F2261" t="b">
        <v>1</v>
      </c>
    </row>
    <row r="2262" spans="1:14" s="1348" customFormat="1" ht="16" thickBot="1" x14ac:dyDescent="0.4">
      <c r="A2262" s="1348" t="s">
        <v>4716</v>
      </c>
      <c r="B2262" s="1348" t="s">
        <v>4685</v>
      </c>
      <c r="C2262" s="1348" t="s">
        <v>4716</v>
      </c>
      <c r="D2262" s="1348" t="s">
        <v>7576</v>
      </c>
      <c r="E2262" s="1348">
        <f>sch_num_funct_computers_admin_router_others</f>
        <v>0</v>
      </c>
      <c r="F2262" s="1348" t="b">
        <v>1</v>
      </c>
      <c r="N2262" s="1358"/>
    </row>
    <row r="2263" spans="1:14" x14ac:dyDescent="0.35">
      <c r="A2263" t="s">
        <v>4331</v>
      </c>
      <c r="B2263" t="s">
        <v>4309</v>
      </c>
      <c r="C2263" t="s">
        <v>4331</v>
      </c>
      <c r="D2263" s="1353" t="s">
        <v>7639</v>
      </c>
      <c r="E2263" t="b">
        <f>sch_intercon_isp_yes</f>
        <v>1</v>
      </c>
      <c r="F2263" t="b">
        <f>ISLOGICAL(E2263)</f>
        <v>1</v>
      </c>
      <c r="G2263" t="s">
        <v>12516</v>
      </c>
    </row>
    <row r="2264" spans="1:14" x14ac:dyDescent="0.35">
      <c r="A2264" t="s">
        <v>4318</v>
      </c>
      <c r="B2264" t="s">
        <v>4309</v>
      </c>
      <c r="C2264" t="s">
        <v>4318</v>
      </c>
      <c r="D2264" s="1353" t="s">
        <v>9622</v>
      </c>
      <c r="E2264" t="b">
        <f>sch_intercon_isp_yes_bayantel</f>
        <v>0</v>
      </c>
      <c r="F2264" t="b">
        <f t="shared" ref="F2264:F2265" si="3">ISLOGICAL(E2264)</f>
        <v>1</v>
      </c>
      <c r="G2264" t="s">
        <v>12516</v>
      </c>
    </row>
    <row r="2265" spans="1:14" x14ac:dyDescent="0.35">
      <c r="A2265" t="s">
        <v>4319</v>
      </c>
      <c r="B2265" t="s">
        <v>4309</v>
      </c>
      <c r="C2265" t="s">
        <v>4319</v>
      </c>
      <c r="D2265" s="1353" t="s">
        <v>9623</v>
      </c>
      <c r="E2265" t="b">
        <f>sch_intercon_isp_yes_digitel</f>
        <v>0</v>
      </c>
      <c r="F2265" t="b">
        <f t="shared" si="3"/>
        <v>1</v>
      </c>
      <c r="G2265" t="s">
        <v>12516</v>
      </c>
    </row>
    <row r="2266" spans="1:14" x14ac:dyDescent="0.35">
      <c r="A2266" t="s">
        <v>4329</v>
      </c>
      <c r="B2266" t="s">
        <v>4309</v>
      </c>
      <c r="C2266" t="s">
        <v>4329</v>
      </c>
      <c r="D2266" s="1353" t="s">
        <v>9624</v>
      </c>
      <c r="E2266" t="b">
        <f>sch_intercon_isp_yes_globe</f>
        <v>1</v>
      </c>
      <c r="F2266" t="b">
        <f>ISLOGICAL(E2266)</f>
        <v>1</v>
      </c>
      <c r="G2266" t="s">
        <v>12516</v>
      </c>
    </row>
    <row r="2267" spans="1:14" x14ac:dyDescent="0.35">
      <c r="A2267" t="s">
        <v>4330</v>
      </c>
      <c r="B2267" t="s">
        <v>4309</v>
      </c>
      <c r="C2267" t="s">
        <v>4330</v>
      </c>
      <c r="D2267" s="1353" t="s">
        <v>9625</v>
      </c>
      <c r="E2267" t="b">
        <f>sch_intercon_isp_yes_pldt</f>
        <v>1</v>
      </c>
      <c r="F2267" t="b">
        <f>ISLOGICAL(E2267)</f>
        <v>1</v>
      </c>
      <c r="G2267" t="s">
        <v>12516</v>
      </c>
    </row>
    <row r="2268" spans="1:14" x14ac:dyDescent="0.35">
      <c r="A2268" t="s">
        <v>4332</v>
      </c>
      <c r="B2268" t="s">
        <v>4309</v>
      </c>
      <c r="C2268" t="s">
        <v>4332</v>
      </c>
      <c r="D2268" s="1353" t="s">
        <v>9626</v>
      </c>
      <c r="E2268" t="b">
        <f>sch_intercon_isp_yes_smart</f>
        <v>0</v>
      </c>
      <c r="F2268" t="b">
        <f>ISLOGICAL(E2268)</f>
        <v>1</v>
      </c>
      <c r="G2268" t="s">
        <v>12516</v>
      </c>
    </row>
    <row r="2269" spans="1:14" x14ac:dyDescent="0.35">
      <c r="A2269" t="s">
        <v>4333</v>
      </c>
      <c r="B2269" t="s">
        <v>4309</v>
      </c>
      <c r="C2269" t="s">
        <v>4333</v>
      </c>
      <c r="D2269" s="1353" t="s">
        <v>9627</v>
      </c>
      <c r="E2269" t="b">
        <f>sch_intercon_isp_yes_sun</f>
        <v>0</v>
      </c>
      <c r="F2269" t="b">
        <f>ISLOGICAL(E2269)</f>
        <v>1</v>
      </c>
      <c r="G2269" t="s">
        <v>12516</v>
      </c>
    </row>
    <row r="2270" spans="1:14" x14ac:dyDescent="0.35">
      <c r="A2270" t="s">
        <v>4308</v>
      </c>
      <c r="B2270" t="s">
        <v>4309</v>
      </c>
      <c r="C2270" t="s">
        <v>4308</v>
      </c>
      <c r="D2270" s="1353" t="s">
        <v>7637</v>
      </c>
      <c r="E2270" t="b">
        <f>sch_intercon_isp_yes_witg</f>
        <v>0</v>
      </c>
      <c r="F2270" t="b">
        <f>ISLOGICAL(E2270)</f>
        <v>1</v>
      </c>
      <c r="G2270" t="s">
        <v>12516</v>
      </c>
    </row>
    <row r="2271" spans="1:14" x14ac:dyDescent="0.35">
      <c r="A2271" t="s">
        <v>4310</v>
      </c>
      <c r="B2271" t="s">
        <v>4309</v>
      </c>
      <c r="C2271" t="s">
        <v>4310</v>
      </c>
      <c r="D2271" s="1353" t="s">
        <v>7638</v>
      </c>
      <c r="E2271" t="b">
        <f>sch_intercon_isp_yes_otherspec</f>
        <v>0</v>
      </c>
      <c r="F2271" t="b">
        <f t="shared" ref="F2271" si="4">ISLOGICAL(E2271)</f>
        <v>1</v>
      </c>
      <c r="G2271" t="s">
        <v>12516</v>
      </c>
      <c r="N2271" s="1376"/>
    </row>
    <row r="2272" spans="1:14" x14ac:dyDescent="0.35">
      <c r="A2272" t="s">
        <v>4311</v>
      </c>
      <c r="B2272" t="s">
        <v>4309</v>
      </c>
      <c r="C2272" t="s">
        <v>4311</v>
      </c>
      <c r="D2272" s="1353" t="s">
        <v>9628</v>
      </c>
      <c r="E2272">
        <f>sch_intercon_isp_yes_other_specify</f>
        <v>0</v>
      </c>
      <c r="F2272" t="b">
        <v>1</v>
      </c>
      <c r="N2272" s="1376"/>
    </row>
    <row r="2273" spans="1:14" x14ac:dyDescent="0.35">
      <c r="A2273" t="s">
        <v>12536</v>
      </c>
      <c r="B2273" t="s">
        <v>4309</v>
      </c>
      <c r="C2273" t="s">
        <v>12536</v>
      </c>
      <c r="D2273" s="1353" t="s">
        <v>12537</v>
      </c>
      <c r="E2273" t="b">
        <f>sch_intercon_isp_subscribe_yes</f>
        <v>1</v>
      </c>
      <c r="F2273" t="b">
        <f t="shared" ref="F2273" si="5">ISLOGICAL(E2273)</f>
        <v>1</v>
      </c>
      <c r="G2273" t="s">
        <v>12516</v>
      </c>
      <c r="N2273" s="1376"/>
    </row>
    <row r="2274" spans="1:14" x14ac:dyDescent="0.35">
      <c r="A2274" t="s">
        <v>4320</v>
      </c>
      <c r="B2274" t="s">
        <v>4309</v>
      </c>
      <c r="C2274" t="s">
        <v>4320</v>
      </c>
      <c r="D2274" s="1353" t="s">
        <v>7643</v>
      </c>
      <c r="E2274" t="b">
        <f>sch_intercon_isp_subscribe_adminuse_yes</f>
        <v>1</v>
      </c>
      <c r="F2274" t="b">
        <f>ISLOGICAL(E2274)</f>
        <v>1</v>
      </c>
      <c r="G2274" t="s">
        <v>12516</v>
      </c>
    </row>
    <row r="2275" spans="1:14" x14ac:dyDescent="0.35">
      <c r="A2275" t="s">
        <v>4321</v>
      </c>
      <c r="B2275" t="s">
        <v>4309</v>
      </c>
      <c r="C2275" t="s">
        <v>4321</v>
      </c>
      <c r="D2275" s="1353" t="s">
        <v>7644</v>
      </c>
      <c r="E2275" t="b">
        <f>sch_intercon_isp_subscribe_clinstructionuse_yes</f>
        <v>1</v>
      </c>
      <c r="F2275" t="b">
        <f>ISLOGICAL(E2275)</f>
        <v>1</v>
      </c>
      <c r="G2275" t="s">
        <v>12516</v>
      </c>
    </row>
    <row r="2276" spans="1:14" x14ac:dyDescent="0.35">
      <c r="A2276" t="s">
        <v>4322</v>
      </c>
      <c r="B2276" t="s">
        <v>4309</v>
      </c>
      <c r="C2276" t="s">
        <v>4322</v>
      </c>
      <c r="D2276" s="1353" t="s">
        <v>7645</v>
      </c>
      <c r="E2276" s="1368">
        <f>sch_intercon_speedtest_datetested</f>
        <v>44829</v>
      </c>
      <c r="F2276" t="b">
        <v>1</v>
      </c>
    </row>
    <row r="2277" spans="1:14" x14ac:dyDescent="0.35">
      <c r="A2277" t="s">
        <v>4323</v>
      </c>
      <c r="B2277" t="s">
        <v>4309</v>
      </c>
      <c r="C2277" t="s">
        <v>4323</v>
      </c>
      <c r="D2277" s="1353" t="s">
        <v>7646</v>
      </c>
      <c r="E2277" s="1377">
        <f>sch_intercon_speedtest_timetested</f>
        <v>0.66180555555555554</v>
      </c>
      <c r="F2277" t="b">
        <v>1</v>
      </c>
    </row>
    <row r="2278" spans="1:14" x14ac:dyDescent="0.35">
      <c r="A2278" t="s">
        <v>4334</v>
      </c>
      <c r="B2278" t="s">
        <v>4309</v>
      </c>
      <c r="C2278" t="s">
        <v>4334</v>
      </c>
      <c r="D2278" s="1353" t="s">
        <v>7649</v>
      </c>
      <c r="E2278">
        <f>sch_intercon_speedtest_ping_ms</f>
        <v>12</v>
      </c>
      <c r="F2278" t="b">
        <v>1</v>
      </c>
    </row>
    <row r="2279" spans="1:14" x14ac:dyDescent="0.35">
      <c r="A2279" t="s">
        <v>4335</v>
      </c>
      <c r="B2279" t="s">
        <v>4309</v>
      </c>
      <c r="C2279" t="s">
        <v>4335</v>
      </c>
      <c r="D2279" s="1353" t="s">
        <v>7650</v>
      </c>
      <c r="E2279" s="1397">
        <f>sch_intercon_speedtest_download_mbps</f>
        <v>146.96</v>
      </c>
      <c r="F2279" t="b">
        <v>1</v>
      </c>
    </row>
    <row r="2280" spans="1:14" x14ac:dyDescent="0.35">
      <c r="A2280" t="s">
        <v>4317</v>
      </c>
      <c r="B2280" t="s">
        <v>4309</v>
      </c>
      <c r="C2280" t="s">
        <v>4317</v>
      </c>
      <c r="D2280" s="1353" t="s">
        <v>7642</v>
      </c>
      <c r="E2280" s="1397">
        <f>sch_intercon_speedtest_upload_mbps</f>
        <v>3.87</v>
      </c>
      <c r="F2280" t="b">
        <v>1</v>
      </c>
    </row>
    <row r="2281" spans="1:14" x14ac:dyDescent="0.35">
      <c r="A2281" t="s">
        <v>5115</v>
      </c>
      <c r="B2281" t="s">
        <v>4309</v>
      </c>
      <c r="C2281" t="s">
        <v>5115</v>
      </c>
      <c r="D2281" t="s">
        <v>9629</v>
      </c>
      <c r="E2281" t="str">
        <f>VLOOKUP(combo_avemontlyexpense_typesofinternet1,_ref_internet, 1, FALSE)</f>
        <v>Wired</v>
      </c>
      <c r="F2281" t="b">
        <v>1</v>
      </c>
    </row>
    <row r="2282" spans="1:14" x14ac:dyDescent="0.35">
      <c r="A2282" t="s">
        <v>5116</v>
      </c>
      <c r="B2282" t="s">
        <v>4309</v>
      </c>
      <c r="C2282" t="s">
        <v>5116</v>
      </c>
      <c r="D2282" t="s">
        <v>9630</v>
      </c>
      <c r="E2282" t="str">
        <f>VLOOKUP(combo_avemontlyexpense_typesofinternet2,_ref_internet, 1, FALSE)</f>
        <v>Wired</v>
      </c>
      <c r="F2282" t="b">
        <v>1</v>
      </c>
    </row>
    <row r="2283" spans="1:14" x14ac:dyDescent="0.35">
      <c r="A2283" t="s">
        <v>5117</v>
      </c>
      <c r="B2283" t="s">
        <v>4309</v>
      </c>
      <c r="C2283" t="s">
        <v>5117</v>
      </c>
      <c r="D2283" t="s">
        <v>9631</v>
      </c>
      <c r="E2283" t="e">
        <f>VLOOKUP(combo_avemontlyexpense_typesofinternet3,_ref_internet, 1, FALSE)</f>
        <v>#N/A</v>
      </c>
      <c r="F2283" t="b">
        <v>1</v>
      </c>
    </row>
    <row r="2284" spans="1:14" x14ac:dyDescent="0.35">
      <c r="A2284" t="s">
        <v>5118</v>
      </c>
      <c r="B2284" t="s">
        <v>4309</v>
      </c>
      <c r="C2284" t="s">
        <v>5118</v>
      </c>
      <c r="D2284" t="s">
        <v>9632</v>
      </c>
      <c r="E2284" t="e">
        <f>VLOOKUP(combo_avemontlyexpense_typesofinternet4,_ref_internet, 1, FALSE)</f>
        <v>#N/A</v>
      </c>
      <c r="F2284" t="b">
        <v>1</v>
      </c>
    </row>
    <row r="2285" spans="1:14" x14ac:dyDescent="0.35">
      <c r="A2285" t="s">
        <v>5119</v>
      </c>
      <c r="B2285" t="s">
        <v>4309</v>
      </c>
      <c r="C2285" t="s">
        <v>5119</v>
      </c>
      <c r="D2285" t="s">
        <v>9633</v>
      </c>
      <c r="E2285" t="e">
        <f>VLOOKUP(combo_avemontlyexpense_typesofinternet5,_ref_internet, 1, FALSE)</f>
        <v>#N/A</v>
      </c>
      <c r="F2285" t="b">
        <v>1</v>
      </c>
    </row>
    <row r="2286" spans="1:14" x14ac:dyDescent="0.35">
      <c r="A2286" t="s">
        <v>4324</v>
      </c>
      <c r="B2286" t="s">
        <v>4309</v>
      </c>
      <c r="C2286" t="s">
        <v>4324</v>
      </c>
      <c r="D2286" t="s">
        <v>7647</v>
      </c>
      <c r="E2286" t="str">
        <f>VLOOKUP(combo_avemonthlyexpense_internetserviceprovider1,_ref_service_provider, 1, FALSE)</f>
        <v>Globe</v>
      </c>
      <c r="F2286" t="b">
        <v>1</v>
      </c>
    </row>
    <row r="2287" spans="1:14" x14ac:dyDescent="0.35">
      <c r="A2287" t="s">
        <v>4325</v>
      </c>
      <c r="B2287" t="s">
        <v>4309</v>
      </c>
      <c r="C2287" t="s">
        <v>4325</v>
      </c>
      <c r="D2287" t="s">
        <v>7648</v>
      </c>
      <c r="E2287" t="str">
        <f>VLOOKUP(combo_avemonthlyexpense_internetserviceprovider2,_ref_service_provider, 1, FALSE)</f>
        <v>PLDT</v>
      </c>
      <c r="F2287" t="b">
        <v>1</v>
      </c>
    </row>
    <row r="2288" spans="1:14" x14ac:dyDescent="0.35">
      <c r="A2288" t="s">
        <v>4326</v>
      </c>
      <c r="B2288" t="s">
        <v>4309</v>
      </c>
      <c r="C2288" t="s">
        <v>4326</v>
      </c>
      <c r="D2288" t="s">
        <v>9634</v>
      </c>
      <c r="E2288" t="e">
        <f>VLOOKUP(combo_avemonthlyexpense_internetserviceprovider3,_ref_service_provider, 1, FALSE)</f>
        <v>#N/A</v>
      </c>
      <c r="F2288" t="b">
        <v>1</v>
      </c>
    </row>
    <row r="2289" spans="1:14" x14ac:dyDescent="0.35">
      <c r="A2289" t="s">
        <v>4327</v>
      </c>
      <c r="B2289" t="s">
        <v>4309</v>
      </c>
      <c r="C2289" t="s">
        <v>4327</v>
      </c>
      <c r="D2289" t="s">
        <v>9635</v>
      </c>
      <c r="E2289" t="e">
        <f>VLOOKUP(combo_avemonthlyexpense_internetserviceprovider4,_ref_service_provider, 1, FALSE)</f>
        <v>#N/A</v>
      </c>
      <c r="F2289" t="b">
        <v>1</v>
      </c>
    </row>
    <row r="2290" spans="1:14" x14ac:dyDescent="0.35">
      <c r="A2290" t="s">
        <v>4328</v>
      </c>
      <c r="B2290" t="s">
        <v>4309</v>
      </c>
      <c r="C2290" t="s">
        <v>4328</v>
      </c>
      <c r="D2290" t="s">
        <v>9636</v>
      </c>
      <c r="E2290" t="e">
        <f>VLOOKUP(combo_avemonthlyexpense_internetserviceprovider5,_ref_service_provider, 1, FALSE)</f>
        <v>#N/A</v>
      </c>
      <c r="F2290" t="b">
        <v>1</v>
      </c>
    </row>
    <row r="2291" spans="1:14" x14ac:dyDescent="0.35">
      <c r="A2291" t="s">
        <v>4336</v>
      </c>
      <c r="B2291" t="s">
        <v>4309</v>
      </c>
      <c r="C2291" t="s">
        <v>4336</v>
      </c>
      <c r="D2291" t="s">
        <v>7651</v>
      </c>
      <c r="E2291" s="1397">
        <f>sch_avemonthlyexpense_others1</f>
        <v>4000</v>
      </c>
      <c r="F2291" t="b">
        <v>1</v>
      </c>
    </row>
    <row r="2292" spans="1:14" x14ac:dyDescent="0.35">
      <c r="A2292" t="s">
        <v>4337</v>
      </c>
      <c r="B2292" t="s">
        <v>4309</v>
      </c>
      <c r="C2292" t="s">
        <v>4337</v>
      </c>
      <c r="D2292" t="s">
        <v>7652</v>
      </c>
      <c r="E2292" s="1397">
        <f>sch_avemonthlyexpense_others2</f>
        <v>4000</v>
      </c>
      <c r="F2292" t="b">
        <v>1</v>
      </c>
    </row>
    <row r="2293" spans="1:14" x14ac:dyDescent="0.35">
      <c r="A2293" t="s">
        <v>4338</v>
      </c>
      <c r="B2293" t="s">
        <v>4309</v>
      </c>
      <c r="C2293" t="s">
        <v>4338</v>
      </c>
      <c r="D2293" t="s">
        <v>8662</v>
      </c>
      <c r="E2293" s="1397">
        <f>sch_avemonthlyexpense_others3</f>
        <v>0</v>
      </c>
      <c r="F2293" t="b">
        <v>1</v>
      </c>
    </row>
    <row r="2294" spans="1:14" x14ac:dyDescent="0.35">
      <c r="A2294" t="s">
        <v>4339</v>
      </c>
      <c r="B2294" t="s">
        <v>4309</v>
      </c>
      <c r="C2294" t="s">
        <v>4339</v>
      </c>
      <c r="D2294" t="s">
        <v>8663</v>
      </c>
      <c r="E2294" s="1397">
        <f>sch_avemonthlyexpense_others4</f>
        <v>0</v>
      </c>
      <c r="F2294" t="b">
        <v>1</v>
      </c>
    </row>
    <row r="2295" spans="1:14" x14ac:dyDescent="0.35">
      <c r="A2295" t="s">
        <v>4340</v>
      </c>
      <c r="B2295" t="s">
        <v>4309</v>
      </c>
      <c r="C2295" t="s">
        <v>4340</v>
      </c>
      <c r="D2295" t="s">
        <v>8664</v>
      </c>
      <c r="E2295" s="1397">
        <f>sch_avemonthlyexpense_others5</f>
        <v>0</v>
      </c>
      <c r="F2295" t="b">
        <v>1</v>
      </c>
    </row>
    <row r="2296" spans="1:14" x14ac:dyDescent="0.35">
      <c r="A2296" t="s">
        <v>4312</v>
      </c>
      <c r="B2296" t="s">
        <v>4309</v>
      </c>
      <c r="C2296" t="s">
        <v>4312</v>
      </c>
      <c r="D2296" t="s">
        <v>7640</v>
      </c>
      <c r="E2296" t="str">
        <f>VLOOKUP(combo_avemonthlyexpense_fundingsource1,_ref_funding_source,1,FALSE)</f>
        <v>MOOE</v>
      </c>
      <c r="F2296" t="b">
        <v>1</v>
      </c>
    </row>
    <row r="2297" spans="1:14" x14ac:dyDescent="0.35">
      <c r="A2297" t="s">
        <v>4313</v>
      </c>
      <c r="B2297" t="s">
        <v>4309</v>
      </c>
      <c r="C2297" t="s">
        <v>4313</v>
      </c>
      <c r="D2297" t="s">
        <v>7641</v>
      </c>
      <c r="E2297" t="str">
        <f>VLOOKUP(combo_avemonthlyexpense_fundingsource2,_ref_funding_source,1,FALSE)</f>
        <v>MOOE</v>
      </c>
      <c r="F2297" t="b">
        <v>1</v>
      </c>
    </row>
    <row r="2298" spans="1:14" x14ac:dyDescent="0.35">
      <c r="A2298" t="s">
        <v>4314</v>
      </c>
      <c r="B2298" t="s">
        <v>4309</v>
      </c>
      <c r="C2298" t="s">
        <v>4314</v>
      </c>
      <c r="D2298" t="s">
        <v>9637</v>
      </c>
      <c r="E2298" t="e">
        <f>VLOOKUP(combo_avemonthlyexpense_fundingsource3,_ref_funding_source,1,FALSE)</f>
        <v>#N/A</v>
      </c>
      <c r="F2298" t="b">
        <v>1</v>
      </c>
    </row>
    <row r="2299" spans="1:14" x14ac:dyDescent="0.35">
      <c r="A2299" t="s">
        <v>4315</v>
      </c>
      <c r="B2299" t="s">
        <v>4309</v>
      </c>
      <c r="C2299" t="s">
        <v>4315</v>
      </c>
      <c r="D2299" t="s">
        <v>9638</v>
      </c>
      <c r="E2299" t="e">
        <f>VLOOKUP(combo_avemonthlyexpense_fundingsource4,_ref_funding_source,1,FALSE)</f>
        <v>#N/A</v>
      </c>
      <c r="F2299" t="b">
        <v>1</v>
      </c>
    </row>
    <row r="2300" spans="1:14" s="1348" customFormat="1" ht="16" thickBot="1" x14ac:dyDescent="0.4">
      <c r="A2300" s="1348" t="s">
        <v>4316</v>
      </c>
      <c r="B2300" s="1348" t="s">
        <v>4309</v>
      </c>
      <c r="C2300" s="1348" t="s">
        <v>4316</v>
      </c>
      <c r="D2300" s="1348" t="s">
        <v>9639</v>
      </c>
      <c r="E2300" s="1348" t="e">
        <f>VLOOKUP(combo_avemonthlyexpense_fundingsource5,_ref_funding_source, 1, FALSE)</f>
        <v>#N/A</v>
      </c>
      <c r="F2300" s="1348" t="b">
        <v>1</v>
      </c>
      <c r="N2300" s="1358"/>
    </row>
    <row r="2301" spans="1:14" x14ac:dyDescent="0.35">
      <c r="A2301" t="s">
        <v>9649</v>
      </c>
      <c r="B2301" t="s">
        <v>9648</v>
      </c>
      <c r="C2301" t="s">
        <v>9649</v>
      </c>
      <c r="D2301" t="s">
        <v>9664</v>
      </c>
      <c r="E2301" t="e">
        <f>VLOOKUP(combo_jhs_cellularsp1, _ref_cell_serv_provider, 1, FALSE)</f>
        <v>#N/A</v>
      </c>
      <c r="F2301" t="b">
        <v>1</v>
      </c>
    </row>
    <row r="2302" spans="1:14" x14ac:dyDescent="0.35">
      <c r="A2302" t="s">
        <v>8670</v>
      </c>
      <c r="B2302" t="s">
        <v>9648</v>
      </c>
      <c r="C2302" t="s">
        <v>8670</v>
      </c>
      <c r="D2302" t="s">
        <v>9665</v>
      </c>
      <c r="E2302" t="b">
        <f>jhs_cellcapacity_text1</f>
        <v>0</v>
      </c>
      <c r="F2302" t="b">
        <f>ISLOGICAL(E2302)</f>
        <v>1</v>
      </c>
      <c r="G2302" t="s">
        <v>12516</v>
      </c>
    </row>
    <row r="2303" spans="1:14" x14ac:dyDescent="0.35">
      <c r="A2303" t="s">
        <v>8675</v>
      </c>
      <c r="B2303" t="s">
        <v>9648</v>
      </c>
      <c r="C2303" t="s">
        <v>8675</v>
      </c>
      <c r="D2303" t="s">
        <v>9666</v>
      </c>
      <c r="E2303" t="b">
        <f>jhs_cellcapacity_call1</f>
        <v>0</v>
      </c>
      <c r="F2303" t="b">
        <f>ISLOGICAL(E2303)</f>
        <v>1</v>
      </c>
      <c r="G2303" t="s">
        <v>12516</v>
      </c>
    </row>
    <row r="2304" spans="1:14" x14ac:dyDescent="0.35">
      <c r="A2304" t="s">
        <v>8680</v>
      </c>
      <c r="B2304" t="s">
        <v>9648</v>
      </c>
      <c r="C2304" t="s">
        <v>8680</v>
      </c>
      <c r="D2304" t="s">
        <v>9668</v>
      </c>
      <c r="E2304" t="b">
        <f>jhs_cellcapacity_images1</f>
        <v>0</v>
      </c>
      <c r="F2304" t="b">
        <f>ISLOGICAL(E2304)</f>
        <v>1</v>
      </c>
      <c r="G2304" t="s">
        <v>12516</v>
      </c>
    </row>
    <row r="2305" spans="1:7" x14ac:dyDescent="0.35">
      <c r="A2305" t="s">
        <v>8685</v>
      </c>
      <c r="B2305" t="s">
        <v>9648</v>
      </c>
      <c r="C2305" t="s">
        <v>8685</v>
      </c>
      <c r="D2305" t="s">
        <v>9669</v>
      </c>
      <c r="E2305" t="b">
        <f>jhs_cellcapacity_videocall1</f>
        <v>0</v>
      </c>
      <c r="F2305" t="b">
        <f>ISLOGICAL(E2305)</f>
        <v>1</v>
      </c>
      <c r="G2305" t="s">
        <v>12516</v>
      </c>
    </row>
    <row r="2306" spans="1:7" x14ac:dyDescent="0.35">
      <c r="A2306" t="s">
        <v>8690</v>
      </c>
      <c r="B2306" t="s">
        <v>9648</v>
      </c>
      <c r="C2306" t="s">
        <v>8690</v>
      </c>
      <c r="D2306" t="s">
        <v>9670</v>
      </c>
      <c r="E2306" t="b">
        <f>jhs_cellcapacity_nosignal1</f>
        <v>0</v>
      </c>
      <c r="F2306" t="b">
        <f>ISLOGICAL(E2306)</f>
        <v>1</v>
      </c>
      <c r="G2306" t="s">
        <v>12516</v>
      </c>
    </row>
    <row r="2307" spans="1:7" x14ac:dyDescent="0.35">
      <c r="A2307" t="s">
        <v>9654</v>
      </c>
      <c r="B2307" t="s">
        <v>9648</v>
      </c>
      <c r="C2307" t="s">
        <v>9654</v>
      </c>
      <c r="D2307" t="s">
        <v>9672</v>
      </c>
      <c r="E2307" t="e">
        <f>VLOOKUP(combo_jhs_cellulartype1, _ref_cell_wtg, 1, FALSE)</f>
        <v>#N/A</v>
      </c>
      <c r="F2307" t="b">
        <v>1</v>
      </c>
    </row>
    <row r="2308" spans="1:7" x14ac:dyDescent="0.35">
      <c r="A2308" t="s">
        <v>8665</v>
      </c>
      <c r="B2308" t="s">
        <v>9648</v>
      </c>
      <c r="C2308" t="s">
        <v>8665</v>
      </c>
      <c r="D2308" t="s">
        <v>9671</v>
      </c>
      <c r="E2308" s="1397">
        <f>jhs_cell_avemonthlyexpense1</f>
        <v>0</v>
      </c>
      <c r="F2308" t="b">
        <v>1</v>
      </c>
    </row>
    <row r="2309" spans="1:7" x14ac:dyDescent="0.35">
      <c r="A2309" t="s">
        <v>9659</v>
      </c>
      <c r="B2309" t="s">
        <v>9648</v>
      </c>
      <c r="C2309" t="s">
        <v>9659</v>
      </c>
      <c r="D2309" t="s">
        <v>9675</v>
      </c>
      <c r="E2309" t="e">
        <f>VLOOKUP(combo_jhs_cell_fundsource1,_ref_funding_source,1, FALSE)</f>
        <v>#N/A</v>
      </c>
      <c r="F2309" t="b">
        <v>1</v>
      </c>
    </row>
    <row r="2310" spans="1:7" x14ac:dyDescent="0.35">
      <c r="A2310" t="s">
        <v>9650</v>
      </c>
      <c r="B2310" t="s">
        <v>9648</v>
      </c>
      <c r="C2310" t="s">
        <v>9650</v>
      </c>
      <c r="D2310" t="s">
        <v>9676</v>
      </c>
      <c r="E2310" t="e">
        <f>VLOOKUP(combo_jhs_cellularsp2, _ref_cell_serv_provider, 1, FALSE)</f>
        <v>#N/A</v>
      </c>
      <c r="F2310" t="b">
        <v>1</v>
      </c>
    </row>
    <row r="2311" spans="1:7" x14ac:dyDescent="0.35">
      <c r="A2311" t="s">
        <v>8671</v>
      </c>
      <c r="B2311" t="s">
        <v>9648</v>
      </c>
      <c r="C2311" t="s">
        <v>8671</v>
      </c>
      <c r="D2311" t="s">
        <v>9667</v>
      </c>
      <c r="E2311" t="b">
        <f>jhs_cellcapacity_text2</f>
        <v>0</v>
      </c>
      <c r="F2311" t="b">
        <f>ISLOGICAL(E2311)</f>
        <v>1</v>
      </c>
      <c r="G2311" t="s">
        <v>12516</v>
      </c>
    </row>
    <row r="2312" spans="1:7" x14ac:dyDescent="0.35">
      <c r="A2312" t="s">
        <v>8676</v>
      </c>
      <c r="B2312" t="s">
        <v>9648</v>
      </c>
      <c r="C2312" t="s">
        <v>8676</v>
      </c>
      <c r="D2312" t="s">
        <v>9680</v>
      </c>
      <c r="E2312" t="b">
        <f>jhs_cellcapacity_call2</f>
        <v>0</v>
      </c>
      <c r="F2312" t="b">
        <f>ISLOGICAL(E2312)</f>
        <v>1</v>
      </c>
      <c r="G2312" t="s">
        <v>12516</v>
      </c>
    </row>
    <row r="2313" spans="1:7" x14ac:dyDescent="0.35">
      <c r="A2313" t="s">
        <v>8681</v>
      </c>
      <c r="B2313" t="s">
        <v>9648</v>
      </c>
      <c r="C2313" t="s">
        <v>8681</v>
      </c>
      <c r="D2313" t="s">
        <v>9682</v>
      </c>
      <c r="E2313" t="b">
        <f>jhs_cellcapacity_images2</f>
        <v>0</v>
      </c>
      <c r="F2313" t="b">
        <f>ISLOGICAL(E2313)</f>
        <v>1</v>
      </c>
      <c r="G2313" t="s">
        <v>12516</v>
      </c>
    </row>
    <row r="2314" spans="1:7" x14ac:dyDescent="0.35">
      <c r="A2314" t="s">
        <v>8686</v>
      </c>
      <c r="B2314" t="s">
        <v>9648</v>
      </c>
      <c r="C2314" t="s">
        <v>8686</v>
      </c>
      <c r="D2314" t="s">
        <v>9677</v>
      </c>
      <c r="E2314" t="b">
        <f>jhs_cellcapacity_videocall2</f>
        <v>0</v>
      </c>
      <c r="F2314" t="b">
        <f>ISLOGICAL(E2314)</f>
        <v>1</v>
      </c>
      <c r="G2314" t="s">
        <v>12516</v>
      </c>
    </row>
    <row r="2315" spans="1:7" x14ac:dyDescent="0.35">
      <c r="A2315" t="s">
        <v>8691</v>
      </c>
      <c r="B2315" t="s">
        <v>9648</v>
      </c>
      <c r="C2315" t="s">
        <v>8691</v>
      </c>
      <c r="D2315" t="s">
        <v>9681</v>
      </c>
      <c r="E2315" t="b">
        <f>jhs_cellcapacity_nosignal2</f>
        <v>0</v>
      </c>
      <c r="F2315" t="b">
        <f>ISLOGICAL(E2315)</f>
        <v>1</v>
      </c>
      <c r="G2315" t="s">
        <v>12516</v>
      </c>
    </row>
    <row r="2316" spans="1:7" x14ac:dyDescent="0.35">
      <c r="A2316" t="s">
        <v>9655</v>
      </c>
      <c r="B2316" t="s">
        <v>9648</v>
      </c>
      <c r="C2316" t="s">
        <v>9655</v>
      </c>
      <c r="D2316" t="s">
        <v>9673</v>
      </c>
      <c r="E2316" t="e">
        <f>VLOOKUP(combo_jhs_cellulartype2, _ref_cell_wtg, 1, FALSE)</f>
        <v>#N/A</v>
      </c>
      <c r="F2316" t="b">
        <v>1</v>
      </c>
    </row>
    <row r="2317" spans="1:7" x14ac:dyDescent="0.35">
      <c r="A2317" t="s">
        <v>8666</v>
      </c>
      <c r="B2317" t="s">
        <v>9648</v>
      </c>
      <c r="C2317" t="s">
        <v>8666</v>
      </c>
      <c r="D2317" t="s">
        <v>9678</v>
      </c>
      <c r="E2317" s="1397">
        <f>jhs_cell_avemonthlyexpense2</f>
        <v>0</v>
      </c>
      <c r="F2317" t="b">
        <v>1</v>
      </c>
    </row>
    <row r="2318" spans="1:7" x14ac:dyDescent="0.35">
      <c r="A2318" t="s">
        <v>9660</v>
      </c>
      <c r="B2318" t="s">
        <v>9648</v>
      </c>
      <c r="C2318" t="s">
        <v>9660</v>
      </c>
      <c r="D2318" t="s">
        <v>9679</v>
      </c>
      <c r="E2318" t="e">
        <f>VLOOKUP(combo_jhs_cell_fundsource2,_ref_funding_source,1, FALSE)</f>
        <v>#N/A</v>
      </c>
      <c r="F2318" t="b">
        <v>1</v>
      </c>
    </row>
    <row r="2319" spans="1:7" x14ac:dyDescent="0.35">
      <c r="A2319" t="s">
        <v>9651</v>
      </c>
      <c r="B2319" t="s">
        <v>9648</v>
      </c>
      <c r="C2319" t="s">
        <v>9651</v>
      </c>
      <c r="D2319" t="s">
        <v>9683</v>
      </c>
      <c r="E2319" t="e">
        <f>VLOOKUP(combo_jhs_cellularsp3, _ref_cell_serv_provider, 1, FALSE)</f>
        <v>#N/A</v>
      </c>
      <c r="F2319" t="b">
        <v>1</v>
      </c>
    </row>
    <row r="2320" spans="1:7" x14ac:dyDescent="0.35">
      <c r="A2320" t="s">
        <v>8672</v>
      </c>
      <c r="B2320" t="s">
        <v>9648</v>
      </c>
      <c r="C2320" t="s">
        <v>8672</v>
      </c>
      <c r="D2320" t="s">
        <v>9684</v>
      </c>
      <c r="E2320" t="b">
        <f>jhs_cellcapacity_text3</f>
        <v>0</v>
      </c>
      <c r="F2320" t="b">
        <f>ISLOGICAL(E2320)</f>
        <v>1</v>
      </c>
      <c r="G2320" t="s">
        <v>12516</v>
      </c>
    </row>
    <row r="2321" spans="1:7" x14ac:dyDescent="0.35">
      <c r="A2321" t="s">
        <v>8677</v>
      </c>
      <c r="B2321" t="s">
        <v>9648</v>
      </c>
      <c r="C2321" t="s">
        <v>8677</v>
      </c>
      <c r="D2321" t="s">
        <v>9688</v>
      </c>
      <c r="E2321" t="b">
        <f>jhs_cellcapacity_call3</f>
        <v>0</v>
      </c>
      <c r="F2321" t="b">
        <f>ISLOGICAL(E2321)</f>
        <v>1</v>
      </c>
      <c r="G2321" t="s">
        <v>12516</v>
      </c>
    </row>
    <row r="2322" spans="1:7" x14ac:dyDescent="0.35">
      <c r="A2322" t="s">
        <v>8682</v>
      </c>
      <c r="B2322" t="s">
        <v>9648</v>
      </c>
      <c r="C2322" t="s">
        <v>8682</v>
      </c>
      <c r="D2322" t="s">
        <v>9690</v>
      </c>
      <c r="E2322" t="b">
        <f>jhs_cellcapacity_images3</f>
        <v>0</v>
      </c>
      <c r="F2322" t="b">
        <f>ISLOGICAL(E2322)</f>
        <v>1</v>
      </c>
      <c r="G2322" t="s">
        <v>12516</v>
      </c>
    </row>
    <row r="2323" spans="1:7" x14ac:dyDescent="0.35">
      <c r="A2323" t="s">
        <v>8687</v>
      </c>
      <c r="B2323" t="s">
        <v>9648</v>
      </c>
      <c r="C2323" t="s">
        <v>8687</v>
      </c>
      <c r="D2323" t="s">
        <v>9685</v>
      </c>
      <c r="E2323" t="b">
        <f>jhs_cellcapacity_videocall3</f>
        <v>0</v>
      </c>
      <c r="F2323" t="b">
        <f>ISLOGICAL(E2323)</f>
        <v>1</v>
      </c>
      <c r="G2323" t="s">
        <v>12516</v>
      </c>
    </row>
    <row r="2324" spans="1:7" x14ac:dyDescent="0.35">
      <c r="A2324" t="s">
        <v>8692</v>
      </c>
      <c r="B2324" t="s">
        <v>9648</v>
      </c>
      <c r="C2324" t="s">
        <v>8692</v>
      </c>
      <c r="D2324" t="s">
        <v>9689</v>
      </c>
      <c r="E2324" t="b">
        <f>jhs_cellcapacity_nosignal3</f>
        <v>0</v>
      </c>
      <c r="F2324" t="b">
        <f>ISLOGICAL(E2324)</f>
        <v>1</v>
      </c>
      <c r="G2324" t="s">
        <v>12516</v>
      </c>
    </row>
    <row r="2325" spans="1:7" x14ac:dyDescent="0.35">
      <c r="A2325" t="s">
        <v>9656</v>
      </c>
      <c r="B2325" t="s">
        <v>9648</v>
      </c>
      <c r="C2325" t="s">
        <v>9656</v>
      </c>
      <c r="D2325" t="s">
        <v>9674</v>
      </c>
      <c r="E2325" t="e">
        <f>VLOOKUP(combo_jhs_cellulartype3, _ref_cell_wtg, 1, FALSE)</f>
        <v>#N/A</v>
      </c>
      <c r="F2325" t="b">
        <v>1</v>
      </c>
    </row>
    <row r="2326" spans="1:7" x14ac:dyDescent="0.35">
      <c r="A2326" t="s">
        <v>8667</v>
      </c>
      <c r="B2326" t="s">
        <v>9648</v>
      </c>
      <c r="C2326" t="s">
        <v>8667</v>
      </c>
      <c r="D2326" t="s">
        <v>9686</v>
      </c>
      <c r="E2326" s="1397">
        <f>jhs_cell_avemonthlyexpense3</f>
        <v>0</v>
      </c>
      <c r="F2326" t="b">
        <v>1</v>
      </c>
    </row>
    <row r="2327" spans="1:7" x14ac:dyDescent="0.35">
      <c r="A2327" t="s">
        <v>9661</v>
      </c>
      <c r="B2327" t="s">
        <v>9648</v>
      </c>
      <c r="C2327" t="s">
        <v>9661</v>
      </c>
      <c r="D2327" t="s">
        <v>9687</v>
      </c>
      <c r="E2327" t="e">
        <f>VLOOKUP(combo_jhs_cell_fundsource3,_ref_funding_source,1, FALSE)</f>
        <v>#N/A</v>
      </c>
      <c r="F2327" t="b">
        <v>1</v>
      </c>
    </row>
    <row r="2328" spans="1:7" x14ac:dyDescent="0.35">
      <c r="A2328" t="s">
        <v>9652</v>
      </c>
      <c r="B2328" t="s">
        <v>9648</v>
      </c>
      <c r="C2328" t="s">
        <v>9652</v>
      </c>
      <c r="D2328" t="s">
        <v>9691</v>
      </c>
      <c r="E2328" t="e">
        <f>VLOOKUP(combo_jhs_cellularsp4, _ref_cell_serv_provider, 1, FALSE)</f>
        <v>#N/A</v>
      </c>
      <c r="F2328" t="b">
        <v>1</v>
      </c>
    </row>
    <row r="2329" spans="1:7" x14ac:dyDescent="0.35">
      <c r="A2329" t="s">
        <v>8673</v>
      </c>
      <c r="B2329" t="s">
        <v>9648</v>
      </c>
      <c r="C2329" t="s">
        <v>8673</v>
      </c>
      <c r="D2329" t="s">
        <v>9692</v>
      </c>
      <c r="E2329" t="b">
        <f>jhs_cellcapacity_text4</f>
        <v>0</v>
      </c>
      <c r="F2329" t="b">
        <f>ISLOGICAL(E2329)</f>
        <v>1</v>
      </c>
      <c r="G2329" t="s">
        <v>12516</v>
      </c>
    </row>
    <row r="2330" spans="1:7" x14ac:dyDescent="0.35">
      <c r="A2330" t="s">
        <v>8678</v>
      </c>
      <c r="B2330" t="s">
        <v>9648</v>
      </c>
      <c r="C2330" t="s">
        <v>8678</v>
      </c>
      <c r="D2330" t="s">
        <v>9697</v>
      </c>
      <c r="E2330" t="b">
        <f>jhs_cellcapacity_call4</f>
        <v>0</v>
      </c>
      <c r="F2330" t="b">
        <f>ISLOGICAL(E2330)</f>
        <v>1</v>
      </c>
      <c r="G2330" t="s">
        <v>12516</v>
      </c>
    </row>
    <row r="2331" spans="1:7" x14ac:dyDescent="0.35">
      <c r="A2331" t="s">
        <v>8683</v>
      </c>
      <c r="B2331" t="s">
        <v>9648</v>
      </c>
      <c r="C2331" t="s">
        <v>8683</v>
      </c>
      <c r="D2331" t="s">
        <v>9699</v>
      </c>
      <c r="E2331" t="b">
        <f>jhs_cellcapacity_images4</f>
        <v>0</v>
      </c>
      <c r="F2331" t="b">
        <f>ISLOGICAL(E2331)</f>
        <v>1</v>
      </c>
      <c r="G2331" t="s">
        <v>12516</v>
      </c>
    </row>
    <row r="2332" spans="1:7" x14ac:dyDescent="0.35">
      <c r="A2332" t="s">
        <v>8688</v>
      </c>
      <c r="B2332" t="s">
        <v>9648</v>
      </c>
      <c r="C2332" t="s">
        <v>8688</v>
      </c>
      <c r="D2332" t="s">
        <v>9693</v>
      </c>
      <c r="E2332" t="b">
        <f>jhs_cellcapacity_videocall4</f>
        <v>0</v>
      </c>
      <c r="F2332" t="b">
        <f>ISLOGICAL(E2332)</f>
        <v>1</v>
      </c>
      <c r="G2332" t="s">
        <v>12516</v>
      </c>
    </row>
    <row r="2333" spans="1:7" x14ac:dyDescent="0.35">
      <c r="A2333" t="s">
        <v>8693</v>
      </c>
      <c r="B2333" t="s">
        <v>9648</v>
      </c>
      <c r="C2333" t="s">
        <v>8693</v>
      </c>
      <c r="D2333" t="s">
        <v>9698</v>
      </c>
      <c r="E2333" t="b">
        <f>jhs_cellcapacity_nosignal4</f>
        <v>0</v>
      </c>
      <c r="F2333" t="b">
        <f>ISLOGICAL(E2333)</f>
        <v>1</v>
      </c>
      <c r="G2333" t="s">
        <v>12516</v>
      </c>
    </row>
    <row r="2334" spans="1:7" x14ac:dyDescent="0.35">
      <c r="A2334" t="s">
        <v>9657</v>
      </c>
      <c r="B2334" t="s">
        <v>9648</v>
      </c>
      <c r="C2334" t="s">
        <v>9657</v>
      </c>
      <c r="D2334" t="s">
        <v>9694</v>
      </c>
      <c r="E2334" t="e">
        <f>VLOOKUP(combo_jhs_cellulartype4, _ref_cell_wtg, 1, FALSE)</f>
        <v>#N/A</v>
      </c>
      <c r="F2334" t="b">
        <v>1</v>
      </c>
    </row>
    <row r="2335" spans="1:7" x14ac:dyDescent="0.35">
      <c r="A2335" t="s">
        <v>8668</v>
      </c>
      <c r="B2335" t="s">
        <v>9648</v>
      </c>
      <c r="C2335" t="s">
        <v>8668</v>
      </c>
      <c r="D2335" t="s">
        <v>9695</v>
      </c>
      <c r="E2335" s="1397">
        <f>jhs_cell_avemonthlyexpense4</f>
        <v>0</v>
      </c>
      <c r="F2335" t="b">
        <v>1</v>
      </c>
    </row>
    <row r="2336" spans="1:7" x14ac:dyDescent="0.35">
      <c r="A2336" t="s">
        <v>9662</v>
      </c>
      <c r="B2336" t="s">
        <v>9648</v>
      </c>
      <c r="C2336" t="s">
        <v>9662</v>
      </c>
      <c r="D2336" t="s">
        <v>9696</v>
      </c>
      <c r="E2336" t="e">
        <f>VLOOKUP(combo_jhs_cell_fundsource4,_ref_funding_source,1, FALSE)</f>
        <v>#N/A</v>
      </c>
      <c r="F2336" t="b">
        <v>1</v>
      </c>
    </row>
    <row r="2337" spans="1:14" x14ac:dyDescent="0.35">
      <c r="A2337" t="s">
        <v>9653</v>
      </c>
      <c r="B2337" t="s">
        <v>9648</v>
      </c>
      <c r="C2337" t="s">
        <v>9653</v>
      </c>
      <c r="D2337" t="s">
        <v>9700</v>
      </c>
      <c r="E2337" t="e">
        <f>VLOOKUP(combo_jhs_cellularsp5, _ref_cell_serv_provider, 1, FALSE)</f>
        <v>#N/A</v>
      </c>
      <c r="F2337" t="b">
        <v>1</v>
      </c>
    </row>
    <row r="2338" spans="1:14" x14ac:dyDescent="0.35">
      <c r="A2338" t="s">
        <v>8674</v>
      </c>
      <c r="B2338" t="s">
        <v>9648</v>
      </c>
      <c r="C2338" t="s">
        <v>8674</v>
      </c>
      <c r="D2338" t="s">
        <v>9701</v>
      </c>
      <c r="E2338" t="b">
        <f>jhs_cellcapacity_text5</f>
        <v>0</v>
      </c>
      <c r="F2338" t="b">
        <f>ISLOGICAL(E2338)</f>
        <v>1</v>
      </c>
      <c r="G2338" t="s">
        <v>12516</v>
      </c>
    </row>
    <row r="2339" spans="1:14" x14ac:dyDescent="0.35">
      <c r="A2339" t="s">
        <v>8679</v>
      </c>
      <c r="B2339" t="s">
        <v>9648</v>
      </c>
      <c r="C2339" t="s">
        <v>8679</v>
      </c>
      <c r="D2339" t="s">
        <v>9706</v>
      </c>
      <c r="E2339" t="b">
        <f>jhs_cellcapacity_call5</f>
        <v>0</v>
      </c>
      <c r="F2339" t="b">
        <f>ISLOGICAL(E2339)</f>
        <v>1</v>
      </c>
      <c r="G2339" t="s">
        <v>12516</v>
      </c>
    </row>
    <row r="2340" spans="1:14" x14ac:dyDescent="0.35">
      <c r="A2340" t="s">
        <v>8684</v>
      </c>
      <c r="B2340" t="s">
        <v>9648</v>
      </c>
      <c r="C2340" t="s">
        <v>8684</v>
      </c>
      <c r="D2340" t="s">
        <v>9708</v>
      </c>
      <c r="E2340" t="b">
        <f>jhs_cellcapacity_images5</f>
        <v>0</v>
      </c>
      <c r="F2340" t="b">
        <f>ISLOGICAL(E2340)</f>
        <v>1</v>
      </c>
      <c r="G2340" t="s">
        <v>12516</v>
      </c>
    </row>
    <row r="2341" spans="1:14" x14ac:dyDescent="0.35">
      <c r="A2341" t="s">
        <v>8689</v>
      </c>
      <c r="B2341" t="s">
        <v>9648</v>
      </c>
      <c r="C2341" t="s">
        <v>8689</v>
      </c>
      <c r="D2341" t="s">
        <v>9702</v>
      </c>
      <c r="E2341" t="b">
        <f>jhs_cellcapacity_videocall5</f>
        <v>0</v>
      </c>
      <c r="F2341" t="b">
        <f>ISLOGICAL(E2341)</f>
        <v>1</v>
      </c>
      <c r="G2341" t="s">
        <v>12516</v>
      </c>
    </row>
    <row r="2342" spans="1:14" x14ac:dyDescent="0.35">
      <c r="A2342" t="s">
        <v>8694</v>
      </c>
      <c r="B2342" t="s">
        <v>9648</v>
      </c>
      <c r="C2342" t="s">
        <v>8694</v>
      </c>
      <c r="D2342" t="s">
        <v>9707</v>
      </c>
      <c r="E2342" t="b">
        <f>jhs_cellcapacity_nosignal5</f>
        <v>0</v>
      </c>
      <c r="F2342" t="b">
        <f>ISLOGICAL(E2342)</f>
        <v>1</v>
      </c>
      <c r="G2342" t="s">
        <v>12516</v>
      </c>
    </row>
    <row r="2343" spans="1:14" x14ac:dyDescent="0.35">
      <c r="A2343" t="s">
        <v>9658</v>
      </c>
      <c r="B2343" t="s">
        <v>9648</v>
      </c>
      <c r="C2343" t="s">
        <v>9658</v>
      </c>
      <c r="D2343" t="s">
        <v>9703</v>
      </c>
      <c r="E2343" t="e">
        <f>VLOOKUP(combo_jhs_cellulartype5, _ref_cell_wtg, 1, FALSE)</f>
        <v>#N/A</v>
      </c>
      <c r="F2343" t="b">
        <v>1</v>
      </c>
    </row>
    <row r="2344" spans="1:14" x14ac:dyDescent="0.35">
      <c r="A2344" t="s">
        <v>8669</v>
      </c>
      <c r="B2344" t="s">
        <v>9648</v>
      </c>
      <c r="C2344" t="s">
        <v>8669</v>
      </c>
      <c r="D2344" t="s">
        <v>9704</v>
      </c>
      <c r="E2344" s="1397">
        <f>jhs_cell_avemonthlyexpense5</f>
        <v>0</v>
      </c>
      <c r="F2344" t="b">
        <v>1</v>
      </c>
    </row>
    <row r="2345" spans="1:14" s="1348" customFormat="1" ht="16" thickBot="1" x14ac:dyDescent="0.4">
      <c r="A2345" s="1348" t="s">
        <v>9663</v>
      </c>
      <c r="B2345" s="1348" t="s">
        <v>9648</v>
      </c>
      <c r="C2345" s="1348" t="s">
        <v>9663</v>
      </c>
      <c r="D2345" s="1348" t="s">
        <v>9705</v>
      </c>
      <c r="E2345" s="1348" t="e">
        <f>VLOOKUP(combo_jhs_cell_fundsource5,_ref_funding_source,1, FALSE)</f>
        <v>#N/A</v>
      </c>
      <c r="F2345" s="1348" t="b">
        <v>1</v>
      </c>
      <c r="N2345" s="1358"/>
    </row>
    <row r="2346" spans="1:14" s="1350" customFormat="1" x14ac:dyDescent="0.35">
      <c r="A2346" s="1350" t="s">
        <v>9716</v>
      </c>
      <c r="B2346" s="1350" t="s">
        <v>9715</v>
      </c>
      <c r="C2346" s="1350" t="s">
        <v>9716</v>
      </c>
      <c r="D2346" s="1350" t="s">
        <v>9782</v>
      </c>
      <c r="E2346" s="1350" t="str">
        <f>VLOOKUP(combo_jhs_printer_type1,_ref_type_printer,1, FALSE)</f>
        <v>Multifunction Printer</v>
      </c>
      <c r="F2346" s="1350" t="b">
        <v>1</v>
      </c>
      <c r="N2346" s="1357"/>
    </row>
    <row r="2347" spans="1:14" x14ac:dyDescent="0.35">
      <c r="A2347" t="s">
        <v>8695</v>
      </c>
      <c r="B2347" t="s">
        <v>9715</v>
      </c>
      <c r="C2347" t="s">
        <v>9726</v>
      </c>
      <c r="D2347" t="s">
        <v>9783</v>
      </c>
      <c r="E2347" t="str">
        <f>jhs_printer_brand1</f>
        <v>Brother DCP T720DW</v>
      </c>
      <c r="F2347" t="b">
        <v>1</v>
      </c>
    </row>
    <row r="2348" spans="1:14" x14ac:dyDescent="0.35">
      <c r="A2348" t="s">
        <v>8705</v>
      </c>
      <c r="B2348" t="s">
        <v>9715</v>
      </c>
      <c r="C2348" t="s">
        <v>8705</v>
      </c>
      <c r="D2348" t="s">
        <v>9784</v>
      </c>
      <c r="E2348" s="1397">
        <f>jhs_printer_avemonthlyexpense1</f>
        <v>1200</v>
      </c>
      <c r="F2348" t="b">
        <v>1</v>
      </c>
    </row>
    <row r="2349" spans="1:14" x14ac:dyDescent="0.35">
      <c r="A2349" t="s">
        <v>9736</v>
      </c>
      <c r="B2349" t="s">
        <v>9715</v>
      </c>
      <c r="C2349" t="s">
        <v>9736</v>
      </c>
      <c r="D2349" t="s">
        <v>9785</v>
      </c>
      <c r="E2349" t="str">
        <f>VLOOKUP(combo_jhs_printer_fundingsource1,_ref_funding_source,1,FALSE)</f>
        <v>MOOE</v>
      </c>
      <c r="F2349" t="b">
        <v>1</v>
      </c>
    </row>
    <row r="2350" spans="1:14" x14ac:dyDescent="0.35">
      <c r="A2350" t="s">
        <v>9746</v>
      </c>
      <c r="B2350" t="s">
        <v>9715</v>
      </c>
      <c r="C2350" t="s">
        <v>9746</v>
      </c>
      <c r="D2350" t="s">
        <v>9786</v>
      </c>
      <c r="E2350" t="str">
        <f>VLOOKUP(combo_jhs_printer_purpose1, _ref_purpose, 1, FALSE)</f>
        <v>For both administrative &amp; classroom instruction use</v>
      </c>
      <c r="F2350" t="b">
        <v>1</v>
      </c>
    </row>
    <row r="2351" spans="1:14" x14ac:dyDescent="0.35">
      <c r="A2351" t="s">
        <v>9717</v>
      </c>
      <c r="B2351" t="s">
        <v>9715</v>
      </c>
      <c r="C2351" t="s">
        <v>9717</v>
      </c>
      <c r="D2351" t="s">
        <v>9787</v>
      </c>
      <c r="E2351" t="str">
        <f>VLOOKUP(combo_jhs_printer_type2,_ref_type_printer,1, FALSE)</f>
        <v>Multifunction Printer</v>
      </c>
      <c r="F2351" t="b">
        <v>1</v>
      </c>
    </row>
    <row r="2352" spans="1:14" x14ac:dyDescent="0.35">
      <c r="A2352" t="s">
        <v>8696</v>
      </c>
      <c r="B2352" t="s">
        <v>9715</v>
      </c>
      <c r="C2352" t="s">
        <v>9727</v>
      </c>
      <c r="D2352" t="s">
        <v>9788</v>
      </c>
      <c r="E2352" t="str">
        <f>jhs_printer_brand2</f>
        <v>Epson L3110</v>
      </c>
      <c r="F2352" t="b">
        <v>1</v>
      </c>
    </row>
    <row r="2353" spans="1:6" x14ac:dyDescent="0.35">
      <c r="A2353" t="s">
        <v>8706</v>
      </c>
      <c r="B2353" t="s">
        <v>9715</v>
      </c>
      <c r="C2353" t="s">
        <v>8706</v>
      </c>
      <c r="D2353" t="s">
        <v>9789</v>
      </c>
      <c r="E2353" s="1397">
        <f>jhs_printer_avemonthlyexpense2</f>
        <v>1200</v>
      </c>
      <c r="F2353" t="b">
        <v>1</v>
      </c>
    </row>
    <row r="2354" spans="1:6" x14ac:dyDescent="0.35">
      <c r="A2354" t="s">
        <v>9737</v>
      </c>
      <c r="B2354" t="s">
        <v>9715</v>
      </c>
      <c r="C2354" t="s">
        <v>9737</v>
      </c>
      <c r="D2354" t="s">
        <v>9790</v>
      </c>
      <c r="E2354" t="str">
        <f>VLOOKUP(combo_jhs_printer_fundingsource2,_ref_funding_source,1,FALSE)</f>
        <v>MOOE</v>
      </c>
      <c r="F2354" t="b">
        <v>1</v>
      </c>
    </row>
    <row r="2355" spans="1:6" x14ac:dyDescent="0.35">
      <c r="A2355" t="s">
        <v>9747</v>
      </c>
      <c r="B2355" t="s">
        <v>9715</v>
      </c>
      <c r="C2355" t="s">
        <v>9747</v>
      </c>
      <c r="D2355" t="s">
        <v>9791</v>
      </c>
      <c r="E2355" t="str">
        <f>VLOOKUP(combo_jhs_printer_purpose2, _ref_purpose, 1, FALSE)</f>
        <v>For administrative use</v>
      </c>
      <c r="F2355" t="b">
        <v>1</v>
      </c>
    </row>
    <row r="2356" spans="1:6" x14ac:dyDescent="0.35">
      <c r="A2356" t="s">
        <v>9718</v>
      </c>
      <c r="B2356" t="s">
        <v>9715</v>
      </c>
      <c r="C2356" t="s">
        <v>9718</v>
      </c>
      <c r="D2356" t="s">
        <v>9792</v>
      </c>
      <c r="E2356" t="str">
        <f>VLOOKUP(combo_jhs_printer_type3,_ref_type_printer,1, FALSE)</f>
        <v>Multifunction Printer</v>
      </c>
      <c r="F2356" t="b">
        <v>1</v>
      </c>
    </row>
    <row r="2357" spans="1:6" x14ac:dyDescent="0.35">
      <c r="A2357" t="s">
        <v>8697</v>
      </c>
      <c r="B2357" t="s">
        <v>9715</v>
      </c>
      <c r="C2357" t="s">
        <v>9728</v>
      </c>
      <c r="D2357" t="s">
        <v>9793</v>
      </c>
      <c r="E2357" t="str">
        <f>jhs_printer_brand3</f>
        <v>Epson L6170</v>
      </c>
      <c r="F2357" t="b">
        <v>1</v>
      </c>
    </row>
    <row r="2358" spans="1:6" x14ac:dyDescent="0.35">
      <c r="A2358" t="s">
        <v>8707</v>
      </c>
      <c r="B2358" t="s">
        <v>9715</v>
      </c>
      <c r="C2358" t="s">
        <v>8707</v>
      </c>
      <c r="D2358" t="s">
        <v>9794</v>
      </c>
      <c r="E2358" s="1397">
        <f>jhs_printer_avemonthlyexpense3</f>
        <v>1200</v>
      </c>
      <c r="F2358" t="b">
        <v>1</v>
      </c>
    </row>
    <row r="2359" spans="1:6" x14ac:dyDescent="0.35">
      <c r="A2359" t="s">
        <v>9738</v>
      </c>
      <c r="B2359" t="s">
        <v>9715</v>
      </c>
      <c r="C2359" t="s">
        <v>9738</v>
      </c>
      <c r="D2359" t="s">
        <v>9795</v>
      </c>
      <c r="E2359" t="str">
        <f>VLOOKUP(combo_jhs_printer_fundingsource3,_ref_funding_source,1,FALSE)</f>
        <v>MOOE</v>
      </c>
      <c r="F2359" t="b">
        <v>1</v>
      </c>
    </row>
    <row r="2360" spans="1:6" x14ac:dyDescent="0.35">
      <c r="A2360" t="s">
        <v>9748</v>
      </c>
      <c r="B2360" t="s">
        <v>9715</v>
      </c>
      <c r="C2360" t="s">
        <v>9748</v>
      </c>
      <c r="D2360" t="s">
        <v>9796</v>
      </c>
      <c r="E2360" t="str">
        <f>VLOOKUP(combo_jhs_printer_purpose3, _ref_purpose, 1, FALSE)</f>
        <v>For both administrative &amp; classroom instruction use</v>
      </c>
      <c r="F2360" t="b">
        <v>1</v>
      </c>
    </row>
    <row r="2361" spans="1:6" x14ac:dyDescent="0.35">
      <c r="A2361" t="s">
        <v>9719</v>
      </c>
      <c r="B2361" t="s">
        <v>9715</v>
      </c>
      <c r="C2361" t="s">
        <v>9719</v>
      </c>
      <c r="D2361" t="s">
        <v>9797</v>
      </c>
      <c r="E2361" t="str">
        <f>VLOOKUP(combo_jhs_printer_type4,_ref_type_printer,1, FALSE)</f>
        <v>Multifunction Printer</v>
      </c>
      <c r="F2361" t="b">
        <v>1</v>
      </c>
    </row>
    <row r="2362" spans="1:6" x14ac:dyDescent="0.35">
      <c r="A2362" t="s">
        <v>8698</v>
      </c>
      <c r="B2362" t="s">
        <v>9715</v>
      </c>
      <c r="C2362" t="s">
        <v>9729</v>
      </c>
      <c r="D2362" t="s">
        <v>9798</v>
      </c>
      <c r="E2362" t="str">
        <f>jhs_printer_brand4</f>
        <v>Epson L360</v>
      </c>
      <c r="F2362" t="b">
        <v>1</v>
      </c>
    </row>
    <row r="2363" spans="1:6" x14ac:dyDescent="0.35">
      <c r="A2363" t="s">
        <v>8708</v>
      </c>
      <c r="B2363" t="s">
        <v>9715</v>
      </c>
      <c r="C2363" t="s">
        <v>8708</v>
      </c>
      <c r="D2363" t="s">
        <v>9799</v>
      </c>
      <c r="E2363" s="1397">
        <f>jhs_printer_avemonthlyexpense4</f>
        <v>1200</v>
      </c>
      <c r="F2363" t="b">
        <v>1</v>
      </c>
    </row>
    <row r="2364" spans="1:6" x14ac:dyDescent="0.35">
      <c r="A2364" t="s">
        <v>9739</v>
      </c>
      <c r="B2364" t="s">
        <v>9715</v>
      </c>
      <c r="C2364" t="s">
        <v>9739</v>
      </c>
      <c r="D2364" t="s">
        <v>9800</v>
      </c>
      <c r="E2364" t="str">
        <f>VLOOKUP(combo_jhs_printer_fundingsource4,_ref_funding_source,1,FALSE)</f>
        <v>MOOE</v>
      </c>
      <c r="F2364" t="b">
        <v>1</v>
      </c>
    </row>
    <row r="2365" spans="1:6" x14ac:dyDescent="0.35">
      <c r="A2365" t="s">
        <v>9749</v>
      </c>
      <c r="B2365" t="s">
        <v>9715</v>
      </c>
      <c r="C2365" t="s">
        <v>9749</v>
      </c>
      <c r="D2365" t="s">
        <v>9801</v>
      </c>
      <c r="E2365" t="str">
        <f>VLOOKUP(combo_jhs_printer_purpose4, _ref_purpose, 1, FALSE)</f>
        <v>For administrative use</v>
      </c>
      <c r="F2365" t="b">
        <v>1</v>
      </c>
    </row>
    <row r="2366" spans="1:6" x14ac:dyDescent="0.35">
      <c r="A2366" t="s">
        <v>9720</v>
      </c>
      <c r="B2366" t="s">
        <v>9715</v>
      </c>
      <c r="C2366" t="s">
        <v>9720</v>
      </c>
      <c r="D2366" t="s">
        <v>9802</v>
      </c>
      <c r="E2366" t="str">
        <f>VLOOKUP(combo_jhs_printer_type5,_ref_type_printer,1, FALSE)</f>
        <v>Multifunction Printer</v>
      </c>
      <c r="F2366" t="b">
        <v>1</v>
      </c>
    </row>
    <row r="2367" spans="1:6" x14ac:dyDescent="0.35">
      <c r="A2367" t="s">
        <v>8699</v>
      </c>
      <c r="B2367" t="s">
        <v>9715</v>
      </c>
      <c r="C2367" t="s">
        <v>9730</v>
      </c>
      <c r="D2367" t="s">
        <v>9803</v>
      </c>
      <c r="E2367" t="str">
        <f>jhs_printer_brand5</f>
        <v>Epson L3120</v>
      </c>
      <c r="F2367" t="b">
        <v>1</v>
      </c>
    </row>
    <row r="2368" spans="1:6" x14ac:dyDescent="0.35">
      <c r="A2368" t="s">
        <v>8709</v>
      </c>
      <c r="B2368" t="s">
        <v>9715</v>
      </c>
      <c r="C2368" t="s">
        <v>8709</v>
      </c>
      <c r="D2368" t="s">
        <v>9804</v>
      </c>
      <c r="E2368" s="1397">
        <f>jhs_printer_avemonthlyexpense5</f>
        <v>1200</v>
      </c>
      <c r="F2368" t="b">
        <v>1</v>
      </c>
    </row>
    <row r="2369" spans="1:6" x14ac:dyDescent="0.35">
      <c r="A2369" t="s">
        <v>9740</v>
      </c>
      <c r="B2369" t="s">
        <v>9715</v>
      </c>
      <c r="C2369" t="s">
        <v>9740</v>
      </c>
      <c r="D2369" t="s">
        <v>9805</v>
      </c>
      <c r="E2369" t="str">
        <f>VLOOKUP(combo_jhs_printer_fundingsource5,_ref_funding_source,1,FALSE)</f>
        <v>MOOE</v>
      </c>
      <c r="F2369" t="b">
        <v>1</v>
      </c>
    </row>
    <row r="2370" spans="1:6" x14ac:dyDescent="0.35">
      <c r="A2370" t="s">
        <v>9750</v>
      </c>
      <c r="B2370" t="s">
        <v>9715</v>
      </c>
      <c r="C2370" t="s">
        <v>9750</v>
      </c>
      <c r="D2370" t="s">
        <v>9806</v>
      </c>
      <c r="E2370" t="str">
        <f>VLOOKUP(combo_jhs_printer_purpose5, _ref_purpose, 1, FALSE)</f>
        <v>For administrative use</v>
      </c>
      <c r="F2370" t="b">
        <v>1</v>
      </c>
    </row>
    <row r="2371" spans="1:6" x14ac:dyDescent="0.35">
      <c r="A2371" t="s">
        <v>9721</v>
      </c>
      <c r="B2371" t="s">
        <v>9715</v>
      </c>
      <c r="C2371" t="s">
        <v>9721</v>
      </c>
      <c r="D2371" t="s">
        <v>9807</v>
      </c>
      <c r="E2371" t="str">
        <f>VLOOKUP(combo_jhs_printer_type6,_ref_type_printer,1, FALSE)</f>
        <v>Photocopier</v>
      </c>
      <c r="F2371" t="b">
        <v>1</v>
      </c>
    </row>
    <row r="2372" spans="1:6" x14ac:dyDescent="0.35">
      <c r="A2372" t="s">
        <v>8700</v>
      </c>
      <c r="B2372" t="s">
        <v>9715</v>
      </c>
      <c r="C2372" t="s">
        <v>9731</v>
      </c>
      <c r="D2372" t="s">
        <v>9808</v>
      </c>
      <c r="E2372" t="str">
        <f>jhs_printer_brand6</f>
        <v>RISO</v>
      </c>
      <c r="F2372" t="b">
        <v>1</v>
      </c>
    </row>
    <row r="2373" spans="1:6" x14ac:dyDescent="0.35">
      <c r="A2373" t="s">
        <v>8710</v>
      </c>
      <c r="B2373" t="s">
        <v>9715</v>
      </c>
      <c r="C2373" t="s">
        <v>8710</v>
      </c>
      <c r="D2373" t="s">
        <v>9809</v>
      </c>
      <c r="E2373" s="1397">
        <f>jhs_printer_avemonthlyexpense6</f>
        <v>5000</v>
      </c>
      <c r="F2373" t="b">
        <v>1</v>
      </c>
    </row>
    <row r="2374" spans="1:6" x14ac:dyDescent="0.35">
      <c r="A2374" t="s">
        <v>9741</v>
      </c>
      <c r="B2374" t="s">
        <v>9715</v>
      </c>
      <c r="C2374" t="s">
        <v>9741</v>
      </c>
      <c r="D2374" t="s">
        <v>9810</v>
      </c>
      <c r="E2374" t="str">
        <f>VLOOKUP(combo_jhs_printer_fundingsource6,_ref_funding_source,1,FALSE)</f>
        <v>MOOE</v>
      </c>
      <c r="F2374" t="b">
        <v>1</v>
      </c>
    </row>
    <row r="2375" spans="1:6" x14ac:dyDescent="0.35">
      <c r="A2375" t="s">
        <v>9751</v>
      </c>
      <c r="B2375" t="s">
        <v>9715</v>
      </c>
      <c r="C2375" t="s">
        <v>9751</v>
      </c>
      <c r="D2375" t="s">
        <v>9811</v>
      </c>
      <c r="E2375" t="str">
        <f>VLOOKUP(combo_jhs_printer_purpose6, _ref_purpose, 1, FALSE)</f>
        <v>For both administrative &amp; classroom instruction use</v>
      </c>
      <c r="F2375" t="b">
        <v>1</v>
      </c>
    </row>
    <row r="2376" spans="1:6" x14ac:dyDescent="0.35">
      <c r="A2376" t="s">
        <v>9722</v>
      </c>
      <c r="B2376" t="s">
        <v>9715</v>
      </c>
      <c r="C2376" t="s">
        <v>9722</v>
      </c>
      <c r="D2376" t="s">
        <v>9812</v>
      </c>
      <c r="E2376" t="str">
        <f>VLOOKUP(combo_jhs_printer_type7,_ref_type_printer,1, FALSE)</f>
        <v>Multifunction Printer</v>
      </c>
      <c r="F2376" t="b">
        <v>1</v>
      </c>
    </row>
    <row r="2377" spans="1:6" x14ac:dyDescent="0.35">
      <c r="A2377" t="s">
        <v>8701</v>
      </c>
      <c r="B2377" t="s">
        <v>9715</v>
      </c>
      <c r="C2377" t="s">
        <v>9732</v>
      </c>
      <c r="D2377" t="s">
        <v>9813</v>
      </c>
      <c r="E2377" t="str">
        <f>jhs_printer_brand7</f>
        <v>Brother DCP T720DW</v>
      </c>
      <c r="F2377" t="b">
        <v>1</v>
      </c>
    </row>
    <row r="2378" spans="1:6" x14ac:dyDescent="0.35">
      <c r="A2378" t="s">
        <v>8711</v>
      </c>
      <c r="B2378" t="s">
        <v>9715</v>
      </c>
      <c r="C2378" t="s">
        <v>8711</v>
      </c>
      <c r="D2378" t="s">
        <v>9814</v>
      </c>
      <c r="E2378" s="1397">
        <f>jhs_printer_avemonthlyexpense7</f>
        <v>1200</v>
      </c>
      <c r="F2378" t="b">
        <v>1</v>
      </c>
    </row>
    <row r="2379" spans="1:6" x14ac:dyDescent="0.35">
      <c r="A2379" t="s">
        <v>9742</v>
      </c>
      <c r="B2379" t="s">
        <v>9715</v>
      </c>
      <c r="C2379" t="s">
        <v>9742</v>
      </c>
      <c r="D2379" t="s">
        <v>9815</v>
      </c>
      <c r="E2379" t="str">
        <f>VLOOKUP(combo_jhs_printer_fundingsource7,_ref_funding_source,1,FALSE)</f>
        <v>MOOE</v>
      </c>
      <c r="F2379" t="b">
        <v>1</v>
      </c>
    </row>
    <row r="2380" spans="1:6" x14ac:dyDescent="0.35">
      <c r="A2380" t="s">
        <v>9752</v>
      </c>
      <c r="B2380" t="s">
        <v>9715</v>
      </c>
      <c r="C2380" t="s">
        <v>9752</v>
      </c>
      <c r="D2380" t="s">
        <v>9816</v>
      </c>
      <c r="E2380" t="str">
        <f>VLOOKUP(combo_jhs_printer_purpose7, _ref_purpose, 1, FALSE)</f>
        <v>For classroom instruction use</v>
      </c>
      <c r="F2380" t="b">
        <v>1</v>
      </c>
    </row>
    <row r="2381" spans="1:6" x14ac:dyDescent="0.35">
      <c r="A2381" t="s">
        <v>9723</v>
      </c>
      <c r="B2381" t="s">
        <v>9715</v>
      </c>
      <c r="C2381" t="s">
        <v>9723</v>
      </c>
      <c r="D2381" t="s">
        <v>9817</v>
      </c>
      <c r="E2381" t="e">
        <f>VLOOKUP(combo_jhs_printer_type8,_ref_type_printer,1, FALSE)</f>
        <v>#N/A</v>
      </c>
      <c r="F2381" t="b">
        <v>1</v>
      </c>
    </row>
    <row r="2382" spans="1:6" x14ac:dyDescent="0.35">
      <c r="A2382" t="s">
        <v>8702</v>
      </c>
      <c r="B2382" t="s">
        <v>9715</v>
      </c>
      <c r="C2382" t="s">
        <v>9733</v>
      </c>
      <c r="D2382" t="s">
        <v>9818</v>
      </c>
      <c r="E2382">
        <f>jhs_printer_brand8</f>
        <v>0</v>
      </c>
      <c r="F2382" t="b">
        <v>1</v>
      </c>
    </row>
    <row r="2383" spans="1:6" x14ac:dyDescent="0.35">
      <c r="A2383" t="s">
        <v>8712</v>
      </c>
      <c r="B2383" t="s">
        <v>9715</v>
      </c>
      <c r="C2383" t="s">
        <v>8712</v>
      </c>
      <c r="D2383" t="s">
        <v>9819</v>
      </c>
      <c r="E2383" s="1397">
        <f>jhs_printer_avemonthlyexpense8</f>
        <v>0</v>
      </c>
      <c r="F2383" t="b">
        <v>1</v>
      </c>
    </row>
    <row r="2384" spans="1:6" x14ac:dyDescent="0.35">
      <c r="A2384" t="s">
        <v>9743</v>
      </c>
      <c r="B2384" t="s">
        <v>9715</v>
      </c>
      <c r="C2384" t="s">
        <v>9743</v>
      </c>
      <c r="D2384" t="s">
        <v>9820</v>
      </c>
      <c r="E2384" t="e">
        <f>VLOOKUP(combo_jhs_printer_fundingsource8,_ref_funding_source,1,FALSE)</f>
        <v>#N/A</v>
      </c>
      <c r="F2384" t="b">
        <v>1</v>
      </c>
    </row>
    <row r="2385" spans="1:14" x14ac:dyDescent="0.35">
      <c r="A2385" t="s">
        <v>9753</v>
      </c>
      <c r="B2385" t="s">
        <v>9715</v>
      </c>
      <c r="C2385" t="s">
        <v>9753</v>
      </c>
      <c r="D2385" t="s">
        <v>9821</v>
      </c>
      <c r="E2385" t="e">
        <f>VLOOKUP(combo_jhs_printer_purpose8, _ref_purpose, 1, FALSE)</f>
        <v>#N/A</v>
      </c>
      <c r="F2385" t="b">
        <v>1</v>
      </c>
    </row>
    <row r="2386" spans="1:14" x14ac:dyDescent="0.35">
      <c r="A2386" t="s">
        <v>9724</v>
      </c>
      <c r="B2386" t="s">
        <v>9715</v>
      </c>
      <c r="C2386" t="s">
        <v>9724</v>
      </c>
      <c r="D2386" t="s">
        <v>9822</v>
      </c>
      <c r="E2386" t="e">
        <f>VLOOKUP(combo_jhs_printer_type9,_ref_type_printer,1, FALSE)</f>
        <v>#N/A</v>
      </c>
      <c r="F2386" t="b">
        <v>1</v>
      </c>
    </row>
    <row r="2387" spans="1:14" x14ac:dyDescent="0.35">
      <c r="A2387" t="s">
        <v>8703</v>
      </c>
      <c r="B2387" t="s">
        <v>9715</v>
      </c>
      <c r="C2387" t="s">
        <v>9734</v>
      </c>
      <c r="D2387" t="s">
        <v>9823</v>
      </c>
      <c r="E2387">
        <f>jhs_printer_brand9</f>
        <v>0</v>
      </c>
      <c r="F2387" t="b">
        <v>1</v>
      </c>
    </row>
    <row r="2388" spans="1:14" x14ac:dyDescent="0.35">
      <c r="A2388" t="s">
        <v>8713</v>
      </c>
      <c r="B2388" t="s">
        <v>9715</v>
      </c>
      <c r="C2388" t="s">
        <v>8713</v>
      </c>
      <c r="D2388" t="s">
        <v>9824</v>
      </c>
      <c r="E2388" s="1397">
        <f>jhs_printer_avemonthlyexpense9</f>
        <v>0</v>
      </c>
      <c r="F2388" t="b">
        <v>1</v>
      </c>
    </row>
    <row r="2389" spans="1:14" x14ac:dyDescent="0.35">
      <c r="A2389" t="s">
        <v>9744</v>
      </c>
      <c r="B2389" t="s">
        <v>9715</v>
      </c>
      <c r="C2389" t="s">
        <v>9744</v>
      </c>
      <c r="D2389" t="s">
        <v>9825</v>
      </c>
      <c r="E2389" t="e">
        <f>VLOOKUP(combo_jhs_printer_fundingsource9,_ref_funding_source,1,FALSE)</f>
        <v>#N/A</v>
      </c>
      <c r="F2389" t="b">
        <v>1</v>
      </c>
    </row>
    <row r="2390" spans="1:14" x14ac:dyDescent="0.35">
      <c r="A2390" t="s">
        <v>9754</v>
      </c>
      <c r="B2390" t="s">
        <v>9715</v>
      </c>
      <c r="C2390" t="s">
        <v>9754</v>
      </c>
      <c r="D2390" t="s">
        <v>9826</v>
      </c>
      <c r="E2390" t="e">
        <f>VLOOKUP(combo_jhs_printer_purpose9, _ref_purpose, 1, FALSE)</f>
        <v>#N/A</v>
      </c>
      <c r="F2390" t="b">
        <v>1</v>
      </c>
    </row>
    <row r="2391" spans="1:14" x14ac:dyDescent="0.35">
      <c r="A2391" t="s">
        <v>9725</v>
      </c>
      <c r="B2391" t="s">
        <v>9715</v>
      </c>
      <c r="C2391" t="s">
        <v>9725</v>
      </c>
      <c r="D2391" t="s">
        <v>9827</v>
      </c>
      <c r="E2391" t="e">
        <f>VLOOKUP(combo_jhs_printer_type10,_ref_type_printer,1, FALSE)</f>
        <v>#N/A</v>
      </c>
      <c r="F2391" t="b">
        <v>1</v>
      </c>
    </row>
    <row r="2392" spans="1:14" x14ac:dyDescent="0.35">
      <c r="A2392" t="s">
        <v>8704</v>
      </c>
      <c r="B2392" t="s">
        <v>9715</v>
      </c>
      <c r="C2392" t="s">
        <v>9735</v>
      </c>
      <c r="D2392" t="s">
        <v>9828</v>
      </c>
      <c r="E2392">
        <f>jhs_printer_brand10</f>
        <v>0</v>
      </c>
      <c r="F2392" t="b">
        <v>1</v>
      </c>
    </row>
    <row r="2393" spans="1:14" x14ac:dyDescent="0.35">
      <c r="A2393" t="s">
        <v>8714</v>
      </c>
      <c r="B2393" t="s">
        <v>9715</v>
      </c>
      <c r="C2393" t="s">
        <v>8714</v>
      </c>
      <c r="D2393" t="s">
        <v>9829</v>
      </c>
      <c r="E2393" s="1397">
        <f>jhs_printer_avemonthlyexpense10</f>
        <v>0</v>
      </c>
      <c r="F2393" t="b">
        <v>1</v>
      </c>
    </row>
    <row r="2394" spans="1:14" x14ac:dyDescent="0.35">
      <c r="A2394" t="s">
        <v>9745</v>
      </c>
      <c r="B2394" t="s">
        <v>9715</v>
      </c>
      <c r="C2394" t="s">
        <v>9745</v>
      </c>
      <c r="D2394" t="s">
        <v>9830</v>
      </c>
      <c r="E2394" t="e">
        <f>VLOOKUP(combo_jhs_printer_fundingsource10,_ref_funding_source,1,FALSE)</f>
        <v>#N/A</v>
      </c>
      <c r="F2394" t="b">
        <v>1</v>
      </c>
    </row>
    <row r="2395" spans="1:14" ht="16" thickBot="1" x14ac:dyDescent="0.4">
      <c r="A2395" t="s">
        <v>9755</v>
      </c>
      <c r="B2395" t="s">
        <v>9715</v>
      </c>
      <c r="C2395" t="s">
        <v>9755</v>
      </c>
      <c r="D2395" s="1348" t="s">
        <v>9831</v>
      </c>
      <c r="E2395" t="e">
        <f>VLOOKUP(combo_jhs_printer_purpose10, _ref_purpose, 1, FALSE)</f>
        <v>#N/A</v>
      </c>
      <c r="F2395" t="b">
        <v>1</v>
      </c>
    </row>
    <row r="2396" spans="1:14" s="1350" customFormat="1" x14ac:dyDescent="0.35">
      <c r="A2396" s="1350" t="s">
        <v>9764</v>
      </c>
      <c r="B2396" s="1350" t="s">
        <v>9763</v>
      </c>
      <c r="C2396" s="1350" t="s">
        <v>9764</v>
      </c>
      <c r="D2396" s="1350" t="s">
        <v>9834</v>
      </c>
      <c r="E2396" s="1350" t="e">
        <f>VLOOKUP(combo_jhs_broadcastingtype1, _ref_broadcast_station, 1, FALSE)</f>
        <v>#N/A</v>
      </c>
      <c r="F2396" s="1350" t="b">
        <v>1</v>
      </c>
      <c r="N2396" s="1357"/>
    </row>
    <row r="2397" spans="1:14" x14ac:dyDescent="0.35">
      <c r="A2397" t="s">
        <v>8715</v>
      </c>
      <c r="B2397" t="s">
        <v>9763</v>
      </c>
      <c r="C2397" t="s">
        <v>8715</v>
      </c>
      <c r="D2397" t="s">
        <v>9835</v>
      </c>
      <c r="E2397">
        <f>jhs_broadcasting_name1</f>
        <v>0</v>
      </c>
      <c r="F2397" t="b">
        <v>1</v>
      </c>
    </row>
    <row r="2398" spans="1:14" x14ac:dyDescent="0.35">
      <c r="A2398" t="s">
        <v>8724</v>
      </c>
      <c r="B2398" t="s">
        <v>9763</v>
      </c>
      <c r="C2398" t="s">
        <v>8724</v>
      </c>
      <c r="D2398" t="s">
        <v>9836</v>
      </c>
      <c r="E2398">
        <f>jhs_broadcasting_frequency1</f>
        <v>0</v>
      </c>
      <c r="F2398" t="b">
        <v>1</v>
      </c>
    </row>
    <row r="2399" spans="1:14" x14ac:dyDescent="0.35">
      <c r="A2399" t="s">
        <v>8733</v>
      </c>
      <c r="B2399" t="s">
        <v>9763</v>
      </c>
      <c r="C2399" t="s">
        <v>8733</v>
      </c>
      <c r="D2399" t="s">
        <v>9837</v>
      </c>
      <c r="E2399">
        <f>jhs_broadcasting_ntclicense1</f>
        <v>0</v>
      </c>
      <c r="F2399" t="b">
        <v>1</v>
      </c>
    </row>
    <row r="2400" spans="1:14" x14ac:dyDescent="0.35">
      <c r="A2400" t="s">
        <v>8742</v>
      </c>
      <c r="B2400" t="s">
        <v>9763</v>
      </c>
      <c r="C2400" t="s">
        <v>8742</v>
      </c>
      <c r="D2400" t="s">
        <v>9838</v>
      </c>
      <c r="E2400">
        <f>jhs_broadcasting_owner1</f>
        <v>0</v>
      </c>
      <c r="F2400" t="b">
        <v>1</v>
      </c>
    </row>
    <row r="2401" spans="1:6" x14ac:dyDescent="0.35">
      <c r="A2401" t="s">
        <v>9773</v>
      </c>
      <c r="B2401" t="s">
        <v>9763</v>
      </c>
      <c r="C2401" t="s">
        <v>9773</v>
      </c>
      <c r="D2401" t="s">
        <v>9839</v>
      </c>
      <c r="E2401" t="e">
        <f>VLOOKUP(combo_jhs_broadcasting_status1, _ref_stat_partnership, 1, FALSE)</f>
        <v>#N/A</v>
      </c>
      <c r="F2401" t="b">
        <v>1</v>
      </c>
    </row>
    <row r="2402" spans="1:6" x14ac:dyDescent="0.35">
      <c r="A2402" t="s">
        <v>8751</v>
      </c>
      <c r="B2402" t="s">
        <v>9763</v>
      </c>
      <c r="C2402" t="s">
        <v>8751</v>
      </c>
      <c r="D2402" t="s">
        <v>9840</v>
      </c>
      <c r="E2402" s="1368">
        <f>jhs_broadcasting_datestarted1</f>
        <v>0</v>
      </c>
      <c r="F2402" t="b">
        <v>1</v>
      </c>
    </row>
    <row r="2403" spans="1:6" x14ac:dyDescent="0.35">
      <c r="A2403" t="s">
        <v>8760</v>
      </c>
      <c r="B2403" t="s">
        <v>9763</v>
      </c>
      <c r="C2403" t="s">
        <v>8760</v>
      </c>
      <c r="D2403" t="s">
        <v>9841</v>
      </c>
      <c r="E2403">
        <f>jhs_broadcasting_number1</f>
        <v>0</v>
      </c>
      <c r="F2403" t="b">
        <v>1</v>
      </c>
    </row>
    <row r="2404" spans="1:6" x14ac:dyDescent="0.35">
      <c r="A2404" t="s">
        <v>8769</v>
      </c>
      <c r="B2404" t="s">
        <v>9763</v>
      </c>
      <c r="C2404" t="s">
        <v>8769</v>
      </c>
      <c r="D2404" t="s">
        <v>9842</v>
      </c>
      <c r="E2404">
        <f>jhs_broadcasting_address1</f>
        <v>0</v>
      </c>
      <c r="F2404" t="b">
        <v>1</v>
      </c>
    </row>
    <row r="2405" spans="1:6" x14ac:dyDescent="0.35">
      <c r="A2405" t="s">
        <v>8778</v>
      </c>
      <c r="B2405" t="s">
        <v>9763</v>
      </c>
      <c r="C2405" t="s">
        <v>8778</v>
      </c>
      <c r="D2405" t="s">
        <v>9843</v>
      </c>
      <c r="E2405">
        <f>jhs_broadcasting_email1</f>
        <v>0</v>
      </c>
      <c r="F2405" t="b">
        <v>1</v>
      </c>
    </row>
    <row r="2406" spans="1:6" x14ac:dyDescent="0.35">
      <c r="A2406" t="s">
        <v>9765</v>
      </c>
      <c r="B2406" t="s">
        <v>9763</v>
      </c>
      <c r="C2406" t="s">
        <v>9765</v>
      </c>
      <c r="D2406" t="s">
        <v>9844</v>
      </c>
      <c r="E2406" t="e">
        <f>VLOOKUP(combo_jhs_broadcastingtype2, _ref_broadcast_station, 1, FALSE)</f>
        <v>#N/A</v>
      </c>
      <c r="F2406" t="b">
        <v>1</v>
      </c>
    </row>
    <row r="2407" spans="1:6" x14ac:dyDescent="0.35">
      <c r="A2407" t="s">
        <v>8716</v>
      </c>
      <c r="B2407" t="s">
        <v>9763</v>
      </c>
      <c r="C2407" t="s">
        <v>8716</v>
      </c>
      <c r="D2407" t="s">
        <v>9845</v>
      </c>
      <c r="E2407">
        <f>jhs_broadcasting_name2</f>
        <v>0</v>
      </c>
      <c r="F2407" t="b">
        <v>1</v>
      </c>
    </row>
    <row r="2408" spans="1:6" x14ac:dyDescent="0.35">
      <c r="A2408" t="s">
        <v>8725</v>
      </c>
      <c r="B2408" t="s">
        <v>9763</v>
      </c>
      <c r="C2408" t="s">
        <v>8725</v>
      </c>
      <c r="D2408" t="s">
        <v>9846</v>
      </c>
      <c r="E2408">
        <f>jhs_broadcasting_frequency2</f>
        <v>0</v>
      </c>
      <c r="F2408" t="b">
        <v>1</v>
      </c>
    </row>
    <row r="2409" spans="1:6" x14ac:dyDescent="0.35">
      <c r="A2409" t="s">
        <v>8734</v>
      </c>
      <c r="B2409" t="s">
        <v>9763</v>
      </c>
      <c r="C2409" t="s">
        <v>8734</v>
      </c>
      <c r="D2409" t="s">
        <v>9847</v>
      </c>
      <c r="E2409">
        <f>jhs_broadcasting_ntclicense2</f>
        <v>0</v>
      </c>
      <c r="F2409" t="b">
        <v>1</v>
      </c>
    </row>
    <row r="2410" spans="1:6" x14ac:dyDescent="0.35">
      <c r="A2410" t="s">
        <v>8743</v>
      </c>
      <c r="B2410" t="s">
        <v>9763</v>
      </c>
      <c r="C2410" t="s">
        <v>8743</v>
      </c>
      <c r="D2410" t="s">
        <v>9848</v>
      </c>
      <c r="E2410">
        <f>jhs_broadcasting_owner2</f>
        <v>0</v>
      </c>
      <c r="F2410" t="b">
        <v>1</v>
      </c>
    </row>
    <row r="2411" spans="1:6" x14ac:dyDescent="0.35">
      <c r="A2411" t="s">
        <v>9774</v>
      </c>
      <c r="B2411" t="s">
        <v>9763</v>
      </c>
      <c r="C2411" t="s">
        <v>9774</v>
      </c>
      <c r="D2411" t="s">
        <v>9849</v>
      </c>
      <c r="E2411" t="e">
        <f>VLOOKUP(combo_jhs_broadcasting_status2, _ref_stat_partnership, 1, FALSE)</f>
        <v>#N/A</v>
      </c>
      <c r="F2411" t="b">
        <v>1</v>
      </c>
    </row>
    <row r="2412" spans="1:6" x14ac:dyDescent="0.35">
      <c r="A2412" t="s">
        <v>8752</v>
      </c>
      <c r="B2412" t="s">
        <v>9763</v>
      </c>
      <c r="C2412" t="s">
        <v>8752</v>
      </c>
      <c r="D2412" t="s">
        <v>9850</v>
      </c>
      <c r="E2412" s="1368">
        <f>jhs_broadcasting_datestarted2</f>
        <v>0</v>
      </c>
      <c r="F2412" t="b">
        <v>1</v>
      </c>
    </row>
    <row r="2413" spans="1:6" x14ac:dyDescent="0.35">
      <c r="A2413" t="s">
        <v>8761</v>
      </c>
      <c r="B2413" t="s">
        <v>9763</v>
      </c>
      <c r="C2413" t="s">
        <v>8761</v>
      </c>
      <c r="D2413" t="s">
        <v>9851</v>
      </c>
      <c r="E2413">
        <f>jhs_broadcasting_number2</f>
        <v>0</v>
      </c>
      <c r="F2413" t="b">
        <v>1</v>
      </c>
    </row>
    <row r="2414" spans="1:6" x14ac:dyDescent="0.35">
      <c r="A2414" t="s">
        <v>8770</v>
      </c>
      <c r="B2414" t="s">
        <v>9763</v>
      </c>
      <c r="C2414" t="s">
        <v>8770</v>
      </c>
      <c r="D2414" t="s">
        <v>9852</v>
      </c>
      <c r="E2414">
        <f>jhs_broadcasting_address2</f>
        <v>0</v>
      </c>
      <c r="F2414" t="b">
        <v>1</v>
      </c>
    </row>
    <row r="2415" spans="1:6" x14ac:dyDescent="0.35">
      <c r="A2415" t="s">
        <v>8779</v>
      </c>
      <c r="B2415" t="s">
        <v>9763</v>
      </c>
      <c r="C2415" t="s">
        <v>8779</v>
      </c>
      <c r="D2415" t="s">
        <v>9853</v>
      </c>
      <c r="E2415">
        <f>jhs_broadcasting_email2</f>
        <v>0</v>
      </c>
      <c r="F2415" t="b">
        <v>1</v>
      </c>
    </row>
    <row r="2416" spans="1:6" x14ac:dyDescent="0.35">
      <c r="A2416" t="s">
        <v>9766</v>
      </c>
      <c r="B2416" t="s">
        <v>9763</v>
      </c>
      <c r="C2416" t="s">
        <v>9766</v>
      </c>
      <c r="D2416" t="s">
        <v>9854</v>
      </c>
      <c r="E2416" t="e">
        <f>VLOOKUP(combo_jhs_broadcastingtype3, _ref_broadcast_station, 1, FALSE)</f>
        <v>#N/A</v>
      </c>
      <c r="F2416" t="b">
        <v>1</v>
      </c>
    </row>
    <row r="2417" spans="1:6" x14ac:dyDescent="0.35">
      <c r="A2417" t="s">
        <v>8717</v>
      </c>
      <c r="B2417" t="s">
        <v>9763</v>
      </c>
      <c r="C2417" t="s">
        <v>8717</v>
      </c>
      <c r="D2417" t="s">
        <v>9855</v>
      </c>
      <c r="E2417">
        <f>jhs_broadcasting_name3</f>
        <v>0</v>
      </c>
      <c r="F2417" t="b">
        <v>1</v>
      </c>
    </row>
    <row r="2418" spans="1:6" x14ac:dyDescent="0.35">
      <c r="A2418" t="s">
        <v>8726</v>
      </c>
      <c r="B2418" t="s">
        <v>9763</v>
      </c>
      <c r="C2418" t="s">
        <v>8726</v>
      </c>
      <c r="D2418" t="s">
        <v>9856</v>
      </c>
      <c r="E2418">
        <f>jhs_broadcasting_frequency3</f>
        <v>0</v>
      </c>
      <c r="F2418" t="b">
        <v>1</v>
      </c>
    </row>
    <row r="2419" spans="1:6" x14ac:dyDescent="0.35">
      <c r="A2419" t="s">
        <v>8735</v>
      </c>
      <c r="B2419" t="s">
        <v>9763</v>
      </c>
      <c r="C2419" t="s">
        <v>8735</v>
      </c>
      <c r="D2419" t="s">
        <v>9857</v>
      </c>
      <c r="E2419">
        <f>jhs_broadcasting_ntclicense3</f>
        <v>0</v>
      </c>
      <c r="F2419" t="b">
        <v>1</v>
      </c>
    </row>
    <row r="2420" spans="1:6" x14ac:dyDescent="0.35">
      <c r="A2420" t="s">
        <v>8744</v>
      </c>
      <c r="B2420" t="s">
        <v>9763</v>
      </c>
      <c r="C2420" t="s">
        <v>8744</v>
      </c>
      <c r="D2420" t="s">
        <v>9858</v>
      </c>
      <c r="E2420">
        <f>jhs_broadcasting_owner3</f>
        <v>0</v>
      </c>
      <c r="F2420" t="b">
        <v>1</v>
      </c>
    </row>
    <row r="2421" spans="1:6" x14ac:dyDescent="0.35">
      <c r="A2421" t="s">
        <v>9775</v>
      </c>
      <c r="B2421" t="s">
        <v>9763</v>
      </c>
      <c r="C2421" t="s">
        <v>9775</v>
      </c>
      <c r="D2421" t="s">
        <v>9859</v>
      </c>
      <c r="E2421" t="e">
        <f>VLOOKUP(combo_jhs_broadcasting_status3, _ref_stat_partnership, 1, FALSE)</f>
        <v>#N/A</v>
      </c>
      <c r="F2421" t="b">
        <v>1</v>
      </c>
    </row>
    <row r="2422" spans="1:6" x14ac:dyDescent="0.35">
      <c r="A2422" t="s">
        <v>8753</v>
      </c>
      <c r="B2422" t="s">
        <v>9763</v>
      </c>
      <c r="C2422" t="s">
        <v>8753</v>
      </c>
      <c r="D2422" t="s">
        <v>9860</v>
      </c>
      <c r="E2422" s="1368">
        <f>jhs_broadcasting_datestarted3</f>
        <v>0</v>
      </c>
      <c r="F2422" t="b">
        <v>1</v>
      </c>
    </row>
    <row r="2423" spans="1:6" x14ac:dyDescent="0.35">
      <c r="A2423" t="s">
        <v>8762</v>
      </c>
      <c r="B2423" t="s">
        <v>9763</v>
      </c>
      <c r="C2423" t="s">
        <v>8762</v>
      </c>
      <c r="D2423" t="s">
        <v>9861</v>
      </c>
      <c r="E2423">
        <f>jhs_broadcasting_number3</f>
        <v>0</v>
      </c>
      <c r="F2423" t="b">
        <v>1</v>
      </c>
    </row>
    <row r="2424" spans="1:6" x14ac:dyDescent="0.35">
      <c r="A2424" t="s">
        <v>8771</v>
      </c>
      <c r="B2424" t="s">
        <v>9763</v>
      </c>
      <c r="C2424" t="s">
        <v>8771</v>
      </c>
      <c r="D2424" t="s">
        <v>9862</v>
      </c>
      <c r="E2424">
        <f>jhs_broadcasting_address3</f>
        <v>0</v>
      </c>
      <c r="F2424" t="b">
        <v>1</v>
      </c>
    </row>
    <row r="2425" spans="1:6" x14ac:dyDescent="0.35">
      <c r="A2425" t="s">
        <v>8780</v>
      </c>
      <c r="B2425" t="s">
        <v>9763</v>
      </c>
      <c r="C2425" t="s">
        <v>8780</v>
      </c>
      <c r="D2425" t="s">
        <v>9863</v>
      </c>
      <c r="E2425">
        <f>jhs_broadcasting_email3</f>
        <v>0</v>
      </c>
      <c r="F2425" t="b">
        <v>1</v>
      </c>
    </row>
    <row r="2426" spans="1:6" x14ac:dyDescent="0.35">
      <c r="A2426" t="s">
        <v>9767</v>
      </c>
      <c r="B2426" t="s">
        <v>9763</v>
      </c>
      <c r="C2426" t="s">
        <v>9767</v>
      </c>
      <c r="D2426" t="s">
        <v>9864</v>
      </c>
      <c r="E2426" t="e">
        <f>VLOOKUP(combo_jhs_broadcastingtype4, _ref_broadcast_station, 1, FALSE)</f>
        <v>#N/A</v>
      </c>
      <c r="F2426" t="b">
        <v>1</v>
      </c>
    </row>
    <row r="2427" spans="1:6" x14ac:dyDescent="0.35">
      <c r="A2427" t="s">
        <v>8718</v>
      </c>
      <c r="B2427" t="s">
        <v>9763</v>
      </c>
      <c r="C2427" t="s">
        <v>8718</v>
      </c>
      <c r="D2427" t="s">
        <v>9865</v>
      </c>
      <c r="E2427">
        <f>jhs_broadcasting_name4</f>
        <v>0</v>
      </c>
      <c r="F2427" t="b">
        <v>1</v>
      </c>
    </row>
    <row r="2428" spans="1:6" x14ac:dyDescent="0.35">
      <c r="A2428" t="s">
        <v>8727</v>
      </c>
      <c r="B2428" t="s">
        <v>9763</v>
      </c>
      <c r="C2428" t="s">
        <v>8727</v>
      </c>
      <c r="D2428" t="s">
        <v>9866</v>
      </c>
      <c r="E2428">
        <f>jhs_broadcasting_frequency4</f>
        <v>0</v>
      </c>
      <c r="F2428" t="b">
        <v>1</v>
      </c>
    </row>
    <row r="2429" spans="1:6" x14ac:dyDescent="0.35">
      <c r="A2429" t="s">
        <v>8736</v>
      </c>
      <c r="B2429" t="s">
        <v>9763</v>
      </c>
      <c r="C2429" t="s">
        <v>8736</v>
      </c>
      <c r="D2429" t="s">
        <v>9867</v>
      </c>
      <c r="E2429">
        <f>jhs_broadcasting_ntclicense4</f>
        <v>0</v>
      </c>
      <c r="F2429" t="b">
        <v>1</v>
      </c>
    </row>
    <row r="2430" spans="1:6" x14ac:dyDescent="0.35">
      <c r="A2430" t="s">
        <v>8745</v>
      </c>
      <c r="B2430" t="s">
        <v>9763</v>
      </c>
      <c r="C2430" t="s">
        <v>8745</v>
      </c>
      <c r="D2430" t="s">
        <v>9868</v>
      </c>
      <c r="E2430">
        <f>jhs_broadcasting_owner4</f>
        <v>0</v>
      </c>
      <c r="F2430" t="b">
        <v>1</v>
      </c>
    </row>
    <row r="2431" spans="1:6" x14ac:dyDescent="0.35">
      <c r="A2431" t="s">
        <v>9776</v>
      </c>
      <c r="B2431" t="s">
        <v>9763</v>
      </c>
      <c r="C2431" t="s">
        <v>9776</v>
      </c>
      <c r="D2431" t="s">
        <v>9869</v>
      </c>
      <c r="E2431" t="e">
        <f>VLOOKUP(combo_jhs_broadcasting_status4, _ref_stat_partnership, 1, FALSE)</f>
        <v>#N/A</v>
      </c>
      <c r="F2431" t="b">
        <v>1</v>
      </c>
    </row>
    <row r="2432" spans="1:6" x14ac:dyDescent="0.35">
      <c r="A2432" t="s">
        <v>8754</v>
      </c>
      <c r="B2432" t="s">
        <v>9763</v>
      </c>
      <c r="C2432" t="s">
        <v>8754</v>
      </c>
      <c r="D2432" t="s">
        <v>9870</v>
      </c>
      <c r="E2432" s="1368">
        <f>jhs_broadcasting_datestarted4</f>
        <v>0</v>
      </c>
      <c r="F2432" t="b">
        <v>1</v>
      </c>
    </row>
    <row r="2433" spans="1:6" x14ac:dyDescent="0.35">
      <c r="A2433" t="s">
        <v>8763</v>
      </c>
      <c r="B2433" t="s">
        <v>9763</v>
      </c>
      <c r="C2433" t="s">
        <v>8763</v>
      </c>
      <c r="D2433" t="s">
        <v>9871</v>
      </c>
      <c r="E2433">
        <f>jhs_broadcasting_number4</f>
        <v>0</v>
      </c>
      <c r="F2433" t="b">
        <v>1</v>
      </c>
    </row>
    <row r="2434" spans="1:6" x14ac:dyDescent="0.35">
      <c r="A2434" t="s">
        <v>8772</v>
      </c>
      <c r="B2434" t="s">
        <v>9763</v>
      </c>
      <c r="C2434" t="s">
        <v>8772</v>
      </c>
      <c r="D2434" t="s">
        <v>9872</v>
      </c>
      <c r="E2434">
        <f>jhs_broadcasting_address4</f>
        <v>0</v>
      </c>
      <c r="F2434" t="b">
        <v>1</v>
      </c>
    </row>
    <row r="2435" spans="1:6" x14ac:dyDescent="0.35">
      <c r="A2435" t="s">
        <v>8781</v>
      </c>
      <c r="B2435" t="s">
        <v>9763</v>
      </c>
      <c r="C2435" t="s">
        <v>8781</v>
      </c>
      <c r="D2435" t="s">
        <v>9873</v>
      </c>
      <c r="E2435">
        <f>jhs_broadcasting_email4</f>
        <v>0</v>
      </c>
      <c r="F2435" t="b">
        <v>1</v>
      </c>
    </row>
    <row r="2436" spans="1:6" x14ac:dyDescent="0.35">
      <c r="A2436" t="s">
        <v>9768</v>
      </c>
      <c r="B2436" t="s">
        <v>9763</v>
      </c>
      <c r="C2436" t="s">
        <v>9768</v>
      </c>
      <c r="D2436" t="s">
        <v>9874</v>
      </c>
      <c r="E2436" t="e">
        <f>VLOOKUP(combo_jhs_broadcastingtype5, _ref_broadcast_station, 1, FALSE)</f>
        <v>#N/A</v>
      </c>
      <c r="F2436" t="b">
        <v>1</v>
      </c>
    </row>
    <row r="2437" spans="1:6" x14ac:dyDescent="0.35">
      <c r="A2437" t="s">
        <v>8719</v>
      </c>
      <c r="B2437" t="s">
        <v>9763</v>
      </c>
      <c r="C2437" t="s">
        <v>8719</v>
      </c>
      <c r="D2437" t="s">
        <v>9875</v>
      </c>
      <c r="E2437">
        <f>jhs_broadcasting_name5</f>
        <v>0</v>
      </c>
      <c r="F2437" t="b">
        <v>1</v>
      </c>
    </row>
    <row r="2438" spans="1:6" x14ac:dyDescent="0.35">
      <c r="A2438" t="s">
        <v>8728</v>
      </c>
      <c r="B2438" t="s">
        <v>9763</v>
      </c>
      <c r="C2438" t="s">
        <v>8728</v>
      </c>
      <c r="D2438" t="s">
        <v>9876</v>
      </c>
      <c r="E2438">
        <f>jhs_broadcasting_frequency5</f>
        <v>0</v>
      </c>
      <c r="F2438" t="b">
        <v>1</v>
      </c>
    </row>
    <row r="2439" spans="1:6" x14ac:dyDescent="0.35">
      <c r="A2439" t="s">
        <v>8737</v>
      </c>
      <c r="B2439" t="s">
        <v>9763</v>
      </c>
      <c r="C2439" t="s">
        <v>8737</v>
      </c>
      <c r="D2439" t="s">
        <v>9877</v>
      </c>
      <c r="E2439">
        <f>jhs_broadcasting_ntclicense5</f>
        <v>0</v>
      </c>
      <c r="F2439" t="b">
        <v>1</v>
      </c>
    </row>
    <row r="2440" spans="1:6" x14ac:dyDescent="0.35">
      <c r="A2440" t="s">
        <v>8746</v>
      </c>
      <c r="B2440" t="s">
        <v>9763</v>
      </c>
      <c r="C2440" t="s">
        <v>8746</v>
      </c>
      <c r="D2440" t="s">
        <v>9878</v>
      </c>
      <c r="E2440">
        <f>jhs_broadcasting_owner5</f>
        <v>0</v>
      </c>
      <c r="F2440" t="b">
        <v>1</v>
      </c>
    </row>
    <row r="2441" spans="1:6" x14ac:dyDescent="0.35">
      <c r="A2441" t="s">
        <v>9777</v>
      </c>
      <c r="B2441" t="s">
        <v>9763</v>
      </c>
      <c r="C2441" t="s">
        <v>9777</v>
      </c>
      <c r="D2441" t="s">
        <v>9879</v>
      </c>
      <c r="E2441" t="e">
        <f>VLOOKUP(combo_jhs_broadcasting_status5, _ref_stat_partnership, 1, FALSE)</f>
        <v>#N/A</v>
      </c>
      <c r="F2441" t="b">
        <v>1</v>
      </c>
    </row>
    <row r="2442" spans="1:6" x14ac:dyDescent="0.35">
      <c r="A2442" t="s">
        <v>8755</v>
      </c>
      <c r="B2442" t="s">
        <v>9763</v>
      </c>
      <c r="C2442" t="s">
        <v>8755</v>
      </c>
      <c r="D2442" t="s">
        <v>9880</v>
      </c>
      <c r="E2442" s="1368">
        <f>jhs_broadcasting_datestarted5</f>
        <v>0</v>
      </c>
      <c r="F2442" t="b">
        <v>1</v>
      </c>
    </row>
    <row r="2443" spans="1:6" x14ac:dyDescent="0.35">
      <c r="A2443" t="s">
        <v>8764</v>
      </c>
      <c r="B2443" t="s">
        <v>9763</v>
      </c>
      <c r="C2443" t="s">
        <v>8764</v>
      </c>
      <c r="D2443" t="s">
        <v>9881</v>
      </c>
      <c r="E2443">
        <f>jhs_broadcasting_number5</f>
        <v>0</v>
      </c>
      <c r="F2443" t="b">
        <v>1</v>
      </c>
    </row>
    <row r="2444" spans="1:6" x14ac:dyDescent="0.35">
      <c r="A2444" t="s">
        <v>8773</v>
      </c>
      <c r="B2444" t="s">
        <v>9763</v>
      </c>
      <c r="C2444" t="s">
        <v>8773</v>
      </c>
      <c r="D2444" t="s">
        <v>9882</v>
      </c>
      <c r="E2444">
        <f>jhs_broadcasting_address5</f>
        <v>0</v>
      </c>
      <c r="F2444" t="b">
        <v>1</v>
      </c>
    </row>
    <row r="2445" spans="1:6" x14ac:dyDescent="0.35">
      <c r="A2445" t="s">
        <v>8782</v>
      </c>
      <c r="B2445" t="s">
        <v>9763</v>
      </c>
      <c r="C2445" t="s">
        <v>8782</v>
      </c>
      <c r="D2445" t="s">
        <v>9883</v>
      </c>
      <c r="E2445">
        <f>jhs_broadcasting_email5</f>
        <v>0</v>
      </c>
      <c r="F2445" t="b">
        <v>1</v>
      </c>
    </row>
    <row r="2446" spans="1:6" x14ac:dyDescent="0.35">
      <c r="A2446" t="s">
        <v>9769</v>
      </c>
      <c r="B2446" t="s">
        <v>9763</v>
      </c>
      <c r="C2446" t="s">
        <v>9769</v>
      </c>
      <c r="D2446" t="s">
        <v>9884</v>
      </c>
      <c r="E2446" t="e">
        <f>VLOOKUP(combo_jhs_broadcastingtype6, _ref_broadcast_station, 1, FALSE)</f>
        <v>#N/A</v>
      </c>
      <c r="F2446" t="b">
        <v>1</v>
      </c>
    </row>
    <row r="2447" spans="1:6" x14ac:dyDescent="0.35">
      <c r="A2447" t="s">
        <v>8720</v>
      </c>
      <c r="B2447" t="s">
        <v>9763</v>
      </c>
      <c r="C2447" t="s">
        <v>8720</v>
      </c>
      <c r="D2447" t="s">
        <v>9885</v>
      </c>
      <c r="E2447">
        <f>jhs_broadcasting_name6</f>
        <v>0</v>
      </c>
      <c r="F2447" t="b">
        <v>1</v>
      </c>
    </row>
    <row r="2448" spans="1:6" x14ac:dyDescent="0.35">
      <c r="A2448" t="s">
        <v>8729</v>
      </c>
      <c r="B2448" t="s">
        <v>9763</v>
      </c>
      <c r="C2448" t="s">
        <v>8729</v>
      </c>
      <c r="D2448" t="s">
        <v>9886</v>
      </c>
      <c r="E2448">
        <f>jhs_broadcasting_frequency6</f>
        <v>0</v>
      </c>
      <c r="F2448" t="b">
        <v>1</v>
      </c>
    </row>
    <row r="2449" spans="1:6" x14ac:dyDescent="0.35">
      <c r="A2449" t="s">
        <v>8738</v>
      </c>
      <c r="B2449" t="s">
        <v>9763</v>
      </c>
      <c r="C2449" t="s">
        <v>8738</v>
      </c>
      <c r="D2449" t="s">
        <v>9887</v>
      </c>
      <c r="E2449">
        <f>jhs_broadcasting_ntclicense6</f>
        <v>0</v>
      </c>
      <c r="F2449" t="b">
        <v>1</v>
      </c>
    </row>
    <row r="2450" spans="1:6" x14ac:dyDescent="0.35">
      <c r="A2450" t="s">
        <v>8747</v>
      </c>
      <c r="B2450" t="s">
        <v>9763</v>
      </c>
      <c r="C2450" t="s">
        <v>8747</v>
      </c>
      <c r="D2450" t="s">
        <v>9888</v>
      </c>
      <c r="E2450">
        <f>jhs_broadcasting_owner6</f>
        <v>0</v>
      </c>
      <c r="F2450" t="b">
        <v>1</v>
      </c>
    </row>
    <row r="2451" spans="1:6" x14ac:dyDescent="0.35">
      <c r="A2451" t="s">
        <v>9778</v>
      </c>
      <c r="B2451" t="s">
        <v>9763</v>
      </c>
      <c r="C2451" t="s">
        <v>9778</v>
      </c>
      <c r="D2451" t="s">
        <v>9889</v>
      </c>
      <c r="E2451" t="e">
        <f>VLOOKUP(combo_jhs_broadcasting_status6, _ref_stat_partnership, 1, FALSE)</f>
        <v>#N/A</v>
      </c>
      <c r="F2451" t="b">
        <v>1</v>
      </c>
    </row>
    <row r="2452" spans="1:6" x14ac:dyDescent="0.35">
      <c r="A2452" t="s">
        <v>8756</v>
      </c>
      <c r="B2452" t="s">
        <v>9763</v>
      </c>
      <c r="C2452" t="s">
        <v>8756</v>
      </c>
      <c r="D2452" t="s">
        <v>9890</v>
      </c>
      <c r="E2452" s="1368">
        <f>jhs_broadcasting_datestarted6</f>
        <v>0</v>
      </c>
      <c r="F2452" t="b">
        <v>1</v>
      </c>
    </row>
    <row r="2453" spans="1:6" x14ac:dyDescent="0.35">
      <c r="A2453" t="s">
        <v>8765</v>
      </c>
      <c r="B2453" t="s">
        <v>9763</v>
      </c>
      <c r="C2453" t="s">
        <v>8765</v>
      </c>
      <c r="D2453" t="s">
        <v>9891</v>
      </c>
      <c r="E2453">
        <f>jhs_broadcasting_number6</f>
        <v>0</v>
      </c>
      <c r="F2453" t="b">
        <v>1</v>
      </c>
    </row>
    <row r="2454" spans="1:6" x14ac:dyDescent="0.35">
      <c r="A2454" t="s">
        <v>8774</v>
      </c>
      <c r="B2454" t="s">
        <v>9763</v>
      </c>
      <c r="C2454" t="s">
        <v>8774</v>
      </c>
      <c r="D2454" t="s">
        <v>9892</v>
      </c>
      <c r="E2454">
        <f>jhs_broadcasting_address6</f>
        <v>0</v>
      </c>
      <c r="F2454" t="b">
        <v>1</v>
      </c>
    </row>
    <row r="2455" spans="1:6" x14ac:dyDescent="0.35">
      <c r="A2455" t="s">
        <v>8783</v>
      </c>
      <c r="B2455" t="s">
        <v>9763</v>
      </c>
      <c r="C2455" t="s">
        <v>8783</v>
      </c>
      <c r="D2455" t="s">
        <v>9893</v>
      </c>
      <c r="E2455">
        <f>jhs_broadcasting_email6</f>
        <v>0</v>
      </c>
      <c r="F2455" t="b">
        <v>1</v>
      </c>
    </row>
    <row r="2456" spans="1:6" x14ac:dyDescent="0.35">
      <c r="A2456" t="s">
        <v>9770</v>
      </c>
      <c r="B2456" t="s">
        <v>9763</v>
      </c>
      <c r="C2456" t="s">
        <v>9770</v>
      </c>
      <c r="D2456" t="s">
        <v>9894</v>
      </c>
      <c r="E2456" t="e">
        <f>VLOOKUP(combo_jhs_broadcastingtype7, _ref_broadcast_station, 1, FALSE)</f>
        <v>#N/A</v>
      </c>
      <c r="F2456" t="b">
        <v>1</v>
      </c>
    </row>
    <row r="2457" spans="1:6" x14ac:dyDescent="0.35">
      <c r="A2457" t="s">
        <v>8721</v>
      </c>
      <c r="B2457" t="s">
        <v>9763</v>
      </c>
      <c r="C2457" t="s">
        <v>8721</v>
      </c>
      <c r="D2457" t="s">
        <v>9895</v>
      </c>
      <c r="E2457">
        <f>jhs_broadcasting_name7</f>
        <v>0</v>
      </c>
      <c r="F2457" t="b">
        <v>1</v>
      </c>
    </row>
    <row r="2458" spans="1:6" x14ac:dyDescent="0.35">
      <c r="A2458" t="s">
        <v>8730</v>
      </c>
      <c r="B2458" t="s">
        <v>9763</v>
      </c>
      <c r="C2458" t="s">
        <v>8730</v>
      </c>
      <c r="D2458" t="s">
        <v>9896</v>
      </c>
      <c r="E2458">
        <f>jhs_broadcasting_frequency7</f>
        <v>0</v>
      </c>
      <c r="F2458" t="b">
        <v>1</v>
      </c>
    </row>
    <row r="2459" spans="1:6" x14ac:dyDescent="0.35">
      <c r="A2459" t="s">
        <v>8739</v>
      </c>
      <c r="B2459" t="s">
        <v>9763</v>
      </c>
      <c r="C2459" t="s">
        <v>8739</v>
      </c>
      <c r="D2459" t="s">
        <v>9897</v>
      </c>
      <c r="E2459">
        <f>jhs_broadcasting_ntclicense7</f>
        <v>0</v>
      </c>
      <c r="F2459" t="b">
        <v>1</v>
      </c>
    </row>
    <row r="2460" spans="1:6" x14ac:dyDescent="0.35">
      <c r="A2460" t="s">
        <v>8748</v>
      </c>
      <c r="B2460" t="s">
        <v>9763</v>
      </c>
      <c r="C2460" t="s">
        <v>8748</v>
      </c>
      <c r="D2460" t="s">
        <v>9898</v>
      </c>
      <c r="E2460">
        <f>jhs_broadcasting_owner7</f>
        <v>0</v>
      </c>
      <c r="F2460" t="b">
        <v>1</v>
      </c>
    </row>
    <row r="2461" spans="1:6" x14ac:dyDescent="0.35">
      <c r="A2461" t="s">
        <v>9779</v>
      </c>
      <c r="B2461" t="s">
        <v>9763</v>
      </c>
      <c r="C2461" t="s">
        <v>9779</v>
      </c>
      <c r="D2461" t="s">
        <v>9899</v>
      </c>
      <c r="E2461" t="e">
        <f>VLOOKUP(combo_jhs_broadcasting_status7, _ref_stat_partnership, 1, FALSE)</f>
        <v>#N/A</v>
      </c>
      <c r="F2461" t="b">
        <v>1</v>
      </c>
    </row>
    <row r="2462" spans="1:6" x14ac:dyDescent="0.35">
      <c r="A2462" t="s">
        <v>8757</v>
      </c>
      <c r="B2462" t="s">
        <v>9763</v>
      </c>
      <c r="C2462" t="s">
        <v>8757</v>
      </c>
      <c r="D2462" t="s">
        <v>9900</v>
      </c>
      <c r="E2462" s="1368">
        <f>jhs_broadcasting_datestarted7</f>
        <v>0</v>
      </c>
      <c r="F2462" t="b">
        <v>1</v>
      </c>
    </row>
    <row r="2463" spans="1:6" x14ac:dyDescent="0.35">
      <c r="A2463" t="s">
        <v>8766</v>
      </c>
      <c r="B2463" t="s">
        <v>9763</v>
      </c>
      <c r="C2463" t="s">
        <v>8766</v>
      </c>
      <c r="D2463" t="s">
        <v>9901</v>
      </c>
      <c r="E2463">
        <f>jhs_broadcasting_number7</f>
        <v>0</v>
      </c>
      <c r="F2463" t="b">
        <v>1</v>
      </c>
    </row>
    <row r="2464" spans="1:6" x14ac:dyDescent="0.35">
      <c r="A2464" t="s">
        <v>8775</v>
      </c>
      <c r="B2464" t="s">
        <v>9763</v>
      </c>
      <c r="C2464" t="s">
        <v>8775</v>
      </c>
      <c r="D2464" t="s">
        <v>9902</v>
      </c>
      <c r="E2464">
        <f>jhs_broadcasting_address7</f>
        <v>0</v>
      </c>
      <c r="F2464" t="b">
        <v>1</v>
      </c>
    </row>
    <row r="2465" spans="1:6" x14ac:dyDescent="0.35">
      <c r="A2465" t="s">
        <v>8784</v>
      </c>
      <c r="B2465" t="s">
        <v>9763</v>
      </c>
      <c r="C2465" t="s">
        <v>8784</v>
      </c>
      <c r="D2465" t="s">
        <v>9903</v>
      </c>
      <c r="E2465">
        <f>jhs_broadcasting_email7</f>
        <v>0</v>
      </c>
      <c r="F2465" t="b">
        <v>1</v>
      </c>
    </row>
    <row r="2466" spans="1:6" x14ac:dyDescent="0.35">
      <c r="A2466" t="s">
        <v>9771</v>
      </c>
      <c r="B2466" t="s">
        <v>9763</v>
      </c>
      <c r="C2466" t="s">
        <v>9771</v>
      </c>
      <c r="D2466" t="s">
        <v>9904</v>
      </c>
      <c r="E2466" t="e">
        <f>VLOOKUP(combo_jhs_broadcastingtype8, _ref_broadcast_station, 1, FALSE)</f>
        <v>#N/A</v>
      </c>
      <c r="F2466" t="b">
        <v>1</v>
      </c>
    </row>
    <row r="2467" spans="1:6" x14ac:dyDescent="0.35">
      <c r="A2467" t="s">
        <v>8722</v>
      </c>
      <c r="B2467" t="s">
        <v>9763</v>
      </c>
      <c r="C2467" t="s">
        <v>8722</v>
      </c>
      <c r="D2467" t="s">
        <v>9905</v>
      </c>
      <c r="E2467">
        <f>jhs_broadcasting_name8</f>
        <v>0</v>
      </c>
      <c r="F2467" t="b">
        <v>1</v>
      </c>
    </row>
    <row r="2468" spans="1:6" x14ac:dyDescent="0.35">
      <c r="A2468" t="s">
        <v>8731</v>
      </c>
      <c r="B2468" t="s">
        <v>9763</v>
      </c>
      <c r="C2468" t="s">
        <v>8731</v>
      </c>
      <c r="D2468" t="s">
        <v>9906</v>
      </c>
      <c r="E2468">
        <f>jhs_broadcasting_frequency8</f>
        <v>0</v>
      </c>
      <c r="F2468" t="b">
        <v>1</v>
      </c>
    </row>
    <row r="2469" spans="1:6" x14ac:dyDescent="0.35">
      <c r="A2469" t="s">
        <v>8740</v>
      </c>
      <c r="B2469" t="s">
        <v>9763</v>
      </c>
      <c r="C2469" t="s">
        <v>8740</v>
      </c>
      <c r="D2469" t="s">
        <v>9907</v>
      </c>
      <c r="E2469">
        <f>jhs_broadcasting_ntclicense8</f>
        <v>0</v>
      </c>
      <c r="F2469" t="b">
        <v>1</v>
      </c>
    </row>
    <row r="2470" spans="1:6" x14ac:dyDescent="0.35">
      <c r="A2470" t="s">
        <v>8749</v>
      </c>
      <c r="B2470" t="s">
        <v>9763</v>
      </c>
      <c r="C2470" t="s">
        <v>8749</v>
      </c>
      <c r="D2470" t="s">
        <v>9908</v>
      </c>
      <c r="E2470">
        <f>jhs_broadcasting_owner8</f>
        <v>0</v>
      </c>
      <c r="F2470" t="b">
        <v>1</v>
      </c>
    </row>
    <row r="2471" spans="1:6" x14ac:dyDescent="0.35">
      <c r="A2471" t="s">
        <v>9780</v>
      </c>
      <c r="B2471" t="s">
        <v>9763</v>
      </c>
      <c r="C2471" t="s">
        <v>9780</v>
      </c>
      <c r="D2471" t="s">
        <v>9909</v>
      </c>
      <c r="E2471" t="e">
        <f>VLOOKUP(combo_jhs_broadcasting_status8, _ref_stat_partnership, 1, FALSE)</f>
        <v>#N/A</v>
      </c>
      <c r="F2471" t="b">
        <v>1</v>
      </c>
    </row>
    <row r="2472" spans="1:6" x14ac:dyDescent="0.35">
      <c r="A2472" t="s">
        <v>8758</v>
      </c>
      <c r="B2472" t="s">
        <v>9763</v>
      </c>
      <c r="C2472" t="s">
        <v>8758</v>
      </c>
      <c r="D2472" t="s">
        <v>9910</v>
      </c>
      <c r="E2472" s="1368">
        <f>jhs_broadcasting_datestarted8</f>
        <v>0</v>
      </c>
      <c r="F2472" t="b">
        <v>1</v>
      </c>
    </row>
    <row r="2473" spans="1:6" x14ac:dyDescent="0.35">
      <c r="A2473" t="s">
        <v>8767</v>
      </c>
      <c r="B2473" t="s">
        <v>9763</v>
      </c>
      <c r="C2473" t="s">
        <v>8767</v>
      </c>
      <c r="D2473" t="s">
        <v>9911</v>
      </c>
      <c r="E2473">
        <f>jhs_broadcasting_number8</f>
        <v>0</v>
      </c>
      <c r="F2473" t="b">
        <v>1</v>
      </c>
    </row>
    <row r="2474" spans="1:6" x14ac:dyDescent="0.35">
      <c r="A2474" t="s">
        <v>8776</v>
      </c>
      <c r="B2474" t="s">
        <v>9763</v>
      </c>
      <c r="C2474" t="s">
        <v>8776</v>
      </c>
      <c r="D2474" t="s">
        <v>9912</v>
      </c>
      <c r="E2474">
        <f>jhs_broadcasting_address8</f>
        <v>0</v>
      </c>
      <c r="F2474" t="b">
        <v>1</v>
      </c>
    </row>
    <row r="2475" spans="1:6" x14ac:dyDescent="0.35">
      <c r="A2475" t="s">
        <v>8785</v>
      </c>
      <c r="B2475" t="s">
        <v>9763</v>
      </c>
      <c r="C2475" t="s">
        <v>8785</v>
      </c>
      <c r="D2475" t="s">
        <v>9913</v>
      </c>
      <c r="E2475">
        <f>jhs_broadcasting_email8</f>
        <v>0</v>
      </c>
      <c r="F2475" t="b">
        <v>1</v>
      </c>
    </row>
    <row r="2476" spans="1:6" x14ac:dyDescent="0.35">
      <c r="A2476" t="s">
        <v>9772</v>
      </c>
      <c r="B2476" t="s">
        <v>9763</v>
      </c>
      <c r="C2476" t="s">
        <v>9772</v>
      </c>
      <c r="D2476" t="s">
        <v>9914</v>
      </c>
      <c r="E2476" t="e">
        <f>VLOOKUP(combo_jhs_broadcastingtype9, _ref_broadcast_station, 1, FALSE)</f>
        <v>#N/A</v>
      </c>
      <c r="F2476" t="b">
        <v>1</v>
      </c>
    </row>
    <row r="2477" spans="1:6" x14ac:dyDescent="0.35">
      <c r="A2477" t="s">
        <v>8723</v>
      </c>
      <c r="B2477" t="s">
        <v>9763</v>
      </c>
      <c r="C2477" t="s">
        <v>8723</v>
      </c>
      <c r="D2477" t="s">
        <v>9915</v>
      </c>
      <c r="E2477">
        <f>jhs_broadcasting_name9</f>
        <v>0</v>
      </c>
      <c r="F2477" t="b">
        <v>1</v>
      </c>
    </row>
    <row r="2478" spans="1:6" x14ac:dyDescent="0.35">
      <c r="A2478" t="s">
        <v>8732</v>
      </c>
      <c r="B2478" t="s">
        <v>9763</v>
      </c>
      <c r="C2478" t="s">
        <v>8732</v>
      </c>
      <c r="D2478" t="s">
        <v>9916</v>
      </c>
      <c r="E2478">
        <f>jhs_broadcasting_frequency9</f>
        <v>0</v>
      </c>
      <c r="F2478" t="b">
        <v>1</v>
      </c>
    </row>
    <row r="2479" spans="1:6" x14ac:dyDescent="0.35">
      <c r="A2479" t="s">
        <v>8741</v>
      </c>
      <c r="B2479" t="s">
        <v>9763</v>
      </c>
      <c r="C2479" t="s">
        <v>8741</v>
      </c>
      <c r="D2479" t="s">
        <v>9917</v>
      </c>
      <c r="E2479">
        <f>jhs_broadcasting_ntclicense9</f>
        <v>0</v>
      </c>
      <c r="F2479" t="b">
        <v>1</v>
      </c>
    </row>
    <row r="2480" spans="1:6" x14ac:dyDescent="0.35">
      <c r="A2480" t="s">
        <v>8750</v>
      </c>
      <c r="B2480" t="s">
        <v>9763</v>
      </c>
      <c r="C2480" t="s">
        <v>8750</v>
      </c>
      <c r="D2480" t="s">
        <v>9918</v>
      </c>
      <c r="E2480">
        <f>jhs_broadcasting_owner9</f>
        <v>0</v>
      </c>
      <c r="F2480" t="b">
        <v>1</v>
      </c>
    </row>
    <row r="2481" spans="1:14" x14ac:dyDescent="0.35">
      <c r="A2481" t="s">
        <v>9781</v>
      </c>
      <c r="B2481" t="s">
        <v>9763</v>
      </c>
      <c r="C2481" t="s">
        <v>9781</v>
      </c>
      <c r="D2481" t="s">
        <v>9919</v>
      </c>
      <c r="E2481" t="e">
        <f>VLOOKUP(combo_jhs_broadcasting_status9, _ref_stat_partnership, 1, FALSE)</f>
        <v>#N/A</v>
      </c>
      <c r="F2481" t="b">
        <v>1</v>
      </c>
    </row>
    <row r="2482" spans="1:14" x14ac:dyDescent="0.35">
      <c r="A2482" t="s">
        <v>8759</v>
      </c>
      <c r="B2482" t="s">
        <v>9763</v>
      </c>
      <c r="C2482" t="s">
        <v>8759</v>
      </c>
      <c r="D2482" t="s">
        <v>9920</v>
      </c>
      <c r="E2482" s="1368">
        <f>jhs_broadcasting_datestarted9</f>
        <v>0</v>
      </c>
      <c r="F2482" t="b">
        <v>1</v>
      </c>
    </row>
    <row r="2483" spans="1:14" x14ac:dyDescent="0.35">
      <c r="A2483" t="s">
        <v>8768</v>
      </c>
      <c r="B2483" t="s">
        <v>9763</v>
      </c>
      <c r="C2483" t="s">
        <v>8768</v>
      </c>
      <c r="D2483" t="s">
        <v>9921</v>
      </c>
      <c r="E2483">
        <f>jhs_broadcasting_number9</f>
        <v>0</v>
      </c>
      <c r="F2483" t="b">
        <v>1</v>
      </c>
    </row>
    <row r="2484" spans="1:14" x14ac:dyDescent="0.35">
      <c r="A2484" t="s">
        <v>8777</v>
      </c>
      <c r="B2484" t="s">
        <v>9763</v>
      </c>
      <c r="C2484" t="s">
        <v>8777</v>
      </c>
      <c r="D2484" t="s">
        <v>9922</v>
      </c>
      <c r="E2484">
        <f>jhs_broadcasting_address9</f>
        <v>0</v>
      </c>
      <c r="F2484" t="b">
        <v>1</v>
      </c>
    </row>
    <row r="2485" spans="1:14" s="1348" customFormat="1" ht="16" thickBot="1" x14ac:dyDescent="0.4">
      <c r="A2485" s="1348" t="s">
        <v>8786</v>
      </c>
      <c r="B2485" s="1348" t="s">
        <v>9763</v>
      </c>
      <c r="C2485" s="1348" t="s">
        <v>8786</v>
      </c>
      <c r="D2485" s="1348" t="s">
        <v>9923</v>
      </c>
      <c r="E2485" s="1348">
        <f>jhs_broadcasting_email9</f>
        <v>0</v>
      </c>
      <c r="F2485" s="1348" t="b">
        <v>1</v>
      </c>
      <c r="N2485" s="1358"/>
    </row>
    <row r="2486" spans="1:14" x14ac:dyDescent="0.35">
      <c r="A2486" t="s">
        <v>9943</v>
      </c>
      <c r="B2486" t="s">
        <v>8837</v>
      </c>
      <c r="C2486" t="s">
        <v>8787</v>
      </c>
      <c r="D2486" t="s">
        <v>8838</v>
      </c>
      <c r="E2486" t="e">
        <f>VLOOKUP(combo_jhs_radio_type1, _ref_type_radio, 1, FALSE)</f>
        <v>#N/A</v>
      </c>
      <c r="F2486" t="b">
        <v>1</v>
      </c>
    </row>
    <row r="2487" spans="1:14" x14ac:dyDescent="0.35">
      <c r="A2487" t="s">
        <v>9933</v>
      </c>
      <c r="B2487" t="s">
        <v>8837</v>
      </c>
      <c r="C2487" t="s">
        <v>8797</v>
      </c>
      <c r="D2487" t="s">
        <v>8848</v>
      </c>
      <c r="E2487" t="e">
        <f>VLOOKUP(combo_jhs_radio_purpose1, _ref_purpose, 1, FALSE)</f>
        <v>#N/A</v>
      </c>
      <c r="F2487" t="b">
        <v>1</v>
      </c>
    </row>
    <row r="2488" spans="1:14" x14ac:dyDescent="0.35">
      <c r="A2488" t="s">
        <v>8807</v>
      </c>
      <c r="B2488" t="s">
        <v>8837</v>
      </c>
      <c r="C2488" t="s">
        <v>8807</v>
      </c>
      <c r="D2488" t="s">
        <v>8858</v>
      </c>
      <c r="E2488">
        <f>jhs_radio_frequency1</f>
        <v>0</v>
      </c>
      <c r="F2488" t="b">
        <v>1</v>
      </c>
    </row>
    <row r="2489" spans="1:14" x14ac:dyDescent="0.35">
      <c r="A2489" t="s">
        <v>8817</v>
      </c>
      <c r="B2489" t="s">
        <v>8837</v>
      </c>
      <c r="C2489" t="s">
        <v>8817</v>
      </c>
      <c r="D2489" t="s">
        <v>8868</v>
      </c>
      <c r="E2489">
        <f>jhs_radio_ntcnumber1</f>
        <v>0</v>
      </c>
      <c r="F2489" t="b">
        <v>1</v>
      </c>
    </row>
    <row r="2490" spans="1:14" x14ac:dyDescent="0.35">
      <c r="A2490" t="s">
        <v>8827</v>
      </c>
      <c r="B2490" t="s">
        <v>8837</v>
      </c>
      <c r="C2490" t="s">
        <v>8827</v>
      </c>
      <c r="D2490" t="s">
        <v>8878</v>
      </c>
      <c r="E2490">
        <f>jhs_radio_units1</f>
        <v>0</v>
      </c>
      <c r="F2490" t="b">
        <v>1</v>
      </c>
    </row>
    <row r="2491" spans="1:14" x14ac:dyDescent="0.35">
      <c r="A2491" t="s">
        <v>9924</v>
      </c>
      <c r="B2491" t="s">
        <v>8837</v>
      </c>
      <c r="C2491" t="s">
        <v>8788</v>
      </c>
      <c r="D2491" t="s">
        <v>8839</v>
      </c>
      <c r="E2491" t="e">
        <f>VLOOKUP(combo_jhs_radio_type2, _ref_type_radio, 1, FALSE)</f>
        <v>#N/A</v>
      </c>
      <c r="F2491" t="b">
        <v>1</v>
      </c>
    </row>
    <row r="2492" spans="1:14" x14ac:dyDescent="0.35">
      <c r="A2492" t="s">
        <v>9934</v>
      </c>
      <c r="B2492" t="s">
        <v>8837</v>
      </c>
      <c r="C2492" t="s">
        <v>8798</v>
      </c>
      <c r="D2492" t="s">
        <v>8849</v>
      </c>
      <c r="E2492" t="e">
        <f>VLOOKUP(combo_jhs_radio_purpose2, _ref_purpose, 1, FALSE)</f>
        <v>#N/A</v>
      </c>
      <c r="F2492" t="b">
        <v>1</v>
      </c>
    </row>
    <row r="2493" spans="1:14" x14ac:dyDescent="0.35">
      <c r="A2493" t="s">
        <v>8808</v>
      </c>
      <c r="B2493" t="s">
        <v>8837</v>
      </c>
      <c r="C2493" t="s">
        <v>8808</v>
      </c>
      <c r="D2493" t="s">
        <v>8859</v>
      </c>
      <c r="E2493">
        <f>jhs_radio_frequency2</f>
        <v>0</v>
      </c>
      <c r="F2493" t="b">
        <v>1</v>
      </c>
    </row>
    <row r="2494" spans="1:14" x14ac:dyDescent="0.35">
      <c r="A2494" t="s">
        <v>8818</v>
      </c>
      <c r="B2494" t="s">
        <v>8837</v>
      </c>
      <c r="C2494" t="s">
        <v>8818</v>
      </c>
      <c r="D2494" t="s">
        <v>8869</v>
      </c>
      <c r="E2494">
        <f>jhs_radio_ntcnumber2</f>
        <v>0</v>
      </c>
      <c r="F2494" t="b">
        <v>1</v>
      </c>
    </row>
    <row r="2495" spans="1:14" x14ac:dyDescent="0.35">
      <c r="A2495" t="s">
        <v>8828</v>
      </c>
      <c r="B2495" t="s">
        <v>8837</v>
      </c>
      <c r="C2495" t="s">
        <v>8828</v>
      </c>
      <c r="D2495" t="s">
        <v>8879</v>
      </c>
      <c r="E2495">
        <f>jhs_radio_units2</f>
        <v>0</v>
      </c>
      <c r="F2495" t="b">
        <v>1</v>
      </c>
    </row>
    <row r="2496" spans="1:14" x14ac:dyDescent="0.35">
      <c r="A2496" t="s">
        <v>9925</v>
      </c>
      <c r="B2496" t="s">
        <v>8837</v>
      </c>
      <c r="C2496" t="s">
        <v>8789</v>
      </c>
      <c r="D2496" t="s">
        <v>8840</v>
      </c>
      <c r="E2496" t="e">
        <f>VLOOKUP(combo_jhs_radio_type3, _ref_type_radio, 1, FALSE)</f>
        <v>#N/A</v>
      </c>
      <c r="F2496" t="b">
        <v>1</v>
      </c>
    </row>
    <row r="2497" spans="1:6" x14ac:dyDescent="0.35">
      <c r="A2497" t="s">
        <v>9935</v>
      </c>
      <c r="B2497" t="s">
        <v>8837</v>
      </c>
      <c r="C2497" t="s">
        <v>8799</v>
      </c>
      <c r="D2497" t="s">
        <v>8850</v>
      </c>
      <c r="E2497" t="e">
        <f>VLOOKUP(combo_jhs_radio_purpose3, _ref_purpose, 1, FALSE)</f>
        <v>#N/A</v>
      </c>
      <c r="F2497" t="b">
        <v>1</v>
      </c>
    </row>
    <row r="2498" spans="1:6" x14ac:dyDescent="0.35">
      <c r="A2498" t="s">
        <v>8809</v>
      </c>
      <c r="B2498" t="s">
        <v>8837</v>
      </c>
      <c r="C2498" t="s">
        <v>8809</v>
      </c>
      <c r="D2498" t="s">
        <v>8860</v>
      </c>
      <c r="E2498">
        <f>jhs_radio_frequency3</f>
        <v>0</v>
      </c>
      <c r="F2498" t="b">
        <v>1</v>
      </c>
    </row>
    <row r="2499" spans="1:6" x14ac:dyDescent="0.35">
      <c r="A2499" t="s">
        <v>8819</v>
      </c>
      <c r="B2499" t="s">
        <v>8837</v>
      </c>
      <c r="C2499" t="s">
        <v>8819</v>
      </c>
      <c r="D2499" t="s">
        <v>8870</v>
      </c>
      <c r="E2499">
        <f>jhs_radio_ntcnumber3</f>
        <v>0</v>
      </c>
      <c r="F2499" t="b">
        <v>1</v>
      </c>
    </row>
    <row r="2500" spans="1:6" x14ac:dyDescent="0.35">
      <c r="A2500" t="s">
        <v>8829</v>
      </c>
      <c r="B2500" t="s">
        <v>8837</v>
      </c>
      <c r="C2500" t="s">
        <v>8829</v>
      </c>
      <c r="D2500" t="s">
        <v>8880</v>
      </c>
      <c r="E2500">
        <f>jhs_radio_units3</f>
        <v>0</v>
      </c>
      <c r="F2500" t="b">
        <v>1</v>
      </c>
    </row>
    <row r="2501" spans="1:6" x14ac:dyDescent="0.35">
      <c r="A2501" t="s">
        <v>9926</v>
      </c>
      <c r="B2501" t="s">
        <v>8837</v>
      </c>
      <c r="C2501" t="s">
        <v>8790</v>
      </c>
      <c r="D2501" t="s">
        <v>8841</v>
      </c>
      <c r="E2501" t="e">
        <f>VLOOKUP(combo_jhs_radio_type4, _ref_type_radio, 1, FALSE)</f>
        <v>#N/A</v>
      </c>
      <c r="F2501" t="b">
        <v>1</v>
      </c>
    </row>
    <row r="2502" spans="1:6" x14ac:dyDescent="0.35">
      <c r="A2502" t="s">
        <v>9936</v>
      </c>
      <c r="B2502" t="s">
        <v>8837</v>
      </c>
      <c r="C2502" t="s">
        <v>8800</v>
      </c>
      <c r="D2502" t="s">
        <v>8851</v>
      </c>
      <c r="E2502" t="e">
        <f>VLOOKUP(combo_jhs_radio_purpose4, _ref_purpose, 1, FALSE)</f>
        <v>#N/A</v>
      </c>
      <c r="F2502" t="b">
        <v>1</v>
      </c>
    </row>
    <row r="2503" spans="1:6" x14ac:dyDescent="0.35">
      <c r="A2503" t="s">
        <v>8810</v>
      </c>
      <c r="B2503" t="s">
        <v>8837</v>
      </c>
      <c r="C2503" t="s">
        <v>8810</v>
      </c>
      <c r="D2503" t="s">
        <v>8861</v>
      </c>
      <c r="E2503">
        <f>jhs_radio_frequency4</f>
        <v>0</v>
      </c>
      <c r="F2503" t="b">
        <v>1</v>
      </c>
    </row>
    <row r="2504" spans="1:6" x14ac:dyDescent="0.35">
      <c r="A2504" t="s">
        <v>8820</v>
      </c>
      <c r="B2504" t="s">
        <v>8837</v>
      </c>
      <c r="C2504" t="s">
        <v>8820</v>
      </c>
      <c r="D2504" t="s">
        <v>8871</v>
      </c>
      <c r="E2504">
        <f>jhs_radio_ntcnumber4</f>
        <v>0</v>
      </c>
      <c r="F2504" t="b">
        <v>1</v>
      </c>
    </row>
    <row r="2505" spans="1:6" x14ac:dyDescent="0.35">
      <c r="A2505" t="s">
        <v>8830</v>
      </c>
      <c r="B2505" t="s">
        <v>8837</v>
      </c>
      <c r="C2505" t="s">
        <v>8830</v>
      </c>
      <c r="D2505" t="s">
        <v>8881</v>
      </c>
      <c r="E2505">
        <f>jhs_radio_units4</f>
        <v>0</v>
      </c>
      <c r="F2505" t="b">
        <v>1</v>
      </c>
    </row>
    <row r="2506" spans="1:6" x14ac:dyDescent="0.35">
      <c r="A2506" t="s">
        <v>9927</v>
      </c>
      <c r="B2506" t="s">
        <v>8837</v>
      </c>
      <c r="C2506" t="s">
        <v>8791</v>
      </c>
      <c r="D2506" t="s">
        <v>8842</v>
      </c>
      <c r="E2506" t="e">
        <f>VLOOKUP(combo_jhs_radio_type5, _ref_type_radio, 1, FALSE)</f>
        <v>#N/A</v>
      </c>
      <c r="F2506" t="b">
        <v>1</v>
      </c>
    </row>
    <row r="2507" spans="1:6" x14ac:dyDescent="0.35">
      <c r="A2507" t="s">
        <v>9937</v>
      </c>
      <c r="B2507" t="s">
        <v>8837</v>
      </c>
      <c r="C2507" t="s">
        <v>8801</v>
      </c>
      <c r="D2507" t="s">
        <v>8852</v>
      </c>
      <c r="E2507" t="e">
        <f>VLOOKUP(combo_jhs_radio_purpose5, _ref_purpose, 1, FALSE)</f>
        <v>#N/A</v>
      </c>
      <c r="F2507" t="b">
        <v>1</v>
      </c>
    </row>
    <row r="2508" spans="1:6" x14ac:dyDescent="0.35">
      <c r="A2508" t="s">
        <v>8811</v>
      </c>
      <c r="B2508" t="s">
        <v>8837</v>
      </c>
      <c r="C2508" t="s">
        <v>8811</v>
      </c>
      <c r="D2508" t="s">
        <v>8862</v>
      </c>
      <c r="E2508">
        <f>jhs_radio_frequency5</f>
        <v>0</v>
      </c>
      <c r="F2508" t="b">
        <v>1</v>
      </c>
    </row>
    <row r="2509" spans="1:6" x14ac:dyDescent="0.35">
      <c r="A2509" t="s">
        <v>8821</v>
      </c>
      <c r="B2509" t="s">
        <v>8837</v>
      </c>
      <c r="C2509" t="s">
        <v>8821</v>
      </c>
      <c r="D2509" t="s">
        <v>8872</v>
      </c>
      <c r="E2509">
        <f>jhs_radio_ntcnumber5</f>
        <v>0</v>
      </c>
      <c r="F2509" t="b">
        <v>1</v>
      </c>
    </row>
    <row r="2510" spans="1:6" x14ac:dyDescent="0.35">
      <c r="A2510" t="s">
        <v>8831</v>
      </c>
      <c r="B2510" t="s">
        <v>8837</v>
      </c>
      <c r="C2510" t="s">
        <v>8831</v>
      </c>
      <c r="D2510" t="s">
        <v>8882</v>
      </c>
      <c r="E2510">
        <f>jhs_radio_units5</f>
        <v>0</v>
      </c>
      <c r="F2510" t="b">
        <v>1</v>
      </c>
    </row>
    <row r="2511" spans="1:6" x14ac:dyDescent="0.35">
      <c r="A2511" t="s">
        <v>9928</v>
      </c>
      <c r="B2511" t="s">
        <v>8837</v>
      </c>
      <c r="C2511" t="s">
        <v>8792</v>
      </c>
      <c r="D2511" t="s">
        <v>8843</v>
      </c>
      <c r="E2511" t="e">
        <f>VLOOKUP(combo_jhs_radio_type6, _ref_type_radio, 1, FALSE)</f>
        <v>#N/A</v>
      </c>
      <c r="F2511" t="b">
        <v>1</v>
      </c>
    </row>
    <row r="2512" spans="1:6" x14ac:dyDescent="0.35">
      <c r="A2512" t="s">
        <v>9938</v>
      </c>
      <c r="B2512" t="s">
        <v>8837</v>
      </c>
      <c r="C2512" t="s">
        <v>8802</v>
      </c>
      <c r="D2512" t="s">
        <v>8853</v>
      </c>
      <c r="E2512" t="e">
        <f>VLOOKUP(combo_jhs_radio_purpose6, _ref_purpose, 1, FALSE)</f>
        <v>#N/A</v>
      </c>
      <c r="F2512" t="b">
        <v>1</v>
      </c>
    </row>
    <row r="2513" spans="1:6" x14ac:dyDescent="0.35">
      <c r="A2513" t="s">
        <v>8812</v>
      </c>
      <c r="B2513" t="s">
        <v>8837</v>
      </c>
      <c r="C2513" t="s">
        <v>8812</v>
      </c>
      <c r="D2513" t="s">
        <v>8863</v>
      </c>
      <c r="E2513">
        <f>jhs_radio_frequency6</f>
        <v>0</v>
      </c>
      <c r="F2513" t="b">
        <v>1</v>
      </c>
    </row>
    <row r="2514" spans="1:6" x14ac:dyDescent="0.35">
      <c r="A2514" t="s">
        <v>8822</v>
      </c>
      <c r="B2514" t="s">
        <v>8837</v>
      </c>
      <c r="C2514" t="s">
        <v>8822</v>
      </c>
      <c r="D2514" t="s">
        <v>8873</v>
      </c>
      <c r="E2514">
        <f>jhs_radio_ntcnumber6</f>
        <v>0</v>
      </c>
      <c r="F2514" t="b">
        <v>1</v>
      </c>
    </row>
    <row r="2515" spans="1:6" x14ac:dyDescent="0.35">
      <c r="A2515" t="s">
        <v>8832</v>
      </c>
      <c r="B2515" t="s">
        <v>8837</v>
      </c>
      <c r="C2515" t="s">
        <v>8832</v>
      </c>
      <c r="D2515" t="s">
        <v>8883</v>
      </c>
      <c r="E2515">
        <f>jhs_radio_units6</f>
        <v>0</v>
      </c>
      <c r="F2515" t="b">
        <v>1</v>
      </c>
    </row>
    <row r="2516" spans="1:6" x14ac:dyDescent="0.35">
      <c r="A2516" t="s">
        <v>9929</v>
      </c>
      <c r="B2516" t="s">
        <v>8837</v>
      </c>
      <c r="C2516" t="s">
        <v>8793</v>
      </c>
      <c r="D2516" t="s">
        <v>8844</v>
      </c>
      <c r="E2516" t="e">
        <f>VLOOKUP(combo_jhs_radio_type7, _ref_type_radio, 1, FALSE)</f>
        <v>#N/A</v>
      </c>
      <c r="F2516" t="b">
        <v>1</v>
      </c>
    </row>
    <row r="2517" spans="1:6" x14ac:dyDescent="0.35">
      <c r="A2517" t="s">
        <v>9939</v>
      </c>
      <c r="B2517" t="s">
        <v>8837</v>
      </c>
      <c r="C2517" t="s">
        <v>8803</v>
      </c>
      <c r="D2517" t="s">
        <v>8854</v>
      </c>
      <c r="E2517" t="e">
        <f>VLOOKUP(combo_jhs_radio_purpose7, _ref_purpose, 1, FALSE)</f>
        <v>#N/A</v>
      </c>
      <c r="F2517" t="b">
        <v>1</v>
      </c>
    </row>
    <row r="2518" spans="1:6" x14ac:dyDescent="0.35">
      <c r="A2518" t="s">
        <v>8813</v>
      </c>
      <c r="B2518" t="s">
        <v>8837</v>
      </c>
      <c r="C2518" t="s">
        <v>8813</v>
      </c>
      <c r="D2518" t="s">
        <v>8864</v>
      </c>
      <c r="E2518">
        <f>jhs_radio_frequency7</f>
        <v>0</v>
      </c>
      <c r="F2518" t="b">
        <v>1</v>
      </c>
    </row>
    <row r="2519" spans="1:6" x14ac:dyDescent="0.35">
      <c r="A2519" t="s">
        <v>8823</v>
      </c>
      <c r="B2519" t="s">
        <v>8837</v>
      </c>
      <c r="C2519" t="s">
        <v>8823</v>
      </c>
      <c r="D2519" t="s">
        <v>8874</v>
      </c>
      <c r="E2519">
        <f>jhs_radio_ntcnumber7</f>
        <v>0</v>
      </c>
      <c r="F2519" t="b">
        <v>1</v>
      </c>
    </row>
    <row r="2520" spans="1:6" x14ac:dyDescent="0.35">
      <c r="A2520" t="s">
        <v>8833</v>
      </c>
      <c r="B2520" t="s">
        <v>8837</v>
      </c>
      <c r="C2520" t="s">
        <v>8833</v>
      </c>
      <c r="D2520" t="s">
        <v>8884</v>
      </c>
      <c r="E2520">
        <f>jhs_radio_units7</f>
        <v>0</v>
      </c>
      <c r="F2520" t="b">
        <v>1</v>
      </c>
    </row>
    <row r="2521" spans="1:6" x14ac:dyDescent="0.35">
      <c r="A2521" t="s">
        <v>9930</v>
      </c>
      <c r="B2521" t="s">
        <v>8837</v>
      </c>
      <c r="C2521" t="s">
        <v>8794</v>
      </c>
      <c r="D2521" t="s">
        <v>8845</v>
      </c>
      <c r="E2521" t="e">
        <f>VLOOKUP(combo_jhs_radio_type8, _ref_type_radio, 1, FALSE)</f>
        <v>#N/A</v>
      </c>
      <c r="F2521" t="b">
        <v>1</v>
      </c>
    </row>
    <row r="2522" spans="1:6" x14ac:dyDescent="0.35">
      <c r="A2522" t="s">
        <v>9940</v>
      </c>
      <c r="B2522" t="s">
        <v>8837</v>
      </c>
      <c r="C2522" t="s">
        <v>8804</v>
      </c>
      <c r="D2522" t="s">
        <v>8855</v>
      </c>
      <c r="E2522" t="e">
        <f>VLOOKUP(combo_jhs_radio_purpose8, _ref_purpose, 1, FALSE)</f>
        <v>#N/A</v>
      </c>
      <c r="F2522" t="b">
        <v>1</v>
      </c>
    </row>
    <row r="2523" spans="1:6" x14ac:dyDescent="0.35">
      <c r="A2523" t="s">
        <v>8814</v>
      </c>
      <c r="B2523" t="s">
        <v>8837</v>
      </c>
      <c r="C2523" t="s">
        <v>8814</v>
      </c>
      <c r="D2523" t="s">
        <v>8865</v>
      </c>
      <c r="E2523">
        <f>jhs_radio_frequency8</f>
        <v>0</v>
      </c>
      <c r="F2523" t="b">
        <v>1</v>
      </c>
    </row>
    <row r="2524" spans="1:6" x14ac:dyDescent="0.35">
      <c r="A2524" t="s">
        <v>8824</v>
      </c>
      <c r="B2524" t="s">
        <v>8837</v>
      </c>
      <c r="C2524" t="s">
        <v>8824</v>
      </c>
      <c r="D2524" t="s">
        <v>8875</v>
      </c>
      <c r="E2524">
        <f>jhs_radio_ntcnumber8</f>
        <v>0</v>
      </c>
      <c r="F2524" t="b">
        <v>1</v>
      </c>
    </row>
    <row r="2525" spans="1:6" x14ac:dyDescent="0.35">
      <c r="A2525" t="s">
        <v>8834</v>
      </c>
      <c r="B2525" t="s">
        <v>8837</v>
      </c>
      <c r="C2525" t="s">
        <v>8834</v>
      </c>
      <c r="D2525" t="s">
        <v>8885</v>
      </c>
      <c r="E2525">
        <f>jhs_radio_units8</f>
        <v>0</v>
      </c>
      <c r="F2525" t="b">
        <v>1</v>
      </c>
    </row>
    <row r="2526" spans="1:6" x14ac:dyDescent="0.35">
      <c r="A2526" t="s">
        <v>9931</v>
      </c>
      <c r="B2526" t="s">
        <v>8837</v>
      </c>
      <c r="C2526" t="s">
        <v>8795</v>
      </c>
      <c r="D2526" t="s">
        <v>8846</v>
      </c>
      <c r="E2526" t="e">
        <f>VLOOKUP(combo_jhs_radio_type9, _ref_type_radio, 1, FALSE)</f>
        <v>#N/A</v>
      </c>
      <c r="F2526" t="b">
        <v>1</v>
      </c>
    </row>
    <row r="2527" spans="1:6" x14ac:dyDescent="0.35">
      <c r="A2527" t="s">
        <v>9941</v>
      </c>
      <c r="B2527" t="s">
        <v>8837</v>
      </c>
      <c r="C2527" t="s">
        <v>8805</v>
      </c>
      <c r="D2527" t="s">
        <v>8856</v>
      </c>
      <c r="E2527" t="e">
        <f>VLOOKUP(combo_jhs_radio_purpose9, _ref_purpose, 1, FALSE)</f>
        <v>#N/A</v>
      </c>
      <c r="F2527" t="b">
        <v>1</v>
      </c>
    </row>
    <row r="2528" spans="1:6" x14ac:dyDescent="0.35">
      <c r="A2528" t="s">
        <v>8815</v>
      </c>
      <c r="B2528" t="s">
        <v>8837</v>
      </c>
      <c r="C2528" t="s">
        <v>8815</v>
      </c>
      <c r="D2528" t="s">
        <v>8866</v>
      </c>
      <c r="E2528">
        <f>jhs_radio_frequency9</f>
        <v>0</v>
      </c>
      <c r="F2528" t="b">
        <v>1</v>
      </c>
    </row>
    <row r="2529" spans="1:14" x14ac:dyDescent="0.35">
      <c r="A2529" t="s">
        <v>8825</v>
      </c>
      <c r="B2529" t="s">
        <v>8837</v>
      </c>
      <c r="C2529" t="s">
        <v>8825</v>
      </c>
      <c r="D2529" t="s">
        <v>8876</v>
      </c>
      <c r="E2529">
        <f>jhs_radio_ntcnumber9</f>
        <v>0</v>
      </c>
      <c r="F2529" t="b">
        <v>1</v>
      </c>
    </row>
    <row r="2530" spans="1:14" x14ac:dyDescent="0.35">
      <c r="A2530" t="s">
        <v>8835</v>
      </c>
      <c r="B2530" t="s">
        <v>8837</v>
      </c>
      <c r="C2530" t="s">
        <v>8835</v>
      </c>
      <c r="D2530" t="s">
        <v>8886</v>
      </c>
      <c r="E2530">
        <f>jhs_radio_units9</f>
        <v>0</v>
      </c>
      <c r="F2530" t="b">
        <v>1</v>
      </c>
    </row>
    <row r="2531" spans="1:14" x14ac:dyDescent="0.35">
      <c r="A2531" t="s">
        <v>9932</v>
      </c>
      <c r="B2531" t="s">
        <v>8837</v>
      </c>
      <c r="C2531" t="s">
        <v>8796</v>
      </c>
      <c r="D2531" t="s">
        <v>8847</v>
      </c>
      <c r="E2531" t="e">
        <f>VLOOKUP(combo_jhs_radio_type10, _ref_type_radio, 1, FALSE)</f>
        <v>#N/A</v>
      </c>
      <c r="F2531" t="b">
        <v>1</v>
      </c>
    </row>
    <row r="2532" spans="1:14" x14ac:dyDescent="0.35">
      <c r="A2532" t="s">
        <v>9942</v>
      </c>
      <c r="B2532" t="s">
        <v>8837</v>
      </c>
      <c r="C2532" t="s">
        <v>8806</v>
      </c>
      <c r="D2532" t="s">
        <v>8857</v>
      </c>
      <c r="E2532" t="e">
        <f>VLOOKUP(combo_jhs_radio_purpose10, _ref_purpose, 1, FALSE)</f>
        <v>#N/A</v>
      </c>
      <c r="F2532" t="b">
        <v>1</v>
      </c>
    </row>
    <row r="2533" spans="1:14" x14ac:dyDescent="0.35">
      <c r="A2533" t="s">
        <v>8816</v>
      </c>
      <c r="B2533" t="s">
        <v>8837</v>
      </c>
      <c r="C2533" t="s">
        <v>8816</v>
      </c>
      <c r="D2533" t="s">
        <v>8867</v>
      </c>
      <c r="E2533">
        <f>jhs_radio_frequency10</f>
        <v>0</v>
      </c>
      <c r="F2533" t="b">
        <v>1</v>
      </c>
    </row>
    <row r="2534" spans="1:14" x14ac:dyDescent="0.35">
      <c r="A2534" t="s">
        <v>8826</v>
      </c>
      <c r="B2534" t="s">
        <v>8837</v>
      </c>
      <c r="C2534" t="s">
        <v>8826</v>
      </c>
      <c r="D2534" t="s">
        <v>8877</v>
      </c>
      <c r="E2534">
        <f>jhs_radio_ntcnumber10</f>
        <v>0</v>
      </c>
      <c r="F2534" t="b">
        <v>1</v>
      </c>
    </row>
    <row r="2535" spans="1:14" s="1348" customFormat="1" ht="16" thickBot="1" x14ac:dyDescent="0.4">
      <c r="A2535" s="1348" t="s">
        <v>8836</v>
      </c>
      <c r="B2535" s="1348" t="s">
        <v>8837</v>
      </c>
      <c r="C2535" s="1348" t="s">
        <v>8836</v>
      </c>
      <c r="D2535" s="1348" t="s">
        <v>8887</v>
      </c>
      <c r="E2535" s="1348">
        <f>jhs_radio_units10</f>
        <v>0</v>
      </c>
      <c r="F2535" s="1348" t="b">
        <v>1</v>
      </c>
      <c r="N2535" s="1358"/>
    </row>
    <row r="2536" spans="1:14" x14ac:dyDescent="0.35">
      <c r="A2536" t="s">
        <v>5120</v>
      </c>
      <c r="B2536" t="s">
        <v>5121</v>
      </c>
      <c r="C2536" t="s">
        <v>5120</v>
      </c>
      <c r="D2536" t="s">
        <v>7653</v>
      </c>
      <c r="E2536" s="1397">
        <f>mooe_alloc_jantodec_amount</f>
        <v>2442000</v>
      </c>
      <c r="F2536" t="b">
        <v>1</v>
      </c>
    </row>
    <row r="2537" spans="1:14" x14ac:dyDescent="0.35">
      <c r="A2537" t="s">
        <v>5122</v>
      </c>
      <c r="B2537" t="s">
        <v>5121</v>
      </c>
      <c r="C2537" t="s">
        <v>5122</v>
      </c>
      <c r="D2537" t="s">
        <v>7654</v>
      </c>
      <c r="E2537" s="1397">
        <f>mooe_utili_jantodec_amount</f>
        <v>2442000</v>
      </c>
      <c r="F2537" t="b">
        <v>1</v>
      </c>
    </row>
    <row r="2538" spans="1:14" x14ac:dyDescent="0.35">
      <c r="A2538" t="s">
        <v>5123</v>
      </c>
      <c r="B2538" t="s">
        <v>5121</v>
      </c>
      <c r="C2538" t="s">
        <v>5123</v>
      </c>
      <c r="D2538" t="s">
        <v>7655</v>
      </c>
      <c r="E2538" s="1397">
        <f>mooe_liqui_jantodec_amount</f>
        <v>2442000</v>
      </c>
      <c r="F2538" t="b">
        <v>1</v>
      </c>
    </row>
    <row r="2539" spans="1:14" x14ac:dyDescent="0.35">
      <c r="A2539" t="s">
        <v>5124</v>
      </c>
      <c r="B2539" t="s">
        <v>5121</v>
      </c>
      <c r="C2539" t="s">
        <v>5124</v>
      </c>
      <c r="D2539" t="s">
        <v>7656</v>
      </c>
      <c r="E2539" t="str">
        <f>do_acct_name</f>
        <v>ROBERTO L. TORRES  / March 17, 2023</v>
      </c>
      <c r="F2539" t="b">
        <v>1</v>
      </c>
    </row>
    <row r="2540" spans="1:14" s="1348" customFormat="1" ht="16" thickBot="1" x14ac:dyDescent="0.4">
      <c r="A2540" s="1348" t="s">
        <v>5125</v>
      </c>
      <c r="B2540" s="1348" t="s">
        <v>5121</v>
      </c>
      <c r="C2540" s="1348" t="s">
        <v>5125</v>
      </c>
      <c r="D2540" s="1348" t="s">
        <v>7657</v>
      </c>
      <c r="E2540" s="1348" t="str">
        <f>do_acct_post</f>
        <v>Division Accountant</v>
      </c>
      <c r="F2540" s="1348" t="b">
        <v>1</v>
      </c>
      <c r="N2540" s="1358"/>
    </row>
    <row r="2541" spans="1:14" x14ac:dyDescent="0.35">
      <c r="A2541" t="s">
        <v>5126</v>
      </c>
      <c r="B2541" t="s">
        <v>5127</v>
      </c>
      <c r="C2541" t="s">
        <v>5126</v>
      </c>
      <c r="D2541" s="1353" t="s">
        <v>7658</v>
      </c>
      <c r="E2541" t="b">
        <f>electrical_supply_sources_grid</f>
        <v>1</v>
      </c>
      <c r="F2541" t="b">
        <f t="shared" ref="F2541:F2553" si="6">ISLOGICAL(E2541)</f>
        <v>1</v>
      </c>
      <c r="G2541" t="s">
        <v>12516</v>
      </c>
    </row>
    <row r="2542" spans="1:14" x14ac:dyDescent="0.35">
      <c r="A2542" t="s">
        <v>5128</v>
      </c>
      <c r="B2542" t="s">
        <v>5127</v>
      </c>
      <c r="C2542" t="s">
        <v>5128</v>
      </c>
      <c r="D2542" s="1353" t="s">
        <v>7659</v>
      </c>
      <c r="E2542" t="b">
        <f>electrical_supply_sources_offgrid</f>
        <v>0</v>
      </c>
      <c r="F2542" t="b">
        <f t="shared" si="6"/>
        <v>1</v>
      </c>
      <c r="G2542" t="s">
        <v>12516</v>
      </c>
    </row>
    <row r="2543" spans="1:14" x14ac:dyDescent="0.35">
      <c r="A2543" t="s">
        <v>5133</v>
      </c>
      <c r="B2543" t="s">
        <v>5127</v>
      </c>
      <c r="C2543" t="s">
        <v>5133</v>
      </c>
      <c r="D2543" t="s">
        <v>7664</v>
      </c>
      <c r="E2543" t="b">
        <f>electrical_offgrid_solar_power</f>
        <v>0</v>
      </c>
      <c r="F2543" t="b">
        <f>ISLOGICAL(E2543)</f>
        <v>1</v>
      </c>
      <c r="G2543" t="s">
        <v>12516</v>
      </c>
    </row>
    <row r="2544" spans="1:14" x14ac:dyDescent="0.35">
      <c r="A2544" t="s">
        <v>5134</v>
      </c>
      <c r="B2544" t="s">
        <v>5127</v>
      </c>
      <c r="C2544" t="s">
        <v>5134</v>
      </c>
      <c r="D2544" s="1353" t="s">
        <v>7665</v>
      </c>
      <c r="E2544" t="b">
        <f>electrical_offgrid_generator</f>
        <v>0</v>
      </c>
      <c r="F2544" t="b">
        <f>ISLOGICAL(E2544)</f>
        <v>1</v>
      </c>
      <c r="G2544" t="s">
        <v>12516</v>
      </c>
    </row>
    <row r="2545" spans="1:14" x14ac:dyDescent="0.35">
      <c r="A2545" t="s">
        <v>5135</v>
      </c>
      <c r="B2545" t="s">
        <v>5127</v>
      </c>
      <c r="C2545" t="s">
        <v>5135</v>
      </c>
      <c r="D2545" s="1353" t="s">
        <v>7666</v>
      </c>
      <c r="E2545" t="b">
        <f>electrical_offgrid_others</f>
        <v>0</v>
      </c>
      <c r="F2545" t="b">
        <f>ISLOGICAL(E2545)</f>
        <v>1</v>
      </c>
      <c r="G2545" t="s">
        <v>12516</v>
      </c>
    </row>
    <row r="2546" spans="1:14" x14ac:dyDescent="0.35">
      <c r="A2546" t="s">
        <v>5129</v>
      </c>
      <c r="B2546" t="s">
        <v>5127</v>
      </c>
      <c r="C2546" t="s">
        <v>5129</v>
      </c>
      <c r="D2546" s="1353" t="s">
        <v>7660</v>
      </c>
      <c r="E2546" t="b">
        <f>electrical_nosource</f>
        <v>0</v>
      </c>
      <c r="F2546" t="b">
        <f t="shared" si="6"/>
        <v>1</v>
      </c>
      <c r="G2546" t="s">
        <v>12516</v>
      </c>
    </row>
    <row r="2547" spans="1:14" x14ac:dyDescent="0.35">
      <c r="A2547" t="s">
        <v>5139</v>
      </c>
      <c r="B2547" t="s">
        <v>5127</v>
      </c>
      <c r="C2547" t="s">
        <v>5139</v>
      </c>
      <c r="D2547" s="1353" t="s">
        <v>7670</v>
      </c>
      <c r="E2547">
        <f>electrical_offgrid_others_specify</f>
        <v>0</v>
      </c>
      <c r="F2547" t="b">
        <v>1</v>
      </c>
    </row>
    <row r="2548" spans="1:14" x14ac:dyDescent="0.35">
      <c r="A2548" t="s">
        <v>5130</v>
      </c>
      <c r="B2548" t="s">
        <v>5127</v>
      </c>
      <c r="C2548" t="s">
        <v>5130</v>
      </c>
      <c r="D2548" s="1353" t="s">
        <v>7661</v>
      </c>
      <c r="E2548" t="b">
        <f>electrical_funding_sources_mooe</f>
        <v>1</v>
      </c>
      <c r="F2548" t="b">
        <f t="shared" si="6"/>
        <v>1</v>
      </c>
      <c r="G2548" t="s">
        <v>12516</v>
      </c>
    </row>
    <row r="2549" spans="1:14" x14ac:dyDescent="0.35">
      <c r="A2549" t="s">
        <v>5131</v>
      </c>
      <c r="B2549" t="s">
        <v>5127</v>
      </c>
      <c r="C2549" t="s">
        <v>5131</v>
      </c>
      <c r="D2549" s="1353" t="s">
        <v>7662</v>
      </c>
      <c r="E2549" t="b">
        <f>electrical_funding_sources_lgu</f>
        <v>0</v>
      </c>
      <c r="F2549" t="b">
        <f t="shared" si="6"/>
        <v>1</v>
      </c>
      <c r="G2549" t="s">
        <v>12516</v>
      </c>
    </row>
    <row r="2550" spans="1:14" x14ac:dyDescent="0.35">
      <c r="A2550" t="s">
        <v>5132</v>
      </c>
      <c r="B2550" t="s">
        <v>5127</v>
      </c>
      <c r="C2550" t="s">
        <v>5132</v>
      </c>
      <c r="D2550" s="1353" t="s">
        <v>7663</v>
      </c>
      <c r="E2550" t="b">
        <f>electrical_funding_sources_pta</f>
        <v>0</v>
      </c>
      <c r="F2550" t="b">
        <f t="shared" si="6"/>
        <v>1</v>
      </c>
      <c r="G2550" t="s">
        <v>12516</v>
      </c>
    </row>
    <row r="2551" spans="1:14" x14ac:dyDescent="0.35">
      <c r="A2551" t="s">
        <v>5136</v>
      </c>
      <c r="B2551" t="s">
        <v>5127</v>
      </c>
      <c r="C2551" t="s">
        <v>5136</v>
      </c>
      <c r="D2551" s="1353" t="s">
        <v>7667</v>
      </c>
      <c r="E2551" t="b">
        <f>electrical_funding_sources_canteen</f>
        <v>0</v>
      </c>
      <c r="F2551" t="b">
        <f t="shared" si="6"/>
        <v>1</v>
      </c>
      <c r="G2551" t="s">
        <v>12516</v>
      </c>
    </row>
    <row r="2552" spans="1:14" x14ac:dyDescent="0.35">
      <c r="A2552" t="s">
        <v>5137</v>
      </c>
      <c r="B2552" t="s">
        <v>5127</v>
      </c>
      <c r="C2552" t="s">
        <v>5137</v>
      </c>
      <c r="D2552" s="1353" t="s">
        <v>7668</v>
      </c>
      <c r="E2552" t="b">
        <f>electrical_funding_sources_private</f>
        <v>0</v>
      </c>
      <c r="F2552" t="b">
        <f t="shared" si="6"/>
        <v>1</v>
      </c>
      <c r="G2552" t="s">
        <v>12516</v>
      </c>
    </row>
    <row r="2553" spans="1:14" x14ac:dyDescent="0.35">
      <c r="A2553" t="s">
        <v>5138</v>
      </c>
      <c r="B2553" t="s">
        <v>5127</v>
      </c>
      <c r="C2553" t="s">
        <v>5138</v>
      </c>
      <c r="D2553" s="1353" t="s">
        <v>7669</v>
      </c>
      <c r="E2553" t="b">
        <f>electrical_funding_sources_others</f>
        <v>0</v>
      </c>
      <c r="F2553" t="b">
        <f t="shared" si="6"/>
        <v>1</v>
      </c>
      <c r="G2553" t="s">
        <v>12516</v>
      </c>
    </row>
    <row r="2554" spans="1:14" x14ac:dyDescent="0.35">
      <c r="A2554" t="s">
        <v>5140</v>
      </c>
      <c r="B2554" t="s">
        <v>5127</v>
      </c>
      <c r="C2554" t="s">
        <v>5140</v>
      </c>
      <c r="D2554" s="1353" t="s">
        <v>7671</v>
      </c>
      <c r="E2554">
        <f>electrical_funding_source_others_specify</f>
        <v>0</v>
      </c>
      <c r="F2554" t="b">
        <v>1</v>
      </c>
    </row>
    <row r="2555" spans="1:14" x14ac:dyDescent="0.35">
      <c r="A2555" t="s">
        <v>5142</v>
      </c>
      <c r="B2555" t="s">
        <v>5127</v>
      </c>
      <c r="C2555" t="s">
        <v>5142</v>
      </c>
      <c r="D2555" t="s">
        <v>7673</v>
      </c>
      <c r="E2555" s="1397">
        <f>ave_cost_monthly_bills_amount</f>
        <v>40583.33</v>
      </c>
      <c r="F2555" t="b">
        <v>1</v>
      </c>
    </row>
    <row r="2556" spans="1:14" x14ac:dyDescent="0.35">
      <c r="A2556" t="s">
        <v>5141</v>
      </c>
      <c r="B2556" t="s">
        <v>5127</v>
      </c>
      <c r="C2556" t="s">
        <v>5141</v>
      </c>
      <c r="D2556" s="1353" t="s">
        <v>7672</v>
      </c>
      <c r="E2556">
        <f>electricity_available_inaday_hours</f>
        <v>24</v>
      </c>
      <c r="F2556" t="b">
        <v>1</v>
      </c>
    </row>
    <row r="2557" spans="1:14" x14ac:dyDescent="0.35">
      <c r="A2557" t="s">
        <v>5143</v>
      </c>
      <c r="B2557" t="s">
        <v>5127</v>
      </c>
      <c r="C2557" t="s">
        <v>5143</v>
      </c>
      <c r="D2557" t="s">
        <v>7674</v>
      </c>
      <c r="E2557" t="str">
        <f>do_engr_name</f>
        <v>BRYAN REY P. JAMIS</v>
      </c>
      <c r="F2557" t="b">
        <v>1</v>
      </c>
    </row>
    <row r="2558" spans="1:14" s="1359" customFormat="1" ht="16" thickBot="1" x14ac:dyDescent="0.4">
      <c r="A2558" s="1359" t="s">
        <v>5144</v>
      </c>
      <c r="B2558" s="1359" t="s">
        <v>5127</v>
      </c>
      <c r="C2558" s="1359" t="s">
        <v>5144</v>
      </c>
      <c r="D2558" s="1359" t="s">
        <v>7675</v>
      </c>
      <c r="E2558" s="1359" t="str">
        <f>do_engr_post</f>
        <v>Engineer III</v>
      </c>
      <c r="F2558" s="1359" t="b">
        <v>1</v>
      </c>
      <c r="N2558" s="1360"/>
    </row>
    <row r="2559" spans="1:14" x14ac:dyDescent="0.35">
      <c r="A2559" t="s">
        <v>5182</v>
      </c>
      <c r="B2559" t="s">
        <v>5146</v>
      </c>
      <c r="C2559" t="s">
        <v>5182</v>
      </c>
      <c r="D2559" s="1353" t="s">
        <v>9944</v>
      </c>
      <c r="E2559" t="b">
        <f>schsite_ownership_deped</f>
        <v>1</v>
      </c>
      <c r="F2559" t="b">
        <f>ISLOGICAL(E2559)</f>
        <v>1</v>
      </c>
      <c r="G2559" t="s">
        <v>12516</v>
      </c>
    </row>
    <row r="2560" spans="1:14" x14ac:dyDescent="0.35">
      <c r="A2560" t="s">
        <v>5183</v>
      </c>
      <c r="B2560" t="s">
        <v>5146</v>
      </c>
      <c r="C2560" t="s">
        <v>5183</v>
      </c>
      <c r="D2560" s="1353" t="s">
        <v>9945</v>
      </c>
      <c r="E2560" t="b">
        <f>schsite_ownership_lgu</f>
        <v>0</v>
      </c>
      <c r="F2560" t="b">
        <f>ISLOGICAL(E2560)</f>
        <v>1</v>
      </c>
      <c r="G2560" t="s">
        <v>12516</v>
      </c>
    </row>
    <row r="2561" spans="1:7" x14ac:dyDescent="0.35">
      <c r="A2561" t="s">
        <v>5184</v>
      </c>
      <c r="B2561" t="s">
        <v>5146</v>
      </c>
      <c r="C2561" t="s">
        <v>5184</v>
      </c>
      <c r="D2561" s="1353" t="s">
        <v>9946</v>
      </c>
      <c r="E2561" t="b">
        <f>schsite_ownership_othergov</f>
        <v>0</v>
      </c>
      <c r="F2561" t="b">
        <f>ISLOGICAL(E2561)</f>
        <v>1</v>
      </c>
      <c r="G2561" t="s">
        <v>12516</v>
      </c>
    </row>
    <row r="2562" spans="1:7" x14ac:dyDescent="0.35">
      <c r="A2562" t="s">
        <v>5185</v>
      </c>
      <c r="B2562" t="s">
        <v>5146</v>
      </c>
      <c r="C2562" t="s">
        <v>5185</v>
      </c>
      <c r="D2562" s="1353" t="s">
        <v>9947</v>
      </c>
      <c r="E2562" t="b">
        <f>schsite_ownership_prvt_ind</f>
        <v>0</v>
      </c>
      <c r="F2562" t="b">
        <f>ISLOGICAL(E2562)</f>
        <v>1</v>
      </c>
      <c r="G2562" t="s">
        <v>12516</v>
      </c>
    </row>
    <row r="2563" spans="1:7" x14ac:dyDescent="0.35">
      <c r="A2563" t="s">
        <v>5186</v>
      </c>
      <c r="B2563" t="s">
        <v>5146</v>
      </c>
      <c r="C2563" t="s">
        <v>5186</v>
      </c>
      <c r="D2563" s="1353" t="s">
        <v>9948</v>
      </c>
      <c r="E2563" t="b">
        <f>schsite_ownership_wdocu_yes</f>
        <v>1</v>
      </c>
      <c r="F2563" t="b">
        <f>ISLOGICAL(E2563)</f>
        <v>1</v>
      </c>
      <c r="G2563" t="s">
        <v>12516</v>
      </c>
    </row>
    <row r="2564" spans="1:7" x14ac:dyDescent="0.35">
      <c r="A2564" t="s">
        <v>5168</v>
      </c>
      <c r="B2564" t="s">
        <v>5146</v>
      </c>
      <c r="C2564" t="s">
        <v>5168</v>
      </c>
      <c r="D2564" s="1353" t="s">
        <v>9949</v>
      </c>
      <c r="E2564" t="b">
        <f>schsite_ownership_wdocu_yes_oct</f>
        <v>1</v>
      </c>
      <c r="F2564" t="b">
        <f t="shared" ref="F2564:F2577" si="7">ISLOGICAL(E2564)</f>
        <v>1</v>
      </c>
      <c r="G2564" t="s">
        <v>12516</v>
      </c>
    </row>
    <row r="2565" spans="1:7" x14ac:dyDescent="0.35">
      <c r="A2565" t="s">
        <v>5169</v>
      </c>
      <c r="B2565" t="s">
        <v>5146</v>
      </c>
      <c r="C2565" t="s">
        <v>5169</v>
      </c>
      <c r="D2565" s="1353" t="s">
        <v>9951</v>
      </c>
      <c r="E2565" t="b">
        <f>schsite_ownership_wdocu_yes_tct</f>
        <v>0</v>
      </c>
      <c r="F2565" t="b">
        <f t="shared" si="7"/>
        <v>1</v>
      </c>
      <c r="G2565" t="s">
        <v>12516</v>
      </c>
    </row>
    <row r="2566" spans="1:7" x14ac:dyDescent="0.35">
      <c r="A2566" t="s">
        <v>5170</v>
      </c>
      <c r="B2566" t="s">
        <v>5146</v>
      </c>
      <c r="C2566" t="s">
        <v>5170</v>
      </c>
      <c r="D2566" s="1353" t="s">
        <v>9950</v>
      </c>
      <c r="E2566" t="b">
        <f>schsite_ownership_wdocu_yes_cloa</f>
        <v>0</v>
      </c>
      <c r="F2566" t="b">
        <f t="shared" si="7"/>
        <v>1</v>
      </c>
      <c r="G2566" t="s">
        <v>12516</v>
      </c>
    </row>
    <row r="2567" spans="1:7" x14ac:dyDescent="0.35">
      <c r="A2567" t="s">
        <v>5171</v>
      </c>
      <c r="B2567" t="s">
        <v>5146</v>
      </c>
      <c r="C2567" t="s">
        <v>5171</v>
      </c>
      <c r="D2567" s="1353" t="s">
        <v>9952</v>
      </c>
      <c r="E2567" t="b">
        <f>schsite_ownership_wdocu_yes_spl_patent</f>
        <v>0</v>
      </c>
      <c r="F2567" t="b">
        <f t="shared" si="7"/>
        <v>1</v>
      </c>
      <c r="G2567" t="s">
        <v>12516</v>
      </c>
    </row>
    <row r="2568" spans="1:7" x14ac:dyDescent="0.35">
      <c r="A2568" t="s">
        <v>5172</v>
      </c>
      <c r="B2568" t="s">
        <v>5146</v>
      </c>
      <c r="C2568" t="s">
        <v>5172</v>
      </c>
      <c r="D2568" s="1353" t="s">
        <v>9953</v>
      </c>
      <c r="E2568" t="b">
        <f>schsite_ownership_wdocu_yes_pres_proc</f>
        <v>0</v>
      </c>
      <c r="F2568" t="b">
        <f t="shared" si="7"/>
        <v>1</v>
      </c>
      <c r="G2568" t="s">
        <v>12516</v>
      </c>
    </row>
    <row r="2569" spans="1:7" x14ac:dyDescent="0.35">
      <c r="A2569" t="s">
        <v>5173</v>
      </c>
      <c r="B2569" t="s">
        <v>5146</v>
      </c>
      <c r="C2569" t="s">
        <v>5173</v>
      </c>
      <c r="D2569" s="1353" t="s">
        <v>9954</v>
      </c>
      <c r="E2569" t="b">
        <f>schsite_ownership_wdocu_yes_tax_dec</f>
        <v>1</v>
      </c>
      <c r="F2569" t="b">
        <f t="shared" si="7"/>
        <v>1</v>
      </c>
      <c r="G2569" t="s">
        <v>12516</v>
      </c>
    </row>
    <row r="2570" spans="1:7" x14ac:dyDescent="0.35">
      <c r="A2570" t="s">
        <v>5174</v>
      </c>
      <c r="B2570" t="s">
        <v>5146</v>
      </c>
      <c r="C2570" t="s">
        <v>5174</v>
      </c>
      <c r="D2570" s="1353" t="s">
        <v>9955</v>
      </c>
      <c r="E2570" t="b">
        <f>schsite_ownership_wdocu_yes_deed_abso</f>
        <v>1</v>
      </c>
      <c r="F2570" t="b">
        <f t="shared" si="7"/>
        <v>1</v>
      </c>
      <c r="G2570" t="s">
        <v>12516</v>
      </c>
    </row>
    <row r="2571" spans="1:7" x14ac:dyDescent="0.35">
      <c r="A2571" t="s">
        <v>5175</v>
      </c>
      <c r="B2571" t="s">
        <v>5146</v>
      </c>
      <c r="C2571" t="s">
        <v>5175</v>
      </c>
      <c r="D2571" s="1353" t="s">
        <v>9956</v>
      </c>
      <c r="E2571" t="b">
        <f>schsite_ownership_wdocu_yes_deed_donation</f>
        <v>0</v>
      </c>
      <c r="F2571" t="b">
        <f t="shared" si="7"/>
        <v>1</v>
      </c>
      <c r="G2571" t="s">
        <v>12516</v>
      </c>
    </row>
    <row r="2572" spans="1:7" x14ac:dyDescent="0.35">
      <c r="A2572" t="s">
        <v>5176</v>
      </c>
      <c r="B2572" t="s">
        <v>5146</v>
      </c>
      <c r="C2572" t="s">
        <v>5176</v>
      </c>
      <c r="D2572" s="1353" t="s">
        <v>9957</v>
      </c>
      <c r="E2572" t="b">
        <f>schsite_ownership_wdocu_yes_cert_stew</f>
        <v>0</v>
      </c>
      <c r="F2572" t="b">
        <f t="shared" si="7"/>
        <v>1</v>
      </c>
      <c r="G2572" t="s">
        <v>12516</v>
      </c>
    </row>
    <row r="2573" spans="1:7" x14ac:dyDescent="0.35">
      <c r="A2573" t="s">
        <v>5177</v>
      </c>
      <c r="B2573" t="s">
        <v>5146</v>
      </c>
      <c r="C2573" t="s">
        <v>5177</v>
      </c>
      <c r="D2573" s="1353" t="s">
        <v>9958</v>
      </c>
      <c r="E2573" t="b">
        <f>schsite_ownership_wdocu_yes_slup</f>
        <v>0</v>
      </c>
      <c r="F2573" t="b">
        <f t="shared" si="7"/>
        <v>1</v>
      </c>
      <c r="G2573" t="s">
        <v>12516</v>
      </c>
    </row>
    <row r="2574" spans="1:7" x14ac:dyDescent="0.35">
      <c r="A2574" t="s">
        <v>5178</v>
      </c>
      <c r="B2574" t="s">
        <v>5146</v>
      </c>
      <c r="C2574" t="s">
        <v>5178</v>
      </c>
      <c r="D2574" s="1353" t="s">
        <v>9959</v>
      </c>
      <c r="E2574" t="b">
        <f>schsite_ownership_wdocu_yes_usufruct</f>
        <v>0</v>
      </c>
      <c r="F2574" t="b">
        <f t="shared" si="7"/>
        <v>1</v>
      </c>
      <c r="G2574" t="s">
        <v>12516</v>
      </c>
    </row>
    <row r="2575" spans="1:7" x14ac:dyDescent="0.35">
      <c r="A2575" t="s">
        <v>5179</v>
      </c>
      <c r="B2575" t="s">
        <v>5146</v>
      </c>
      <c r="C2575" t="s">
        <v>5179</v>
      </c>
      <c r="D2575" s="1353" t="s">
        <v>9960</v>
      </c>
      <c r="E2575" t="b">
        <f>schsite_ownership_wdocu_yes_moa</f>
        <v>0</v>
      </c>
      <c r="F2575" t="b">
        <f t="shared" si="7"/>
        <v>1</v>
      </c>
      <c r="G2575" t="s">
        <v>12516</v>
      </c>
    </row>
    <row r="2576" spans="1:7" x14ac:dyDescent="0.35">
      <c r="A2576" t="s">
        <v>5180</v>
      </c>
      <c r="B2576" t="s">
        <v>5146</v>
      </c>
      <c r="C2576" t="s">
        <v>5180</v>
      </c>
      <c r="D2576" s="1353" t="s">
        <v>9961</v>
      </c>
      <c r="E2576" t="b">
        <f>schsite_ownership_wdocu_yes_lease</f>
        <v>0</v>
      </c>
      <c r="F2576" t="b">
        <f t="shared" si="7"/>
        <v>1</v>
      </c>
      <c r="G2576" t="s">
        <v>12516</v>
      </c>
    </row>
    <row r="2577" spans="1:14" x14ac:dyDescent="0.35">
      <c r="A2577" t="s">
        <v>8469</v>
      </c>
      <c r="B2577" t="s">
        <v>5146</v>
      </c>
      <c r="C2577" t="s">
        <v>8469</v>
      </c>
      <c r="D2577" s="1353" t="s">
        <v>9962</v>
      </c>
      <c r="E2577" t="b" cm="1">
        <f t="array" ref="E2577">schsite_ownership_wdocu_yes_FLAg</f>
        <v>0</v>
      </c>
      <c r="F2577" t="b">
        <f t="shared" si="7"/>
        <v>1</v>
      </c>
      <c r="G2577" t="s">
        <v>12516</v>
      </c>
    </row>
    <row r="2578" spans="1:14" x14ac:dyDescent="0.35">
      <c r="A2578" t="s">
        <v>5181</v>
      </c>
      <c r="B2578" t="s">
        <v>5146</v>
      </c>
      <c r="C2578" t="s">
        <v>5181</v>
      </c>
      <c r="D2578" s="1353" t="s">
        <v>9963</v>
      </c>
      <c r="E2578" t="b">
        <f>schsite_ownership_wdocu_yes_others</f>
        <v>0</v>
      </c>
      <c r="F2578" t="b">
        <f>ISLOGICAL(E2578)</f>
        <v>1</v>
      </c>
      <c r="G2578" t="s">
        <v>12516</v>
      </c>
    </row>
    <row r="2579" spans="1:14" x14ac:dyDescent="0.35">
      <c r="A2579" t="s">
        <v>5187</v>
      </c>
      <c r="B2579" t="s">
        <v>5146</v>
      </c>
      <c r="C2579" t="s">
        <v>5187</v>
      </c>
      <c r="D2579" s="1353" t="s">
        <v>9964</v>
      </c>
      <c r="E2579">
        <f>schsite_ownership_wdocu_others_specify</f>
        <v>0</v>
      </c>
      <c r="F2579" t="b">
        <v>1</v>
      </c>
    </row>
    <row r="2580" spans="1:14" s="1365" customFormat="1" x14ac:dyDescent="0.35">
      <c r="A2580" s="1365" t="s">
        <v>5145</v>
      </c>
      <c r="B2580" s="1365" t="s">
        <v>5146</v>
      </c>
      <c r="C2580" s="1365" t="s">
        <v>5145</v>
      </c>
      <c r="D2580" s="1353" t="s">
        <v>9965</v>
      </c>
      <c r="E2580" s="1397">
        <f>schsite_land_area</f>
        <v>37707</v>
      </c>
      <c r="F2580" s="1365" t="b">
        <v>1</v>
      </c>
      <c r="H2580"/>
      <c r="N2580" s="1347"/>
    </row>
    <row r="2581" spans="1:14" x14ac:dyDescent="0.35">
      <c r="A2581" t="s">
        <v>5196</v>
      </c>
      <c r="B2581" t="s">
        <v>5146</v>
      </c>
      <c r="C2581" t="s">
        <v>8478</v>
      </c>
      <c r="D2581" s="1353" t="s">
        <v>9966</v>
      </c>
      <c r="E2581" t="b">
        <f>schsite_mode_donation</f>
        <v>0</v>
      </c>
      <c r="F2581" t="b">
        <f>ISLOGICAL(E2581)</f>
        <v>1</v>
      </c>
      <c r="G2581" t="s">
        <v>12516</v>
      </c>
    </row>
    <row r="2582" spans="1:14" x14ac:dyDescent="0.35">
      <c r="A2582" t="s">
        <v>5155</v>
      </c>
      <c r="B2582" t="s">
        <v>5146</v>
      </c>
      <c r="C2582" t="s">
        <v>5155</v>
      </c>
      <c r="D2582" s="1353" t="s">
        <v>9967</v>
      </c>
      <c r="E2582">
        <f>schsite_modeyr_donation</f>
        <v>0</v>
      </c>
      <c r="F2582" t="b">
        <v>1</v>
      </c>
    </row>
    <row r="2583" spans="1:14" x14ac:dyDescent="0.35">
      <c r="A2583" t="s">
        <v>5197</v>
      </c>
      <c r="B2583" t="s">
        <v>5146</v>
      </c>
      <c r="C2583" t="s">
        <v>8479</v>
      </c>
      <c r="D2583" s="1353" t="s">
        <v>9968</v>
      </c>
      <c r="E2583" t="b">
        <f>schsite_mode_purchase</f>
        <v>1</v>
      </c>
      <c r="F2583" t="b">
        <f>ISLOGICAL(E2583)</f>
        <v>1</v>
      </c>
      <c r="G2583" t="s">
        <v>12516</v>
      </c>
    </row>
    <row r="2584" spans="1:14" x14ac:dyDescent="0.35">
      <c r="A2584" t="s">
        <v>5156</v>
      </c>
      <c r="B2584" t="s">
        <v>5146</v>
      </c>
      <c r="C2584" t="s">
        <v>5156</v>
      </c>
      <c r="D2584" s="1353" t="s">
        <v>9969</v>
      </c>
      <c r="E2584">
        <f>schsite_modeyr_purchase</f>
        <v>1993</v>
      </c>
      <c r="F2584" t="b">
        <v>1</v>
      </c>
    </row>
    <row r="2585" spans="1:14" x14ac:dyDescent="0.35">
      <c r="A2585" t="s">
        <v>5188</v>
      </c>
      <c r="B2585" t="s">
        <v>5146</v>
      </c>
      <c r="C2585" t="s">
        <v>8470</v>
      </c>
      <c r="D2585" s="1353" t="s">
        <v>9970</v>
      </c>
      <c r="E2585" t="b">
        <f>schsite_mode_usufruct_agree</f>
        <v>0</v>
      </c>
      <c r="F2585" t="b">
        <f t="shared" ref="F2585:F2599" si="8">ISLOGICAL(E2585)</f>
        <v>1</v>
      </c>
      <c r="G2585" t="s">
        <v>12516</v>
      </c>
    </row>
    <row r="2586" spans="1:14" x14ac:dyDescent="0.35">
      <c r="A2586" t="s">
        <v>5147</v>
      </c>
      <c r="B2586" t="s">
        <v>5146</v>
      </c>
      <c r="C2586" t="s">
        <v>5147</v>
      </c>
      <c r="D2586" s="1353" t="s">
        <v>9971</v>
      </c>
      <c r="E2586">
        <f>schsite_modeyr_usufruct_agree</f>
        <v>0</v>
      </c>
      <c r="F2586" t="b">
        <v>1</v>
      </c>
    </row>
    <row r="2587" spans="1:14" x14ac:dyDescent="0.35">
      <c r="A2587" t="s">
        <v>5189</v>
      </c>
      <c r="B2587" t="s">
        <v>5146</v>
      </c>
      <c r="C2587" t="s">
        <v>8471</v>
      </c>
      <c r="D2587" s="1353" t="s">
        <v>9972</v>
      </c>
      <c r="E2587" t="b">
        <f>schsite_mode_expropriation</f>
        <v>0</v>
      </c>
      <c r="F2587" t="b">
        <f>ISLOGICAL(E2587)</f>
        <v>1</v>
      </c>
      <c r="G2587" t="s">
        <v>12516</v>
      </c>
    </row>
    <row r="2588" spans="1:14" ht="14.4" customHeight="1" x14ac:dyDescent="0.35">
      <c r="A2588" t="s">
        <v>5148</v>
      </c>
      <c r="B2588" t="s">
        <v>5146</v>
      </c>
      <c r="C2588" t="s">
        <v>5148</v>
      </c>
      <c r="D2588" s="1353" t="s">
        <v>9973</v>
      </c>
      <c r="E2588">
        <f>schsite_modeyr_expropriation</f>
        <v>0</v>
      </c>
      <c r="F2588" t="b">
        <v>1</v>
      </c>
    </row>
    <row r="2589" spans="1:14" x14ac:dyDescent="0.35">
      <c r="A2589" t="s">
        <v>5190</v>
      </c>
      <c r="B2589" t="s">
        <v>5146</v>
      </c>
      <c r="C2589" t="s">
        <v>8472</v>
      </c>
      <c r="D2589" s="1353" t="s">
        <v>9974</v>
      </c>
      <c r="E2589" t="b">
        <f>schsite_mode_exchange_swapping</f>
        <v>1</v>
      </c>
      <c r="F2589" t="b">
        <f t="shared" si="8"/>
        <v>1</v>
      </c>
      <c r="G2589" t="s">
        <v>12516</v>
      </c>
    </row>
    <row r="2590" spans="1:14" x14ac:dyDescent="0.35">
      <c r="A2590" t="s">
        <v>5149</v>
      </c>
      <c r="B2590" t="s">
        <v>5146</v>
      </c>
      <c r="C2590" t="s">
        <v>5149</v>
      </c>
      <c r="D2590" s="1353" t="s">
        <v>9975</v>
      </c>
      <c r="E2590">
        <f>schsite_modeyr_exchange_swapping</f>
        <v>1991</v>
      </c>
      <c r="F2590" t="b">
        <v>1</v>
      </c>
    </row>
    <row r="2591" spans="1:14" x14ac:dyDescent="0.35">
      <c r="A2591" t="s">
        <v>5191</v>
      </c>
      <c r="B2591" t="s">
        <v>5146</v>
      </c>
      <c r="C2591" t="s">
        <v>8473</v>
      </c>
      <c r="D2591" s="1353" t="s">
        <v>9976</v>
      </c>
      <c r="E2591" t="b">
        <f>schsite_mode_pres_proc</f>
        <v>0</v>
      </c>
      <c r="F2591" t="b">
        <f t="shared" si="8"/>
        <v>1</v>
      </c>
      <c r="G2591" t="s">
        <v>12516</v>
      </c>
    </row>
    <row r="2592" spans="1:14" x14ac:dyDescent="0.35">
      <c r="A2592" t="s">
        <v>5150</v>
      </c>
      <c r="B2592" t="s">
        <v>5146</v>
      </c>
      <c r="C2592" t="s">
        <v>5150</v>
      </c>
      <c r="D2592" s="1353" t="s">
        <v>9977</v>
      </c>
      <c r="E2592">
        <f>schsite_modeyr_pres_proc</f>
        <v>0</v>
      </c>
      <c r="F2592" t="b">
        <v>1</v>
      </c>
    </row>
    <row r="2593" spans="1:7" x14ac:dyDescent="0.35">
      <c r="A2593" t="s">
        <v>5192</v>
      </c>
      <c r="B2593" t="s">
        <v>5146</v>
      </c>
      <c r="C2593" t="s">
        <v>8474</v>
      </c>
      <c r="D2593" s="1353" t="s">
        <v>9978</v>
      </c>
      <c r="E2593" t="b">
        <f>schsite_mode_spl_patent</f>
        <v>0</v>
      </c>
      <c r="F2593" t="b">
        <f t="shared" si="8"/>
        <v>1</v>
      </c>
      <c r="G2593" t="s">
        <v>12516</v>
      </c>
    </row>
    <row r="2594" spans="1:7" x14ac:dyDescent="0.35">
      <c r="A2594" t="s">
        <v>5151</v>
      </c>
      <c r="B2594" t="s">
        <v>5146</v>
      </c>
      <c r="C2594" t="s">
        <v>5151</v>
      </c>
      <c r="D2594" s="1353" t="s">
        <v>9979</v>
      </c>
      <c r="E2594">
        <f>schsite_modeyr_spl_patent</f>
        <v>0</v>
      </c>
      <c r="F2594" t="b">
        <v>1</v>
      </c>
    </row>
    <row r="2595" spans="1:7" x14ac:dyDescent="0.35">
      <c r="A2595" t="s">
        <v>5193</v>
      </c>
      <c r="B2595" t="s">
        <v>5146</v>
      </c>
      <c r="C2595" t="s">
        <v>8475</v>
      </c>
      <c r="D2595" s="1353" t="s">
        <v>9980</v>
      </c>
      <c r="E2595" t="b">
        <f>schsite_mode_cloa</f>
        <v>0</v>
      </c>
      <c r="F2595" t="b">
        <f t="shared" si="8"/>
        <v>1</v>
      </c>
      <c r="G2595" t="s">
        <v>12516</v>
      </c>
    </row>
    <row r="2596" spans="1:7" x14ac:dyDescent="0.35">
      <c r="A2596" t="s">
        <v>5152</v>
      </c>
      <c r="B2596" t="s">
        <v>5146</v>
      </c>
      <c r="C2596" t="s">
        <v>5152</v>
      </c>
      <c r="D2596" s="1353" t="s">
        <v>9981</v>
      </c>
      <c r="E2596">
        <f>schsite_modeyr_cloa</f>
        <v>0</v>
      </c>
      <c r="F2596" t="b">
        <v>1</v>
      </c>
    </row>
    <row r="2597" spans="1:7" x14ac:dyDescent="0.35">
      <c r="A2597" t="s">
        <v>5194</v>
      </c>
      <c r="B2597" t="s">
        <v>5146</v>
      </c>
      <c r="C2597" t="s">
        <v>8476</v>
      </c>
      <c r="D2597" s="1353" t="s">
        <v>9982</v>
      </c>
      <c r="E2597" t="b">
        <f>schsite_mode_slup</f>
        <v>0</v>
      </c>
      <c r="F2597" t="b">
        <f t="shared" si="8"/>
        <v>1</v>
      </c>
      <c r="G2597" t="s">
        <v>12516</v>
      </c>
    </row>
    <row r="2598" spans="1:7" x14ac:dyDescent="0.35">
      <c r="A2598" t="s">
        <v>5153</v>
      </c>
      <c r="B2598" t="s">
        <v>5146</v>
      </c>
      <c r="C2598" t="s">
        <v>5153</v>
      </c>
      <c r="D2598" s="1353" t="s">
        <v>9983</v>
      </c>
      <c r="E2598">
        <f>schsite_modeyr_slup</f>
        <v>0</v>
      </c>
      <c r="F2598" t="b">
        <v>1</v>
      </c>
    </row>
    <row r="2599" spans="1:7" x14ac:dyDescent="0.35">
      <c r="A2599" t="s">
        <v>5195</v>
      </c>
      <c r="B2599" t="s">
        <v>5146</v>
      </c>
      <c r="C2599" t="s">
        <v>8477</v>
      </c>
      <c r="D2599" s="1353" t="s">
        <v>9984</v>
      </c>
      <c r="E2599" t="b">
        <f>schsite_mode_others</f>
        <v>0</v>
      </c>
      <c r="F2599" t="b">
        <f t="shared" si="8"/>
        <v>1</v>
      </c>
      <c r="G2599" t="s">
        <v>12516</v>
      </c>
    </row>
    <row r="2600" spans="1:7" x14ac:dyDescent="0.35">
      <c r="A2600" t="s">
        <v>5198</v>
      </c>
      <c r="B2600" t="s">
        <v>5146</v>
      </c>
      <c r="C2600" t="s">
        <v>8477</v>
      </c>
      <c r="D2600" s="1353" t="s">
        <v>9985</v>
      </c>
      <c r="E2600">
        <f>schsite_mode_others_specify</f>
        <v>0</v>
      </c>
      <c r="F2600" t="b">
        <v>1</v>
      </c>
    </row>
    <row r="2601" spans="1:7" x14ac:dyDescent="0.35">
      <c r="A2601" t="s">
        <v>5154</v>
      </c>
      <c r="B2601" t="s">
        <v>5146</v>
      </c>
      <c r="C2601" t="s">
        <v>5154</v>
      </c>
      <c r="D2601" s="1353" t="s">
        <v>9986</v>
      </c>
      <c r="E2601">
        <f>schsite_modeyr_others</f>
        <v>0</v>
      </c>
      <c r="F2601" t="b">
        <v>1</v>
      </c>
    </row>
    <row r="2602" spans="1:7" x14ac:dyDescent="0.35">
      <c r="A2602" t="s">
        <v>5165</v>
      </c>
      <c r="B2602" t="s">
        <v>5146</v>
      </c>
      <c r="C2602" t="s">
        <v>5165</v>
      </c>
      <c r="D2602" s="1353" t="s">
        <v>9987</v>
      </c>
      <c r="E2602" t="b">
        <f>schsite_ancesdom_usu_yes</f>
        <v>0</v>
      </c>
      <c r="F2602" t="b">
        <f>ISLOGICAL(E2602)</f>
        <v>1</v>
      </c>
      <c r="G2602" t="s">
        <v>12516</v>
      </c>
    </row>
    <row r="2603" spans="1:7" x14ac:dyDescent="0.35">
      <c r="A2603" t="s">
        <v>5166</v>
      </c>
      <c r="B2603" t="s">
        <v>5146</v>
      </c>
      <c r="C2603" t="s">
        <v>5166</v>
      </c>
      <c r="D2603" s="1353" t="s">
        <v>9988</v>
      </c>
      <c r="E2603" t="b">
        <f>schsite_ancesdom_cadt_yes</f>
        <v>0</v>
      </c>
      <c r="F2603" t="b">
        <f>ISLOGICAL(E2603)</f>
        <v>1</v>
      </c>
      <c r="G2603" t="s">
        <v>12516</v>
      </c>
    </row>
    <row r="2604" spans="1:7" x14ac:dyDescent="0.35">
      <c r="A2604" t="s">
        <v>5157</v>
      </c>
      <c r="B2604" t="s">
        <v>5146</v>
      </c>
      <c r="C2604" t="s">
        <v>5157</v>
      </c>
      <c r="D2604" s="1353" t="s">
        <v>9989</v>
      </c>
      <c r="E2604" t="b">
        <f>schsite_ancesland_usu_yes</f>
        <v>0</v>
      </c>
      <c r="F2604" t="b">
        <f t="shared" ref="F2604:F2612" si="9">ISLOGICAL(E2604)</f>
        <v>1</v>
      </c>
      <c r="G2604" t="s">
        <v>12516</v>
      </c>
    </row>
    <row r="2605" spans="1:7" x14ac:dyDescent="0.35">
      <c r="A2605" t="s">
        <v>5158</v>
      </c>
      <c r="B2605" t="s">
        <v>5146</v>
      </c>
      <c r="C2605" t="s">
        <v>5158</v>
      </c>
      <c r="D2605" s="1353" t="s">
        <v>9990</v>
      </c>
      <c r="E2605" t="b">
        <f>schsite_ancesland_calt_yes</f>
        <v>0</v>
      </c>
      <c r="F2605" t="b">
        <f t="shared" si="9"/>
        <v>1</v>
      </c>
      <c r="G2605" t="s">
        <v>12516</v>
      </c>
    </row>
    <row r="2606" spans="1:7" x14ac:dyDescent="0.35">
      <c r="A2606" t="s">
        <v>5159</v>
      </c>
      <c r="B2606" t="s">
        <v>5146</v>
      </c>
      <c r="C2606" t="s">
        <v>5159</v>
      </c>
      <c r="D2606" s="1353" t="s">
        <v>9991</v>
      </c>
      <c r="E2606" t="b">
        <f>schsite_leg_own_adverseclaim</f>
        <v>1</v>
      </c>
      <c r="F2606" t="b">
        <f t="shared" si="9"/>
        <v>1</v>
      </c>
      <c r="G2606" t="s">
        <v>12516</v>
      </c>
    </row>
    <row r="2607" spans="1:7" x14ac:dyDescent="0.35">
      <c r="A2607" t="s">
        <v>5160</v>
      </c>
      <c r="B2607" t="s">
        <v>5146</v>
      </c>
      <c r="C2607" t="s">
        <v>5160</v>
      </c>
      <c r="D2607" s="1353" t="s">
        <v>9992</v>
      </c>
      <c r="E2607" t="b">
        <f>schsite_leg_own_encroach</f>
        <v>0</v>
      </c>
      <c r="F2607" t="b">
        <f t="shared" si="9"/>
        <v>1</v>
      </c>
      <c r="G2607" t="s">
        <v>12516</v>
      </c>
    </row>
    <row r="2608" spans="1:7" x14ac:dyDescent="0.35">
      <c r="A2608" t="s">
        <v>5161</v>
      </c>
      <c r="B2608" t="s">
        <v>5146</v>
      </c>
      <c r="C2608" t="s">
        <v>5161</v>
      </c>
      <c r="D2608" s="1353" t="s">
        <v>9993</v>
      </c>
      <c r="E2608" t="b">
        <f>schsite_leg_own_willegalsetler</f>
        <v>0</v>
      </c>
      <c r="F2608" t="b">
        <f t="shared" si="9"/>
        <v>1</v>
      </c>
      <c r="G2608" t="s">
        <v>12516</v>
      </c>
    </row>
    <row r="2609" spans="1:14" x14ac:dyDescent="0.35">
      <c r="A2609" t="s">
        <v>5162</v>
      </c>
      <c r="B2609" t="s">
        <v>5146</v>
      </c>
      <c r="C2609" t="s">
        <v>5162</v>
      </c>
      <c r="D2609" s="1353" t="s">
        <v>9994</v>
      </c>
      <c r="E2609" t="b">
        <f>schsite_leg_own_others</f>
        <v>0</v>
      </c>
      <c r="F2609" t="b">
        <f t="shared" si="9"/>
        <v>1</v>
      </c>
      <c r="G2609" t="s">
        <v>12516</v>
      </c>
    </row>
    <row r="2610" spans="1:14" x14ac:dyDescent="0.35">
      <c r="A2610" t="s">
        <v>5167</v>
      </c>
      <c r="B2610" t="s">
        <v>5146</v>
      </c>
      <c r="C2610" t="s">
        <v>5167</v>
      </c>
      <c r="D2610" s="1353" t="s">
        <v>9995</v>
      </c>
      <c r="E2610">
        <f>schsite_leg_own_others_specify</f>
        <v>0</v>
      </c>
      <c r="F2610" t="b">
        <v>1</v>
      </c>
    </row>
    <row r="2611" spans="1:14" x14ac:dyDescent="0.35">
      <c r="A2611" t="s">
        <v>5163</v>
      </c>
      <c r="B2611" t="s">
        <v>5146</v>
      </c>
      <c r="C2611" t="s">
        <v>5163</v>
      </c>
      <c r="D2611" t="s">
        <v>9996</v>
      </c>
      <c r="E2611" t="b">
        <f>schsite_protect_area</f>
        <v>0</v>
      </c>
      <c r="F2611" t="b">
        <f t="shared" si="9"/>
        <v>1</v>
      </c>
      <c r="G2611" t="s">
        <v>12516</v>
      </c>
    </row>
    <row r="2612" spans="1:14" s="1348" customFormat="1" ht="16" thickBot="1" x14ac:dyDescent="0.4">
      <c r="A2612" s="1348" t="s">
        <v>5164</v>
      </c>
      <c r="B2612" s="1348" t="s">
        <v>5146</v>
      </c>
      <c r="C2612" s="1348" t="s">
        <v>5164</v>
      </c>
      <c r="D2612" s="1348" t="s">
        <v>9997</v>
      </c>
      <c r="E2612" s="1348" t="b">
        <f>schsite_timber_forest</f>
        <v>0</v>
      </c>
      <c r="F2612" s="1348" t="b">
        <f t="shared" si="9"/>
        <v>1</v>
      </c>
      <c r="G2612" s="1348" t="s">
        <v>12516</v>
      </c>
      <c r="N2612" s="1358"/>
    </row>
    <row r="2613" spans="1:14" x14ac:dyDescent="0.35">
      <c r="A2613" t="s">
        <v>5199</v>
      </c>
      <c r="B2613" t="s">
        <v>5200</v>
      </c>
      <c r="C2613" t="s">
        <v>5199</v>
      </c>
      <c r="D2613" s="1353" t="s">
        <v>7676</v>
      </c>
      <c r="E2613" t="b">
        <f>sch_loc_alongdhway</f>
        <v>1</v>
      </c>
      <c r="F2613" t="b">
        <f t="shared" ref="F2613:F2620" si="10">ISLOGICAL(E2613)</f>
        <v>1</v>
      </c>
      <c r="G2613" t="s">
        <v>12516</v>
      </c>
    </row>
    <row r="2614" spans="1:14" x14ac:dyDescent="0.35">
      <c r="A2614" t="s">
        <v>5201</v>
      </c>
      <c r="B2614" t="s">
        <v>5200</v>
      </c>
      <c r="C2614" t="s">
        <v>5201</v>
      </c>
      <c r="D2614" s="1353" t="s">
        <v>7677</v>
      </c>
      <c r="E2614" t="b">
        <f>sch_loc_bydhillside</f>
        <v>0</v>
      </c>
      <c r="F2614" t="b">
        <f t="shared" si="10"/>
        <v>1</v>
      </c>
      <c r="G2614" t="s">
        <v>12516</v>
      </c>
    </row>
    <row r="2615" spans="1:14" ht="15" customHeight="1" x14ac:dyDescent="0.35">
      <c r="A2615" t="s">
        <v>5206</v>
      </c>
      <c r="B2615" t="s">
        <v>5200</v>
      </c>
      <c r="C2615" t="s">
        <v>5206</v>
      </c>
      <c r="D2615" s="1353" t="s">
        <v>7682</v>
      </c>
      <c r="E2615" t="b">
        <f>sch_loc_ontopmountain</f>
        <v>0</v>
      </c>
      <c r="F2615" t="b">
        <f>ISLOGICAL(E2615)</f>
        <v>1</v>
      </c>
      <c r="G2615" t="s">
        <v>12516</v>
      </c>
    </row>
    <row r="2616" spans="1:14" x14ac:dyDescent="0.35">
      <c r="A2616" t="s">
        <v>5205</v>
      </c>
      <c r="B2616" t="s">
        <v>5200</v>
      </c>
      <c r="C2616" t="s">
        <v>5205</v>
      </c>
      <c r="D2616" s="1353" t="s">
        <v>7681</v>
      </c>
      <c r="E2616">
        <f>sch_loc_onsmallisland</f>
        <v>0</v>
      </c>
      <c r="F2616" t="b">
        <f>ISLOGICAL(E2616)</f>
        <v>0</v>
      </c>
      <c r="G2616" t="s">
        <v>12516</v>
      </c>
    </row>
    <row r="2617" spans="1:14" x14ac:dyDescent="0.35">
      <c r="A2617" t="s">
        <v>5202</v>
      </c>
      <c r="B2617" t="s">
        <v>5200</v>
      </c>
      <c r="C2617" t="s">
        <v>5202</v>
      </c>
      <c r="D2617" s="1353" t="s">
        <v>7678</v>
      </c>
      <c r="E2617" t="b">
        <f>sch_loc_nearcoastline</f>
        <v>0</v>
      </c>
      <c r="F2617" t="b">
        <f t="shared" si="10"/>
        <v>1</v>
      </c>
      <c r="G2617" t="s">
        <v>12516</v>
      </c>
    </row>
    <row r="2618" spans="1:14" x14ac:dyDescent="0.35">
      <c r="A2618" t="s">
        <v>5204</v>
      </c>
      <c r="B2618" t="s">
        <v>5200</v>
      </c>
      <c r="C2618" t="s">
        <v>5204</v>
      </c>
      <c r="D2618" s="1353" t="s">
        <v>7680</v>
      </c>
      <c r="E2618" t="b">
        <f>sch_loc_nearriverwaterway</f>
        <v>1</v>
      </c>
      <c r="F2618" t="b">
        <f>ISLOGICAL(E2618)</f>
        <v>1</v>
      </c>
      <c r="G2618" t="s">
        <v>12516</v>
      </c>
    </row>
    <row r="2619" spans="1:14" x14ac:dyDescent="0.35">
      <c r="A2619" t="s">
        <v>5203</v>
      </c>
      <c r="B2619" t="s">
        <v>5200</v>
      </c>
      <c r="C2619" t="s">
        <v>5203</v>
      </c>
      <c r="D2619" s="1353" t="s">
        <v>7679</v>
      </c>
      <c r="E2619" t="b">
        <f>sch_loc_nearfaultline</f>
        <v>0</v>
      </c>
      <c r="F2619" t="b">
        <f t="shared" si="10"/>
        <v>1</v>
      </c>
      <c r="G2619" t="s">
        <v>12516</v>
      </c>
    </row>
    <row r="2620" spans="1:14" x14ac:dyDescent="0.35">
      <c r="A2620" t="s">
        <v>5207</v>
      </c>
      <c r="B2620" t="s">
        <v>5200</v>
      </c>
      <c r="C2620" t="s">
        <v>5207</v>
      </c>
      <c r="D2620" t="s">
        <v>7683</v>
      </c>
      <c r="E2620" t="b">
        <f>sch_loc_others</f>
        <v>0</v>
      </c>
      <c r="F2620" t="b">
        <f t="shared" si="10"/>
        <v>1</v>
      </c>
      <c r="G2620" t="s">
        <v>12516</v>
      </c>
    </row>
    <row r="2621" spans="1:14" s="1348" customFormat="1" ht="16" thickBot="1" x14ac:dyDescent="0.4">
      <c r="A2621" s="1348" t="s">
        <v>5208</v>
      </c>
      <c r="B2621" s="1348" t="s">
        <v>5200</v>
      </c>
      <c r="C2621" s="1348" t="s">
        <v>5208</v>
      </c>
      <c r="D2621" s="1355" t="s">
        <v>7684</v>
      </c>
      <c r="E2621" s="1348">
        <f>sch_loc_others_specify</f>
        <v>0</v>
      </c>
      <c r="F2621" s="1348" t="b">
        <v>1</v>
      </c>
      <c r="N2621" s="1358"/>
    </row>
    <row r="2622" spans="1:14" x14ac:dyDescent="0.35">
      <c r="A2622" t="s">
        <v>5211</v>
      </c>
      <c r="B2622" t="s">
        <v>5210</v>
      </c>
      <c r="C2622" t="s">
        <v>5211</v>
      </c>
      <c r="D2622" s="1353" t="s">
        <v>7686</v>
      </c>
      <c r="E2622">
        <f>sch_health_vacc_measles_g7_m</f>
        <v>0</v>
      </c>
      <c r="F2622" t="b">
        <v>1</v>
      </c>
    </row>
    <row r="2623" spans="1:14" x14ac:dyDescent="0.35">
      <c r="A2623" t="s">
        <v>5209</v>
      </c>
      <c r="B2623" t="s">
        <v>5210</v>
      </c>
      <c r="C2623" t="s">
        <v>5209</v>
      </c>
      <c r="D2623" s="1353" t="s">
        <v>7685</v>
      </c>
      <c r="E2623">
        <f>sch_health_vacc_measles_g7_f</f>
        <v>0</v>
      </c>
      <c r="F2623" t="b">
        <v>1</v>
      </c>
    </row>
    <row r="2624" spans="1:14" x14ac:dyDescent="0.35">
      <c r="A2624" t="s">
        <v>5213</v>
      </c>
      <c r="B2624" t="s">
        <v>5210</v>
      </c>
      <c r="C2624" t="s">
        <v>5213</v>
      </c>
      <c r="D2624" s="1353" t="s">
        <v>7688</v>
      </c>
      <c r="E2624">
        <f>sch_health_vacc_tetanus_g7_m</f>
        <v>0</v>
      </c>
      <c r="F2624" t="b">
        <v>1</v>
      </c>
    </row>
    <row r="2625" spans="1:14" x14ac:dyDescent="0.35">
      <c r="A2625" t="s">
        <v>5212</v>
      </c>
      <c r="B2625" t="s">
        <v>5210</v>
      </c>
      <c r="C2625" t="s">
        <v>5212</v>
      </c>
      <c r="D2625" s="1353" t="s">
        <v>7687</v>
      </c>
      <c r="E2625">
        <f>sch_health_vacc_tetanus_g7_f</f>
        <v>0</v>
      </c>
      <c r="F2625" t="b">
        <v>1</v>
      </c>
    </row>
    <row r="2626" spans="1:14" x14ac:dyDescent="0.35">
      <c r="A2626" t="s">
        <v>5214</v>
      </c>
      <c r="B2626" t="s">
        <v>5210</v>
      </c>
      <c r="C2626" t="s">
        <v>5214</v>
      </c>
      <c r="D2626" s="1353" t="s">
        <v>9998</v>
      </c>
      <c r="E2626" t="str">
        <f>do_sch_health_coor_name</f>
        <v>RACQUEL N. ACOMPAÑADO</v>
      </c>
      <c r="F2626" t="b">
        <v>1</v>
      </c>
    </row>
    <row r="2627" spans="1:14" s="1348" customFormat="1" ht="16" thickBot="1" x14ac:dyDescent="0.4">
      <c r="A2627" s="1348" t="s">
        <v>5215</v>
      </c>
      <c r="B2627" s="1348" t="s">
        <v>5210</v>
      </c>
      <c r="C2627" s="1348" t="s">
        <v>5215</v>
      </c>
      <c r="D2627" s="1355" t="s">
        <v>9999</v>
      </c>
      <c r="E2627" s="1348" t="str">
        <f>do_sch_health_coor_post</f>
        <v>Nurse II</v>
      </c>
      <c r="F2627" s="1348" t="b">
        <v>1</v>
      </c>
      <c r="N2627" s="1358"/>
    </row>
    <row r="2628" spans="1:14" x14ac:dyDescent="0.35">
      <c r="A2628" t="s">
        <v>7771</v>
      </c>
      <c r="B2628" t="s">
        <v>12538</v>
      </c>
      <c r="C2628" t="s">
        <v>7771</v>
      </c>
      <c r="D2628" s="1353" t="s">
        <v>10001</v>
      </c>
      <c r="E2628" cm="1">
        <f t="array" ref="E2628">sch_health_nsw_normal_g7_m</f>
        <v>180</v>
      </c>
      <c r="F2628" t="b">
        <v>1</v>
      </c>
    </row>
    <row r="2629" spans="1:14" x14ac:dyDescent="0.35">
      <c r="A2629" t="s">
        <v>7772</v>
      </c>
      <c r="B2629" t="s">
        <v>12538</v>
      </c>
      <c r="C2629" t="s">
        <v>7772</v>
      </c>
      <c r="D2629" s="1353" t="s">
        <v>10000</v>
      </c>
      <c r="E2629" cm="1">
        <f t="array" ref="E2629">sch_health_nsw_normal_g7_f</f>
        <v>180</v>
      </c>
      <c r="F2629" t="b">
        <v>1</v>
      </c>
    </row>
    <row r="2630" spans="1:14" x14ac:dyDescent="0.35">
      <c r="A2630" t="s">
        <v>7781</v>
      </c>
      <c r="B2630" t="s">
        <v>12538</v>
      </c>
      <c r="C2630" t="s">
        <v>7781</v>
      </c>
      <c r="D2630" s="1353" t="s">
        <v>10002</v>
      </c>
      <c r="E2630" cm="1">
        <f t="array" ref="E2630">sch_health_nsw_normal_g8_m</f>
        <v>166</v>
      </c>
      <c r="F2630" t="b">
        <v>1</v>
      </c>
    </row>
    <row r="2631" spans="1:14" x14ac:dyDescent="0.35">
      <c r="A2631" t="s">
        <v>7783</v>
      </c>
      <c r="B2631" t="s">
        <v>12538</v>
      </c>
      <c r="C2631" t="s">
        <v>7783</v>
      </c>
      <c r="D2631" s="1353" t="s">
        <v>10003</v>
      </c>
      <c r="E2631" cm="1">
        <f t="array" ref="E2631">sch_health_nsw_normal_g8_f</f>
        <v>174</v>
      </c>
      <c r="F2631" t="b">
        <v>1</v>
      </c>
    </row>
    <row r="2632" spans="1:14" x14ac:dyDescent="0.35">
      <c r="A2632" t="s">
        <v>7792</v>
      </c>
      <c r="B2632" t="s">
        <v>12538</v>
      </c>
      <c r="C2632" t="s">
        <v>7792</v>
      </c>
      <c r="D2632" s="1353" t="s">
        <v>10004</v>
      </c>
      <c r="E2632" cm="1">
        <f t="array" ref="E2632">sch_health_nsw_normal_g9_m</f>
        <v>175</v>
      </c>
      <c r="F2632" t="b">
        <v>1</v>
      </c>
    </row>
    <row r="2633" spans="1:14" x14ac:dyDescent="0.35">
      <c r="A2633" t="s">
        <v>7782</v>
      </c>
      <c r="B2633" t="s">
        <v>12538</v>
      </c>
      <c r="C2633" t="s">
        <v>7782</v>
      </c>
      <c r="D2633" s="1353" t="s">
        <v>10005</v>
      </c>
      <c r="E2633" cm="1">
        <f t="array" ref="E2633">sch_health_nsw_normal_g9_f</f>
        <v>182</v>
      </c>
      <c r="F2633" t="b">
        <v>1</v>
      </c>
    </row>
    <row r="2634" spans="1:14" x14ac:dyDescent="0.35">
      <c r="A2634" t="s">
        <v>7801</v>
      </c>
      <c r="B2634" t="s">
        <v>12538</v>
      </c>
      <c r="C2634" t="s">
        <v>7801</v>
      </c>
      <c r="D2634" s="1353" t="s">
        <v>10006</v>
      </c>
      <c r="E2634" cm="1">
        <f t="array" ref="E2634">sch_health_nsw_normal_g10_m</f>
        <v>209</v>
      </c>
      <c r="F2634" t="b">
        <v>1</v>
      </c>
    </row>
    <row r="2635" spans="1:14" x14ac:dyDescent="0.35">
      <c r="A2635" t="s">
        <v>7802</v>
      </c>
      <c r="B2635" t="s">
        <v>12538</v>
      </c>
      <c r="C2635" t="s">
        <v>7802</v>
      </c>
      <c r="D2635" s="1353" t="s">
        <v>10007</v>
      </c>
      <c r="E2635" cm="1">
        <f t="array" ref="E2635">sch_health_nsw_normal_g10_f</f>
        <v>203</v>
      </c>
      <c r="F2635" t="b">
        <v>1</v>
      </c>
    </row>
    <row r="2636" spans="1:14" x14ac:dyDescent="0.35">
      <c r="A2636" t="s">
        <v>7773</v>
      </c>
      <c r="B2636" t="s">
        <v>12538</v>
      </c>
      <c r="C2636" t="s">
        <v>7773</v>
      </c>
      <c r="D2636" s="1353" t="s">
        <v>10008</v>
      </c>
      <c r="E2636" cm="1">
        <f t="array" ref="E2636">sch_health_nsw_obese_g7_m</f>
        <v>3</v>
      </c>
      <c r="F2636" t="b">
        <v>1</v>
      </c>
    </row>
    <row r="2637" spans="1:14" x14ac:dyDescent="0.35">
      <c r="A2637" t="s">
        <v>7774</v>
      </c>
      <c r="B2637" t="s">
        <v>12538</v>
      </c>
      <c r="C2637" t="s">
        <v>7774</v>
      </c>
      <c r="D2637" s="1353" t="s">
        <v>10009</v>
      </c>
      <c r="E2637" cm="1">
        <f t="array" ref="E2637">sch_health_nsw_obese_g7_f</f>
        <v>1</v>
      </c>
      <c r="F2637" t="b">
        <v>1</v>
      </c>
    </row>
    <row r="2638" spans="1:14" x14ac:dyDescent="0.35">
      <c r="A2638" t="s">
        <v>7784</v>
      </c>
      <c r="B2638" t="s">
        <v>12538</v>
      </c>
      <c r="C2638" t="s">
        <v>7784</v>
      </c>
      <c r="D2638" s="1353" t="s">
        <v>10010</v>
      </c>
      <c r="E2638" cm="1">
        <f t="array" ref="E2638">sch_health_nsw_obese_g8_m</f>
        <v>1</v>
      </c>
      <c r="F2638" t="b">
        <v>1</v>
      </c>
    </row>
    <row r="2639" spans="1:14" x14ac:dyDescent="0.35">
      <c r="A2639" t="s">
        <v>7785</v>
      </c>
      <c r="B2639" t="s">
        <v>12538</v>
      </c>
      <c r="C2639" t="s">
        <v>7785</v>
      </c>
      <c r="D2639" s="1353" t="s">
        <v>10011</v>
      </c>
      <c r="E2639" cm="1">
        <f t="array" ref="E2639">sch_health_nsw_obese_g8_f</f>
        <v>0</v>
      </c>
      <c r="F2639" t="b">
        <v>1</v>
      </c>
    </row>
    <row r="2640" spans="1:14" x14ac:dyDescent="0.35">
      <c r="A2640" t="s">
        <v>7793</v>
      </c>
      <c r="B2640" t="s">
        <v>12538</v>
      </c>
      <c r="C2640" t="s">
        <v>7793</v>
      </c>
      <c r="D2640" s="1353" t="s">
        <v>10012</v>
      </c>
      <c r="E2640" cm="1">
        <f t="array" ref="E2640">sch_health_nsw_obese_g9_m</f>
        <v>1</v>
      </c>
      <c r="F2640" t="b">
        <v>1</v>
      </c>
    </row>
    <row r="2641" spans="1:6" x14ac:dyDescent="0.35">
      <c r="A2641" t="s">
        <v>7794</v>
      </c>
      <c r="B2641" t="s">
        <v>12538</v>
      </c>
      <c r="C2641" t="s">
        <v>7794</v>
      </c>
      <c r="D2641" s="1353" t="s">
        <v>10013</v>
      </c>
      <c r="E2641" cm="1">
        <f t="array" ref="E2641">sch_health_nsw_obese_g9_f</f>
        <v>0</v>
      </c>
      <c r="F2641" t="b">
        <v>1</v>
      </c>
    </row>
    <row r="2642" spans="1:6" x14ac:dyDescent="0.35">
      <c r="A2642" t="s">
        <v>7803</v>
      </c>
      <c r="B2642" t="s">
        <v>12538</v>
      </c>
      <c r="C2642" t="s">
        <v>7803</v>
      </c>
      <c r="D2642" s="1353" t="s">
        <v>10014</v>
      </c>
      <c r="E2642" cm="1">
        <f t="array" ref="E2642">sch_health_nsw_obese_g10_m</f>
        <v>2</v>
      </c>
      <c r="F2642" t="b">
        <v>1</v>
      </c>
    </row>
    <row r="2643" spans="1:6" x14ac:dyDescent="0.35">
      <c r="A2643" t="s">
        <v>7804</v>
      </c>
      <c r="B2643" t="s">
        <v>12538</v>
      </c>
      <c r="C2643" t="s">
        <v>7804</v>
      </c>
      <c r="D2643" s="1353" t="s">
        <v>10015</v>
      </c>
      <c r="E2643" cm="1">
        <f t="array" ref="E2643">sch_health_nsw_obese_g10_f</f>
        <v>2</v>
      </c>
      <c r="F2643" t="b">
        <v>1</v>
      </c>
    </row>
    <row r="2644" spans="1:6" x14ac:dyDescent="0.35">
      <c r="A2644" t="s">
        <v>7775</v>
      </c>
      <c r="B2644" t="s">
        <v>12538</v>
      </c>
      <c r="C2644" t="s">
        <v>7775</v>
      </c>
      <c r="D2644" s="1353" t="s">
        <v>10016</v>
      </c>
      <c r="E2644" cm="1">
        <f t="array" ref="E2644">sch_health_nsw_overweight_g7_m</f>
        <v>16</v>
      </c>
      <c r="F2644" t="b">
        <v>1</v>
      </c>
    </row>
    <row r="2645" spans="1:6" x14ac:dyDescent="0.35">
      <c r="A2645" t="s">
        <v>7776</v>
      </c>
      <c r="B2645" t="s">
        <v>12538</v>
      </c>
      <c r="C2645" t="s">
        <v>7776</v>
      </c>
      <c r="D2645" s="1353" t="s">
        <v>10017</v>
      </c>
      <c r="E2645" cm="1">
        <f t="array" ref="E2645">sch_health_nsw_overweight_g7_f</f>
        <v>6</v>
      </c>
      <c r="F2645" t="b">
        <v>1</v>
      </c>
    </row>
    <row r="2646" spans="1:6" x14ac:dyDescent="0.35">
      <c r="A2646" t="s">
        <v>7786</v>
      </c>
      <c r="B2646" t="s">
        <v>12538</v>
      </c>
      <c r="C2646" t="s">
        <v>7786</v>
      </c>
      <c r="D2646" s="1353" t="s">
        <v>10018</v>
      </c>
      <c r="E2646" cm="1">
        <f t="array" ref="E2646">sch_health_nsw_overweight_g8_m</f>
        <v>8</v>
      </c>
      <c r="F2646" t="b">
        <v>1</v>
      </c>
    </row>
    <row r="2647" spans="1:6" x14ac:dyDescent="0.35">
      <c r="A2647" t="s">
        <v>7787</v>
      </c>
      <c r="B2647" t="s">
        <v>12538</v>
      </c>
      <c r="C2647" t="s">
        <v>7787</v>
      </c>
      <c r="D2647" s="1353" t="s">
        <v>10019</v>
      </c>
      <c r="E2647" cm="1">
        <f t="array" ref="E2647">sch_health_nsw_overweight_g8_f</f>
        <v>6</v>
      </c>
      <c r="F2647" t="b">
        <v>1</v>
      </c>
    </row>
    <row r="2648" spans="1:6" x14ac:dyDescent="0.35">
      <c r="A2648" t="s">
        <v>7795</v>
      </c>
      <c r="B2648" t="s">
        <v>12538</v>
      </c>
      <c r="C2648" t="s">
        <v>7795</v>
      </c>
      <c r="D2648" s="1353" t="s">
        <v>10020</v>
      </c>
      <c r="E2648" cm="1">
        <f t="array" ref="E2648">sch_health_nsw_overweight_g9_m</f>
        <v>4</v>
      </c>
      <c r="F2648" t="b">
        <v>1</v>
      </c>
    </row>
    <row r="2649" spans="1:6" x14ac:dyDescent="0.35">
      <c r="A2649" t="s">
        <v>7796</v>
      </c>
      <c r="B2649" t="s">
        <v>12538</v>
      </c>
      <c r="C2649" t="s">
        <v>7796</v>
      </c>
      <c r="D2649" s="1353" t="s">
        <v>10021</v>
      </c>
      <c r="E2649" cm="1">
        <f t="array" ref="E2649">sch_health_nsw_overweight_g9_f</f>
        <v>2</v>
      </c>
      <c r="F2649" t="b">
        <v>1</v>
      </c>
    </row>
    <row r="2650" spans="1:6" x14ac:dyDescent="0.35">
      <c r="A2650" t="s">
        <v>7805</v>
      </c>
      <c r="B2650" t="s">
        <v>12538</v>
      </c>
      <c r="C2650" t="s">
        <v>7805</v>
      </c>
      <c r="D2650" s="1353" t="s">
        <v>10022</v>
      </c>
      <c r="E2650" cm="1">
        <f t="array" ref="E2650">sch_health_nsw_overweight_g10_m</f>
        <v>7</v>
      </c>
      <c r="F2650" t="b">
        <v>1</v>
      </c>
    </row>
    <row r="2651" spans="1:6" x14ac:dyDescent="0.35">
      <c r="A2651" t="s">
        <v>7806</v>
      </c>
      <c r="B2651" t="s">
        <v>12538</v>
      </c>
      <c r="C2651" t="s">
        <v>7806</v>
      </c>
      <c r="D2651" s="1353" t="s">
        <v>10023</v>
      </c>
      <c r="E2651" cm="1">
        <f t="array" ref="E2651">sch_health_nsw_overweight_g10_f</f>
        <v>3</v>
      </c>
      <c r="F2651" t="b">
        <v>1</v>
      </c>
    </row>
    <row r="2652" spans="1:6" x14ac:dyDescent="0.35">
      <c r="A2652" t="s">
        <v>7777</v>
      </c>
      <c r="B2652" t="s">
        <v>12538</v>
      </c>
      <c r="C2652" t="s">
        <v>7777</v>
      </c>
      <c r="D2652" s="1353" t="s">
        <v>10024</v>
      </c>
      <c r="E2652" cm="1">
        <f t="array" ref="E2652">sch_health_nsw_severelywasted_g7_m</f>
        <v>0</v>
      </c>
      <c r="F2652" t="b">
        <v>1</v>
      </c>
    </row>
    <row r="2653" spans="1:6" x14ac:dyDescent="0.35">
      <c r="A2653" t="s">
        <v>7778</v>
      </c>
      <c r="B2653" t="s">
        <v>12538</v>
      </c>
      <c r="C2653" t="s">
        <v>7778</v>
      </c>
      <c r="D2653" s="1353" t="s">
        <v>10025</v>
      </c>
      <c r="E2653" cm="1">
        <f t="array" ref="E2653">sch_health_nsw_severelywasted_g7_f</f>
        <v>1</v>
      </c>
      <c r="F2653" t="b">
        <v>1</v>
      </c>
    </row>
    <row r="2654" spans="1:6" x14ac:dyDescent="0.35">
      <c r="A2654" t="s">
        <v>7788</v>
      </c>
      <c r="B2654" t="s">
        <v>12538</v>
      </c>
      <c r="C2654" t="s">
        <v>7788</v>
      </c>
      <c r="D2654" s="1353" t="s">
        <v>10026</v>
      </c>
      <c r="E2654" cm="1">
        <f t="array" ref="E2654">sch_health_nsw_severelywasted_g8_m</f>
        <v>3</v>
      </c>
      <c r="F2654" t="b">
        <v>1</v>
      </c>
    </row>
    <row r="2655" spans="1:6" x14ac:dyDescent="0.35">
      <c r="A2655" t="s">
        <v>7789</v>
      </c>
      <c r="B2655" t="s">
        <v>12538</v>
      </c>
      <c r="C2655" t="s">
        <v>7789</v>
      </c>
      <c r="D2655" s="1353" t="s">
        <v>10027</v>
      </c>
      <c r="E2655" cm="1">
        <f t="array" ref="E2655">sch_health_nsw_severelywasted_g8_f</f>
        <v>0</v>
      </c>
      <c r="F2655" t="b">
        <v>1</v>
      </c>
    </row>
    <row r="2656" spans="1:6" x14ac:dyDescent="0.35">
      <c r="A2656" t="s">
        <v>7797</v>
      </c>
      <c r="B2656" t="s">
        <v>12538</v>
      </c>
      <c r="C2656" t="s">
        <v>7797</v>
      </c>
      <c r="D2656" s="1353" t="s">
        <v>10028</v>
      </c>
      <c r="E2656" cm="1">
        <f t="array" ref="E2656">sch_health_nsw_severelywasted_g9_m</f>
        <v>9</v>
      </c>
      <c r="F2656" t="b">
        <v>1</v>
      </c>
    </row>
    <row r="2657" spans="1:6" x14ac:dyDescent="0.35">
      <c r="A2657" t="s">
        <v>7798</v>
      </c>
      <c r="B2657" t="s">
        <v>12538</v>
      </c>
      <c r="C2657" t="s">
        <v>7798</v>
      </c>
      <c r="D2657" s="1353" t="s">
        <v>10029</v>
      </c>
      <c r="E2657" cm="1">
        <f t="array" ref="E2657">sch_health_nsw_severelywasted_g9_f</f>
        <v>4</v>
      </c>
      <c r="F2657" t="b">
        <v>1</v>
      </c>
    </row>
    <row r="2658" spans="1:6" x14ac:dyDescent="0.35">
      <c r="A2658" t="s">
        <v>7807</v>
      </c>
      <c r="B2658" t="s">
        <v>12538</v>
      </c>
      <c r="C2658" t="s">
        <v>7807</v>
      </c>
      <c r="D2658" s="1353" t="s">
        <v>10030</v>
      </c>
      <c r="E2658" cm="1">
        <f t="array" ref="E2658">sch_health_nsw_severelywasted_g10_m</f>
        <v>0</v>
      </c>
      <c r="F2658" t="b">
        <v>1</v>
      </c>
    </row>
    <row r="2659" spans="1:6" x14ac:dyDescent="0.35">
      <c r="A2659" t="s">
        <v>7808</v>
      </c>
      <c r="B2659" t="s">
        <v>12538</v>
      </c>
      <c r="C2659" t="s">
        <v>7808</v>
      </c>
      <c r="D2659" s="1353" t="s">
        <v>10031</v>
      </c>
      <c r="E2659" cm="1">
        <f t="array" ref="E2659">sch_health_nsw_severelywasted_g10_f</f>
        <v>3</v>
      </c>
      <c r="F2659" t="b">
        <v>1</v>
      </c>
    </row>
    <row r="2660" spans="1:6" x14ac:dyDescent="0.35">
      <c r="A2660" t="s">
        <v>7779</v>
      </c>
      <c r="B2660" t="s">
        <v>12538</v>
      </c>
      <c r="C2660" t="s">
        <v>7779</v>
      </c>
      <c r="D2660" s="1353" t="s">
        <v>10032</v>
      </c>
      <c r="E2660" cm="1">
        <f t="array" ref="E2660">sch_health_nsw_wasted_g7_m</f>
        <v>2</v>
      </c>
      <c r="F2660" t="b">
        <v>1</v>
      </c>
    </row>
    <row r="2661" spans="1:6" x14ac:dyDescent="0.35">
      <c r="A2661" t="s">
        <v>7780</v>
      </c>
      <c r="B2661" t="s">
        <v>12538</v>
      </c>
      <c r="C2661" t="s">
        <v>7780</v>
      </c>
      <c r="D2661" s="1353" t="s">
        <v>10033</v>
      </c>
      <c r="E2661" cm="1">
        <f t="array" ref="E2661">sch_health_nsw_wasted_g7_f</f>
        <v>1</v>
      </c>
      <c r="F2661" t="b">
        <v>1</v>
      </c>
    </row>
    <row r="2662" spans="1:6" x14ac:dyDescent="0.35">
      <c r="A2662" t="s">
        <v>7790</v>
      </c>
      <c r="B2662" t="s">
        <v>12538</v>
      </c>
      <c r="C2662" t="s">
        <v>7790</v>
      </c>
      <c r="D2662" s="1353" t="s">
        <v>10034</v>
      </c>
      <c r="E2662" cm="1">
        <f t="array" ref="E2662">sch_health_nsw_wasted_g8_m</f>
        <v>8</v>
      </c>
      <c r="F2662" t="b">
        <v>1</v>
      </c>
    </row>
    <row r="2663" spans="1:6" x14ac:dyDescent="0.35">
      <c r="A2663" t="s">
        <v>7791</v>
      </c>
      <c r="B2663" t="s">
        <v>12538</v>
      </c>
      <c r="C2663" t="s">
        <v>7791</v>
      </c>
      <c r="D2663" s="1353" t="s">
        <v>10035</v>
      </c>
      <c r="E2663" cm="1">
        <f t="array" ref="E2663">sch_health_nsw_wasted_g8_f</f>
        <v>7</v>
      </c>
      <c r="F2663" t="b">
        <v>1</v>
      </c>
    </row>
    <row r="2664" spans="1:6" x14ac:dyDescent="0.35">
      <c r="A2664" t="s">
        <v>7799</v>
      </c>
      <c r="B2664" t="s">
        <v>12538</v>
      </c>
      <c r="C2664" t="s">
        <v>7799</v>
      </c>
      <c r="D2664" s="1353" t="s">
        <v>10036</v>
      </c>
      <c r="E2664" cm="1">
        <f t="array" ref="E2664">sch_health_nsw_wasted_g9_m</f>
        <v>11</v>
      </c>
      <c r="F2664" t="b">
        <v>1</v>
      </c>
    </row>
    <row r="2665" spans="1:6" x14ac:dyDescent="0.35">
      <c r="A2665" t="s">
        <v>7800</v>
      </c>
      <c r="B2665" t="s">
        <v>12538</v>
      </c>
      <c r="C2665" t="s">
        <v>7800</v>
      </c>
      <c r="D2665" s="1353" t="s">
        <v>10037</v>
      </c>
      <c r="E2665" cm="1">
        <f t="array" ref="E2665">sch_health_nsw_wasted_g9_f</f>
        <v>11</v>
      </c>
      <c r="F2665" t="b">
        <v>1</v>
      </c>
    </row>
    <row r="2666" spans="1:6" x14ac:dyDescent="0.35">
      <c r="A2666" t="s">
        <v>7809</v>
      </c>
      <c r="B2666" t="s">
        <v>12538</v>
      </c>
      <c r="C2666" t="s">
        <v>7809</v>
      </c>
      <c r="D2666" s="1353" t="s">
        <v>10038</v>
      </c>
      <c r="E2666" cm="1">
        <f t="array" ref="E2666">sch_health_nsw_wasted_g10_m</f>
        <v>14</v>
      </c>
      <c r="F2666" t="b">
        <v>1</v>
      </c>
    </row>
    <row r="2667" spans="1:6" x14ac:dyDescent="0.35">
      <c r="A2667" t="s">
        <v>7810</v>
      </c>
      <c r="B2667" t="s">
        <v>12538</v>
      </c>
      <c r="C2667" t="s">
        <v>7810</v>
      </c>
      <c r="D2667" s="1353" t="s">
        <v>10039</v>
      </c>
      <c r="E2667" cm="1">
        <f t="array" ref="E2667">sch_health_nsw_wasted_g10_f</f>
        <v>20</v>
      </c>
      <c r="F2667" t="b">
        <v>1</v>
      </c>
    </row>
    <row r="2668" spans="1:6" x14ac:dyDescent="0.35">
      <c r="A2668" t="s">
        <v>7811</v>
      </c>
      <c r="B2668" t="s">
        <v>12538</v>
      </c>
      <c r="C2668" t="s">
        <v>7811</v>
      </c>
      <c r="D2668" s="1353" t="s">
        <v>10040</v>
      </c>
      <c r="E2668" cm="1">
        <f t="array" ref="E2668">sch_health_nsh_severelystunted_g7_m</f>
        <v>7</v>
      </c>
      <c r="F2668" t="b">
        <v>1</v>
      </c>
    </row>
    <row r="2669" spans="1:6" x14ac:dyDescent="0.35">
      <c r="A2669" t="s">
        <v>7812</v>
      </c>
      <c r="B2669" t="s">
        <v>12538</v>
      </c>
      <c r="C2669" t="s">
        <v>7812</v>
      </c>
      <c r="D2669" s="1353" t="s">
        <v>10041</v>
      </c>
      <c r="E2669" cm="1">
        <f t="array" ref="E2669">sch_health_nsh_severelystunted_g7_f</f>
        <v>3</v>
      </c>
      <c r="F2669" t="b">
        <v>1</v>
      </c>
    </row>
    <row r="2670" spans="1:6" x14ac:dyDescent="0.35">
      <c r="A2670" t="s">
        <v>7819</v>
      </c>
      <c r="B2670" t="s">
        <v>12538</v>
      </c>
      <c r="C2670" t="s">
        <v>7819</v>
      </c>
      <c r="D2670" s="1353" t="s">
        <v>10042</v>
      </c>
      <c r="E2670" cm="1">
        <f t="array" ref="E2670">sch_health_nsh_severelystunted_g8_m</f>
        <v>4</v>
      </c>
      <c r="F2670" t="b">
        <v>1</v>
      </c>
    </row>
    <row r="2671" spans="1:6" x14ac:dyDescent="0.35">
      <c r="A2671" t="s">
        <v>7820</v>
      </c>
      <c r="B2671" t="s">
        <v>12538</v>
      </c>
      <c r="C2671" t="s">
        <v>7820</v>
      </c>
      <c r="D2671" s="1353" t="s">
        <v>10043</v>
      </c>
      <c r="E2671" cm="1">
        <f t="array" ref="E2671">sch_health_nsh_severelystunted_g8_f</f>
        <v>9</v>
      </c>
      <c r="F2671" t="b">
        <v>1</v>
      </c>
    </row>
    <row r="2672" spans="1:6" x14ac:dyDescent="0.35">
      <c r="A2672" t="s">
        <v>7827</v>
      </c>
      <c r="B2672" t="s">
        <v>12538</v>
      </c>
      <c r="C2672" t="s">
        <v>7827</v>
      </c>
      <c r="D2672" s="1353" t="s">
        <v>10044</v>
      </c>
      <c r="E2672" cm="1">
        <f t="array" ref="E2672">sch_health_nsh_severelystunted_g9_m</f>
        <v>8</v>
      </c>
      <c r="F2672" t="b">
        <v>1</v>
      </c>
    </row>
    <row r="2673" spans="1:6" x14ac:dyDescent="0.35">
      <c r="A2673" t="s">
        <v>7828</v>
      </c>
      <c r="B2673" t="s">
        <v>12538</v>
      </c>
      <c r="C2673" t="s">
        <v>7828</v>
      </c>
      <c r="D2673" s="1353" t="s">
        <v>10045</v>
      </c>
      <c r="E2673" cm="1">
        <f t="array" ref="E2673">sch_health_nsh_severelystunted_g9_f</f>
        <v>4</v>
      </c>
      <c r="F2673" t="b">
        <v>1</v>
      </c>
    </row>
    <row r="2674" spans="1:6" x14ac:dyDescent="0.35">
      <c r="A2674" t="s">
        <v>7835</v>
      </c>
      <c r="B2674" t="s">
        <v>12538</v>
      </c>
      <c r="C2674" t="s">
        <v>7835</v>
      </c>
      <c r="D2674" s="1353" t="s">
        <v>10046</v>
      </c>
      <c r="E2674" cm="1">
        <f t="array" ref="E2674">sch_health_nsh_severelystunted_g10_m</f>
        <v>10</v>
      </c>
      <c r="F2674" t="b">
        <v>1</v>
      </c>
    </row>
    <row r="2675" spans="1:6" x14ac:dyDescent="0.35">
      <c r="A2675" t="s">
        <v>7836</v>
      </c>
      <c r="B2675" t="s">
        <v>12538</v>
      </c>
      <c r="C2675" t="s">
        <v>7836</v>
      </c>
      <c r="D2675" s="1353" t="s">
        <v>10047</v>
      </c>
      <c r="E2675" cm="1">
        <f t="array" ref="E2675">sch_health_nsh_severelystunted_g10_f</f>
        <v>5</v>
      </c>
      <c r="F2675" t="b">
        <v>1</v>
      </c>
    </row>
    <row r="2676" spans="1:6" x14ac:dyDescent="0.35">
      <c r="A2676" t="s">
        <v>7813</v>
      </c>
      <c r="B2676" t="s">
        <v>12538</v>
      </c>
      <c r="C2676" t="s">
        <v>7813</v>
      </c>
      <c r="D2676" s="1353" t="s">
        <v>10048</v>
      </c>
      <c r="E2676" cm="1">
        <f t="array" ref="E2676">sch_health_nsh_stunted_g7_m</f>
        <v>21</v>
      </c>
      <c r="F2676" t="b">
        <v>1</v>
      </c>
    </row>
    <row r="2677" spans="1:6" x14ac:dyDescent="0.35">
      <c r="A2677" t="s">
        <v>7814</v>
      </c>
      <c r="B2677" t="s">
        <v>12538</v>
      </c>
      <c r="C2677" t="s">
        <v>7814</v>
      </c>
      <c r="D2677" s="1353" t="s">
        <v>10049</v>
      </c>
      <c r="E2677" cm="1">
        <f t="array" ref="E2677">sch_health_nsh_stunted_g7_f</f>
        <v>21</v>
      </c>
      <c r="F2677" t="b">
        <v>1</v>
      </c>
    </row>
    <row r="2678" spans="1:6" x14ac:dyDescent="0.35">
      <c r="A2678" t="s">
        <v>7821</v>
      </c>
      <c r="B2678" t="s">
        <v>12538</v>
      </c>
      <c r="C2678" t="s">
        <v>7821</v>
      </c>
      <c r="D2678" s="1353" t="s">
        <v>10050</v>
      </c>
      <c r="E2678" cm="1">
        <f t="array" ref="E2678">sch_health_nsh_stunted_g8_m</f>
        <v>28</v>
      </c>
      <c r="F2678" t="b">
        <v>1</v>
      </c>
    </row>
    <row r="2679" spans="1:6" x14ac:dyDescent="0.35">
      <c r="A2679" t="s">
        <v>7822</v>
      </c>
      <c r="B2679" t="s">
        <v>12538</v>
      </c>
      <c r="C2679" t="s">
        <v>7822</v>
      </c>
      <c r="D2679" s="1353" t="s">
        <v>10051</v>
      </c>
      <c r="E2679" cm="1">
        <f t="array" ref="E2679">sch_health_nsh_stunted_g8_f</f>
        <v>33</v>
      </c>
      <c r="F2679" t="b">
        <v>1</v>
      </c>
    </row>
    <row r="2680" spans="1:6" x14ac:dyDescent="0.35">
      <c r="A2680" t="s">
        <v>7829</v>
      </c>
      <c r="B2680" t="s">
        <v>12538</v>
      </c>
      <c r="C2680" t="s">
        <v>7829</v>
      </c>
      <c r="D2680" s="1353" t="s">
        <v>10052</v>
      </c>
      <c r="E2680" cm="1">
        <f t="array" ref="E2680">sch_health_nsh_stunted_g9_m</f>
        <v>33</v>
      </c>
      <c r="F2680" t="b">
        <v>1</v>
      </c>
    </row>
    <row r="2681" spans="1:6" x14ac:dyDescent="0.35">
      <c r="A2681" t="s">
        <v>7830</v>
      </c>
      <c r="B2681" t="s">
        <v>12538</v>
      </c>
      <c r="C2681" t="s">
        <v>7830</v>
      </c>
      <c r="D2681" s="1353" t="s">
        <v>10053</v>
      </c>
      <c r="E2681" cm="1">
        <f t="array" ref="E2681">sch_health_nsh_stunted_g9_f</f>
        <v>51</v>
      </c>
      <c r="F2681" t="b">
        <v>1</v>
      </c>
    </row>
    <row r="2682" spans="1:6" x14ac:dyDescent="0.35">
      <c r="A2682" t="s">
        <v>7837</v>
      </c>
      <c r="B2682" t="s">
        <v>12538</v>
      </c>
      <c r="C2682" t="s">
        <v>7837</v>
      </c>
      <c r="D2682" s="1353" t="s">
        <v>10054</v>
      </c>
      <c r="E2682" cm="1">
        <f t="array" ref="E2682">sch_health_nsh_stunted_g10_m</f>
        <v>56</v>
      </c>
      <c r="F2682" t="b">
        <v>1</v>
      </c>
    </row>
    <row r="2683" spans="1:6" x14ac:dyDescent="0.35">
      <c r="A2683" t="s">
        <v>7838</v>
      </c>
      <c r="B2683" t="s">
        <v>12538</v>
      </c>
      <c r="C2683" t="s">
        <v>7838</v>
      </c>
      <c r="D2683" s="1353" t="s">
        <v>10055</v>
      </c>
      <c r="E2683" cm="1">
        <f t="array" ref="E2683">sch_health_nsh_stunted_g10_f</f>
        <v>69</v>
      </c>
      <c r="F2683" t="b">
        <v>1</v>
      </c>
    </row>
    <row r="2684" spans="1:6" x14ac:dyDescent="0.35">
      <c r="A2684" t="s">
        <v>7815</v>
      </c>
      <c r="B2684" t="s">
        <v>12538</v>
      </c>
      <c r="C2684" t="s">
        <v>7815</v>
      </c>
      <c r="D2684" s="1353" t="s">
        <v>10056</v>
      </c>
      <c r="E2684" cm="1">
        <f t="array" ref="E2684">sch_health_nsh_normal_g7_m</f>
        <v>172</v>
      </c>
      <c r="F2684" t="b">
        <v>1</v>
      </c>
    </row>
    <row r="2685" spans="1:6" x14ac:dyDescent="0.35">
      <c r="A2685" t="s">
        <v>7816</v>
      </c>
      <c r="B2685" t="s">
        <v>12538</v>
      </c>
      <c r="C2685" t="s">
        <v>7816</v>
      </c>
      <c r="D2685" s="1353" t="s">
        <v>10057</v>
      </c>
      <c r="E2685" cm="1">
        <f t="array" ref="E2685">sch_health_nsh_normal_g7_f</f>
        <v>164</v>
      </c>
      <c r="F2685" t="b">
        <v>1</v>
      </c>
    </row>
    <row r="2686" spans="1:6" x14ac:dyDescent="0.35">
      <c r="A2686" t="s">
        <v>7823</v>
      </c>
      <c r="B2686" t="s">
        <v>12538</v>
      </c>
      <c r="C2686" t="s">
        <v>7823</v>
      </c>
      <c r="D2686" s="1353" t="s">
        <v>10058</v>
      </c>
      <c r="E2686" cm="1">
        <f t="array" ref="E2686">sch_health_nsh_normal_g8_m</f>
        <v>154</v>
      </c>
      <c r="F2686" t="b">
        <v>1</v>
      </c>
    </row>
    <row r="2687" spans="1:6" x14ac:dyDescent="0.35">
      <c r="A2687" t="s">
        <v>7824</v>
      </c>
      <c r="B2687" t="s">
        <v>12538</v>
      </c>
      <c r="C2687" t="s">
        <v>7824</v>
      </c>
      <c r="D2687" s="1353" t="s">
        <v>10059</v>
      </c>
      <c r="E2687" cm="1">
        <f t="array" ref="E2687">sch_health_nsh_normal_g8_f</f>
        <v>145</v>
      </c>
      <c r="F2687" t="b">
        <v>1</v>
      </c>
    </row>
    <row r="2688" spans="1:6" x14ac:dyDescent="0.35">
      <c r="A2688" t="s">
        <v>7831</v>
      </c>
      <c r="B2688" t="s">
        <v>12538</v>
      </c>
      <c r="C2688" t="s">
        <v>7831</v>
      </c>
      <c r="D2688" s="1353" t="s">
        <v>10060</v>
      </c>
      <c r="E2688" cm="1">
        <f t="array" ref="E2688">sch_health_nsh_normal_g9_m</f>
        <v>155</v>
      </c>
      <c r="F2688" t="b">
        <v>1</v>
      </c>
    </row>
    <row r="2689" spans="1:14" x14ac:dyDescent="0.35">
      <c r="A2689" t="s">
        <v>7832</v>
      </c>
      <c r="B2689" t="s">
        <v>12538</v>
      </c>
      <c r="C2689" t="s">
        <v>7832</v>
      </c>
      <c r="D2689" s="1353" t="s">
        <v>10061</v>
      </c>
      <c r="E2689" cm="1">
        <f t="array" ref="E2689">sch_health_nsh_normal_g9_f</f>
        <v>143</v>
      </c>
      <c r="F2689" t="b">
        <v>1</v>
      </c>
    </row>
    <row r="2690" spans="1:14" x14ac:dyDescent="0.35">
      <c r="A2690" t="s">
        <v>7839</v>
      </c>
      <c r="B2690" t="s">
        <v>12538</v>
      </c>
      <c r="C2690" t="s">
        <v>7839</v>
      </c>
      <c r="D2690" s="1353" t="s">
        <v>10062</v>
      </c>
      <c r="E2690" cm="1">
        <f t="array" ref="E2690">sch_health_nsh_normal_g10_m</f>
        <v>165</v>
      </c>
      <c r="F2690" t="b">
        <v>1</v>
      </c>
    </row>
    <row r="2691" spans="1:14" x14ac:dyDescent="0.35">
      <c r="A2691" t="s">
        <v>7840</v>
      </c>
      <c r="B2691" t="s">
        <v>12538</v>
      </c>
      <c r="C2691" t="s">
        <v>7840</v>
      </c>
      <c r="D2691" s="1353" t="s">
        <v>10063</v>
      </c>
      <c r="E2691" cm="1">
        <f t="array" ref="E2691">sch_health_nsh_normal_g10_f</f>
        <v>147</v>
      </c>
      <c r="F2691" t="b">
        <v>1</v>
      </c>
    </row>
    <row r="2692" spans="1:14" x14ac:dyDescent="0.35">
      <c r="A2692" t="s">
        <v>7817</v>
      </c>
      <c r="B2692" t="s">
        <v>12538</v>
      </c>
      <c r="C2692" t="s">
        <v>7817</v>
      </c>
      <c r="D2692" s="1353" t="s">
        <v>10064</v>
      </c>
      <c r="E2692" cm="1">
        <f t="array" ref="E2692">sch_health_nsh_tall_g7_m</f>
        <v>1</v>
      </c>
      <c r="F2692" t="b">
        <v>1</v>
      </c>
    </row>
    <row r="2693" spans="1:14" x14ac:dyDescent="0.35">
      <c r="A2693" t="s">
        <v>7818</v>
      </c>
      <c r="B2693" t="s">
        <v>12538</v>
      </c>
      <c r="C2693" t="s">
        <v>7818</v>
      </c>
      <c r="D2693" s="1353" t="s">
        <v>10065</v>
      </c>
      <c r="E2693" cm="1">
        <f t="array" ref="E2693">sch_health_nsh_tall_g7_f</f>
        <v>1</v>
      </c>
      <c r="F2693" t="b">
        <v>1</v>
      </c>
    </row>
    <row r="2694" spans="1:14" x14ac:dyDescent="0.35">
      <c r="A2694" t="s">
        <v>7825</v>
      </c>
      <c r="B2694" t="s">
        <v>12538</v>
      </c>
      <c r="C2694" t="s">
        <v>7825</v>
      </c>
      <c r="D2694" s="1353" t="s">
        <v>10066</v>
      </c>
      <c r="E2694" cm="1">
        <f t="array" ref="E2694">sch_health_nsh_tall_g8_m</f>
        <v>0</v>
      </c>
      <c r="F2694" t="b">
        <v>1</v>
      </c>
    </row>
    <row r="2695" spans="1:14" x14ac:dyDescent="0.35">
      <c r="A2695" t="s">
        <v>7826</v>
      </c>
      <c r="B2695" t="s">
        <v>12538</v>
      </c>
      <c r="C2695" t="s">
        <v>7826</v>
      </c>
      <c r="D2695" s="1353" t="s">
        <v>10067</v>
      </c>
      <c r="E2695" cm="1">
        <f t="array" ref="E2695">sch_health_nsh_tall_g8_f</f>
        <v>0</v>
      </c>
      <c r="F2695" t="b">
        <v>1</v>
      </c>
    </row>
    <row r="2696" spans="1:14" x14ac:dyDescent="0.35">
      <c r="A2696" t="s">
        <v>7833</v>
      </c>
      <c r="B2696" t="s">
        <v>12538</v>
      </c>
      <c r="C2696" t="s">
        <v>7833</v>
      </c>
      <c r="D2696" s="1353" t="s">
        <v>10068</v>
      </c>
      <c r="E2696" cm="1">
        <f t="array" ref="E2696">sch_health_nsh_tall_g9_m</f>
        <v>4</v>
      </c>
      <c r="F2696" t="b">
        <v>1</v>
      </c>
    </row>
    <row r="2697" spans="1:14" x14ac:dyDescent="0.35">
      <c r="A2697" t="s">
        <v>7834</v>
      </c>
      <c r="B2697" t="s">
        <v>12538</v>
      </c>
      <c r="C2697" t="s">
        <v>7834</v>
      </c>
      <c r="D2697" s="1353" t="s">
        <v>10069</v>
      </c>
      <c r="E2697" cm="1">
        <f t="array" ref="E2697">sch_health_nsh_tall_g9_f</f>
        <v>1</v>
      </c>
      <c r="F2697" t="b">
        <v>1</v>
      </c>
    </row>
    <row r="2698" spans="1:14" x14ac:dyDescent="0.35">
      <c r="A2698" t="s">
        <v>7841</v>
      </c>
      <c r="B2698" t="s">
        <v>12538</v>
      </c>
      <c r="C2698" t="s">
        <v>7841</v>
      </c>
      <c r="D2698" s="1353" t="s">
        <v>10070</v>
      </c>
      <c r="E2698" cm="1">
        <f t="array" ref="E2698">sch_health_nsh_tall_g10_m</f>
        <v>1</v>
      </c>
      <c r="F2698" t="b">
        <v>1</v>
      </c>
    </row>
    <row r="2699" spans="1:14" s="1348" customFormat="1" ht="16" thickBot="1" x14ac:dyDescent="0.4">
      <c r="A2699" s="1348" t="s">
        <v>7842</v>
      </c>
      <c r="B2699" s="1348" t="s">
        <v>12538</v>
      </c>
      <c r="C2699" s="1348" t="s">
        <v>7842</v>
      </c>
      <c r="D2699" s="1355" t="s">
        <v>10071</v>
      </c>
      <c r="E2699" s="1348" cm="1">
        <f t="array" ref="E2699">sch_health_nsh_tall_g10_f</f>
        <v>0</v>
      </c>
      <c r="F2699" s="1348" t="b">
        <v>1</v>
      </c>
      <c r="N2699" s="1358"/>
    </row>
    <row r="2700" spans="1:14" x14ac:dyDescent="0.35">
      <c r="A2700" t="s">
        <v>5234</v>
      </c>
      <c r="B2700" t="s">
        <v>5230</v>
      </c>
      <c r="C2700" t="s">
        <v>5234</v>
      </c>
      <c r="D2700" s="1353" t="s">
        <v>10072</v>
      </c>
      <c r="E2700">
        <f>sch_health_learners_dewormed_g7_m</f>
        <v>0</v>
      </c>
      <c r="F2700" t="b">
        <v>1</v>
      </c>
    </row>
    <row r="2701" spans="1:14" x14ac:dyDescent="0.35">
      <c r="A2701" t="s">
        <v>5235</v>
      </c>
      <c r="B2701" t="s">
        <v>5230</v>
      </c>
      <c r="C2701" t="s">
        <v>5235</v>
      </c>
      <c r="D2701" s="1353" t="s">
        <v>10073</v>
      </c>
      <c r="E2701">
        <f>sch_health_learners_dewormed_g7_f</f>
        <v>0</v>
      </c>
      <c r="F2701" t="b">
        <v>1</v>
      </c>
    </row>
    <row r="2702" spans="1:14" x14ac:dyDescent="0.35">
      <c r="A2702" t="s">
        <v>5236</v>
      </c>
      <c r="B2702" t="s">
        <v>5230</v>
      </c>
      <c r="C2702" t="s">
        <v>5236</v>
      </c>
      <c r="D2702" s="1353" t="s">
        <v>10074</v>
      </c>
      <c r="E2702">
        <f>sch_health_learners_dewormed_g8_m</f>
        <v>0</v>
      </c>
      <c r="F2702" t="b">
        <v>1</v>
      </c>
    </row>
    <row r="2703" spans="1:14" x14ac:dyDescent="0.35">
      <c r="A2703" t="s">
        <v>5237</v>
      </c>
      <c r="B2703" t="s">
        <v>5230</v>
      </c>
      <c r="C2703" t="s">
        <v>5237</v>
      </c>
      <c r="D2703" t="s">
        <v>10075</v>
      </c>
      <c r="E2703">
        <f>sch_health_learners_dewormed_g8_f</f>
        <v>0</v>
      </c>
      <c r="F2703" t="b">
        <v>1</v>
      </c>
    </row>
    <row r="2704" spans="1:14" x14ac:dyDescent="0.35">
      <c r="A2704" t="s">
        <v>5229</v>
      </c>
      <c r="B2704" t="s">
        <v>5230</v>
      </c>
      <c r="C2704" t="s">
        <v>5229</v>
      </c>
      <c r="D2704" s="1353" t="s">
        <v>10076</v>
      </c>
      <c r="E2704">
        <f>sch_health_learners_dewormed_g9_m</f>
        <v>0</v>
      </c>
      <c r="F2704" t="b">
        <v>1</v>
      </c>
    </row>
    <row r="2705" spans="1:14" x14ac:dyDescent="0.35">
      <c r="A2705" t="s">
        <v>5231</v>
      </c>
      <c r="B2705" t="s">
        <v>5230</v>
      </c>
      <c r="C2705" t="s">
        <v>5231</v>
      </c>
      <c r="D2705" s="1353" t="s">
        <v>10077</v>
      </c>
      <c r="E2705">
        <f>sch_health_learners_dewormed_g9_f</f>
        <v>0</v>
      </c>
      <c r="F2705" t="b">
        <v>1</v>
      </c>
    </row>
    <row r="2706" spans="1:14" x14ac:dyDescent="0.35">
      <c r="A2706" t="s">
        <v>5232</v>
      </c>
      <c r="B2706" t="s">
        <v>5230</v>
      </c>
      <c r="C2706" t="s">
        <v>5232</v>
      </c>
      <c r="D2706" s="1353" t="s">
        <v>10078</v>
      </c>
      <c r="E2706">
        <f>sch_health_learners_dewormed_g10_m</f>
        <v>0</v>
      </c>
      <c r="F2706" t="b">
        <v>1</v>
      </c>
    </row>
    <row r="2707" spans="1:14" s="1348" customFormat="1" ht="16" thickBot="1" x14ac:dyDescent="0.4">
      <c r="A2707" s="1348" t="s">
        <v>5233</v>
      </c>
      <c r="B2707" s="1348" t="s">
        <v>5230</v>
      </c>
      <c r="C2707" s="1348" t="s">
        <v>5233</v>
      </c>
      <c r="D2707" s="1355" t="s">
        <v>10079</v>
      </c>
      <c r="E2707" s="1348">
        <f>sch_health_learners_dewormed_g10_f</f>
        <v>0</v>
      </c>
      <c r="F2707" s="1348" t="b">
        <v>1</v>
      </c>
      <c r="N2707" s="1358"/>
    </row>
    <row r="2708" spans="1:14" s="1350" customFormat="1" x14ac:dyDescent="0.35">
      <c r="A2708" s="1350" t="s">
        <v>5223</v>
      </c>
      <c r="B2708" s="1350" t="s">
        <v>5217</v>
      </c>
      <c r="C2708" s="1350" t="s">
        <v>5223</v>
      </c>
      <c r="D2708" s="1351" t="s">
        <v>10080</v>
      </c>
      <c r="E2708" s="1350">
        <f>sch_health_wifa_learners_consent_g7</f>
        <v>0</v>
      </c>
      <c r="F2708" s="1350" t="b">
        <v>1</v>
      </c>
      <c r="N2708" s="1357"/>
    </row>
    <row r="2709" spans="1:14" x14ac:dyDescent="0.35">
      <c r="A2709" t="s">
        <v>5226</v>
      </c>
      <c r="B2709" t="s">
        <v>5217</v>
      </c>
      <c r="C2709" t="s">
        <v>5226</v>
      </c>
      <c r="D2709" s="1353" t="s">
        <v>10081</v>
      </c>
      <c r="E2709">
        <f>sch_health_wifa_learners_consent_g8</f>
        <v>0</v>
      </c>
      <c r="F2709" t="b">
        <v>1</v>
      </c>
    </row>
    <row r="2710" spans="1:14" x14ac:dyDescent="0.35">
      <c r="A2710" t="s">
        <v>5216</v>
      </c>
      <c r="B2710" t="s">
        <v>5217</v>
      </c>
      <c r="C2710" t="s">
        <v>5216</v>
      </c>
      <c r="D2710" s="1353" t="s">
        <v>10082</v>
      </c>
      <c r="E2710">
        <f>sch_health_wifa_learners_consent_g9</f>
        <v>0</v>
      </c>
      <c r="F2710" t="b">
        <v>1</v>
      </c>
    </row>
    <row r="2711" spans="1:14" x14ac:dyDescent="0.35">
      <c r="A2711" t="s">
        <v>5220</v>
      </c>
      <c r="B2711" t="s">
        <v>5217</v>
      </c>
      <c r="C2711" t="s">
        <v>5220</v>
      </c>
      <c r="D2711" t="s">
        <v>10083</v>
      </c>
      <c r="E2711">
        <f>sch_health_wifa_learners_consent_g10</f>
        <v>0</v>
      </c>
      <c r="F2711" t="b">
        <v>1</v>
      </c>
    </row>
    <row r="2712" spans="1:14" x14ac:dyDescent="0.35">
      <c r="A2712" t="s">
        <v>5224</v>
      </c>
      <c r="B2712" t="s">
        <v>5217</v>
      </c>
      <c r="C2712" t="s">
        <v>5224</v>
      </c>
      <c r="D2712" s="1353" t="s">
        <v>10084</v>
      </c>
      <c r="E2712">
        <f>sch_health_wifa_learners_given_jultosep2019_g7</f>
        <v>0</v>
      </c>
      <c r="F2712" t="b">
        <v>1</v>
      </c>
    </row>
    <row r="2713" spans="1:14" x14ac:dyDescent="0.35">
      <c r="A2713" t="s">
        <v>5227</v>
      </c>
      <c r="B2713" t="s">
        <v>5217</v>
      </c>
      <c r="C2713" t="s">
        <v>5227</v>
      </c>
      <c r="D2713" s="1353" t="s">
        <v>10085</v>
      </c>
      <c r="E2713">
        <f>sch_health_wifa_learners_given_jultosep2019_g8</f>
        <v>0</v>
      </c>
      <c r="F2713" t="b">
        <v>1</v>
      </c>
    </row>
    <row r="2714" spans="1:14" x14ac:dyDescent="0.35">
      <c r="A2714" t="s">
        <v>5218</v>
      </c>
      <c r="B2714" t="s">
        <v>5217</v>
      </c>
      <c r="C2714" t="s">
        <v>5218</v>
      </c>
      <c r="D2714" s="1353" t="s">
        <v>10086</v>
      </c>
      <c r="E2714">
        <f>sch_health_wifa_learners_given_jultosep2019_g9</f>
        <v>0</v>
      </c>
      <c r="F2714" t="b">
        <v>1</v>
      </c>
    </row>
    <row r="2715" spans="1:14" x14ac:dyDescent="0.35">
      <c r="A2715" t="s">
        <v>5221</v>
      </c>
      <c r="B2715" t="s">
        <v>5217</v>
      </c>
      <c r="C2715" t="s">
        <v>5221</v>
      </c>
      <c r="D2715" t="s">
        <v>10087</v>
      </c>
      <c r="E2715">
        <f>sch_health_wifa_learners_given_jultosep2019_g10</f>
        <v>0</v>
      </c>
      <c r="F2715" t="b">
        <v>1</v>
      </c>
    </row>
    <row r="2716" spans="1:14" x14ac:dyDescent="0.35">
      <c r="A2716" t="s">
        <v>5225</v>
      </c>
      <c r="B2716" t="s">
        <v>5217</v>
      </c>
      <c r="C2716" t="s">
        <v>5225</v>
      </c>
      <c r="D2716" s="1353" t="s">
        <v>10088</v>
      </c>
      <c r="E2716">
        <f>sch_health_wifa_learners_given_jantomar2020_g7</f>
        <v>0</v>
      </c>
      <c r="F2716" t="b">
        <v>1</v>
      </c>
    </row>
    <row r="2717" spans="1:14" x14ac:dyDescent="0.35">
      <c r="A2717" t="s">
        <v>5228</v>
      </c>
      <c r="B2717" t="s">
        <v>5217</v>
      </c>
      <c r="C2717" t="s">
        <v>5228</v>
      </c>
      <c r="D2717" s="1353" t="s">
        <v>10089</v>
      </c>
      <c r="E2717">
        <f>sch_health_wifa_learners_given_jantomar2020_g8</f>
        <v>0</v>
      </c>
      <c r="F2717" t="b">
        <v>1</v>
      </c>
    </row>
    <row r="2718" spans="1:14" x14ac:dyDescent="0.35">
      <c r="A2718" t="s">
        <v>5219</v>
      </c>
      <c r="B2718" t="s">
        <v>5217</v>
      </c>
      <c r="C2718" t="s">
        <v>5219</v>
      </c>
      <c r="D2718" s="1353" t="s">
        <v>10090</v>
      </c>
      <c r="E2718">
        <f>sch_health_wifa_learners_given_jantomar2020_g9</f>
        <v>0</v>
      </c>
      <c r="F2718" t="b">
        <v>1</v>
      </c>
    </row>
    <row r="2719" spans="1:14" s="1348" customFormat="1" ht="16" thickBot="1" x14ac:dyDescent="0.4">
      <c r="A2719" s="1348" t="s">
        <v>5222</v>
      </c>
      <c r="B2719" s="1348" t="s">
        <v>5217</v>
      </c>
      <c r="C2719" s="1348" t="s">
        <v>5222</v>
      </c>
      <c r="D2719" s="1348" t="s">
        <v>10091</v>
      </c>
      <c r="E2719" s="1348">
        <f>sch_health_wifa_learners_given_jantomar2020_g10</f>
        <v>0</v>
      </c>
      <c r="F2719" s="1348" t="b">
        <v>1</v>
      </c>
      <c r="N2719" s="1358"/>
    </row>
    <row r="2720" spans="1:14" s="1350" customFormat="1" x14ac:dyDescent="0.35">
      <c r="A2720" s="1350" t="s">
        <v>5238</v>
      </c>
      <c r="B2720" s="1350" t="s">
        <v>5239</v>
      </c>
      <c r="C2720" s="1350" t="s">
        <v>5238</v>
      </c>
      <c r="D2720" s="1350" t="s">
        <v>10092</v>
      </c>
      <c r="E2720" s="1350" t="b">
        <f>clinic_designated_yes</f>
        <v>1</v>
      </c>
      <c r="F2720" s="1350" t="b">
        <f t="shared" ref="F2720:F2730" si="11">ISLOGICAL(E2720)</f>
        <v>1</v>
      </c>
      <c r="G2720" s="1350" t="s">
        <v>12516</v>
      </c>
      <c r="N2720" s="1357"/>
    </row>
    <row r="2721" spans="1:14" x14ac:dyDescent="0.35">
      <c r="A2721" t="s">
        <v>5254</v>
      </c>
      <c r="B2721" t="s">
        <v>5239</v>
      </c>
      <c r="C2721" t="s">
        <v>5254</v>
      </c>
      <c r="D2721" t="s">
        <v>10093</v>
      </c>
      <c r="E2721" t="b">
        <f>sch_clinic_teacher</f>
        <v>1</v>
      </c>
      <c r="F2721" t="b">
        <f>ISLOGICAL(E2721)</f>
        <v>1</v>
      </c>
      <c r="G2721" t="s">
        <v>12516</v>
      </c>
    </row>
    <row r="2722" spans="1:14" x14ac:dyDescent="0.35">
      <c r="A2722" t="s">
        <v>5246</v>
      </c>
      <c r="B2722" t="s">
        <v>5239</v>
      </c>
      <c r="C2722" t="s">
        <v>5246</v>
      </c>
      <c r="D2722" s="1353" t="s">
        <v>10100</v>
      </c>
      <c r="E2722">
        <f>sch_clinic_scale_bathroom_unit</f>
        <v>1</v>
      </c>
      <c r="F2722" t="b">
        <v>1</v>
      </c>
    </row>
    <row r="2723" spans="1:14" x14ac:dyDescent="0.35">
      <c r="A2723" t="s">
        <v>5247</v>
      </c>
      <c r="B2723" t="s">
        <v>5239</v>
      </c>
      <c r="C2723" t="s">
        <v>5247</v>
      </c>
      <c r="D2723" t="s">
        <v>10101</v>
      </c>
      <c r="E2723">
        <f>sch_clinic_scale_beambalance_unit</f>
        <v>2</v>
      </c>
      <c r="F2723" t="b">
        <v>1</v>
      </c>
    </row>
    <row r="2724" spans="1:14" x14ac:dyDescent="0.35">
      <c r="A2724" t="s">
        <v>5249</v>
      </c>
      <c r="B2724" t="s">
        <v>5239</v>
      </c>
      <c r="C2724" t="s">
        <v>5249</v>
      </c>
      <c r="D2724" t="s">
        <v>10103</v>
      </c>
      <c r="E2724">
        <f>sch_clinic_scale_others_specify</f>
        <v>0</v>
      </c>
      <c r="F2724" t="b">
        <v>1</v>
      </c>
    </row>
    <row r="2725" spans="1:14" x14ac:dyDescent="0.35">
      <c r="A2725" t="s">
        <v>5248</v>
      </c>
      <c r="B2725" t="s">
        <v>5239</v>
      </c>
      <c r="C2725" t="s">
        <v>5248</v>
      </c>
      <c r="D2725" s="1353" t="s">
        <v>10102</v>
      </c>
      <c r="E2725">
        <f>sch_clinic_scale_others_unit</f>
        <v>0</v>
      </c>
      <c r="F2725" t="b">
        <v>1</v>
      </c>
    </row>
    <row r="2726" spans="1:14" x14ac:dyDescent="0.35">
      <c r="A2726" t="s">
        <v>5240</v>
      </c>
      <c r="B2726" t="s">
        <v>5239</v>
      </c>
      <c r="C2726" t="s">
        <v>5240</v>
      </c>
      <c r="D2726" s="1353" t="s">
        <v>10094</v>
      </c>
      <c r="E2726" t="b">
        <f>clinic_tools_height_tapemeasure</f>
        <v>0</v>
      </c>
      <c r="F2726" t="b">
        <f t="shared" si="11"/>
        <v>1</v>
      </c>
      <c r="G2726" t="s">
        <v>12516</v>
      </c>
    </row>
    <row r="2727" spans="1:14" x14ac:dyDescent="0.35">
      <c r="A2727" t="s">
        <v>5241</v>
      </c>
      <c r="B2727" t="s">
        <v>5239</v>
      </c>
      <c r="C2727" t="s">
        <v>5241</v>
      </c>
      <c r="D2727" s="1353" t="s">
        <v>10095</v>
      </c>
      <c r="E2727" t="b">
        <f>clinic_tools_height_steeltape</f>
        <v>0</v>
      </c>
      <c r="F2727" t="b">
        <f t="shared" si="11"/>
        <v>1</v>
      </c>
      <c r="G2727" t="s">
        <v>12516</v>
      </c>
    </row>
    <row r="2728" spans="1:14" x14ac:dyDescent="0.35">
      <c r="A2728" t="s">
        <v>5242</v>
      </c>
      <c r="B2728" t="s">
        <v>5239</v>
      </c>
      <c r="C2728" t="s">
        <v>5242</v>
      </c>
      <c r="D2728" s="1353" t="s">
        <v>10096</v>
      </c>
      <c r="E2728" t="b">
        <f>clinic_tools_height_microtoise</f>
        <v>1</v>
      </c>
      <c r="F2728" t="b">
        <f t="shared" si="11"/>
        <v>1</v>
      </c>
      <c r="G2728" t="s">
        <v>12516</v>
      </c>
    </row>
    <row r="2729" spans="1:14" x14ac:dyDescent="0.35">
      <c r="A2729" t="s">
        <v>5243</v>
      </c>
      <c r="B2729" t="s">
        <v>5239</v>
      </c>
      <c r="C2729" t="s">
        <v>5243</v>
      </c>
      <c r="D2729" s="1353" t="s">
        <v>10097</v>
      </c>
      <c r="E2729" t="b">
        <f>clinic_tools_height_stadiometer</f>
        <v>0</v>
      </c>
      <c r="F2729" t="b">
        <f t="shared" si="11"/>
        <v>1</v>
      </c>
      <c r="G2729" t="s">
        <v>12516</v>
      </c>
    </row>
    <row r="2730" spans="1:14" x14ac:dyDescent="0.35">
      <c r="A2730" t="s">
        <v>5244</v>
      </c>
      <c r="B2730" t="s">
        <v>5239</v>
      </c>
      <c r="C2730" t="s">
        <v>5244</v>
      </c>
      <c r="D2730" s="1353" t="s">
        <v>10098</v>
      </c>
      <c r="E2730" t="b">
        <f>clinic_tools_height_others</f>
        <v>0</v>
      </c>
      <c r="F2730" t="b">
        <f t="shared" si="11"/>
        <v>1</v>
      </c>
      <c r="G2730" t="s">
        <v>12516</v>
      </c>
    </row>
    <row r="2731" spans="1:14" x14ac:dyDescent="0.35">
      <c r="A2731" t="s">
        <v>5245</v>
      </c>
      <c r="B2731" t="s">
        <v>5239</v>
      </c>
      <c r="C2731" t="s">
        <v>5245</v>
      </c>
      <c r="D2731" s="1353" t="s">
        <v>10099</v>
      </c>
      <c r="E2731">
        <f>sch_clinic_tools_height_others_specify</f>
        <v>0</v>
      </c>
      <c r="F2731" t="b">
        <v>1</v>
      </c>
    </row>
    <row r="2732" spans="1:14" x14ac:dyDescent="0.35">
      <c r="A2732" t="s">
        <v>5251</v>
      </c>
      <c r="B2732" t="s">
        <v>5239</v>
      </c>
      <c r="C2732" t="s">
        <v>5251</v>
      </c>
      <c r="D2732" s="1353" t="s">
        <v>10105</v>
      </c>
      <c r="E2732">
        <f>sch_clinic_first_aids</f>
        <v>2</v>
      </c>
      <c r="F2732" t="b">
        <v>1</v>
      </c>
    </row>
    <row r="2733" spans="1:14" x14ac:dyDescent="0.35">
      <c r="A2733" t="s">
        <v>5253</v>
      </c>
      <c r="B2733" t="s">
        <v>5239</v>
      </c>
      <c r="C2733" t="s">
        <v>5253</v>
      </c>
      <c r="D2733" s="1353" t="s">
        <v>10107</v>
      </c>
      <c r="E2733">
        <f>sch_clinic_thermometers</f>
        <v>3</v>
      </c>
      <c r="F2733" t="b">
        <v>1</v>
      </c>
    </row>
    <row r="2734" spans="1:14" x14ac:dyDescent="0.35">
      <c r="A2734" t="s">
        <v>5250</v>
      </c>
      <c r="B2734" t="s">
        <v>5239</v>
      </c>
      <c r="C2734" t="s">
        <v>5250</v>
      </c>
      <c r="D2734" t="s">
        <v>10104</v>
      </c>
      <c r="E2734">
        <f>sch_clinic_bpa</f>
        <v>2</v>
      </c>
      <c r="F2734" t="b">
        <v>1</v>
      </c>
    </row>
    <row r="2735" spans="1:14" s="1348" customFormat="1" ht="16" thickBot="1" x14ac:dyDescent="0.4">
      <c r="A2735" s="1348" t="s">
        <v>5252</v>
      </c>
      <c r="B2735" s="1348" t="s">
        <v>5239</v>
      </c>
      <c r="C2735" s="1348" t="s">
        <v>5252</v>
      </c>
      <c r="D2735" s="1348" t="s">
        <v>10106</v>
      </c>
      <c r="E2735" s="1348">
        <f>sch_clinic_personnel_trained</f>
        <v>1</v>
      </c>
      <c r="F2735" s="1348" t="b">
        <v>1</v>
      </c>
      <c r="N2735" s="1358"/>
    </row>
    <row r="2736" spans="1:14" s="1350" customFormat="1" x14ac:dyDescent="0.35">
      <c r="A2736" s="1350" t="s">
        <v>5255</v>
      </c>
      <c r="B2736" s="1350" t="s">
        <v>5256</v>
      </c>
      <c r="C2736" s="1350" t="s">
        <v>5255</v>
      </c>
      <c r="D2736" s="1351" t="s">
        <v>10108</v>
      </c>
      <c r="E2736" s="1350" t="b">
        <f>ws_wsource_yes</f>
        <v>0</v>
      </c>
      <c r="F2736" s="1350" t="b">
        <f t="shared" ref="F2736:F2765" si="12">ISLOGICAL(E2736)</f>
        <v>1</v>
      </c>
      <c r="G2736" s="1350" t="s">
        <v>12516</v>
      </c>
      <c r="N2736" s="1357"/>
    </row>
    <row r="2737" spans="1:14" x14ac:dyDescent="0.35">
      <c r="A2737" t="s">
        <v>5257</v>
      </c>
      <c r="B2737" t="s">
        <v>5256</v>
      </c>
      <c r="C2737" t="s">
        <v>5257</v>
      </c>
      <c r="D2737" s="1353" t="s">
        <v>10109</v>
      </c>
      <c r="E2737" t="b">
        <f>ws_ifyes_pipe</f>
        <v>1</v>
      </c>
      <c r="F2737" t="b">
        <f t="shared" si="12"/>
        <v>1</v>
      </c>
      <c r="G2737" t="s">
        <v>12516</v>
      </c>
    </row>
    <row r="2738" spans="1:14" x14ac:dyDescent="0.35">
      <c r="A2738" t="s">
        <v>5258</v>
      </c>
      <c r="B2738" t="s">
        <v>5256</v>
      </c>
      <c r="C2738" t="s">
        <v>5258</v>
      </c>
      <c r="D2738" s="1353" t="s">
        <v>10110</v>
      </c>
      <c r="E2738" t="b">
        <f>ws_ifyes_well</f>
        <v>1</v>
      </c>
      <c r="F2738" t="b">
        <f t="shared" si="12"/>
        <v>1</v>
      </c>
      <c r="G2738" t="s">
        <v>12516</v>
      </c>
    </row>
    <row r="2739" spans="1:14" x14ac:dyDescent="0.35">
      <c r="A2739" t="s">
        <v>5259</v>
      </c>
      <c r="B2739" t="s">
        <v>5256</v>
      </c>
      <c r="C2739" t="s">
        <v>5259</v>
      </c>
      <c r="D2739" s="1353" t="s">
        <v>10111</v>
      </c>
      <c r="E2739" t="b">
        <f>ws_ifyes_natural</f>
        <v>1</v>
      </c>
      <c r="F2739" t="b">
        <f t="shared" si="12"/>
        <v>1</v>
      </c>
      <c r="G2739" t="s">
        <v>12516</v>
      </c>
    </row>
    <row r="2740" spans="1:14" x14ac:dyDescent="0.35">
      <c r="A2740" t="s">
        <v>5260</v>
      </c>
      <c r="B2740" t="s">
        <v>5256</v>
      </c>
      <c r="C2740" t="s">
        <v>5260</v>
      </c>
      <c r="D2740" s="1353" t="s">
        <v>10112</v>
      </c>
      <c r="E2740" t="b">
        <f>ws_ifyes_rainwater</f>
        <v>0</v>
      </c>
      <c r="F2740" t="b">
        <f t="shared" si="12"/>
        <v>1</v>
      </c>
      <c r="G2740" t="s">
        <v>12516</v>
      </c>
    </row>
    <row r="2741" spans="1:14" x14ac:dyDescent="0.35">
      <c r="A2741" t="s">
        <v>5261</v>
      </c>
      <c r="B2741" t="s">
        <v>5256</v>
      </c>
      <c r="C2741" t="s">
        <v>5261</v>
      </c>
      <c r="D2741" s="1353" t="s">
        <v>10113</v>
      </c>
      <c r="E2741" t="b">
        <f>ws_ifyes_others</f>
        <v>0</v>
      </c>
      <c r="F2741" t="b">
        <f t="shared" si="12"/>
        <v>1</v>
      </c>
      <c r="G2741" t="s">
        <v>12516</v>
      </c>
    </row>
    <row r="2742" spans="1:14" x14ac:dyDescent="0.35">
      <c r="A2742" t="s">
        <v>5283</v>
      </c>
      <c r="B2742" t="s">
        <v>5256</v>
      </c>
      <c r="C2742" t="s">
        <v>5283</v>
      </c>
      <c r="D2742" s="1353" t="s">
        <v>10135</v>
      </c>
      <c r="E2742">
        <f>ws_ifyes_others_specify</f>
        <v>0</v>
      </c>
      <c r="F2742" t="b">
        <v>1</v>
      </c>
    </row>
    <row r="2743" spans="1:14" x14ac:dyDescent="0.35">
      <c r="A2743" t="s">
        <v>5282</v>
      </c>
      <c r="B2743" t="s">
        <v>5256</v>
      </c>
      <c r="C2743" t="s">
        <v>5282</v>
      </c>
      <c r="D2743" s="1353" t="s">
        <v>10134</v>
      </c>
      <c r="E2743" s="1397">
        <f>ws_wsource_avg_cost</f>
        <v>0</v>
      </c>
      <c r="F2743" t="b">
        <v>1</v>
      </c>
    </row>
    <row r="2744" spans="1:14" x14ac:dyDescent="0.35">
      <c r="A2744" t="s">
        <v>6842</v>
      </c>
      <c r="B2744" t="s">
        <v>5256</v>
      </c>
      <c r="C2744" t="s">
        <v>6842</v>
      </c>
      <c r="D2744" t="s">
        <v>12592</v>
      </c>
      <c r="E2744" t="b">
        <f>ws_ifyes_fundsource_schmooe</f>
        <v>1</v>
      </c>
      <c r="F2744" t="b">
        <f>ISLOGICAL(E2744)</f>
        <v>1</v>
      </c>
      <c r="G2744" t="s">
        <v>12516</v>
      </c>
      <c r="N2744" s="1346"/>
    </row>
    <row r="2745" spans="1:14" x14ac:dyDescent="0.35">
      <c r="A2745" t="s">
        <v>5262</v>
      </c>
      <c r="B2745" t="s">
        <v>5256</v>
      </c>
      <c r="C2745" t="s">
        <v>5262</v>
      </c>
      <c r="D2745" s="1353" t="s">
        <v>10114</v>
      </c>
      <c r="E2745" t="b">
        <f>ws_ifyes_fundsource_lgu</f>
        <v>0</v>
      </c>
      <c r="F2745" t="b">
        <f t="shared" si="12"/>
        <v>1</v>
      </c>
      <c r="G2745" t="s">
        <v>12516</v>
      </c>
    </row>
    <row r="2746" spans="1:14" x14ac:dyDescent="0.35">
      <c r="A2746" t="s">
        <v>5263</v>
      </c>
      <c r="B2746" t="s">
        <v>5256</v>
      </c>
      <c r="C2746" t="s">
        <v>5263</v>
      </c>
      <c r="D2746" s="1353" t="s">
        <v>10115</v>
      </c>
      <c r="E2746" t="b">
        <f>ws_ifyes_fundsource_pta</f>
        <v>0</v>
      </c>
      <c r="F2746" t="b">
        <f t="shared" si="12"/>
        <v>1</v>
      </c>
      <c r="G2746" t="s">
        <v>12516</v>
      </c>
    </row>
    <row r="2747" spans="1:14" x14ac:dyDescent="0.35">
      <c r="A2747" t="s">
        <v>6843</v>
      </c>
      <c r="B2747" t="s">
        <v>5256</v>
      </c>
      <c r="C2747" t="s">
        <v>6843</v>
      </c>
      <c r="D2747" t="s">
        <v>6844</v>
      </c>
      <c r="E2747" t="b">
        <f>ws_ifyes_fundsource_schcanteen</f>
        <v>0</v>
      </c>
      <c r="F2747" t="b">
        <f>ISLOGICAL(E2747)</f>
        <v>1</v>
      </c>
      <c r="G2747" t="s">
        <v>12516</v>
      </c>
    </row>
    <row r="2748" spans="1:14" x14ac:dyDescent="0.35">
      <c r="A2748" t="s">
        <v>5264</v>
      </c>
      <c r="B2748" t="s">
        <v>5256</v>
      </c>
      <c r="C2748" t="s">
        <v>5264</v>
      </c>
      <c r="D2748" s="1353" t="s">
        <v>10116</v>
      </c>
      <c r="E2748" t="b">
        <f>ws_ifyes_fundsource_private</f>
        <v>0</v>
      </c>
      <c r="F2748" t="b">
        <f t="shared" si="12"/>
        <v>1</v>
      </c>
      <c r="G2748" t="s">
        <v>12516</v>
      </c>
    </row>
    <row r="2749" spans="1:14" x14ac:dyDescent="0.35">
      <c r="A2749" t="s">
        <v>5265</v>
      </c>
      <c r="B2749" t="s">
        <v>5256</v>
      </c>
      <c r="C2749" t="s">
        <v>5265</v>
      </c>
      <c r="D2749" s="1353" t="s">
        <v>10117</v>
      </c>
      <c r="E2749" t="b">
        <f>ws_ifyes_fundsource_others</f>
        <v>0</v>
      </c>
      <c r="F2749" t="b">
        <f t="shared" si="12"/>
        <v>1</v>
      </c>
      <c r="G2749" t="s">
        <v>12516</v>
      </c>
    </row>
    <row r="2750" spans="1:14" x14ac:dyDescent="0.35">
      <c r="A2750" t="s">
        <v>5281</v>
      </c>
      <c r="B2750" t="s">
        <v>5256</v>
      </c>
      <c r="C2750" t="s">
        <v>5281</v>
      </c>
      <c r="D2750" s="1353" t="s">
        <v>10133</v>
      </c>
      <c r="E2750">
        <f>ws_ifyes_fundsource_others_specify</f>
        <v>0</v>
      </c>
      <c r="F2750" t="b">
        <v>1</v>
      </c>
    </row>
    <row r="2751" spans="1:14" x14ac:dyDescent="0.35">
      <c r="A2751" t="s">
        <v>5266</v>
      </c>
      <c r="B2751" t="s">
        <v>5256</v>
      </c>
      <c r="C2751" t="s">
        <v>5266</v>
      </c>
      <c r="D2751" s="1353" t="s">
        <v>10118</v>
      </c>
      <c r="E2751" t="b">
        <f>ws_drinking_yes</f>
        <v>0</v>
      </c>
      <c r="F2751" t="b">
        <f t="shared" si="12"/>
        <v>1</v>
      </c>
      <c r="G2751" t="s">
        <v>12516</v>
      </c>
    </row>
    <row r="2752" spans="1:14" x14ac:dyDescent="0.35">
      <c r="A2752" t="s">
        <v>5267</v>
      </c>
      <c r="B2752" t="s">
        <v>5256</v>
      </c>
      <c r="C2752" t="s">
        <v>5267</v>
      </c>
      <c r="D2752" s="1353" t="s">
        <v>10119</v>
      </c>
      <c r="E2752" t="b">
        <f>ws_water_tested_yes</f>
        <v>1</v>
      </c>
      <c r="F2752" t="b">
        <f t="shared" si="12"/>
        <v>1</v>
      </c>
      <c r="G2752" t="s">
        <v>12516</v>
      </c>
    </row>
    <row r="2753" spans="1:14" x14ac:dyDescent="0.35">
      <c r="A2753" t="s">
        <v>5268</v>
      </c>
      <c r="B2753" t="s">
        <v>5256</v>
      </c>
      <c r="C2753" t="s">
        <v>5268</v>
      </c>
      <c r="D2753" s="1353" t="s">
        <v>10120</v>
      </c>
      <c r="E2753" t="b">
        <f>ws_water_iftested_safetodrink_yes</f>
        <v>0</v>
      </c>
      <c r="F2753" t="b">
        <f t="shared" si="12"/>
        <v>1</v>
      </c>
      <c r="G2753" t="s">
        <v>12516</v>
      </c>
    </row>
    <row r="2754" spans="1:14" x14ac:dyDescent="0.35">
      <c r="A2754" t="s">
        <v>5269</v>
      </c>
      <c r="B2754" t="s">
        <v>5256</v>
      </c>
      <c r="C2754" t="s">
        <v>5269</v>
      </c>
      <c r="D2754" s="1353" t="s">
        <v>10121</v>
      </c>
      <c r="E2754" t="b">
        <f>ws_water_test_frequency_monthly</f>
        <v>0</v>
      </c>
      <c r="F2754" t="b">
        <f t="shared" si="12"/>
        <v>1</v>
      </c>
      <c r="G2754" t="s">
        <v>12516</v>
      </c>
    </row>
    <row r="2755" spans="1:14" x14ac:dyDescent="0.35">
      <c r="A2755" t="s">
        <v>5270</v>
      </c>
      <c r="B2755" t="s">
        <v>5256</v>
      </c>
      <c r="C2755" t="s">
        <v>5270</v>
      </c>
      <c r="D2755" s="1353" t="s">
        <v>10122</v>
      </c>
      <c r="E2755" t="b">
        <f>ws_water_test_frequency_quarterly</f>
        <v>0</v>
      </c>
      <c r="F2755" t="b">
        <f t="shared" si="12"/>
        <v>1</v>
      </c>
      <c r="G2755" t="s">
        <v>12516</v>
      </c>
    </row>
    <row r="2756" spans="1:14" x14ac:dyDescent="0.35">
      <c r="A2756" t="s">
        <v>5271</v>
      </c>
      <c r="B2756" t="s">
        <v>5256</v>
      </c>
      <c r="C2756" t="s">
        <v>5271</v>
      </c>
      <c r="D2756" s="1353" t="s">
        <v>10123</v>
      </c>
      <c r="E2756" t="b">
        <f>ws_water_test_frequency_annually</f>
        <v>1</v>
      </c>
      <c r="F2756" t="b">
        <f t="shared" si="12"/>
        <v>1</v>
      </c>
      <c r="G2756" t="s">
        <v>12516</v>
      </c>
    </row>
    <row r="2757" spans="1:14" x14ac:dyDescent="0.35">
      <c r="A2757" t="s">
        <v>5272</v>
      </c>
      <c r="B2757" t="s">
        <v>5256</v>
      </c>
      <c r="C2757" t="s">
        <v>5272</v>
      </c>
      <c r="D2757" s="1353" t="s">
        <v>10124</v>
      </c>
      <c r="E2757" t="b">
        <f>ws_water_test_frequency_others</f>
        <v>0</v>
      </c>
      <c r="F2757" t="b">
        <f t="shared" si="12"/>
        <v>1</v>
      </c>
      <c r="G2757" t="s">
        <v>12516</v>
      </c>
    </row>
    <row r="2758" spans="1:14" x14ac:dyDescent="0.35">
      <c r="A2758" t="s">
        <v>5280</v>
      </c>
      <c r="B2758" t="s">
        <v>5256</v>
      </c>
      <c r="C2758" t="s">
        <v>5280</v>
      </c>
      <c r="D2758" s="1353" t="s">
        <v>10132</v>
      </c>
      <c r="E2758">
        <f>ws_water_test_frequency_others_specify</f>
        <v>0</v>
      </c>
      <c r="F2758" t="b">
        <v>1</v>
      </c>
    </row>
    <row r="2759" spans="1:14" x14ac:dyDescent="0.35">
      <c r="A2759" t="s">
        <v>5284</v>
      </c>
      <c r="B2759" t="s">
        <v>5256</v>
      </c>
      <c r="C2759" t="s">
        <v>5284</v>
      </c>
      <c r="D2759" s="1353" t="s">
        <v>10136</v>
      </c>
      <c r="E2759" t="str">
        <f>ws_water_tested_lastime</f>
        <v>2020</v>
      </c>
      <c r="F2759" t="b">
        <v>1</v>
      </c>
    </row>
    <row r="2760" spans="1:14" x14ac:dyDescent="0.35">
      <c r="A2760" t="s">
        <v>5273</v>
      </c>
      <c r="B2760" t="s">
        <v>5256</v>
      </c>
      <c r="C2760" t="s">
        <v>5273</v>
      </c>
      <c r="D2760" s="1353" t="s">
        <v>10125</v>
      </c>
      <c r="E2760" t="b">
        <f>ws_water_unavailable_yes</f>
        <v>0</v>
      </c>
      <c r="F2760" t="b">
        <f t="shared" si="12"/>
        <v>1</v>
      </c>
      <c r="G2760" t="s">
        <v>12516</v>
      </c>
    </row>
    <row r="2761" spans="1:14" x14ac:dyDescent="0.35">
      <c r="A2761" t="s">
        <v>5274</v>
      </c>
      <c r="B2761" t="s">
        <v>5256</v>
      </c>
      <c r="C2761" t="s">
        <v>5274</v>
      </c>
      <c r="D2761" s="1353" t="s">
        <v>10126</v>
      </c>
      <c r="E2761" t="b">
        <f>ws_mechanism_safetodrink_yes</f>
        <v>1</v>
      </c>
      <c r="F2761" t="b">
        <f t="shared" si="12"/>
        <v>1</v>
      </c>
      <c r="G2761" t="s">
        <v>12516</v>
      </c>
    </row>
    <row r="2762" spans="1:14" x14ac:dyDescent="0.35">
      <c r="A2762" t="s">
        <v>5275</v>
      </c>
      <c r="B2762" t="s">
        <v>5256</v>
      </c>
      <c r="C2762" t="s">
        <v>5275</v>
      </c>
      <c r="D2762" s="1353" t="s">
        <v>10127</v>
      </c>
      <c r="E2762" t="b">
        <f>ws_mechanism_safetodrink_yes_bring_water</f>
        <v>1</v>
      </c>
      <c r="F2762" t="b">
        <f t="shared" si="12"/>
        <v>1</v>
      </c>
      <c r="G2762" t="s">
        <v>12516</v>
      </c>
    </row>
    <row r="2763" spans="1:14" x14ac:dyDescent="0.35">
      <c r="A2763" t="s">
        <v>5276</v>
      </c>
      <c r="B2763" t="s">
        <v>5256</v>
      </c>
      <c r="C2763" t="s">
        <v>5276</v>
      </c>
      <c r="D2763" s="1353" t="s">
        <v>10128</v>
      </c>
      <c r="E2763" t="b">
        <f>ws_mechanism_safetodrink_yes_refillable_containers</f>
        <v>1</v>
      </c>
      <c r="F2763" t="b">
        <f t="shared" si="12"/>
        <v>1</v>
      </c>
      <c r="G2763" t="s">
        <v>12516</v>
      </c>
    </row>
    <row r="2764" spans="1:14" x14ac:dyDescent="0.35">
      <c r="A2764" t="s">
        <v>5277</v>
      </c>
      <c r="B2764" t="s">
        <v>5256</v>
      </c>
      <c r="C2764" t="s">
        <v>5277</v>
      </c>
      <c r="D2764" s="1353" t="s">
        <v>10129</v>
      </c>
      <c r="E2764" t="b">
        <f>ws_mechanism_safetodrink_yes_accessible_water</f>
        <v>0</v>
      </c>
      <c r="F2764" t="b">
        <f t="shared" si="12"/>
        <v>1</v>
      </c>
      <c r="G2764" t="s">
        <v>12516</v>
      </c>
    </row>
    <row r="2765" spans="1:14" x14ac:dyDescent="0.35">
      <c r="A2765" t="s">
        <v>5278</v>
      </c>
      <c r="B2765" t="s">
        <v>5256</v>
      </c>
      <c r="C2765" t="s">
        <v>5278</v>
      </c>
      <c r="D2765" s="1353" t="s">
        <v>10130</v>
      </c>
      <c r="E2765" t="b">
        <f>ws_mechanism_safetodrink_yes_others</f>
        <v>0</v>
      </c>
      <c r="F2765" t="b">
        <f t="shared" si="12"/>
        <v>1</v>
      </c>
      <c r="G2765" t="s">
        <v>12516</v>
      </c>
    </row>
    <row r="2766" spans="1:14" s="1348" customFormat="1" ht="16" thickBot="1" x14ac:dyDescent="0.4">
      <c r="A2766" s="1348" t="s">
        <v>5279</v>
      </c>
      <c r="B2766" s="1348" t="s">
        <v>5256</v>
      </c>
      <c r="C2766" s="1348" t="s">
        <v>5279</v>
      </c>
      <c r="D2766" s="1355" t="s">
        <v>10131</v>
      </c>
      <c r="E2766" s="1348">
        <f>ws_mechanism_safetodrink_yes_others_specify</f>
        <v>0</v>
      </c>
      <c r="F2766" s="1348" t="b">
        <v>1</v>
      </c>
      <c r="N2766" s="1358"/>
    </row>
    <row r="2767" spans="1:14" x14ac:dyDescent="0.35">
      <c r="A2767" t="s">
        <v>5289</v>
      </c>
      <c r="B2767" t="s">
        <v>5286</v>
      </c>
      <c r="C2767" t="s">
        <v>5289</v>
      </c>
      <c r="D2767" s="1353" t="s">
        <v>10137</v>
      </c>
      <c r="E2767">
        <f>sch_wf_group_hw_wsoap</f>
        <v>13</v>
      </c>
      <c r="F2767" t="b">
        <v>1</v>
      </c>
    </row>
    <row r="2768" spans="1:14" x14ac:dyDescent="0.35">
      <c r="A2768" t="s">
        <v>5288</v>
      </c>
      <c r="B2768" t="s">
        <v>5286</v>
      </c>
      <c r="C2768" t="s">
        <v>5288</v>
      </c>
      <c r="D2768" s="1353" t="s">
        <v>10138</v>
      </c>
      <c r="E2768">
        <f>sch_wf_group_hw_wosoap</f>
        <v>0</v>
      </c>
      <c r="F2768" t="b">
        <v>1</v>
      </c>
    </row>
    <row r="2769" spans="1:14" x14ac:dyDescent="0.35">
      <c r="A2769" t="s">
        <v>5287</v>
      </c>
      <c r="B2769" t="s">
        <v>5286</v>
      </c>
      <c r="C2769" t="s">
        <v>5287</v>
      </c>
      <c r="D2769" s="1353" t="s">
        <v>10139</v>
      </c>
      <c r="E2769">
        <f>sch_wf_group_hw_nonfunctional</f>
        <v>0</v>
      </c>
      <c r="F2769" t="b">
        <v>1</v>
      </c>
    </row>
    <row r="2770" spans="1:14" x14ac:dyDescent="0.35">
      <c r="A2770" t="s">
        <v>5285</v>
      </c>
      <c r="B2770" t="s">
        <v>5286</v>
      </c>
      <c r="C2770" t="s">
        <v>5285</v>
      </c>
      <c r="D2770" s="1353" t="s">
        <v>10140</v>
      </c>
      <c r="E2770">
        <f>sch_wf_group_hw_no_water_outlets</f>
        <v>3</v>
      </c>
      <c r="F2770" t="b">
        <v>1</v>
      </c>
    </row>
    <row r="2771" spans="1:14" x14ac:dyDescent="0.35">
      <c r="A2771" t="s">
        <v>5293</v>
      </c>
      <c r="B2771" t="s">
        <v>5286</v>
      </c>
      <c r="C2771" t="s">
        <v>5293</v>
      </c>
      <c r="D2771" s="1353" t="s">
        <v>10141</v>
      </c>
      <c r="E2771">
        <f>sch_wf_individual_hw_wsoap</f>
        <v>13</v>
      </c>
      <c r="F2771" t="b">
        <v>1</v>
      </c>
    </row>
    <row r="2772" spans="1:14" x14ac:dyDescent="0.35">
      <c r="A2772" t="s">
        <v>5292</v>
      </c>
      <c r="B2772" t="s">
        <v>5286</v>
      </c>
      <c r="C2772" t="s">
        <v>5292</v>
      </c>
      <c r="D2772" s="1353" t="s">
        <v>10142</v>
      </c>
      <c r="E2772">
        <f>sch_wf_individual_hw_wosoap</f>
        <v>0</v>
      </c>
      <c r="F2772" t="b">
        <v>1</v>
      </c>
    </row>
    <row r="2773" spans="1:14" x14ac:dyDescent="0.35">
      <c r="A2773" t="s">
        <v>5291</v>
      </c>
      <c r="B2773" t="s">
        <v>5286</v>
      </c>
      <c r="C2773" t="s">
        <v>5291</v>
      </c>
      <c r="D2773" s="1353" t="s">
        <v>10143</v>
      </c>
      <c r="E2773">
        <f>sch_wf_individual_hw_nonfunctional</f>
        <v>0</v>
      </c>
      <c r="F2773" t="b">
        <v>1</v>
      </c>
    </row>
    <row r="2774" spans="1:14" s="1348" customFormat="1" ht="16" thickBot="1" x14ac:dyDescent="0.4">
      <c r="A2774" s="1348" t="s">
        <v>5290</v>
      </c>
      <c r="B2774" s="1348" t="s">
        <v>5286</v>
      </c>
      <c r="C2774" s="1348" t="s">
        <v>5290</v>
      </c>
      <c r="D2774" s="1355" t="s">
        <v>10144</v>
      </c>
      <c r="E2774" s="1348">
        <f>sch_wf_individual_hw_no_water_outlets</f>
        <v>0</v>
      </c>
      <c r="F2774" s="1348" t="b">
        <v>1</v>
      </c>
      <c r="N2774" s="1358"/>
    </row>
    <row r="2775" spans="1:14" s="1350" customFormat="1" x14ac:dyDescent="0.35">
      <c r="A2775" s="1350" t="s">
        <v>5312</v>
      </c>
      <c r="B2775" s="1350" t="s">
        <v>5295</v>
      </c>
      <c r="C2775" s="1350" t="s">
        <v>5312</v>
      </c>
      <c r="D2775" s="1350" t="s">
        <v>10145</v>
      </c>
      <c r="E2775" s="1350">
        <f>sch_oral_health_learners_examined_g7</f>
        <v>0</v>
      </c>
      <c r="F2775" s="1350" t="b">
        <v>1</v>
      </c>
      <c r="N2775" s="1357"/>
    </row>
    <row r="2776" spans="1:14" x14ac:dyDescent="0.35">
      <c r="A2776" t="s">
        <v>5319</v>
      </c>
      <c r="B2776" t="s">
        <v>5295</v>
      </c>
      <c r="C2776" t="s">
        <v>5319</v>
      </c>
      <c r="D2776" t="s">
        <v>10146</v>
      </c>
      <c r="E2776">
        <f>sch_oral_health_learners_examined_g8</f>
        <v>0</v>
      </c>
      <c r="F2776" t="b">
        <v>1</v>
      </c>
    </row>
    <row r="2777" spans="1:14" x14ac:dyDescent="0.35">
      <c r="A2777" t="s">
        <v>5298</v>
      </c>
      <c r="B2777" t="s">
        <v>5295</v>
      </c>
      <c r="C2777" t="s">
        <v>5298</v>
      </c>
      <c r="D2777" t="s">
        <v>10147</v>
      </c>
      <c r="E2777">
        <f>sch_oral_health_learners_examined_g9</f>
        <v>0</v>
      </c>
      <c r="F2777" t="b">
        <v>1</v>
      </c>
    </row>
    <row r="2778" spans="1:14" x14ac:dyDescent="0.35">
      <c r="A2778" t="s">
        <v>5305</v>
      </c>
      <c r="B2778" t="s">
        <v>5295</v>
      </c>
      <c r="C2778" t="s">
        <v>5305</v>
      </c>
      <c r="D2778" t="s">
        <v>10148</v>
      </c>
      <c r="E2778">
        <f>sch_oral_health_learners_examined_g10</f>
        <v>0</v>
      </c>
      <c r="F2778" t="b">
        <v>1</v>
      </c>
    </row>
    <row r="2779" spans="1:14" x14ac:dyDescent="0.35">
      <c r="A2779" t="s">
        <v>5313</v>
      </c>
      <c r="B2779" t="s">
        <v>5295</v>
      </c>
      <c r="C2779" t="s">
        <v>5313</v>
      </c>
      <c r="D2779" t="s">
        <v>10149</v>
      </c>
      <c r="E2779">
        <f>sch_oral_health_learners_wdmft_permanent_g7</f>
        <v>0</v>
      </c>
      <c r="F2779" t="b">
        <v>1</v>
      </c>
    </row>
    <row r="2780" spans="1:14" x14ac:dyDescent="0.35">
      <c r="A2780" t="s">
        <v>5320</v>
      </c>
      <c r="B2780" t="s">
        <v>5295</v>
      </c>
      <c r="C2780" t="s">
        <v>5320</v>
      </c>
      <c r="D2780" t="s">
        <v>10150</v>
      </c>
      <c r="E2780">
        <f>sch_oral_health_learners_wdmft_permanent_g8</f>
        <v>0</v>
      </c>
      <c r="F2780" t="b">
        <v>1</v>
      </c>
    </row>
    <row r="2781" spans="1:14" x14ac:dyDescent="0.35">
      <c r="A2781" t="s">
        <v>5299</v>
      </c>
      <c r="B2781" t="s">
        <v>5295</v>
      </c>
      <c r="C2781" t="s">
        <v>5299</v>
      </c>
      <c r="D2781" t="s">
        <v>10151</v>
      </c>
      <c r="E2781">
        <f>sch_oral_health_learners_wdmft_permanent_g9</f>
        <v>0</v>
      </c>
      <c r="F2781" t="b">
        <v>1</v>
      </c>
    </row>
    <row r="2782" spans="1:14" x14ac:dyDescent="0.35">
      <c r="A2782" t="s">
        <v>5306</v>
      </c>
      <c r="B2782" t="s">
        <v>5295</v>
      </c>
      <c r="C2782" t="s">
        <v>5306</v>
      </c>
      <c r="D2782" t="s">
        <v>10152</v>
      </c>
      <c r="E2782">
        <f>sch_oral_health_learners_wdmft_permanent_g10</f>
        <v>0</v>
      </c>
      <c r="F2782" t="b">
        <v>1</v>
      </c>
    </row>
    <row r="2783" spans="1:14" x14ac:dyDescent="0.35">
      <c r="A2783" t="s">
        <v>5314</v>
      </c>
      <c r="B2783" t="s">
        <v>5295</v>
      </c>
      <c r="C2783" t="s">
        <v>5314</v>
      </c>
      <c r="D2783" t="s">
        <v>10153</v>
      </c>
      <c r="E2783">
        <f>sch_oral_health_num_dmft_permanent_g7</f>
        <v>0</v>
      </c>
      <c r="F2783" t="b">
        <v>1</v>
      </c>
    </row>
    <row r="2784" spans="1:14" x14ac:dyDescent="0.35">
      <c r="A2784" t="s">
        <v>5321</v>
      </c>
      <c r="B2784" t="s">
        <v>5295</v>
      </c>
      <c r="C2784" t="s">
        <v>5321</v>
      </c>
      <c r="D2784" t="s">
        <v>10154</v>
      </c>
      <c r="E2784">
        <f>sch_oral_health_num_dmft_permanent_g8</f>
        <v>0</v>
      </c>
      <c r="F2784" t="b">
        <v>1</v>
      </c>
    </row>
    <row r="2785" spans="1:6" x14ac:dyDescent="0.35">
      <c r="A2785" t="s">
        <v>5300</v>
      </c>
      <c r="B2785" t="s">
        <v>5295</v>
      </c>
      <c r="C2785" t="s">
        <v>5300</v>
      </c>
      <c r="D2785" t="s">
        <v>10155</v>
      </c>
      <c r="E2785">
        <f>sch_oral_health_num_dmft_permanent_g9</f>
        <v>0</v>
      </c>
      <c r="F2785" t="b">
        <v>1</v>
      </c>
    </row>
    <row r="2786" spans="1:6" x14ac:dyDescent="0.35">
      <c r="A2786" t="s">
        <v>5307</v>
      </c>
      <c r="B2786" t="s">
        <v>5295</v>
      </c>
      <c r="C2786" t="s">
        <v>5307</v>
      </c>
      <c r="D2786" t="s">
        <v>10156</v>
      </c>
      <c r="E2786">
        <f>sch_oral_health_num_dmft_permanent_g10</f>
        <v>0</v>
      </c>
      <c r="F2786" t="b">
        <v>1</v>
      </c>
    </row>
    <row r="2787" spans="1:6" x14ac:dyDescent="0.35">
      <c r="A2787" t="s">
        <v>5315</v>
      </c>
      <c r="B2787" t="s">
        <v>5295</v>
      </c>
      <c r="C2787" t="s">
        <v>5315</v>
      </c>
      <c r="D2787" t="s">
        <v>10157</v>
      </c>
      <c r="E2787">
        <f>sch_oral_health_learners_wdmft_temporary_g7</f>
        <v>0</v>
      </c>
      <c r="F2787" t="b">
        <v>1</v>
      </c>
    </row>
    <row r="2788" spans="1:6" x14ac:dyDescent="0.35">
      <c r="A2788" t="s">
        <v>5322</v>
      </c>
      <c r="B2788" t="s">
        <v>5295</v>
      </c>
      <c r="C2788" t="s">
        <v>5322</v>
      </c>
      <c r="D2788" t="s">
        <v>10158</v>
      </c>
      <c r="E2788">
        <f>sch_oral_health_learners_wdmft_temporary_g8</f>
        <v>0</v>
      </c>
      <c r="F2788" t="b">
        <v>1</v>
      </c>
    </row>
    <row r="2789" spans="1:6" x14ac:dyDescent="0.35">
      <c r="A2789" t="s">
        <v>5301</v>
      </c>
      <c r="B2789" t="s">
        <v>5295</v>
      </c>
      <c r="C2789" t="s">
        <v>5301</v>
      </c>
      <c r="D2789" t="s">
        <v>10159</v>
      </c>
      <c r="E2789">
        <f>sch_oral_health_learners_wdmft_temporary_g9</f>
        <v>0</v>
      </c>
      <c r="F2789" t="b">
        <v>1</v>
      </c>
    </row>
    <row r="2790" spans="1:6" x14ac:dyDescent="0.35">
      <c r="A2790" t="s">
        <v>5308</v>
      </c>
      <c r="B2790" t="s">
        <v>5295</v>
      </c>
      <c r="C2790" t="s">
        <v>5308</v>
      </c>
      <c r="D2790" t="s">
        <v>10160</v>
      </c>
      <c r="E2790">
        <f>sch_oral_health_learners_wdmft_temporary_g10</f>
        <v>0</v>
      </c>
      <c r="F2790" t="b">
        <v>1</v>
      </c>
    </row>
    <row r="2791" spans="1:6" x14ac:dyDescent="0.35">
      <c r="A2791" t="s">
        <v>5309</v>
      </c>
      <c r="B2791" t="s">
        <v>5295</v>
      </c>
      <c r="C2791" t="s">
        <v>5309</v>
      </c>
      <c r="D2791" t="s">
        <v>10161</v>
      </c>
      <c r="E2791">
        <f>sch_oral_health_num_dmft_temporary_g7</f>
        <v>0</v>
      </c>
      <c r="F2791" t="b">
        <v>1</v>
      </c>
    </row>
    <row r="2792" spans="1:6" x14ac:dyDescent="0.35">
      <c r="A2792" t="s">
        <v>5316</v>
      </c>
      <c r="B2792" t="s">
        <v>5295</v>
      </c>
      <c r="C2792" t="s">
        <v>5316</v>
      </c>
      <c r="D2792" t="s">
        <v>10162</v>
      </c>
      <c r="E2792">
        <f>sch_oral_health_num_dmft_temporary_g8</f>
        <v>0</v>
      </c>
      <c r="F2792" t="b">
        <v>1</v>
      </c>
    </row>
    <row r="2793" spans="1:6" x14ac:dyDescent="0.35">
      <c r="A2793" t="s">
        <v>5294</v>
      </c>
      <c r="B2793" t="s">
        <v>5295</v>
      </c>
      <c r="C2793" t="s">
        <v>5294</v>
      </c>
      <c r="D2793" t="s">
        <v>10163</v>
      </c>
      <c r="E2793">
        <f>sch_oral_health_num_dmft_temporary_g9</f>
        <v>0</v>
      </c>
      <c r="F2793" t="b">
        <v>1</v>
      </c>
    </row>
    <row r="2794" spans="1:6" x14ac:dyDescent="0.35">
      <c r="A2794" t="s">
        <v>5302</v>
      </c>
      <c r="B2794" t="s">
        <v>5295</v>
      </c>
      <c r="C2794" t="s">
        <v>5302</v>
      </c>
      <c r="D2794" t="s">
        <v>10164</v>
      </c>
      <c r="E2794">
        <f>sch_oral_health_num_dmft_temporary_g10</f>
        <v>0</v>
      </c>
      <c r="F2794" t="b">
        <v>1</v>
      </c>
    </row>
    <row r="2795" spans="1:6" x14ac:dyDescent="0.35">
      <c r="A2795" t="s">
        <v>5310</v>
      </c>
      <c r="B2795" t="s">
        <v>5295</v>
      </c>
      <c r="C2795" t="s">
        <v>5310</v>
      </c>
      <c r="D2795" t="s">
        <v>10165</v>
      </c>
      <c r="E2795">
        <f>sch_oral_health_learners_wgum_disease_g7</f>
        <v>0</v>
      </c>
      <c r="F2795" t="b">
        <v>1</v>
      </c>
    </row>
    <row r="2796" spans="1:6" x14ac:dyDescent="0.35">
      <c r="A2796" t="s">
        <v>5317</v>
      </c>
      <c r="B2796" t="s">
        <v>5295</v>
      </c>
      <c r="C2796" t="s">
        <v>5317</v>
      </c>
      <c r="D2796" t="s">
        <v>10166</v>
      </c>
      <c r="E2796">
        <f>sch_oral_health_learners_wgum_disease_g8</f>
        <v>0</v>
      </c>
      <c r="F2796" t="b">
        <v>1</v>
      </c>
    </row>
    <row r="2797" spans="1:6" x14ac:dyDescent="0.35">
      <c r="A2797" t="s">
        <v>5296</v>
      </c>
      <c r="B2797" t="s">
        <v>5295</v>
      </c>
      <c r="C2797" t="s">
        <v>5296</v>
      </c>
      <c r="D2797" t="s">
        <v>10167</v>
      </c>
      <c r="E2797">
        <f>sch_oral_health_learners_wgum_disease_g9</f>
        <v>0</v>
      </c>
      <c r="F2797" t="b">
        <v>1</v>
      </c>
    </row>
    <row r="2798" spans="1:6" x14ac:dyDescent="0.35">
      <c r="A2798" t="s">
        <v>5303</v>
      </c>
      <c r="B2798" t="s">
        <v>5295</v>
      </c>
      <c r="C2798" t="s">
        <v>5303</v>
      </c>
      <c r="D2798" t="s">
        <v>10168</v>
      </c>
      <c r="E2798">
        <f>sch_oral_health_learners_wgum_disease_g10</f>
        <v>0</v>
      </c>
      <c r="F2798" t="b">
        <v>1</v>
      </c>
    </row>
    <row r="2799" spans="1:6" x14ac:dyDescent="0.35">
      <c r="A2799" t="s">
        <v>5311</v>
      </c>
      <c r="B2799" t="s">
        <v>5295</v>
      </c>
      <c r="C2799" t="s">
        <v>5311</v>
      </c>
      <c r="D2799" t="s">
        <v>10169</v>
      </c>
      <c r="E2799">
        <f>sch_oral_health_learners_wdental_anomalies_g7</f>
        <v>0</v>
      </c>
      <c r="F2799" t="b">
        <v>1</v>
      </c>
    </row>
    <row r="2800" spans="1:6" x14ac:dyDescent="0.35">
      <c r="A2800" t="s">
        <v>5318</v>
      </c>
      <c r="B2800" t="s">
        <v>5295</v>
      </c>
      <c r="C2800" t="s">
        <v>5318</v>
      </c>
      <c r="D2800" t="s">
        <v>10170</v>
      </c>
      <c r="E2800">
        <f>sch_oral_health_learners_wdental_anomalies_g8</f>
        <v>0</v>
      </c>
      <c r="F2800" t="b">
        <v>1</v>
      </c>
    </row>
    <row r="2801" spans="1:14" x14ac:dyDescent="0.35">
      <c r="A2801" t="s">
        <v>5297</v>
      </c>
      <c r="B2801" t="s">
        <v>5295</v>
      </c>
      <c r="C2801" t="s">
        <v>5297</v>
      </c>
      <c r="D2801" t="s">
        <v>10171</v>
      </c>
      <c r="E2801">
        <f>sch_oral_health_learners_wdental_anomalies_g9</f>
        <v>0</v>
      </c>
      <c r="F2801" t="b">
        <v>1</v>
      </c>
    </row>
    <row r="2802" spans="1:14" s="1348" customFormat="1" ht="16" thickBot="1" x14ac:dyDescent="0.4">
      <c r="A2802" s="1348" t="s">
        <v>5304</v>
      </c>
      <c r="B2802" s="1348" t="s">
        <v>5295</v>
      </c>
      <c r="C2802" s="1348" t="s">
        <v>5304</v>
      </c>
      <c r="D2802" s="1348" t="s">
        <v>10172</v>
      </c>
      <c r="E2802" s="1348">
        <f>sch_oral_health_learners_wdental_anomalies_g10</f>
        <v>0</v>
      </c>
      <c r="F2802" s="1348" t="b">
        <v>1</v>
      </c>
      <c r="N2802" s="1358"/>
    </row>
    <row r="2803" spans="1:14" x14ac:dyDescent="0.35">
      <c r="A2803" t="s">
        <v>5332</v>
      </c>
      <c r="B2803" t="s">
        <v>5324</v>
      </c>
      <c r="C2803" t="s">
        <v>5332</v>
      </c>
      <c r="D2803" s="1350" t="s">
        <v>10173</v>
      </c>
      <c r="E2803">
        <f>sch_mednurservc_learners_examined_g7</f>
        <v>105</v>
      </c>
      <c r="F2803" t="b">
        <v>1</v>
      </c>
    </row>
    <row r="2804" spans="1:14" x14ac:dyDescent="0.35">
      <c r="A2804" t="s">
        <v>5336</v>
      </c>
      <c r="B2804" t="s">
        <v>5324</v>
      </c>
      <c r="C2804" t="s">
        <v>5336</v>
      </c>
      <c r="D2804" t="s">
        <v>10174</v>
      </c>
      <c r="E2804">
        <f>sch_mednurservc_learners_examined_g8</f>
        <v>115</v>
      </c>
      <c r="F2804" t="b">
        <v>1</v>
      </c>
    </row>
    <row r="2805" spans="1:14" x14ac:dyDescent="0.35">
      <c r="A2805" t="s">
        <v>5323</v>
      </c>
      <c r="B2805" t="s">
        <v>5324</v>
      </c>
      <c r="C2805" t="s">
        <v>5323</v>
      </c>
      <c r="D2805" t="s">
        <v>10175</v>
      </c>
      <c r="E2805">
        <f>sch_mednurservc_learners_examined_g9</f>
        <v>120</v>
      </c>
      <c r="F2805" t="b">
        <v>1</v>
      </c>
    </row>
    <row r="2806" spans="1:14" x14ac:dyDescent="0.35">
      <c r="A2806" t="s">
        <v>5328</v>
      </c>
      <c r="B2806" t="s">
        <v>5324</v>
      </c>
      <c r="C2806" t="s">
        <v>5328</v>
      </c>
      <c r="D2806" t="s">
        <v>10176</v>
      </c>
      <c r="E2806">
        <f>sch_mednurservc_learners_examined_g10</f>
        <v>96</v>
      </c>
      <c r="F2806" t="b">
        <v>1</v>
      </c>
    </row>
    <row r="2807" spans="1:14" x14ac:dyDescent="0.35">
      <c r="A2807" t="s">
        <v>5333</v>
      </c>
      <c r="B2807" t="s">
        <v>5324</v>
      </c>
      <c r="C2807" t="s">
        <v>5333</v>
      </c>
      <c r="D2807" t="s">
        <v>10177</v>
      </c>
      <c r="E2807">
        <f>sch_mednurservc_learners_wfindings_g7</f>
        <v>1</v>
      </c>
      <c r="F2807" t="b">
        <v>1</v>
      </c>
    </row>
    <row r="2808" spans="1:14" x14ac:dyDescent="0.35">
      <c r="A2808" t="s">
        <v>5337</v>
      </c>
      <c r="B2808" t="s">
        <v>5324</v>
      </c>
      <c r="C2808" t="s">
        <v>5337</v>
      </c>
      <c r="D2808" t="s">
        <v>10178</v>
      </c>
      <c r="E2808">
        <f>sch_mednurservc_learners_wfindings_g8</f>
        <v>2</v>
      </c>
      <c r="F2808" t="b">
        <v>1</v>
      </c>
    </row>
    <row r="2809" spans="1:14" x14ac:dyDescent="0.35">
      <c r="A2809" t="s">
        <v>5325</v>
      </c>
      <c r="B2809" t="s">
        <v>5324</v>
      </c>
      <c r="C2809" t="s">
        <v>5325</v>
      </c>
      <c r="D2809" t="s">
        <v>10179</v>
      </c>
      <c r="E2809">
        <f>sch_mednurservc_learners_wfindings_g9</f>
        <v>1</v>
      </c>
      <c r="F2809" t="b">
        <v>1</v>
      </c>
    </row>
    <row r="2810" spans="1:14" x14ac:dyDescent="0.35">
      <c r="A2810" t="s">
        <v>5329</v>
      </c>
      <c r="B2810" t="s">
        <v>5324</v>
      </c>
      <c r="C2810" t="s">
        <v>5329</v>
      </c>
      <c r="D2810" t="s">
        <v>10180</v>
      </c>
      <c r="E2810">
        <f>sch_mednurservc_learners_wfindings_g10</f>
        <v>0</v>
      </c>
      <c r="F2810" t="b">
        <v>1</v>
      </c>
    </row>
    <row r="2811" spans="1:14" x14ac:dyDescent="0.35">
      <c r="A2811" t="s">
        <v>5334</v>
      </c>
      <c r="B2811" t="s">
        <v>5324</v>
      </c>
      <c r="C2811" t="s">
        <v>5334</v>
      </c>
      <c r="D2811" t="s">
        <v>10181</v>
      </c>
      <c r="E2811">
        <f>sch_mednurservc_learners_given_internventions_g7</f>
        <v>105</v>
      </c>
      <c r="F2811" t="b">
        <v>1</v>
      </c>
    </row>
    <row r="2812" spans="1:14" x14ac:dyDescent="0.35">
      <c r="A2812" t="s">
        <v>5338</v>
      </c>
      <c r="B2812" t="s">
        <v>5324</v>
      </c>
      <c r="C2812" t="s">
        <v>5338</v>
      </c>
      <c r="D2812" t="s">
        <v>10182</v>
      </c>
      <c r="E2812">
        <f>sch_mednurservc_learners_given_internventions_g8</f>
        <v>115</v>
      </c>
      <c r="F2812" t="b">
        <v>1</v>
      </c>
    </row>
    <row r="2813" spans="1:14" x14ac:dyDescent="0.35">
      <c r="A2813" t="s">
        <v>5326</v>
      </c>
      <c r="B2813" t="s">
        <v>5324</v>
      </c>
      <c r="C2813" t="s">
        <v>5326</v>
      </c>
      <c r="D2813" t="s">
        <v>10183</v>
      </c>
      <c r="E2813">
        <f>sch_mednurservc_learners_given_internventions_g9</f>
        <v>120</v>
      </c>
      <c r="F2813" t="b">
        <v>1</v>
      </c>
    </row>
    <row r="2814" spans="1:14" x14ac:dyDescent="0.35">
      <c r="A2814" t="s">
        <v>5330</v>
      </c>
      <c r="B2814" t="s">
        <v>5324</v>
      </c>
      <c r="C2814" t="s">
        <v>5330</v>
      </c>
      <c r="D2814" t="s">
        <v>10184</v>
      </c>
      <c r="E2814">
        <f>sch_mednurservc_learners_given_internventions_g10</f>
        <v>96</v>
      </c>
      <c r="F2814" t="b">
        <v>1</v>
      </c>
    </row>
    <row r="2815" spans="1:14" x14ac:dyDescent="0.35">
      <c r="A2815" t="s">
        <v>5335</v>
      </c>
      <c r="B2815" t="s">
        <v>5324</v>
      </c>
      <c r="C2815" t="s">
        <v>5335</v>
      </c>
      <c r="D2815" t="s">
        <v>10185</v>
      </c>
      <c r="E2815">
        <f>sch_mednurservc_learners_referred_health_unitsnprofessionals_g7</f>
        <v>6</v>
      </c>
      <c r="F2815" t="b">
        <v>1</v>
      </c>
    </row>
    <row r="2816" spans="1:14" x14ac:dyDescent="0.35">
      <c r="A2816" t="s">
        <v>5339</v>
      </c>
      <c r="B2816" t="s">
        <v>5324</v>
      </c>
      <c r="C2816" t="s">
        <v>5339</v>
      </c>
      <c r="D2816" t="s">
        <v>10186</v>
      </c>
      <c r="E2816">
        <f>sch_mednurservc_learners_referred_health_unitsnprofessionals_g8</f>
        <v>1</v>
      </c>
      <c r="F2816" t="b">
        <v>1</v>
      </c>
    </row>
    <row r="2817" spans="1:14" x14ac:dyDescent="0.35">
      <c r="A2817" t="s">
        <v>5327</v>
      </c>
      <c r="B2817" t="s">
        <v>5324</v>
      </c>
      <c r="C2817" t="s">
        <v>5327</v>
      </c>
      <c r="D2817" t="s">
        <v>10187</v>
      </c>
      <c r="E2817">
        <f>sch_mednurservc_learners_referred_health_unitsnprofessionals_g9</f>
        <v>3</v>
      </c>
      <c r="F2817" t="b">
        <v>1</v>
      </c>
    </row>
    <row r="2818" spans="1:14" ht="16" thickBot="1" x14ac:dyDescent="0.4">
      <c r="A2818" t="s">
        <v>5331</v>
      </c>
      <c r="B2818" t="s">
        <v>5324</v>
      </c>
      <c r="C2818" t="s">
        <v>5331</v>
      </c>
      <c r="D2818" t="s">
        <v>10188</v>
      </c>
      <c r="E2818">
        <f>sch_mednurservc_learners_referred_health_unitsnprofessionals_g10</f>
        <v>4</v>
      </c>
      <c r="F2818" t="b">
        <v>1</v>
      </c>
    </row>
    <row r="2819" spans="1:14" s="1350" customFormat="1" x14ac:dyDescent="0.35">
      <c r="A2819" s="1350" t="s">
        <v>10189</v>
      </c>
      <c r="B2819" s="1350" t="s">
        <v>5340</v>
      </c>
      <c r="C2819" s="1350" t="s">
        <v>10189</v>
      </c>
      <c r="D2819" s="1350" t="s">
        <v>7689</v>
      </c>
      <c r="E2819" s="1350" cm="1">
        <f t="array" ref="E2819">sch_mh_suicide_learners_lastsy_dec</f>
        <v>0</v>
      </c>
      <c r="F2819" s="1350" t="b">
        <v>1</v>
      </c>
      <c r="N2819" s="1357"/>
    </row>
    <row r="2820" spans="1:14" x14ac:dyDescent="0.35">
      <c r="A2820" t="s">
        <v>10190</v>
      </c>
      <c r="B2820" t="s">
        <v>5340</v>
      </c>
      <c r="C2820" t="s">
        <v>10190</v>
      </c>
      <c r="D2820" t="s">
        <v>7690</v>
      </c>
      <c r="E2820" cm="1">
        <f t="array" ref="E2820">sch_mh_suicide_learners_lastsy_jan</f>
        <v>0</v>
      </c>
      <c r="F2820" t="b">
        <v>1</v>
      </c>
    </row>
    <row r="2821" spans="1:14" x14ac:dyDescent="0.35">
      <c r="A2821" t="s">
        <v>10191</v>
      </c>
      <c r="B2821" t="s">
        <v>5340</v>
      </c>
      <c r="C2821" t="s">
        <v>10191</v>
      </c>
      <c r="D2821" t="s">
        <v>7691</v>
      </c>
      <c r="E2821" cm="1">
        <f t="array" ref="E2821">sch_mh_suicide_learners_lastsy_feb</f>
        <v>0</v>
      </c>
      <c r="F2821" t="b">
        <v>1</v>
      </c>
    </row>
    <row r="2822" spans="1:14" x14ac:dyDescent="0.35">
      <c r="A2822" t="s">
        <v>10192</v>
      </c>
      <c r="B2822" t="s">
        <v>5340</v>
      </c>
      <c r="C2822" t="s">
        <v>10192</v>
      </c>
      <c r="D2822" t="s">
        <v>7692</v>
      </c>
      <c r="E2822" cm="1">
        <f t="array" ref="E2822">sch_mh_suicide_learners_lastsy_mar</f>
        <v>0</v>
      </c>
      <c r="F2822" t="b">
        <v>1</v>
      </c>
    </row>
    <row r="2823" spans="1:14" x14ac:dyDescent="0.35">
      <c r="A2823" t="s">
        <v>10193</v>
      </c>
      <c r="B2823" t="s">
        <v>5340</v>
      </c>
      <c r="C2823" t="s">
        <v>10193</v>
      </c>
      <c r="D2823" t="s">
        <v>10237</v>
      </c>
      <c r="E2823" cm="1">
        <f t="array" ref="E2823">sch_mh_suicide_learners_lastsy_apr</f>
        <v>0</v>
      </c>
      <c r="F2823" t="b">
        <v>1</v>
      </c>
    </row>
    <row r="2824" spans="1:14" x14ac:dyDescent="0.35">
      <c r="A2824" t="s">
        <v>10194</v>
      </c>
      <c r="B2824" t="s">
        <v>5340</v>
      </c>
      <c r="C2824" t="s">
        <v>10194</v>
      </c>
      <c r="D2824" t="s">
        <v>10238</v>
      </c>
      <c r="E2824" cm="1">
        <f t="array" ref="E2824">sch_mh_suicide_learners_lastsy_may</f>
        <v>0</v>
      </c>
      <c r="F2824" t="b">
        <v>1</v>
      </c>
    </row>
    <row r="2825" spans="1:14" x14ac:dyDescent="0.35">
      <c r="A2825" t="s">
        <v>10195</v>
      </c>
      <c r="B2825" t="s">
        <v>5340</v>
      </c>
      <c r="C2825" t="s">
        <v>10195</v>
      </c>
      <c r="D2825" t="s">
        <v>10239</v>
      </c>
      <c r="E2825" cm="1">
        <f t="array" ref="E2825">sch_mh_suicide_learners_lastsy_jun</f>
        <v>0</v>
      </c>
      <c r="F2825" t="b">
        <v>1</v>
      </c>
    </row>
    <row r="2826" spans="1:14" x14ac:dyDescent="0.35">
      <c r="A2826" t="s">
        <v>12780</v>
      </c>
      <c r="B2826" t="s">
        <v>5340</v>
      </c>
      <c r="C2826" t="s">
        <v>12780</v>
      </c>
      <c r="D2826" t="s">
        <v>10240</v>
      </c>
      <c r="E2826" cm="1">
        <f t="array" ref="E2826">sch_mh_suicide_learners_aftersy_jun</f>
        <v>0</v>
      </c>
      <c r="F2826" t="b">
        <v>1</v>
      </c>
      <c r="I2826" s="1435"/>
      <c r="J2826" s="1435"/>
      <c r="K2826" s="1435"/>
      <c r="L2826" s="1435"/>
      <c r="M2826" s="1435"/>
    </row>
    <row r="2827" spans="1:14" x14ac:dyDescent="0.35">
      <c r="A2827" t="s">
        <v>10196</v>
      </c>
      <c r="B2827" t="s">
        <v>5340</v>
      </c>
      <c r="C2827" t="s">
        <v>10196</v>
      </c>
      <c r="D2827" t="s">
        <v>10241</v>
      </c>
      <c r="E2827" cm="1">
        <f t="array" ref="E2827">sch_mh_suicide_learners_aftersy_jul</f>
        <v>0</v>
      </c>
      <c r="F2827" t="b">
        <v>1</v>
      </c>
    </row>
    <row r="2828" spans="1:14" x14ac:dyDescent="0.35">
      <c r="A2828" t="s">
        <v>10197</v>
      </c>
      <c r="B2828" t="s">
        <v>5340</v>
      </c>
      <c r="C2828" t="s">
        <v>10197</v>
      </c>
      <c r="D2828" t="s">
        <v>10242</v>
      </c>
      <c r="E2828" cm="1">
        <f t="array" ref="E2828">sch_mh_suicide_learners_aftersy_aug</f>
        <v>0</v>
      </c>
      <c r="F2828" t="b">
        <v>1</v>
      </c>
    </row>
    <row r="2829" spans="1:14" x14ac:dyDescent="0.35">
      <c r="A2829" t="s">
        <v>12782</v>
      </c>
      <c r="B2829" t="s">
        <v>5340</v>
      </c>
      <c r="C2829" t="s">
        <v>12782</v>
      </c>
      <c r="D2829" t="s">
        <v>10243</v>
      </c>
      <c r="E2829" cm="1">
        <f t="array" ref="E2829">sch_mh_suicide_learners_duringsy_aug</f>
        <v>0</v>
      </c>
      <c r="F2829" t="b">
        <v>1</v>
      </c>
    </row>
    <row r="2830" spans="1:14" x14ac:dyDescent="0.35">
      <c r="A2830" t="s">
        <v>10198</v>
      </c>
      <c r="B2830" t="s">
        <v>5340</v>
      </c>
      <c r="C2830" t="s">
        <v>10198</v>
      </c>
      <c r="D2830" t="s">
        <v>10244</v>
      </c>
      <c r="E2830" cm="1">
        <f t="array" ref="E2830">sch_mh_suicide_learners_duringsy_sep</f>
        <v>0</v>
      </c>
      <c r="F2830" t="b">
        <v>1</v>
      </c>
    </row>
    <row r="2831" spans="1:14" x14ac:dyDescent="0.35">
      <c r="A2831" t="s">
        <v>10199</v>
      </c>
      <c r="B2831" t="s">
        <v>5340</v>
      </c>
      <c r="C2831" t="s">
        <v>10199</v>
      </c>
      <c r="D2831" t="s">
        <v>10245</v>
      </c>
      <c r="E2831" cm="1">
        <f t="array" ref="E2831">sch_mh_suicide_learners_duringsy_oct</f>
        <v>0</v>
      </c>
      <c r="F2831" t="b">
        <v>1</v>
      </c>
    </row>
    <row r="2832" spans="1:14" x14ac:dyDescent="0.35">
      <c r="A2832" t="s">
        <v>10200</v>
      </c>
      <c r="B2832" t="s">
        <v>5340</v>
      </c>
      <c r="C2832" t="s">
        <v>10200</v>
      </c>
      <c r="D2832" t="s">
        <v>10246</v>
      </c>
      <c r="E2832" cm="1">
        <f t="array" ref="E2832">sch_mh_suicide_learners_duringsy_nov</f>
        <v>0</v>
      </c>
      <c r="F2832" t="b">
        <v>1</v>
      </c>
    </row>
    <row r="2833" spans="1:6" x14ac:dyDescent="0.35">
      <c r="A2833" t="s">
        <v>10201</v>
      </c>
      <c r="B2833" t="s">
        <v>5340</v>
      </c>
      <c r="C2833" t="s">
        <v>10201</v>
      </c>
      <c r="D2833" t="s">
        <v>7693</v>
      </c>
      <c r="E2833" cm="1">
        <f t="array" ref="E2833">sch_mh_suicide_personnel_lastsy_dec</f>
        <v>0</v>
      </c>
      <c r="F2833" t="b">
        <v>1</v>
      </c>
    </row>
    <row r="2834" spans="1:6" x14ac:dyDescent="0.35">
      <c r="A2834" t="s">
        <v>10202</v>
      </c>
      <c r="B2834" t="s">
        <v>5340</v>
      </c>
      <c r="C2834" t="s">
        <v>10202</v>
      </c>
      <c r="D2834" t="s">
        <v>7694</v>
      </c>
      <c r="E2834" cm="1">
        <f t="array" ref="E2834">sch_mh_suicide_personnel_lastsy_jan</f>
        <v>0</v>
      </c>
      <c r="F2834" t="b">
        <v>1</v>
      </c>
    </row>
    <row r="2835" spans="1:6" x14ac:dyDescent="0.35">
      <c r="A2835" t="s">
        <v>10203</v>
      </c>
      <c r="B2835" t="s">
        <v>5340</v>
      </c>
      <c r="C2835" t="s">
        <v>10203</v>
      </c>
      <c r="D2835" t="s">
        <v>7695</v>
      </c>
      <c r="E2835" cm="1">
        <f t="array" ref="E2835">sch_mh_suicide_personnel_lastsy_feb</f>
        <v>0</v>
      </c>
      <c r="F2835" t="b">
        <v>1</v>
      </c>
    </row>
    <row r="2836" spans="1:6" x14ac:dyDescent="0.35">
      <c r="A2836" t="s">
        <v>10204</v>
      </c>
      <c r="B2836" t="s">
        <v>5340</v>
      </c>
      <c r="C2836" t="s">
        <v>10204</v>
      </c>
      <c r="D2836" t="s">
        <v>7696</v>
      </c>
      <c r="E2836" cm="1">
        <f t="array" ref="E2836">sch_mh_suicide_personnel_lastsy_mar</f>
        <v>0</v>
      </c>
      <c r="F2836" t="b">
        <v>1</v>
      </c>
    </row>
    <row r="2837" spans="1:6" x14ac:dyDescent="0.35">
      <c r="A2837" t="s">
        <v>10205</v>
      </c>
      <c r="B2837" t="s">
        <v>5340</v>
      </c>
      <c r="C2837" t="s">
        <v>10205</v>
      </c>
      <c r="D2837" t="s">
        <v>10247</v>
      </c>
      <c r="E2837" cm="1">
        <f t="array" ref="E2837">sch_mh_suicide_personnel_lastsy_apr</f>
        <v>0</v>
      </c>
      <c r="F2837" t="b">
        <v>1</v>
      </c>
    </row>
    <row r="2838" spans="1:6" x14ac:dyDescent="0.35">
      <c r="A2838" t="s">
        <v>10206</v>
      </c>
      <c r="B2838" t="s">
        <v>5340</v>
      </c>
      <c r="C2838" t="s">
        <v>10206</v>
      </c>
      <c r="D2838" t="s">
        <v>10248</v>
      </c>
      <c r="E2838" cm="1">
        <f t="array" ref="E2838">sch_mh_suicide_personnel_lastsy_may</f>
        <v>0</v>
      </c>
      <c r="F2838" t="b">
        <v>1</v>
      </c>
    </row>
    <row r="2839" spans="1:6" x14ac:dyDescent="0.35">
      <c r="A2839" t="s">
        <v>10207</v>
      </c>
      <c r="B2839" t="s">
        <v>5340</v>
      </c>
      <c r="C2839" t="s">
        <v>10207</v>
      </c>
      <c r="D2839" t="s">
        <v>10249</v>
      </c>
      <c r="E2839" cm="1">
        <f t="array" ref="E2839">sch_mh_suicide_personnel_lastsy_jun</f>
        <v>0</v>
      </c>
      <c r="F2839" t="b">
        <v>1</v>
      </c>
    </row>
    <row r="2840" spans="1:6" x14ac:dyDescent="0.35">
      <c r="A2840" t="s">
        <v>12784</v>
      </c>
      <c r="B2840" t="s">
        <v>5340</v>
      </c>
      <c r="C2840" t="s">
        <v>12784</v>
      </c>
      <c r="D2840" t="s">
        <v>10250</v>
      </c>
      <c r="E2840" cm="1">
        <f t="array" ref="E2840">sch_mh_suicide_personnel_aftersy_jun</f>
        <v>0</v>
      </c>
      <c r="F2840" t="b">
        <v>1</v>
      </c>
    </row>
    <row r="2841" spans="1:6" x14ac:dyDescent="0.35">
      <c r="A2841" t="s">
        <v>10208</v>
      </c>
      <c r="B2841" t="s">
        <v>5340</v>
      </c>
      <c r="C2841" t="s">
        <v>10208</v>
      </c>
      <c r="D2841" t="s">
        <v>10251</v>
      </c>
      <c r="E2841" cm="1">
        <f t="array" ref="E2841">sch_mh_suicide_personnel_aftersy_jul</f>
        <v>0</v>
      </c>
      <c r="F2841" t="b">
        <v>1</v>
      </c>
    </row>
    <row r="2842" spans="1:6" x14ac:dyDescent="0.35">
      <c r="A2842" t="s">
        <v>10209</v>
      </c>
      <c r="B2842" t="s">
        <v>5340</v>
      </c>
      <c r="C2842" t="s">
        <v>10209</v>
      </c>
      <c r="D2842" t="s">
        <v>10252</v>
      </c>
      <c r="E2842" cm="1">
        <f t="array" ref="E2842">sch_mh_suicide_personnel_aftersy_aug</f>
        <v>0</v>
      </c>
      <c r="F2842" t="b">
        <v>1</v>
      </c>
    </row>
    <row r="2843" spans="1:6" x14ac:dyDescent="0.35">
      <c r="A2843" t="s">
        <v>12785</v>
      </c>
      <c r="B2843" t="s">
        <v>5340</v>
      </c>
      <c r="C2843" t="s">
        <v>12785</v>
      </c>
      <c r="D2843" t="s">
        <v>10253</v>
      </c>
      <c r="E2843" cm="1">
        <f t="array" ref="E2843">sch_mh_suicide_personnel_duringsy_aug</f>
        <v>0</v>
      </c>
      <c r="F2843" t="b">
        <v>1</v>
      </c>
    </row>
    <row r="2844" spans="1:6" x14ac:dyDescent="0.35">
      <c r="A2844" t="s">
        <v>10210</v>
      </c>
      <c r="B2844" t="s">
        <v>5340</v>
      </c>
      <c r="C2844" t="s">
        <v>10210</v>
      </c>
      <c r="D2844" t="s">
        <v>10254</v>
      </c>
      <c r="E2844" cm="1">
        <f t="array" ref="E2844">sch_mh_suicide_personnel_duringsy_sep</f>
        <v>0</v>
      </c>
      <c r="F2844" t="b">
        <v>1</v>
      </c>
    </row>
    <row r="2845" spans="1:6" x14ac:dyDescent="0.35">
      <c r="A2845" t="s">
        <v>10211</v>
      </c>
      <c r="B2845" t="s">
        <v>5340</v>
      </c>
      <c r="C2845" t="s">
        <v>10211</v>
      </c>
      <c r="D2845" t="s">
        <v>10255</v>
      </c>
      <c r="E2845" cm="1">
        <f t="array" ref="E2845">sch_mh_suicide_personnel_duringsy_oct</f>
        <v>0</v>
      </c>
      <c r="F2845" t="b">
        <v>1</v>
      </c>
    </row>
    <row r="2846" spans="1:6" x14ac:dyDescent="0.35">
      <c r="A2846" t="s">
        <v>10212</v>
      </c>
      <c r="B2846" t="s">
        <v>5340</v>
      </c>
      <c r="C2846" t="s">
        <v>10212</v>
      </c>
      <c r="D2846" t="s">
        <v>10256</v>
      </c>
      <c r="E2846" cm="1">
        <f t="array" ref="E2846">sch_mh_suicide_personnel_duringsy_nov</f>
        <v>0</v>
      </c>
      <c r="F2846" t="b">
        <v>1</v>
      </c>
    </row>
    <row r="2847" spans="1:6" x14ac:dyDescent="0.35">
      <c r="A2847" t="s">
        <v>10213</v>
      </c>
      <c r="B2847" t="s">
        <v>5340</v>
      </c>
      <c r="C2847" t="s">
        <v>10213</v>
      </c>
      <c r="D2847" t="s">
        <v>9015</v>
      </c>
      <c r="E2847" cm="1">
        <f t="array" ref="E2847">sch_mh_atpsuicide_learners_lastsy_dec</f>
        <v>0</v>
      </c>
      <c r="F2847" t="b">
        <v>1</v>
      </c>
    </row>
    <row r="2848" spans="1:6" x14ac:dyDescent="0.35">
      <c r="A2848" t="s">
        <v>10214</v>
      </c>
      <c r="B2848" t="s">
        <v>5340</v>
      </c>
      <c r="C2848" t="s">
        <v>10214</v>
      </c>
      <c r="D2848" t="s">
        <v>9016</v>
      </c>
      <c r="E2848" cm="1">
        <f t="array" ref="E2848">sch_mh_atpsuicide_learners_lastsy_jan</f>
        <v>0</v>
      </c>
      <c r="F2848" t="b">
        <v>1</v>
      </c>
    </row>
    <row r="2849" spans="1:6" x14ac:dyDescent="0.35">
      <c r="A2849" t="s">
        <v>10215</v>
      </c>
      <c r="B2849" t="s">
        <v>5340</v>
      </c>
      <c r="C2849" t="s">
        <v>10215</v>
      </c>
      <c r="D2849" t="s">
        <v>9017</v>
      </c>
      <c r="E2849" cm="1">
        <f t="array" ref="E2849">sch_mh_atpsuicide_learners_lastsy_feb</f>
        <v>0</v>
      </c>
      <c r="F2849" t="b">
        <v>1</v>
      </c>
    </row>
    <row r="2850" spans="1:6" x14ac:dyDescent="0.35">
      <c r="A2850" t="s">
        <v>10216</v>
      </c>
      <c r="B2850" t="s">
        <v>5340</v>
      </c>
      <c r="C2850" t="s">
        <v>10216</v>
      </c>
      <c r="D2850" t="s">
        <v>9018</v>
      </c>
      <c r="E2850" cm="1">
        <f t="array" ref="E2850">sch_mh_atpsuicide_learners_lastsy_mar</f>
        <v>0</v>
      </c>
      <c r="F2850" t="b">
        <v>1</v>
      </c>
    </row>
    <row r="2851" spans="1:6" x14ac:dyDescent="0.35">
      <c r="A2851" t="s">
        <v>10217</v>
      </c>
      <c r="B2851" t="s">
        <v>5340</v>
      </c>
      <c r="C2851" t="s">
        <v>10217</v>
      </c>
      <c r="D2851" t="s">
        <v>10257</v>
      </c>
      <c r="E2851" cm="1">
        <f t="array" ref="E2851">sch_mh_atpsuicide_learners_lastsy_apr</f>
        <v>0</v>
      </c>
      <c r="F2851" t="b">
        <v>1</v>
      </c>
    </row>
    <row r="2852" spans="1:6" x14ac:dyDescent="0.35">
      <c r="A2852" t="s">
        <v>10218</v>
      </c>
      <c r="B2852" t="s">
        <v>5340</v>
      </c>
      <c r="C2852" t="s">
        <v>10218</v>
      </c>
      <c r="D2852" t="s">
        <v>10258</v>
      </c>
      <c r="E2852" cm="1">
        <f t="array" ref="E2852">sch_mh_atpsuicide_learners_lastsy_may</f>
        <v>0</v>
      </c>
      <c r="F2852" t="b">
        <v>1</v>
      </c>
    </row>
    <row r="2853" spans="1:6" x14ac:dyDescent="0.35">
      <c r="A2853" t="s">
        <v>10219</v>
      </c>
      <c r="B2853" t="s">
        <v>5340</v>
      </c>
      <c r="C2853" t="s">
        <v>10219</v>
      </c>
      <c r="D2853" t="s">
        <v>10259</v>
      </c>
      <c r="E2853" cm="1">
        <f t="array" ref="E2853">sch_mh_atpsuicide_learners_lastsy_jun</f>
        <v>0</v>
      </c>
      <c r="F2853" t="b">
        <v>1</v>
      </c>
    </row>
    <row r="2854" spans="1:6" x14ac:dyDescent="0.35">
      <c r="A2854" t="s">
        <v>12781</v>
      </c>
      <c r="B2854" t="s">
        <v>5340</v>
      </c>
      <c r="C2854" t="s">
        <v>12781</v>
      </c>
      <c r="D2854" t="s">
        <v>10260</v>
      </c>
      <c r="E2854" cm="1">
        <f t="array" ref="E2854">sch_mh_atpsuicide_learners_aftersy_jun</f>
        <v>0</v>
      </c>
      <c r="F2854" t="b">
        <v>1</v>
      </c>
    </row>
    <row r="2855" spans="1:6" x14ac:dyDescent="0.35">
      <c r="A2855" t="s">
        <v>10220</v>
      </c>
      <c r="B2855" t="s">
        <v>5340</v>
      </c>
      <c r="C2855" t="s">
        <v>10220</v>
      </c>
      <c r="D2855" t="s">
        <v>10261</v>
      </c>
      <c r="E2855">
        <f>sch_mh_atpsuicide_learners_aftersy_jul</f>
        <v>0</v>
      </c>
      <c r="F2855" t="b">
        <v>1</v>
      </c>
    </row>
    <row r="2856" spans="1:6" x14ac:dyDescent="0.35">
      <c r="A2856" t="s">
        <v>10221</v>
      </c>
      <c r="B2856" t="s">
        <v>5340</v>
      </c>
      <c r="C2856" t="s">
        <v>10221</v>
      </c>
      <c r="D2856" t="s">
        <v>10262</v>
      </c>
      <c r="E2856" cm="1">
        <f t="array" ref="E2856">sch_mh_atpsuicide_learners_aftersy_aug</f>
        <v>0</v>
      </c>
      <c r="F2856" t="b">
        <v>1</v>
      </c>
    </row>
    <row r="2857" spans="1:6" x14ac:dyDescent="0.35">
      <c r="A2857" t="s">
        <v>12783</v>
      </c>
      <c r="B2857" t="s">
        <v>5340</v>
      </c>
      <c r="C2857" t="s">
        <v>12783</v>
      </c>
      <c r="D2857" t="s">
        <v>10263</v>
      </c>
      <c r="E2857" cm="1">
        <f t="array" ref="E2857">sch_mh_atpsuicide_learners_duringsy_aug</f>
        <v>0</v>
      </c>
      <c r="F2857" t="b">
        <v>1</v>
      </c>
    </row>
    <row r="2858" spans="1:6" x14ac:dyDescent="0.35">
      <c r="A2858" t="s">
        <v>10222</v>
      </c>
      <c r="B2858" t="s">
        <v>5340</v>
      </c>
      <c r="C2858" t="s">
        <v>10222</v>
      </c>
      <c r="D2858" t="s">
        <v>10264</v>
      </c>
      <c r="E2858" cm="1">
        <f t="array" ref="E2858">sch_mh_atpsuicide_learners_duringsy_sep</f>
        <v>0</v>
      </c>
      <c r="F2858" t="b">
        <v>1</v>
      </c>
    </row>
    <row r="2859" spans="1:6" x14ac:dyDescent="0.35">
      <c r="A2859" t="s">
        <v>10223</v>
      </c>
      <c r="B2859" t="s">
        <v>5340</v>
      </c>
      <c r="C2859" t="s">
        <v>10223</v>
      </c>
      <c r="D2859" t="s">
        <v>10265</v>
      </c>
      <c r="E2859" cm="1">
        <f t="array" ref="E2859">sch_mh_atpsuicide_learners_duringsy_oct</f>
        <v>0</v>
      </c>
      <c r="F2859" t="b">
        <v>1</v>
      </c>
    </row>
    <row r="2860" spans="1:6" x14ac:dyDescent="0.35">
      <c r="A2860" t="s">
        <v>10224</v>
      </c>
      <c r="B2860" t="s">
        <v>5340</v>
      </c>
      <c r="C2860" t="s">
        <v>10224</v>
      </c>
      <c r="D2860" t="s">
        <v>10266</v>
      </c>
      <c r="E2860" cm="1">
        <f t="array" ref="E2860">sch_mh_atpsuicide_learners_duringsy_nov</f>
        <v>1</v>
      </c>
      <c r="F2860" t="b">
        <v>1</v>
      </c>
    </row>
    <row r="2861" spans="1:6" x14ac:dyDescent="0.35">
      <c r="A2861" t="s">
        <v>10225</v>
      </c>
      <c r="B2861" t="s">
        <v>5340</v>
      </c>
      <c r="C2861" t="s">
        <v>10225</v>
      </c>
      <c r="D2861" t="s">
        <v>9011</v>
      </c>
      <c r="E2861" cm="1">
        <f t="array" ref="E2861">sch_mh_atpsuicide_personnel_lastsy_dec</f>
        <v>0</v>
      </c>
      <c r="F2861" t="b">
        <v>1</v>
      </c>
    </row>
    <row r="2862" spans="1:6" x14ac:dyDescent="0.35">
      <c r="A2862" t="s">
        <v>10226</v>
      </c>
      <c r="B2862" t="s">
        <v>5340</v>
      </c>
      <c r="C2862" t="s">
        <v>10226</v>
      </c>
      <c r="D2862" t="s">
        <v>9012</v>
      </c>
      <c r="E2862" cm="1">
        <f t="array" ref="E2862">sch_mh_atpsuicide_personnel_lastsy_jan</f>
        <v>0</v>
      </c>
      <c r="F2862" t="b">
        <v>1</v>
      </c>
    </row>
    <row r="2863" spans="1:6" x14ac:dyDescent="0.35">
      <c r="A2863" t="s">
        <v>10227</v>
      </c>
      <c r="B2863" t="s">
        <v>5340</v>
      </c>
      <c r="C2863" t="s">
        <v>10227</v>
      </c>
      <c r="D2863" t="s">
        <v>9013</v>
      </c>
      <c r="E2863" cm="1">
        <f t="array" ref="E2863">sch_mh_atpsuicide_personnel_lastsy_feb</f>
        <v>0</v>
      </c>
      <c r="F2863" t="b">
        <v>1</v>
      </c>
    </row>
    <row r="2864" spans="1:6" x14ac:dyDescent="0.35">
      <c r="A2864" t="s">
        <v>10228</v>
      </c>
      <c r="B2864" t="s">
        <v>5340</v>
      </c>
      <c r="C2864" t="s">
        <v>10228</v>
      </c>
      <c r="D2864" t="s">
        <v>9014</v>
      </c>
      <c r="E2864" cm="1">
        <f t="array" ref="E2864">sch_mh_atpsuicide_personnel_lastsy_mar</f>
        <v>0</v>
      </c>
      <c r="F2864" t="b">
        <v>1</v>
      </c>
    </row>
    <row r="2865" spans="1:14" x14ac:dyDescent="0.35">
      <c r="A2865" t="s">
        <v>10229</v>
      </c>
      <c r="B2865" t="s">
        <v>5340</v>
      </c>
      <c r="C2865" t="s">
        <v>10229</v>
      </c>
      <c r="D2865" t="s">
        <v>10267</v>
      </c>
      <c r="E2865" cm="1">
        <f t="array" ref="E2865">sch_mh_atpsuicide_personnel_lastsy_apr</f>
        <v>0</v>
      </c>
      <c r="F2865" t="b">
        <v>1</v>
      </c>
    </row>
    <row r="2866" spans="1:14" x14ac:dyDescent="0.35">
      <c r="A2866" t="s">
        <v>10230</v>
      </c>
      <c r="B2866" t="s">
        <v>5340</v>
      </c>
      <c r="C2866" t="s">
        <v>10230</v>
      </c>
      <c r="D2866" t="s">
        <v>10268</v>
      </c>
      <c r="E2866" cm="1">
        <f t="array" ref="E2866">sch_mh_atpsuicide_personnel_lastsy_may</f>
        <v>0</v>
      </c>
      <c r="F2866" t="b">
        <v>1</v>
      </c>
    </row>
    <row r="2867" spans="1:14" x14ac:dyDescent="0.35">
      <c r="A2867" t="s">
        <v>10231</v>
      </c>
      <c r="B2867" t="s">
        <v>5340</v>
      </c>
      <c r="C2867" t="s">
        <v>10231</v>
      </c>
      <c r="D2867" t="s">
        <v>10269</v>
      </c>
      <c r="E2867" cm="1">
        <f t="array" ref="E2867">sch_mh_atpsuicide_personnel_lastsy_jun</f>
        <v>0</v>
      </c>
      <c r="F2867" t="b">
        <v>1</v>
      </c>
    </row>
    <row r="2868" spans="1:14" x14ac:dyDescent="0.35">
      <c r="A2868" t="s">
        <v>12786</v>
      </c>
      <c r="B2868" t="s">
        <v>5340</v>
      </c>
      <c r="C2868" t="s">
        <v>12786</v>
      </c>
      <c r="D2868" t="s">
        <v>10270</v>
      </c>
      <c r="E2868" cm="1">
        <f t="array" ref="E2868">sch_mh_atpsuicide_personnel_aftersy_jun</f>
        <v>0</v>
      </c>
      <c r="F2868" t="b">
        <v>1</v>
      </c>
    </row>
    <row r="2869" spans="1:14" x14ac:dyDescent="0.35">
      <c r="A2869" t="s">
        <v>10232</v>
      </c>
      <c r="B2869" t="s">
        <v>5340</v>
      </c>
      <c r="C2869" t="s">
        <v>10232</v>
      </c>
      <c r="D2869" t="s">
        <v>10271</v>
      </c>
      <c r="E2869" cm="1">
        <f t="array" ref="E2869">sch_mh_atpsuicide_personnel_aftersy_jul</f>
        <v>0</v>
      </c>
      <c r="F2869" t="b">
        <v>1</v>
      </c>
    </row>
    <row r="2870" spans="1:14" x14ac:dyDescent="0.35">
      <c r="A2870" t="s">
        <v>10233</v>
      </c>
      <c r="B2870" t="s">
        <v>5340</v>
      </c>
      <c r="C2870" t="s">
        <v>10233</v>
      </c>
      <c r="D2870" t="s">
        <v>10272</v>
      </c>
      <c r="E2870" cm="1">
        <f t="array" ref="E2870">sch_mh_atpsuicide_personnel_aftersy_aug</f>
        <v>0</v>
      </c>
      <c r="F2870" t="b">
        <v>1</v>
      </c>
    </row>
    <row r="2871" spans="1:14" x14ac:dyDescent="0.35">
      <c r="A2871" t="s">
        <v>12787</v>
      </c>
      <c r="B2871" t="s">
        <v>5340</v>
      </c>
      <c r="C2871" t="s">
        <v>12787</v>
      </c>
      <c r="D2871" t="s">
        <v>10273</v>
      </c>
      <c r="E2871" cm="1">
        <f t="array" ref="E2871">sch_mh_atpsuicide_personnel_duringsy_aug</f>
        <v>0</v>
      </c>
      <c r="F2871" t="b">
        <v>1</v>
      </c>
    </row>
    <row r="2872" spans="1:14" x14ac:dyDescent="0.35">
      <c r="A2872" t="s">
        <v>10234</v>
      </c>
      <c r="B2872" t="s">
        <v>5340</v>
      </c>
      <c r="C2872" t="s">
        <v>10234</v>
      </c>
      <c r="D2872" t="s">
        <v>10274</v>
      </c>
      <c r="E2872" cm="1">
        <f t="array" ref="E2872">sch_mh_atpsuicide_personnel_duringsy_sep</f>
        <v>0</v>
      </c>
      <c r="F2872" t="b">
        <v>1</v>
      </c>
    </row>
    <row r="2873" spans="1:14" x14ac:dyDescent="0.35">
      <c r="A2873" t="s">
        <v>10235</v>
      </c>
      <c r="B2873" t="s">
        <v>5340</v>
      </c>
      <c r="C2873" t="s">
        <v>10235</v>
      </c>
      <c r="D2873" t="s">
        <v>10275</v>
      </c>
      <c r="E2873" cm="1">
        <f t="array" ref="E2873">sch_mh_atpsuicide_personnel_duringsy_oct</f>
        <v>0</v>
      </c>
      <c r="F2873" t="b">
        <v>1</v>
      </c>
    </row>
    <row r="2874" spans="1:14" s="1348" customFormat="1" ht="16" thickBot="1" x14ac:dyDescent="0.4">
      <c r="A2874" s="1348" t="s">
        <v>10236</v>
      </c>
      <c r="B2874" s="1348" t="s">
        <v>5340</v>
      </c>
      <c r="C2874" s="1348" t="s">
        <v>10236</v>
      </c>
      <c r="D2874" s="1348" t="s">
        <v>10276</v>
      </c>
      <c r="E2874" s="1348" cm="1">
        <f t="array" ref="E2874">sch_mh_atpsuicide_personnel_duringsy_nov</f>
        <v>0</v>
      </c>
      <c r="F2874" s="1348" t="b">
        <v>1</v>
      </c>
      <c r="N2874" s="1358"/>
    </row>
    <row r="2875" spans="1:14" x14ac:dyDescent="0.35">
      <c r="A2875" t="s">
        <v>5341</v>
      </c>
      <c r="B2875" t="s">
        <v>5342</v>
      </c>
      <c r="C2875" t="s">
        <v>5341</v>
      </c>
      <c r="D2875" s="1353" t="s">
        <v>12593</v>
      </c>
      <c r="E2875" t="b">
        <f>sch_mh_haveguidance_office</f>
        <v>1</v>
      </c>
      <c r="F2875" t="b">
        <f>ISLOGICAL(E2875)</f>
        <v>1</v>
      </c>
      <c r="G2875" t="s">
        <v>12516</v>
      </c>
    </row>
    <row r="2876" spans="1:14" x14ac:dyDescent="0.35">
      <c r="A2876" t="s">
        <v>5343</v>
      </c>
      <c r="B2876" t="s">
        <v>5342</v>
      </c>
      <c r="C2876" t="s">
        <v>5343</v>
      </c>
      <c r="D2876" s="1353" t="s">
        <v>12594</v>
      </c>
      <c r="E2876" t="b">
        <f>sch_mh_regguidancecouncilor_incharge</f>
        <v>0</v>
      </c>
      <c r="F2876" t="b">
        <f>ISLOGICAL(E2876)</f>
        <v>1</v>
      </c>
      <c r="G2876" t="s">
        <v>12516</v>
      </c>
    </row>
    <row r="2877" spans="1:14" x14ac:dyDescent="0.35">
      <c r="A2877" t="s">
        <v>5344</v>
      </c>
      <c r="B2877" t="s">
        <v>5342</v>
      </c>
      <c r="C2877" t="s">
        <v>5344</v>
      </c>
      <c r="D2877" s="1353" t="s">
        <v>12595</v>
      </c>
      <c r="E2877">
        <f>sch_mh_learners_sought_counseling_g7</f>
        <v>10</v>
      </c>
      <c r="F2877" t="b">
        <v>1</v>
      </c>
    </row>
    <row r="2878" spans="1:14" x14ac:dyDescent="0.35">
      <c r="A2878" t="s">
        <v>5345</v>
      </c>
      <c r="B2878" t="s">
        <v>5342</v>
      </c>
      <c r="C2878" t="s">
        <v>5345</v>
      </c>
      <c r="D2878" s="1353" t="s">
        <v>12596</v>
      </c>
      <c r="E2878">
        <f>sch_mh_learners_sought_counseling_g8</f>
        <v>40</v>
      </c>
      <c r="F2878" t="b">
        <v>1</v>
      </c>
    </row>
    <row r="2879" spans="1:14" x14ac:dyDescent="0.35">
      <c r="A2879" t="s">
        <v>5346</v>
      </c>
      <c r="B2879" t="s">
        <v>5342</v>
      </c>
      <c r="C2879" t="s">
        <v>5346</v>
      </c>
      <c r="D2879" s="1353" t="s">
        <v>12597</v>
      </c>
      <c r="E2879">
        <f>sch_mh_learners_sought_counseling_g9</f>
        <v>8</v>
      </c>
      <c r="F2879" t="b">
        <v>1</v>
      </c>
    </row>
    <row r="2880" spans="1:14" x14ac:dyDescent="0.35">
      <c r="A2880" t="s">
        <v>5347</v>
      </c>
      <c r="B2880" t="s">
        <v>5342</v>
      </c>
      <c r="C2880" t="s">
        <v>5347</v>
      </c>
      <c r="D2880" s="1353" t="s">
        <v>12598</v>
      </c>
      <c r="E2880">
        <f>sch_mh_learners_sought_counseling_g10</f>
        <v>200</v>
      </c>
      <c r="F2880" t="b">
        <v>1</v>
      </c>
    </row>
    <row r="2881" spans="1:14" x14ac:dyDescent="0.35">
      <c r="A2881" t="s">
        <v>5348</v>
      </c>
      <c r="B2881" t="s">
        <v>5342</v>
      </c>
      <c r="C2881" t="s">
        <v>5348</v>
      </c>
      <c r="D2881" s="1353" t="s">
        <v>12599</v>
      </c>
      <c r="E2881" t="b">
        <f>sch_mh_screeningtool_counseling</f>
        <v>1</v>
      </c>
      <c r="F2881" t="b">
        <f>ISLOGICAL(E2881)</f>
        <v>1</v>
      </c>
      <c r="G2881" t="s">
        <v>12516</v>
      </c>
    </row>
    <row r="2882" spans="1:14" x14ac:dyDescent="0.35">
      <c r="A2882" t="s">
        <v>5349</v>
      </c>
      <c r="B2882" t="s">
        <v>5342</v>
      </c>
      <c r="C2882" t="s">
        <v>5349</v>
      </c>
      <c r="D2882" s="1353" t="s">
        <v>12600</v>
      </c>
      <c r="E2882" t="b">
        <f>sch_mh_celebrated_nmhw</f>
        <v>0</v>
      </c>
      <c r="F2882" t="b">
        <f>ISLOGICAL(E2882)</f>
        <v>1</v>
      </c>
      <c r="G2882" t="s">
        <v>12516</v>
      </c>
      <c r="N2882" s="1346"/>
    </row>
    <row r="2883" spans="1:14" x14ac:dyDescent="0.35">
      <c r="A2883" t="s">
        <v>5350</v>
      </c>
      <c r="B2883" t="s">
        <v>5342</v>
      </c>
      <c r="C2883" t="s">
        <v>5350</v>
      </c>
      <c r="D2883" t="s">
        <v>12601</v>
      </c>
      <c r="E2883" t="b">
        <f>sch_conduct_menttraining_learners_ifyes</f>
        <v>1</v>
      </c>
      <c r="F2883" t="b">
        <f>ISLOGICAL(E2883)</f>
        <v>1</v>
      </c>
      <c r="G2883" t="s">
        <v>12516</v>
      </c>
      <c r="N2883" s="1346"/>
    </row>
    <row r="2884" spans="1:14" x14ac:dyDescent="0.35">
      <c r="A2884" t="s">
        <v>5351</v>
      </c>
      <c r="B2884" t="s">
        <v>5342</v>
      </c>
      <c r="C2884" t="s">
        <v>5351</v>
      </c>
      <c r="D2884" s="1353" t="s">
        <v>12602</v>
      </c>
      <c r="E2884">
        <f>sch_mh_learners_trainings_apb_g7</f>
        <v>368</v>
      </c>
      <c r="F2884" t="b">
        <v>1</v>
      </c>
      <c r="N2884" s="1346"/>
    </row>
    <row r="2885" spans="1:14" x14ac:dyDescent="0.35">
      <c r="A2885" t="s">
        <v>5355</v>
      </c>
      <c r="B2885" t="s">
        <v>5342</v>
      </c>
      <c r="C2885" t="s">
        <v>5355</v>
      </c>
      <c r="D2885" s="1353" t="s">
        <v>12603</v>
      </c>
      <c r="E2885">
        <f>sch_mh_learners_trainings_sild_g7</f>
        <v>368</v>
      </c>
      <c r="F2885" t="b">
        <v>1</v>
      </c>
      <c r="N2885" s="1346"/>
    </row>
    <row r="2886" spans="1:14" x14ac:dyDescent="0.35">
      <c r="A2886" t="s">
        <v>5359</v>
      </c>
      <c r="B2886" t="s">
        <v>5342</v>
      </c>
      <c r="C2886" t="s">
        <v>5359</v>
      </c>
      <c r="D2886" s="1353" t="s">
        <v>12604</v>
      </c>
      <c r="E2886">
        <f>sch_mh_learners_trainings_sp_g7</f>
        <v>368</v>
      </c>
      <c r="F2886" t="b">
        <v>1</v>
      </c>
      <c r="N2886" s="1346"/>
    </row>
    <row r="2887" spans="1:14" x14ac:dyDescent="0.35">
      <c r="A2887" t="s">
        <v>5363</v>
      </c>
      <c r="B2887" t="s">
        <v>5342</v>
      </c>
      <c r="C2887" t="s">
        <v>5363</v>
      </c>
      <c r="D2887" s="1353" t="s">
        <v>12605</v>
      </c>
      <c r="E2887">
        <f>sch_mh_learners_trainings_sc_g7</f>
        <v>368</v>
      </c>
      <c r="F2887" t="b">
        <v>1</v>
      </c>
      <c r="N2887" s="1346"/>
    </row>
    <row r="2888" spans="1:14" x14ac:dyDescent="0.35">
      <c r="A2888" t="s">
        <v>5367</v>
      </c>
      <c r="B2888" t="s">
        <v>5342</v>
      </c>
      <c r="C2888" t="s">
        <v>5367</v>
      </c>
      <c r="D2888" s="1353" t="s">
        <v>12606</v>
      </c>
      <c r="E2888">
        <f>sch_mh_learners_trainings_pfa_g7</f>
        <v>368</v>
      </c>
      <c r="F2888" t="b">
        <v>1</v>
      </c>
      <c r="N2888" s="1346"/>
    </row>
    <row r="2889" spans="1:14" x14ac:dyDescent="0.35">
      <c r="A2889" t="s">
        <v>5371</v>
      </c>
      <c r="B2889" t="s">
        <v>5342</v>
      </c>
      <c r="C2889" t="s">
        <v>5371</v>
      </c>
      <c r="D2889" s="1353" t="s">
        <v>12607</v>
      </c>
      <c r="E2889">
        <f>sch_mh_learners_trainings_others_g7</f>
        <v>0</v>
      </c>
      <c r="F2889" t="b">
        <v>1</v>
      </c>
      <c r="N2889" s="1346"/>
    </row>
    <row r="2890" spans="1:14" x14ac:dyDescent="0.35">
      <c r="A2890" t="s">
        <v>5352</v>
      </c>
      <c r="B2890" t="s">
        <v>5342</v>
      </c>
      <c r="C2890" t="s">
        <v>5352</v>
      </c>
      <c r="D2890" s="1353" t="s">
        <v>12608</v>
      </c>
      <c r="E2890">
        <f>sch_mh_learners_trainings_apb_g8</f>
        <v>354</v>
      </c>
      <c r="F2890" t="b">
        <v>1</v>
      </c>
      <c r="N2890" s="1346"/>
    </row>
    <row r="2891" spans="1:14" x14ac:dyDescent="0.35">
      <c r="A2891" t="s">
        <v>5356</v>
      </c>
      <c r="B2891" t="s">
        <v>5342</v>
      </c>
      <c r="C2891" t="s">
        <v>5356</v>
      </c>
      <c r="D2891" s="1353" t="s">
        <v>12609</v>
      </c>
      <c r="E2891">
        <f>sch_mh_learners_trainings_sild_g8</f>
        <v>354</v>
      </c>
      <c r="F2891" t="b">
        <v>1</v>
      </c>
      <c r="N2891" s="1346"/>
    </row>
    <row r="2892" spans="1:14" x14ac:dyDescent="0.35">
      <c r="A2892" t="s">
        <v>5360</v>
      </c>
      <c r="B2892" t="s">
        <v>5342</v>
      </c>
      <c r="C2892" t="s">
        <v>5360</v>
      </c>
      <c r="D2892" s="1353" t="s">
        <v>12610</v>
      </c>
      <c r="E2892">
        <f>sch_mh_learners_trainings_sp_g8</f>
        <v>354</v>
      </c>
      <c r="F2892" t="b">
        <v>1</v>
      </c>
      <c r="N2892" s="1346"/>
    </row>
    <row r="2893" spans="1:14" x14ac:dyDescent="0.35">
      <c r="A2893" t="s">
        <v>5364</v>
      </c>
      <c r="B2893" t="s">
        <v>5342</v>
      </c>
      <c r="C2893" t="s">
        <v>5364</v>
      </c>
      <c r="D2893" s="1353" t="s">
        <v>12611</v>
      </c>
      <c r="E2893">
        <f>sch_mh_learners_trainings_sc_g8</f>
        <v>354</v>
      </c>
      <c r="F2893" t="b">
        <v>1</v>
      </c>
      <c r="N2893" s="1346"/>
    </row>
    <row r="2894" spans="1:14" x14ac:dyDescent="0.35">
      <c r="A2894" t="s">
        <v>5368</v>
      </c>
      <c r="B2894" t="s">
        <v>5342</v>
      </c>
      <c r="C2894" t="s">
        <v>5368</v>
      </c>
      <c r="D2894" s="1353" t="s">
        <v>12612</v>
      </c>
      <c r="E2894">
        <f>sch_mh_learners_trainings_pfa_g8</f>
        <v>354</v>
      </c>
      <c r="F2894" t="b">
        <v>1</v>
      </c>
      <c r="N2894" s="1346"/>
    </row>
    <row r="2895" spans="1:14" x14ac:dyDescent="0.35">
      <c r="A2895" t="s">
        <v>5372</v>
      </c>
      <c r="B2895" t="s">
        <v>5342</v>
      </c>
      <c r="C2895" t="s">
        <v>5372</v>
      </c>
      <c r="D2895" s="1353" t="s">
        <v>12613</v>
      </c>
      <c r="E2895">
        <f>sch_mh_learners_trainings_others_g8</f>
        <v>0</v>
      </c>
      <c r="F2895" t="b">
        <v>1</v>
      </c>
      <c r="N2895" s="1346"/>
    </row>
    <row r="2896" spans="1:14" x14ac:dyDescent="0.35">
      <c r="A2896" t="s">
        <v>5353</v>
      </c>
      <c r="B2896" t="s">
        <v>5342</v>
      </c>
      <c r="C2896" t="s">
        <v>5353</v>
      </c>
      <c r="D2896" s="1353" t="s">
        <v>12614</v>
      </c>
      <c r="E2896">
        <f>sch_mh_learners_trainings_apb_g9</f>
        <v>387</v>
      </c>
      <c r="F2896" t="b">
        <v>1</v>
      </c>
      <c r="N2896" s="1346"/>
    </row>
    <row r="2897" spans="1:14" x14ac:dyDescent="0.35">
      <c r="A2897" t="s">
        <v>5357</v>
      </c>
      <c r="B2897" t="s">
        <v>5342</v>
      </c>
      <c r="C2897" t="s">
        <v>5357</v>
      </c>
      <c r="D2897" s="1353" t="s">
        <v>12615</v>
      </c>
      <c r="E2897">
        <f>sch_mh_learners_trainings_sild_g9</f>
        <v>387</v>
      </c>
      <c r="F2897" t="b">
        <v>1</v>
      </c>
      <c r="N2897" s="1346"/>
    </row>
    <row r="2898" spans="1:14" x14ac:dyDescent="0.35">
      <c r="A2898" t="s">
        <v>5361</v>
      </c>
      <c r="B2898" t="s">
        <v>5342</v>
      </c>
      <c r="C2898" t="s">
        <v>5361</v>
      </c>
      <c r="D2898" s="1353" t="s">
        <v>12616</v>
      </c>
      <c r="E2898">
        <f>sch_mh_learners_trainings_sp_g9</f>
        <v>387</v>
      </c>
      <c r="F2898" t="b">
        <v>1</v>
      </c>
      <c r="N2898" s="1346"/>
    </row>
    <row r="2899" spans="1:14" x14ac:dyDescent="0.35">
      <c r="A2899" t="s">
        <v>5365</v>
      </c>
      <c r="B2899" t="s">
        <v>5342</v>
      </c>
      <c r="C2899" t="s">
        <v>5365</v>
      </c>
      <c r="D2899" s="1353" t="s">
        <v>12617</v>
      </c>
      <c r="E2899">
        <f>sch_mh_learners_trainings_sc_g9</f>
        <v>387</v>
      </c>
      <c r="F2899" t="b">
        <v>1</v>
      </c>
      <c r="N2899" s="1346"/>
    </row>
    <row r="2900" spans="1:14" x14ac:dyDescent="0.35">
      <c r="A2900" t="s">
        <v>5369</v>
      </c>
      <c r="B2900" t="s">
        <v>5342</v>
      </c>
      <c r="C2900" t="s">
        <v>5369</v>
      </c>
      <c r="D2900" s="1353" t="s">
        <v>12618</v>
      </c>
      <c r="E2900">
        <f>sch_mh_learners_trainings_pfa_g9</f>
        <v>387</v>
      </c>
      <c r="F2900" t="b">
        <v>1</v>
      </c>
      <c r="N2900" s="1346"/>
    </row>
    <row r="2901" spans="1:14" x14ac:dyDescent="0.35">
      <c r="A2901" t="s">
        <v>5373</v>
      </c>
      <c r="B2901" t="s">
        <v>5342</v>
      </c>
      <c r="C2901" t="s">
        <v>5373</v>
      </c>
      <c r="D2901" s="1353" t="s">
        <v>12619</v>
      </c>
      <c r="E2901">
        <f>sch_mh_learners_trainings_others_g9</f>
        <v>0</v>
      </c>
      <c r="F2901" t="b">
        <v>1</v>
      </c>
      <c r="N2901" s="1346"/>
    </row>
    <row r="2902" spans="1:14" x14ac:dyDescent="0.35">
      <c r="A2902" t="s">
        <v>5354</v>
      </c>
      <c r="B2902" t="s">
        <v>5342</v>
      </c>
      <c r="C2902" t="s">
        <v>5354</v>
      </c>
      <c r="D2902" s="1353" t="s">
        <v>12620</v>
      </c>
      <c r="E2902">
        <f>sch_mh_learners_trainings_apb_g10</f>
        <v>460</v>
      </c>
      <c r="F2902" t="b">
        <v>1</v>
      </c>
      <c r="N2902" s="1346"/>
    </row>
    <row r="2903" spans="1:14" x14ac:dyDescent="0.35">
      <c r="A2903" t="s">
        <v>5358</v>
      </c>
      <c r="B2903" t="s">
        <v>5342</v>
      </c>
      <c r="C2903" t="s">
        <v>5358</v>
      </c>
      <c r="D2903" s="1353" t="s">
        <v>12621</v>
      </c>
      <c r="E2903">
        <f>sch_mh_learners_trainings_sild_g10</f>
        <v>460</v>
      </c>
      <c r="F2903" t="b">
        <v>1</v>
      </c>
      <c r="N2903" s="1346"/>
    </row>
    <row r="2904" spans="1:14" x14ac:dyDescent="0.35">
      <c r="A2904" t="s">
        <v>5362</v>
      </c>
      <c r="B2904" t="s">
        <v>5342</v>
      </c>
      <c r="C2904" t="s">
        <v>5362</v>
      </c>
      <c r="D2904" s="1353" t="s">
        <v>12622</v>
      </c>
      <c r="E2904">
        <f>sch_mh_learners_trainings_sp_g10</f>
        <v>460</v>
      </c>
      <c r="F2904" t="b">
        <v>1</v>
      </c>
      <c r="N2904" s="1346"/>
    </row>
    <row r="2905" spans="1:14" x14ac:dyDescent="0.35">
      <c r="A2905" t="s">
        <v>5366</v>
      </c>
      <c r="B2905" t="s">
        <v>5342</v>
      </c>
      <c r="C2905" t="s">
        <v>5366</v>
      </c>
      <c r="D2905" s="1353" t="s">
        <v>12623</v>
      </c>
      <c r="E2905">
        <f>sch_mh_learners_trainings_sc_g10</f>
        <v>460</v>
      </c>
      <c r="F2905" t="b">
        <v>1</v>
      </c>
      <c r="N2905" s="1346"/>
    </row>
    <row r="2906" spans="1:14" x14ac:dyDescent="0.35">
      <c r="A2906" t="s">
        <v>5370</v>
      </c>
      <c r="B2906" t="s">
        <v>5342</v>
      </c>
      <c r="C2906" t="s">
        <v>5370</v>
      </c>
      <c r="D2906" s="1353" t="s">
        <v>12624</v>
      </c>
      <c r="E2906">
        <f>sch_mh_learners_trainings_pfa_g10</f>
        <v>460</v>
      </c>
      <c r="F2906" t="b">
        <v>1</v>
      </c>
      <c r="N2906" s="1346"/>
    </row>
    <row r="2907" spans="1:14" x14ac:dyDescent="0.35">
      <c r="A2907" t="s">
        <v>5374</v>
      </c>
      <c r="B2907" t="s">
        <v>5342</v>
      </c>
      <c r="C2907" t="s">
        <v>5374</v>
      </c>
      <c r="D2907" s="1353" t="s">
        <v>12625</v>
      </c>
      <c r="E2907">
        <f>sch_mh_learners_trainings_others_g10</f>
        <v>0</v>
      </c>
      <c r="F2907" t="b">
        <v>1</v>
      </c>
      <c r="N2907" s="1346"/>
    </row>
    <row r="2908" spans="1:14" x14ac:dyDescent="0.35">
      <c r="A2908" t="s">
        <v>5375</v>
      </c>
      <c r="B2908" t="s">
        <v>5342</v>
      </c>
      <c r="C2908" t="s">
        <v>5375</v>
      </c>
      <c r="D2908" s="1353" t="s">
        <v>12626</v>
      </c>
      <c r="E2908" t="b">
        <f>sch_conduct_menttraining_teachers_ifyes</f>
        <v>1</v>
      </c>
      <c r="F2908" t="b">
        <f>ISLOGICAL(E2908)</f>
        <v>1</v>
      </c>
      <c r="G2908" t="s">
        <v>12516</v>
      </c>
      <c r="N2908" s="1346"/>
    </row>
    <row r="2909" spans="1:14" x14ac:dyDescent="0.35">
      <c r="A2909" t="s">
        <v>5376</v>
      </c>
      <c r="B2909" t="s">
        <v>5342</v>
      </c>
      <c r="C2909" t="s">
        <v>5376</v>
      </c>
      <c r="D2909" s="1353" t="s">
        <v>12627</v>
      </c>
      <c r="E2909">
        <f>sch_mh_teachers_trainings_apb_g7</f>
        <v>18</v>
      </c>
      <c r="F2909" t="b">
        <v>1</v>
      </c>
      <c r="N2909" s="1346"/>
    </row>
    <row r="2910" spans="1:14" x14ac:dyDescent="0.35">
      <c r="A2910" t="s">
        <v>5380</v>
      </c>
      <c r="B2910" t="s">
        <v>5342</v>
      </c>
      <c r="C2910" t="s">
        <v>5380</v>
      </c>
      <c r="D2910" s="1353" t="s">
        <v>12628</v>
      </c>
      <c r="E2910">
        <f>sch_mh_teachers_trainings_sild_g7</f>
        <v>18</v>
      </c>
      <c r="F2910" t="b">
        <v>1</v>
      </c>
      <c r="N2910" s="1346"/>
    </row>
    <row r="2911" spans="1:14" x14ac:dyDescent="0.35">
      <c r="A2911" t="s">
        <v>5384</v>
      </c>
      <c r="B2911" t="s">
        <v>5342</v>
      </c>
      <c r="C2911" t="s">
        <v>5384</v>
      </c>
      <c r="D2911" s="1353" t="s">
        <v>12629</v>
      </c>
      <c r="E2911">
        <f>sch_mh_teachers_trainings_sp_g7</f>
        <v>18</v>
      </c>
      <c r="F2911" t="b">
        <v>1</v>
      </c>
      <c r="N2911" s="1346"/>
    </row>
    <row r="2912" spans="1:14" x14ac:dyDescent="0.35">
      <c r="A2912" t="s">
        <v>5388</v>
      </c>
      <c r="B2912" t="s">
        <v>5342</v>
      </c>
      <c r="C2912" t="s">
        <v>5388</v>
      </c>
      <c r="D2912" s="1353" t="s">
        <v>12630</v>
      </c>
      <c r="E2912">
        <f>sch_mh_teachers_trainings_sc_g7</f>
        <v>18</v>
      </c>
      <c r="F2912" t="b">
        <v>1</v>
      </c>
      <c r="N2912" s="1346"/>
    </row>
    <row r="2913" spans="1:14" x14ac:dyDescent="0.35">
      <c r="A2913" t="s">
        <v>5392</v>
      </c>
      <c r="B2913" t="s">
        <v>5342</v>
      </c>
      <c r="C2913" t="s">
        <v>5392</v>
      </c>
      <c r="D2913" s="1353" t="s">
        <v>12631</v>
      </c>
      <c r="E2913">
        <f>sch_mh_teachers_trainings_pfa_g7</f>
        <v>18</v>
      </c>
      <c r="F2913" t="b">
        <v>1</v>
      </c>
      <c r="N2913" s="1346"/>
    </row>
    <row r="2914" spans="1:14" x14ac:dyDescent="0.35">
      <c r="A2914" t="s">
        <v>5396</v>
      </c>
      <c r="B2914" t="s">
        <v>5342</v>
      </c>
      <c r="C2914" t="s">
        <v>5396</v>
      </c>
      <c r="D2914" s="1353" t="s">
        <v>12632</v>
      </c>
      <c r="E2914">
        <f>sch_mh_teachers_trainings_others_g7</f>
        <v>0</v>
      </c>
      <c r="F2914" t="b">
        <v>1</v>
      </c>
      <c r="N2914" s="1346"/>
    </row>
    <row r="2915" spans="1:14" x14ac:dyDescent="0.35">
      <c r="A2915" t="s">
        <v>5377</v>
      </c>
      <c r="B2915" t="s">
        <v>5342</v>
      </c>
      <c r="C2915" t="s">
        <v>5377</v>
      </c>
      <c r="D2915" s="1353" t="s">
        <v>12633</v>
      </c>
      <c r="E2915">
        <f>sch_mh_teachers_trainings_apb_g8</f>
        <v>18</v>
      </c>
      <c r="F2915" t="b">
        <v>1</v>
      </c>
      <c r="N2915" s="1346"/>
    </row>
    <row r="2916" spans="1:14" x14ac:dyDescent="0.35">
      <c r="A2916" t="s">
        <v>5381</v>
      </c>
      <c r="B2916" t="s">
        <v>5342</v>
      </c>
      <c r="C2916" t="s">
        <v>5381</v>
      </c>
      <c r="D2916" s="1353" t="s">
        <v>12634</v>
      </c>
      <c r="E2916">
        <f>sch_mh_teachers_trainings_sild_g8</f>
        <v>18</v>
      </c>
      <c r="F2916" t="b">
        <v>1</v>
      </c>
      <c r="N2916" s="1346"/>
    </row>
    <row r="2917" spans="1:14" x14ac:dyDescent="0.35">
      <c r="A2917" t="s">
        <v>5385</v>
      </c>
      <c r="B2917" t="s">
        <v>5342</v>
      </c>
      <c r="C2917" t="s">
        <v>5385</v>
      </c>
      <c r="D2917" s="1353" t="s">
        <v>12635</v>
      </c>
      <c r="E2917">
        <f>sch_mh_teachers_trainings_sp_g8</f>
        <v>18</v>
      </c>
      <c r="F2917" t="b">
        <v>1</v>
      </c>
      <c r="N2917" s="1346"/>
    </row>
    <row r="2918" spans="1:14" x14ac:dyDescent="0.35">
      <c r="A2918" t="s">
        <v>5389</v>
      </c>
      <c r="B2918" t="s">
        <v>5342</v>
      </c>
      <c r="C2918" t="s">
        <v>5389</v>
      </c>
      <c r="D2918" s="1353" t="s">
        <v>12636</v>
      </c>
      <c r="E2918">
        <f>sch_mh_teachers_trainings_sc_g8</f>
        <v>18</v>
      </c>
      <c r="F2918" t="b">
        <v>1</v>
      </c>
      <c r="N2918" s="1346"/>
    </row>
    <row r="2919" spans="1:14" x14ac:dyDescent="0.35">
      <c r="A2919" t="s">
        <v>5393</v>
      </c>
      <c r="B2919" t="s">
        <v>5342</v>
      </c>
      <c r="C2919" t="s">
        <v>5393</v>
      </c>
      <c r="D2919" s="1353" t="s">
        <v>12637</v>
      </c>
      <c r="E2919">
        <f>sch_mh_teachers_trainings_pfa_g8</f>
        <v>18</v>
      </c>
      <c r="F2919" t="b">
        <v>1</v>
      </c>
      <c r="N2919" s="1346"/>
    </row>
    <row r="2920" spans="1:14" x14ac:dyDescent="0.35">
      <c r="A2920" t="s">
        <v>5397</v>
      </c>
      <c r="B2920" t="s">
        <v>5342</v>
      </c>
      <c r="C2920" t="s">
        <v>5397</v>
      </c>
      <c r="D2920" s="1353" t="s">
        <v>12638</v>
      </c>
      <c r="E2920">
        <f>sch_mh_teachers_trainings_others_g8</f>
        <v>0</v>
      </c>
      <c r="F2920" t="b">
        <v>1</v>
      </c>
      <c r="N2920" s="1346"/>
    </row>
    <row r="2921" spans="1:14" x14ac:dyDescent="0.35">
      <c r="A2921" t="s">
        <v>5378</v>
      </c>
      <c r="B2921" t="s">
        <v>5342</v>
      </c>
      <c r="C2921" t="s">
        <v>5378</v>
      </c>
      <c r="D2921" s="1353" t="s">
        <v>12639</v>
      </c>
      <c r="E2921">
        <f>sch_mh_teachers_trainings_apb_g9</f>
        <v>17</v>
      </c>
      <c r="F2921" t="b">
        <v>1</v>
      </c>
      <c r="N2921" s="1346"/>
    </row>
    <row r="2922" spans="1:14" x14ac:dyDescent="0.35">
      <c r="A2922" t="s">
        <v>5382</v>
      </c>
      <c r="B2922" t="s">
        <v>5342</v>
      </c>
      <c r="C2922" t="s">
        <v>5382</v>
      </c>
      <c r="D2922" s="1353" t="s">
        <v>12640</v>
      </c>
      <c r="E2922">
        <f>sch_mh_teachers_trainings_sild_g9</f>
        <v>17</v>
      </c>
      <c r="F2922" t="b">
        <v>1</v>
      </c>
      <c r="N2922" s="1346"/>
    </row>
    <row r="2923" spans="1:14" x14ac:dyDescent="0.35">
      <c r="A2923" t="s">
        <v>5386</v>
      </c>
      <c r="B2923" t="s">
        <v>5342</v>
      </c>
      <c r="C2923" t="s">
        <v>5386</v>
      </c>
      <c r="D2923" s="1353" t="s">
        <v>12641</v>
      </c>
      <c r="E2923">
        <f>sch_mh_teachers_trainings_sp_g9</f>
        <v>17</v>
      </c>
      <c r="F2923" t="b">
        <v>1</v>
      </c>
      <c r="N2923" s="1346"/>
    </row>
    <row r="2924" spans="1:14" x14ac:dyDescent="0.35">
      <c r="A2924" t="s">
        <v>5390</v>
      </c>
      <c r="B2924" t="s">
        <v>5342</v>
      </c>
      <c r="C2924" t="s">
        <v>5390</v>
      </c>
      <c r="D2924" s="1353" t="s">
        <v>12642</v>
      </c>
      <c r="E2924">
        <f>sch_mh_teachers_trainings_sc_g9</f>
        <v>17</v>
      </c>
      <c r="F2924" t="b">
        <v>1</v>
      </c>
      <c r="N2924" s="1346"/>
    </row>
    <row r="2925" spans="1:14" x14ac:dyDescent="0.35">
      <c r="A2925" t="s">
        <v>5394</v>
      </c>
      <c r="B2925" t="s">
        <v>5342</v>
      </c>
      <c r="C2925" t="s">
        <v>5394</v>
      </c>
      <c r="D2925" s="1353" t="s">
        <v>12643</v>
      </c>
      <c r="E2925">
        <f>sch_mh_teachers_trainings_pfa_g9</f>
        <v>17</v>
      </c>
      <c r="F2925" t="b">
        <v>1</v>
      </c>
      <c r="N2925" s="1346"/>
    </row>
    <row r="2926" spans="1:14" x14ac:dyDescent="0.35">
      <c r="A2926" t="s">
        <v>5398</v>
      </c>
      <c r="B2926" t="s">
        <v>5342</v>
      </c>
      <c r="C2926" t="s">
        <v>5398</v>
      </c>
      <c r="D2926" s="1353" t="s">
        <v>12644</v>
      </c>
      <c r="E2926">
        <f>sch_mh_teachers_trainings_others_g9</f>
        <v>0</v>
      </c>
      <c r="F2926" t="b">
        <v>1</v>
      </c>
      <c r="N2926" s="1346"/>
    </row>
    <row r="2927" spans="1:14" x14ac:dyDescent="0.35">
      <c r="A2927" t="s">
        <v>5379</v>
      </c>
      <c r="B2927" t="s">
        <v>5342</v>
      </c>
      <c r="C2927" t="s">
        <v>5379</v>
      </c>
      <c r="D2927" s="1353" t="s">
        <v>12645</v>
      </c>
      <c r="E2927">
        <f>sch_mh_teachers_trainings_apb_g10</f>
        <v>20</v>
      </c>
      <c r="F2927" t="b">
        <v>1</v>
      </c>
      <c r="N2927" s="1346"/>
    </row>
    <row r="2928" spans="1:14" x14ac:dyDescent="0.35">
      <c r="A2928" t="s">
        <v>5383</v>
      </c>
      <c r="B2928" t="s">
        <v>5342</v>
      </c>
      <c r="C2928" t="s">
        <v>5383</v>
      </c>
      <c r="D2928" s="1353" t="s">
        <v>12646</v>
      </c>
      <c r="E2928">
        <f>sch_mh_teachers_trainings_sild_g10</f>
        <v>20</v>
      </c>
      <c r="F2928" t="b">
        <v>1</v>
      </c>
      <c r="N2928" s="1346"/>
    </row>
    <row r="2929" spans="1:14" x14ac:dyDescent="0.35">
      <c r="A2929" t="s">
        <v>5387</v>
      </c>
      <c r="B2929" t="s">
        <v>5342</v>
      </c>
      <c r="C2929" t="s">
        <v>5387</v>
      </c>
      <c r="D2929" s="1353" t="s">
        <v>12647</v>
      </c>
      <c r="E2929">
        <f>sch_mh_teachers_trainings_sp_g10</f>
        <v>20</v>
      </c>
      <c r="F2929" t="b">
        <v>1</v>
      </c>
      <c r="N2929" s="1346"/>
    </row>
    <row r="2930" spans="1:14" x14ac:dyDescent="0.35">
      <c r="A2930" t="s">
        <v>5391</v>
      </c>
      <c r="B2930" t="s">
        <v>5342</v>
      </c>
      <c r="C2930" t="s">
        <v>5391</v>
      </c>
      <c r="D2930" s="1353" t="s">
        <v>12648</v>
      </c>
      <c r="E2930">
        <f>sch_mh_teachers_trainings_sc_g10</f>
        <v>20</v>
      </c>
      <c r="F2930" t="b">
        <v>1</v>
      </c>
      <c r="N2930" s="1346"/>
    </row>
    <row r="2931" spans="1:14" x14ac:dyDescent="0.35">
      <c r="A2931" t="s">
        <v>5395</v>
      </c>
      <c r="B2931" t="s">
        <v>5342</v>
      </c>
      <c r="C2931" t="s">
        <v>5395</v>
      </c>
      <c r="D2931" s="1353" t="s">
        <v>12649</v>
      </c>
      <c r="E2931">
        <f>sch_mh_teachers_trainings_pfa_g10</f>
        <v>20</v>
      </c>
      <c r="F2931" t="b">
        <v>1</v>
      </c>
      <c r="N2931" s="1346"/>
    </row>
    <row r="2932" spans="1:14" s="1348" customFormat="1" ht="16" thickBot="1" x14ac:dyDescent="0.4">
      <c r="A2932" s="1348" t="s">
        <v>5399</v>
      </c>
      <c r="B2932" s="1348" t="s">
        <v>5342</v>
      </c>
      <c r="C2932" s="1348" t="s">
        <v>5399</v>
      </c>
      <c r="D2932" s="1355" t="s">
        <v>12650</v>
      </c>
      <c r="E2932" s="1348">
        <f>sch_mh_teachers_trainings_others_g10</f>
        <v>0</v>
      </c>
      <c r="F2932" s="1348" t="b">
        <v>1</v>
      </c>
      <c r="N2932" s="1366"/>
    </row>
    <row r="2933" spans="1:14" x14ac:dyDescent="0.35">
      <c r="A2933" t="s">
        <v>5400</v>
      </c>
      <c r="B2933" t="s">
        <v>5401</v>
      </c>
      <c r="C2933" t="s">
        <v>5400</v>
      </c>
      <c r="D2933" s="1353" t="s">
        <v>10277</v>
      </c>
      <c r="E2933">
        <f>sch_learners_cancercases_cp_leuk</f>
        <v>0</v>
      </c>
      <c r="F2933" t="b">
        <v>1</v>
      </c>
      <c r="N2933" s="1346"/>
    </row>
    <row r="2934" spans="1:14" x14ac:dyDescent="0.35">
      <c r="A2934" t="s">
        <v>5404</v>
      </c>
      <c r="B2934" t="s">
        <v>5401</v>
      </c>
      <c r="C2934" t="s">
        <v>5404</v>
      </c>
      <c r="D2934" s="1353" t="s">
        <v>10278</v>
      </c>
      <c r="E2934">
        <f>sch_learners_cancercases_lc_leuk</f>
        <v>0</v>
      </c>
      <c r="F2934" t="b">
        <v>1</v>
      </c>
      <c r="N2934" s="1346"/>
    </row>
    <row r="2935" spans="1:14" x14ac:dyDescent="0.35">
      <c r="A2935" t="s">
        <v>5407</v>
      </c>
      <c r="B2935" t="s">
        <v>5401</v>
      </c>
      <c r="C2935" t="s">
        <v>5407</v>
      </c>
      <c r="D2935" s="1353" t="s">
        <v>10279</v>
      </c>
      <c r="E2935">
        <f>sch_learners_cancercases_cs_leuk</f>
        <v>0</v>
      </c>
      <c r="F2935" t="b">
        <v>1</v>
      </c>
      <c r="N2935" s="1346"/>
    </row>
    <row r="2936" spans="1:14" x14ac:dyDescent="0.35">
      <c r="A2936" t="s">
        <v>5410</v>
      </c>
      <c r="B2936" t="s">
        <v>5401</v>
      </c>
      <c r="C2936" t="s">
        <v>5410</v>
      </c>
      <c r="D2936" s="1353" t="s">
        <v>10280</v>
      </c>
      <c r="E2936">
        <f>sch_learners_cancercases_ddc_leuk</f>
        <v>0</v>
      </c>
      <c r="F2936" t="b">
        <v>1</v>
      </c>
      <c r="N2936" s="1346"/>
    </row>
    <row r="2937" spans="1:14" x14ac:dyDescent="0.35">
      <c r="A2937" t="s">
        <v>5402</v>
      </c>
      <c r="B2937" t="s">
        <v>5401</v>
      </c>
      <c r="C2937" t="s">
        <v>5402</v>
      </c>
      <c r="D2937" s="1353" t="s">
        <v>10281</v>
      </c>
      <c r="E2937">
        <f>sch_learners_cancercases_cp_bnsc</f>
        <v>0</v>
      </c>
      <c r="F2937" t="b">
        <v>1</v>
      </c>
      <c r="N2937" s="1346"/>
    </row>
    <row r="2938" spans="1:14" x14ac:dyDescent="0.35">
      <c r="A2938" t="s">
        <v>5405</v>
      </c>
      <c r="B2938" t="s">
        <v>5401</v>
      </c>
      <c r="C2938" t="s">
        <v>5405</v>
      </c>
      <c r="D2938" s="1353" t="s">
        <v>10282</v>
      </c>
      <c r="E2938">
        <f>sch_learners_cancercases_lc_bnsc</f>
        <v>0</v>
      </c>
      <c r="F2938" t="b">
        <v>1</v>
      </c>
      <c r="N2938" s="1346"/>
    </row>
    <row r="2939" spans="1:14" x14ac:dyDescent="0.35">
      <c r="A2939" t="s">
        <v>5408</v>
      </c>
      <c r="B2939" t="s">
        <v>5401</v>
      </c>
      <c r="C2939" t="s">
        <v>5408</v>
      </c>
      <c r="D2939" s="1353" t="s">
        <v>10283</v>
      </c>
      <c r="E2939">
        <f>sch_learners_cancercases_cs_bnsc</f>
        <v>0</v>
      </c>
      <c r="F2939" t="b">
        <v>1</v>
      </c>
      <c r="N2939" s="1346"/>
    </row>
    <row r="2940" spans="1:14" x14ac:dyDescent="0.35">
      <c r="A2940" t="s">
        <v>5411</v>
      </c>
      <c r="B2940" t="s">
        <v>5401</v>
      </c>
      <c r="C2940" t="s">
        <v>5411</v>
      </c>
      <c r="D2940" s="1353" t="s">
        <v>10284</v>
      </c>
      <c r="E2940">
        <f>sch_learners_cancercases_ddc_bnsc</f>
        <v>0</v>
      </c>
      <c r="F2940" t="b">
        <v>1</v>
      </c>
      <c r="N2940" s="1346"/>
    </row>
    <row r="2941" spans="1:14" x14ac:dyDescent="0.35">
      <c r="A2941" t="s">
        <v>5403</v>
      </c>
      <c r="B2941" t="s">
        <v>5401</v>
      </c>
      <c r="C2941" t="s">
        <v>5403</v>
      </c>
      <c r="D2941" s="1353" t="s">
        <v>10285</v>
      </c>
      <c r="E2941">
        <f>sch_learners_cancercases_cp_othertypes</f>
        <v>0</v>
      </c>
      <c r="F2941" t="b">
        <v>1</v>
      </c>
      <c r="N2941" s="1346"/>
    </row>
    <row r="2942" spans="1:14" x14ac:dyDescent="0.35">
      <c r="A2942" t="s">
        <v>5406</v>
      </c>
      <c r="B2942" t="s">
        <v>5401</v>
      </c>
      <c r="C2942" t="s">
        <v>5406</v>
      </c>
      <c r="D2942" s="1353" t="s">
        <v>10286</v>
      </c>
      <c r="E2942">
        <f>sch_learners_cancercases_lc_othertypes</f>
        <v>0</v>
      </c>
      <c r="F2942" t="b">
        <v>1</v>
      </c>
      <c r="N2942" s="1346"/>
    </row>
    <row r="2943" spans="1:14" x14ac:dyDescent="0.35">
      <c r="A2943" t="s">
        <v>5409</v>
      </c>
      <c r="B2943" t="s">
        <v>5401</v>
      </c>
      <c r="C2943" t="s">
        <v>5409</v>
      </c>
      <c r="D2943" s="1353" t="s">
        <v>10287</v>
      </c>
      <c r="E2943">
        <f>sch_learners_cancercases_cs_othertypes</f>
        <v>0</v>
      </c>
      <c r="F2943" t="b">
        <v>1</v>
      </c>
      <c r="N2943" s="1346"/>
    </row>
    <row r="2944" spans="1:14" x14ac:dyDescent="0.35">
      <c r="A2944" t="s">
        <v>5412</v>
      </c>
      <c r="B2944" t="s">
        <v>5401</v>
      </c>
      <c r="C2944" t="s">
        <v>5412</v>
      </c>
      <c r="D2944" s="1353" t="s">
        <v>10288</v>
      </c>
      <c r="E2944">
        <f>sch_learners_cancercases_ddc_othertypes</f>
        <v>0</v>
      </c>
      <c r="F2944" t="b">
        <v>1</v>
      </c>
      <c r="N2944" s="1346"/>
    </row>
    <row r="2945" spans="1:14" x14ac:dyDescent="0.35">
      <c r="A2945" t="s">
        <v>5413</v>
      </c>
      <c r="B2945" t="s">
        <v>5401</v>
      </c>
      <c r="C2945" t="s">
        <v>5413</v>
      </c>
      <c r="D2945" s="1353" t="s">
        <v>10289</v>
      </c>
      <c r="E2945">
        <f>sch_personnel_cancercases_cp_breast</f>
        <v>0</v>
      </c>
      <c r="F2945" t="b">
        <v>1</v>
      </c>
      <c r="N2945" s="1346"/>
    </row>
    <row r="2946" spans="1:14" x14ac:dyDescent="0.35">
      <c r="A2946" t="s">
        <v>5416</v>
      </c>
      <c r="B2946" t="s">
        <v>5401</v>
      </c>
      <c r="C2946" t="s">
        <v>5416</v>
      </c>
      <c r="D2946" s="1353" t="s">
        <v>10290</v>
      </c>
      <c r="E2946">
        <f>sch_personnel_cancercases_lc_breast</f>
        <v>0</v>
      </c>
      <c r="F2946" t="b">
        <v>1</v>
      </c>
      <c r="N2946" s="1346"/>
    </row>
    <row r="2947" spans="1:14" x14ac:dyDescent="0.35">
      <c r="A2947" t="s">
        <v>5419</v>
      </c>
      <c r="B2947" t="s">
        <v>5401</v>
      </c>
      <c r="C2947" t="s">
        <v>5419</v>
      </c>
      <c r="D2947" s="1353" t="s">
        <v>10291</v>
      </c>
      <c r="E2947">
        <f>sch_personnel_cancercases_cs_breast</f>
        <v>0</v>
      </c>
      <c r="F2947" t="b">
        <v>1</v>
      </c>
      <c r="N2947" s="1346"/>
    </row>
    <row r="2948" spans="1:14" x14ac:dyDescent="0.35">
      <c r="A2948" t="s">
        <v>5422</v>
      </c>
      <c r="B2948" t="s">
        <v>5401</v>
      </c>
      <c r="C2948" t="s">
        <v>5422</v>
      </c>
      <c r="D2948" s="1353" t="s">
        <v>10292</v>
      </c>
      <c r="E2948">
        <f>sch_personnel_cancercases_ddc_breast</f>
        <v>0</v>
      </c>
      <c r="F2948" t="b">
        <v>1</v>
      </c>
      <c r="N2948" s="1346"/>
    </row>
    <row r="2949" spans="1:14" x14ac:dyDescent="0.35">
      <c r="A2949" t="s">
        <v>5414</v>
      </c>
      <c r="B2949" t="s">
        <v>5401</v>
      </c>
      <c r="C2949" t="s">
        <v>5414</v>
      </c>
      <c r="D2949" s="1353" t="s">
        <v>10293</v>
      </c>
      <c r="E2949">
        <f>sch_personnel_cancercases_cp_lung</f>
        <v>0</v>
      </c>
      <c r="F2949" t="b">
        <v>1</v>
      </c>
      <c r="N2949" s="1346"/>
    </row>
    <row r="2950" spans="1:14" x14ac:dyDescent="0.35">
      <c r="A2950" t="s">
        <v>5417</v>
      </c>
      <c r="B2950" t="s">
        <v>5401</v>
      </c>
      <c r="C2950" t="s">
        <v>5417</v>
      </c>
      <c r="D2950" s="1353" t="s">
        <v>10294</v>
      </c>
      <c r="E2950">
        <f>sch_personnel_cancercases_lc_lung</f>
        <v>0</v>
      </c>
      <c r="F2950" t="b">
        <v>1</v>
      </c>
      <c r="N2950" s="1346"/>
    </row>
    <row r="2951" spans="1:14" x14ac:dyDescent="0.35">
      <c r="A2951" t="s">
        <v>5420</v>
      </c>
      <c r="B2951" t="s">
        <v>5401</v>
      </c>
      <c r="C2951" t="s">
        <v>5420</v>
      </c>
      <c r="D2951" s="1353" t="s">
        <v>10295</v>
      </c>
      <c r="E2951">
        <f>sch_personnel_cancercases_cs_lung</f>
        <v>0</v>
      </c>
      <c r="F2951" t="b">
        <v>1</v>
      </c>
      <c r="N2951" s="1346"/>
    </row>
    <row r="2952" spans="1:14" x14ac:dyDescent="0.35">
      <c r="A2952" t="s">
        <v>5423</v>
      </c>
      <c r="B2952" t="s">
        <v>5401</v>
      </c>
      <c r="C2952" t="s">
        <v>5423</v>
      </c>
      <c r="D2952" s="1353" t="s">
        <v>10296</v>
      </c>
      <c r="E2952">
        <f>sch_personnel_cancercases_ddc_lung</f>
        <v>0</v>
      </c>
      <c r="F2952" t="b">
        <v>1</v>
      </c>
      <c r="N2952" s="1346"/>
    </row>
    <row r="2953" spans="1:14" x14ac:dyDescent="0.35">
      <c r="A2953" t="s">
        <v>5415</v>
      </c>
      <c r="B2953" t="s">
        <v>5401</v>
      </c>
      <c r="C2953" t="s">
        <v>5415</v>
      </c>
      <c r="D2953" s="1353" t="s">
        <v>10297</v>
      </c>
      <c r="E2953">
        <f>sch_personnel_cancercases_cp_othertypes</f>
        <v>2</v>
      </c>
      <c r="F2953" t="b">
        <v>1</v>
      </c>
      <c r="N2953" s="1346"/>
    </row>
    <row r="2954" spans="1:14" x14ac:dyDescent="0.35">
      <c r="A2954" t="s">
        <v>5418</v>
      </c>
      <c r="B2954" t="s">
        <v>5401</v>
      </c>
      <c r="C2954" t="s">
        <v>5418</v>
      </c>
      <c r="D2954" s="1353" t="s">
        <v>10298</v>
      </c>
      <c r="E2954">
        <f>sch_personnel_cancercases_lc_othertypes</f>
        <v>0</v>
      </c>
      <c r="F2954" t="b">
        <v>1</v>
      </c>
      <c r="N2954" s="1346"/>
    </row>
    <row r="2955" spans="1:14" x14ac:dyDescent="0.35">
      <c r="A2955" t="s">
        <v>5421</v>
      </c>
      <c r="B2955" t="s">
        <v>5401</v>
      </c>
      <c r="C2955" t="s">
        <v>5421</v>
      </c>
      <c r="D2955" s="1353" t="s">
        <v>10299</v>
      </c>
      <c r="E2955">
        <f>sch_personnel_cancercases_cs_othertypes</f>
        <v>1</v>
      </c>
      <c r="F2955" t="b">
        <v>1</v>
      </c>
      <c r="N2955" s="1346"/>
    </row>
    <row r="2956" spans="1:14" s="1348" customFormat="1" ht="16" thickBot="1" x14ac:dyDescent="0.4">
      <c r="A2956" s="1348" t="s">
        <v>5424</v>
      </c>
      <c r="B2956" s="1348" t="s">
        <v>5401</v>
      </c>
      <c r="C2956" s="1348" t="s">
        <v>5424</v>
      </c>
      <c r="D2956" s="1355" t="s">
        <v>10300</v>
      </c>
      <c r="E2956" s="1348">
        <f>sch_personnel_cancercases_ddc_othertypes</f>
        <v>1</v>
      </c>
      <c r="F2956" s="1348" t="b">
        <v>1</v>
      </c>
      <c r="N2956" s="1366"/>
    </row>
    <row r="2957" spans="1:14" x14ac:dyDescent="0.35">
      <c r="A2957" t="s">
        <v>5425</v>
      </c>
      <c r="B2957" t="s">
        <v>5426</v>
      </c>
      <c r="C2957" t="s">
        <v>5425</v>
      </c>
      <c r="D2957" t="s">
        <v>10301</v>
      </c>
      <c r="E2957">
        <f>sch_learners_pregnant_inschool_g7</f>
        <v>0</v>
      </c>
      <c r="F2957" t="b">
        <v>1</v>
      </c>
      <c r="N2957" s="1346"/>
    </row>
    <row r="2958" spans="1:14" x14ac:dyDescent="0.35">
      <c r="A2958" t="s">
        <v>5430</v>
      </c>
      <c r="B2958" t="s">
        <v>5426</v>
      </c>
      <c r="C2958" t="s">
        <v>5430</v>
      </c>
      <c r="D2958" t="s">
        <v>10302</v>
      </c>
      <c r="E2958">
        <f>sch_learners_pregnant_adm_g7</f>
        <v>0</v>
      </c>
      <c r="F2958" t="b">
        <v>1</v>
      </c>
      <c r="N2958" s="1346"/>
    </row>
    <row r="2959" spans="1:14" x14ac:dyDescent="0.35">
      <c r="A2959" t="s">
        <v>5434</v>
      </c>
      <c r="B2959" t="s">
        <v>5426</v>
      </c>
      <c r="C2959" t="s">
        <v>5434</v>
      </c>
      <c r="D2959" t="s">
        <v>10303</v>
      </c>
      <c r="E2959">
        <f>sch_learners_pregnant_transferredin_g7</f>
        <v>0</v>
      </c>
      <c r="F2959" t="b">
        <v>1</v>
      </c>
      <c r="N2959" s="1346"/>
    </row>
    <row r="2960" spans="1:14" x14ac:dyDescent="0.35">
      <c r="A2960" t="s">
        <v>5438</v>
      </c>
      <c r="B2960" t="s">
        <v>5426</v>
      </c>
      <c r="C2960" t="s">
        <v>5438</v>
      </c>
      <c r="D2960" t="s">
        <v>10304</v>
      </c>
      <c r="E2960">
        <f>sch_learners_pregnant_transferredout_g7</f>
        <v>0</v>
      </c>
      <c r="F2960" t="b">
        <v>1</v>
      </c>
      <c r="N2960" s="1346"/>
    </row>
    <row r="2961" spans="1:14" x14ac:dyDescent="0.35">
      <c r="A2961" t="s">
        <v>5442</v>
      </c>
      <c r="B2961" t="s">
        <v>5426</v>
      </c>
      <c r="C2961" t="s">
        <v>5442</v>
      </c>
      <c r="D2961" t="s">
        <v>10305</v>
      </c>
      <c r="E2961">
        <f>sch_learners_pregnant_dropped_g7</f>
        <v>0</v>
      </c>
      <c r="F2961" t="b">
        <v>1</v>
      </c>
      <c r="N2961" s="1346"/>
    </row>
    <row r="2962" spans="1:14" x14ac:dyDescent="0.35">
      <c r="A2962" t="s">
        <v>5427</v>
      </c>
      <c r="B2962" t="s">
        <v>5426</v>
      </c>
      <c r="C2962" t="s">
        <v>5427</v>
      </c>
      <c r="D2962" t="s">
        <v>10306</v>
      </c>
      <c r="E2962">
        <f>sch_learners_pregnant_inschool_g8</f>
        <v>0</v>
      </c>
      <c r="F2962" t="b">
        <v>1</v>
      </c>
      <c r="N2962" s="1346"/>
    </row>
    <row r="2963" spans="1:14" x14ac:dyDescent="0.35">
      <c r="A2963" t="s">
        <v>5429</v>
      </c>
      <c r="B2963" t="s">
        <v>5426</v>
      </c>
      <c r="C2963" t="s">
        <v>5429</v>
      </c>
      <c r="D2963" t="s">
        <v>10307</v>
      </c>
      <c r="E2963">
        <f>sch_learners_pregnant_inschool_g10</f>
        <v>0</v>
      </c>
      <c r="F2963" t="b">
        <v>1</v>
      </c>
      <c r="N2963" s="1346"/>
    </row>
    <row r="2964" spans="1:14" x14ac:dyDescent="0.35">
      <c r="A2964" t="s">
        <v>5431</v>
      </c>
      <c r="B2964" t="s">
        <v>5426</v>
      </c>
      <c r="C2964" t="s">
        <v>5431</v>
      </c>
      <c r="D2964" t="s">
        <v>10308</v>
      </c>
      <c r="E2964">
        <f>sch_learners_pregnant_adm_g8</f>
        <v>1</v>
      </c>
      <c r="F2964" t="b">
        <v>1</v>
      </c>
      <c r="N2964" s="1346"/>
    </row>
    <row r="2965" spans="1:14" x14ac:dyDescent="0.35">
      <c r="A2965" t="s">
        <v>5435</v>
      </c>
      <c r="B2965" t="s">
        <v>5426</v>
      </c>
      <c r="C2965" t="s">
        <v>5435</v>
      </c>
      <c r="D2965" t="s">
        <v>10309</v>
      </c>
      <c r="E2965">
        <f>sch_learners_pregnant_transferredin_g8</f>
        <v>0</v>
      </c>
      <c r="F2965" t="b">
        <v>1</v>
      </c>
      <c r="N2965" s="1346"/>
    </row>
    <row r="2966" spans="1:14" x14ac:dyDescent="0.35">
      <c r="A2966" t="s">
        <v>5439</v>
      </c>
      <c r="B2966" t="s">
        <v>5426</v>
      </c>
      <c r="C2966" t="s">
        <v>5439</v>
      </c>
      <c r="D2966" t="s">
        <v>10310</v>
      </c>
      <c r="E2966">
        <f>sch_learners_pregnant_transferredout_g8</f>
        <v>0</v>
      </c>
      <c r="F2966" t="b">
        <v>1</v>
      </c>
      <c r="N2966" s="1346"/>
    </row>
    <row r="2967" spans="1:14" x14ac:dyDescent="0.35">
      <c r="A2967" t="s">
        <v>5443</v>
      </c>
      <c r="B2967" t="s">
        <v>5426</v>
      </c>
      <c r="C2967" t="s">
        <v>5443</v>
      </c>
      <c r="D2967" t="s">
        <v>10311</v>
      </c>
      <c r="E2967">
        <f>sch_learners_pregnant_dropped_g8</f>
        <v>0</v>
      </c>
      <c r="F2967" t="b">
        <v>1</v>
      </c>
      <c r="N2967" s="1346"/>
    </row>
    <row r="2968" spans="1:14" x14ac:dyDescent="0.35">
      <c r="A2968" t="s">
        <v>5428</v>
      </c>
      <c r="B2968" t="s">
        <v>5426</v>
      </c>
      <c r="C2968" t="s">
        <v>5428</v>
      </c>
      <c r="D2968" t="s">
        <v>10312</v>
      </c>
      <c r="E2968">
        <f>sch_learners_pregnant_inschool_g9</f>
        <v>0</v>
      </c>
      <c r="F2968" t="b">
        <v>1</v>
      </c>
      <c r="N2968" s="1346"/>
    </row>
    <row r="2969" spans="1:14" x14ac:dyDescent="0.35">
      <c r="A2969" t="s">
        <v>5432</v>
      </c>
      <c r="B2969" t="s">
        <v>5426</v>
      </c>
      <c r="C2969" t="s">
        <v>5432</v>
      </c>
      <c r="D2969" t="s">
        <v>10313</v>
      </c>
      <c r="E2969">
        <f>sch_learners_pregnant_adm_g9</f>
        <v>0</v>
      </c>
      <c r="F2969" t="b">
        <v>1</v>
      </c>
      <c r="N2969" s="1346"/>
    </row>
    <row r="2970" spans="1:14" x14ac:dyDescent="0.35">
      <c r="A2970" t="s">
        <v>5436</v>
      </c>
      <c r="B2970" t="s">
        <v>5426</v>
      </c>
      <c r="C2970" t="s">
        <v>5436</v>
      </c>
      <c r="D2970" t="s">
        <v>10314</v>
      </c>
      <c r="E2970">
        <f>sch_learners_pregnant_transferredin_g9</f>
        <v>0</v>
      </c>
      <c r="F2970" t="b">
        <v>1</v>
      </c>
      <c r="N2970" s="1346"/>
    </row>
    <row r="2971" spans="1:14" x14ac:dyDescent="0.35">
      <c r="A2971" t="s">
        <v>5440</v>
      </c>
      <c r="B2971" t="s">
        <v>5426</v>
      </c>
      <c r="C2971" t="s">
        <v>5440</v>
      </c>
      <c r="D2971" t="s">
        <v>10315</v>
      </c>
      <c r="E2971">
        <f>sch_learners_pregnant_transferredout_g9</f>
        <v>0</v>
      </c>
      <c r="F2971" t="b">
        <v>1</v>
      </c>
      <c r="N2971" s="1346"/>
    </row>
    <row r="2972" spans="1:14" x14ac:dyDescent="0.35">
      <c r="A2972" t="s">
        <v>5444</v>
      </c>
      <c r="B2972" t="s">
        <v>5426</v>
      </c>
      <c r="C2972" t="s">
        <v>5444</v>
      </c>
      <c r="D2972" t="s">
        <v>10316</v>
      </c>
      <c r="E2972">
        <f>sch_learners_pregnant_dropped_g9</f>
        <v>0</v>
      </c>
      <c r="F2972" t="b">
        <v>1</v>
      </c>
      <c r="N2972" s="1346"/>
    </row>
    <row r="2973" spans="1:14" x14ac:dyDescent="0.35">
      <c r="A2973" t="s">
        <v>5433</v>
      </c>
      <c r="B2973" t="s">
        <v>5426</v>
      </c>
      <c r="C2973" t="s">
        <v>5433</v>
      </c>
      <c r="D2973" t="s">
        <v>10317</v>
      </c>
      <c r="E2973">
        <f>sch_learners_pregnant_adm_g10</f>
        <v>4</v>
      </c>
      <c r="F2973" t="b">
        <v>1</v>
      </c>
      <c r="N2973" s="1346"/>
    </row>
    <row r="2974" spans="1:14" x14ac:dyDescent="0.35">
      <c r="A2974" t="s">
        <v>5437</v>
      </c>
      <c r="B2974" t="s">
        <v>5426</v>
      </c>
      <c r="C2974" t="s">
        <v>5437</v>
      </c>
      <c r="D2974" t="s">
        <v>10318</v>
      </c>
      <c r="E2974">
        <f>sch_learners_pregnant_transferredin_g10</f>
        <v>0</v>
      </c>
      <c r="F2974" t="b">
        <v>1</v>
      </c>
      <c r="N2974" s="1346"/>
    </row>
    <row r="2975" spans="1:14" x14ac:dyDescent="0.35">
      <c r="A2975" t="s">
        <v>5441</v>
      </c>
      <c r="B2975" t="s">
        <v>5426</v>
      </c>
      <c r="C2975" t="s">
        <v>5441</v>
      </c>
      <c r="D2975" t="s">
        <v>10319</v>
      </c>
      <c r="E2975">
        <f>sch_learners_pregnant_transferredout_g10</f>
        <v>0</v>
      </c>
      <c r="F2975" t="b">
        <v>1</v>
      </c>
      <c r="N2975" s="1346"/>
    </row>
    <row r="2976" spans="1:14" x14ac:dyDescent="0.35">
      <c r="A2976" t="s">
        <v>5445</v>
      </c>
      <c r="B2976" t="s">
        <v>5426</v>
      </c>
      <c r="C2976" t="s">
        <v>5445</v>
      </c>
      <c r="D2976" t="s">
        <v>10320</v>
      </c>
      <c r="E2976">
        <f>sch_learners_pregnant_dropped_g10</f>
        <v>0</v>
      </c>
      <c r="F2976" t="b">
        <v>1</v>
      </c>
      <c r="N2976" s="1346"/>
    </row>
    <row r="2977" spans="1:14" x14ac:dyDescent="0.35">
      <c r="A2977" t="s">
        <v>5446</v>
      </c>
      <c r="B2977" t="s">
        <v>5426</v>
      </c>
      <c r="C2977" t="s">
        <v>5446</v>
      </c>
      <c r="D2977" t="s">
        <v>10321</v>
      </c>
      <c r="E2977">
        <f>sch_learners_impregnator_inschool_g7</f>
        <v>0</v>
      </c>
      <c r="F2977" t="b">
        <v>1</v>
      </c>
      <c r="N2977" s="1346"/>
    </row>
    <row r="2978" spans="1:14" x14ac:dyDescent="0.35">
      <c r="A2978" t="s">
        <v>5450</v>
      </c>
      <c r="B2978" t="s">
        <v>5426</v>
      </c>
      <c r="C2978" t="s">
        <v>5450</v>
      </c>
      <c r="D2978" s="1353" t="s">
        <v>10358</v>
      </c>
      <c r="E2978">
        <f>sch_learners_impregnator_adm_g7</f>
        <v>0</v>
      </c>
      <c r="F2978" t="b">
        <v>1</v>
      </c>
      <c r="N2978" s="1346"/>
    </row>
    <row r="2979" spans="1:14" x14ac:dyDescent="0.35">
      <c r="A2979" t="s">
        <v>5454</v>
      </c>
      <c r="B2979" t="s">
        <v>5426</v>
      </c>
      <c r="C2979" t="s">
        <v>5454</v>
      </c>
      <c r="D2979" s="1353" t="s">
        <v>10359</v>
      </c>
      <c r="E2979">
        <f>sch_learners_impregnator_transferredin_g7</f>
        <v>0</v>
      </c>
      <c r="F2979" t="b">
        <v>1</v>
      </c>
      <c r="N2979" s="1346"/>
    </row>
    <row r="2980" spans="1:14" x14ac:dyDescent="0.35">
      <c r="A2980" t="s">
        <v>5458</v>
      </c>
      <c r="B2980" t="s">
        <v>5426</v>
      </c>
      <c r="C2980" t="s">
        <v>5458</v>
      </c>
      <c r="D2980" s="1353" t="s">
        <v>10360</v>
      </c>
      <c r="E2980">
        <f>sch_learners_impregnator_transferredout_g7</f>
        <v>0</v>
      </c>
      <c r="F2980" t="b">
        <v>1</v>
      </c>
      <c r="N2980" s="1346"/>
    </row>
    <row r="2981" spans="1:14" x14ac:dyDescent="0.35">
      <c r="A2981" t="s">
        <v>5462</v>
      </c>
      <c r="B2981" t="s">
        <v>5426</v>
      </c>
      <c r="C2981" t="s">
        <v>5462</v>
      </c>
      <c r="D2981" s="1353" t="s">
        <v>10361</v>
      </c>
      <c r="E2981">
        <f>sch_learners_impregnator_dropped_g7</f>
        <v>0</v>
      </c>
      <c r="F2981" t="b">
        <v>1</v>
      </c>
      <c r="N2981" s="1346"/>
    </row>
    <row r="2982" spans="1:14" x14ac:dyDescent="0.35">
      <c r="A2982" t="s">
        <v>5447</v>
      </c>
      <c r="B2982" t="s">
        <v>5426</v>
      </c>
      <c r="C2982" t="s">
        <v>5447</v>
      </c>
      <c r="D2982" t="s">
        <v>10322</v>
      </c>
      <c r="E2982">
        <f>sch_learners_impregnator_inschool_g8</f>
        <v>0</v>
      </c>
      <c r="F2982" t="b">
        <v>1</v>
      </c>
      <c r="N2982" s="1346"/>
    </row>
    <row r="2983" spans="1:14" x14ac:dyDescent="0.35">
      <c r="A2983" t="s">
        <v>5451</v>
      </c>
      <c r="B2983" t="s">
        <v>5426</v>
      </c>
      <c r="C2983" t="s">
        <v>5451</v>
      </c>
      <c r="D2983" s="1353" t="s">
        <v>10362</v>
      </c>
      <c r="E2983">
        <f>sch_learners_impregnator_adm_g8</f>
        <v>0</v>
      </c>
      <c r="F2983" t="b">
        <v>1</v>
      </c>
      <c r="N2983" s="1346"/>
    </row>
    <row r="2984" spans="1:14" x14ac:dyDescent="0.35">
      <c r="A2984" t="s">
        <v>5455</v>
      </c>
      <c r="B2984" t="s">
        <v>5426</v>
      </c>
      <c r="C2984" t="s">
        <v>5455</v>
      </c>
      <c r="D2984" s="1353" t="s">
        <v>10363</v>
      </c>
      <c r="E2984">
        <f>sch_learners_impregnator_transferredin_g8</f>
        <v>0</v>
      </c>
      <c r="F2984" t="b">
        <v>1</v>
      </c>
      <c r="N2984" s="1346"/>
    </row>
    <row r="2985" spans="1:14" x14ac:dyDescent="0.35">
      <c r="A2985" t="s">
        <v>5459</v>
      </c>
      <c r="B2985" t="s">
        <v>5426</v>
      </c>
      <c r="C2985" t="s">
        <v>5459</v>
      </c>
      <c r="D2985" s="1353" t="s">
        <v>10364</v>
      </c>
      <c r="E2985">
        <f>sch_learners_impregnator_transferredout_g8</f>
        <v>0</v>
      </c>
      <c r="F2985" t="b">
        <v>1</v>
      </c>
      <c r="N2985" s="1346"/>
    </row>
    <row r="2986" spans="1:14" x14ac:dyDescent="0.35">
      <c r="A2986" t="s">
        <v>5463</v>
      </c>
      <c r="B2986" t="s">
        <v>5426</v>
      </c>
      <c r="C2986" t="s">
        <v>5463</v>
      </c>
      <c r="D2986" s="1353" t="s">
        <v>10365</v>
      </c>
      <c r="E2986">
        <f>sch_learners_impregnator_dropped_g8</f>
        <v>0</v>
      </c>
      <c r="F2986" t="b">
        <v>1</v>
      </c>
      <c r="N2986" s="1346"/>
    </row>
    <row r="2987" spans="1:14" x14ac:dyDescent="0.35">
      <c r="A2987" t="s">
        <v>5448</v>
      </c>
      <c r="B2987" t="s">
        <v>5426</v>
      </c>
      <c r="C2987" t="s">
        <v>5448</v>
      </c>
      <c r="D2987" t="s">
        <v>10323</v>
      </c>
      <c r="E2987">
        <f>sch_learners_impregnator_inschool_g9</f>
        <v>0</v>
      </c>
      <c r="F2987" t="b">
        <v>1</v>
      </c>
      <c r="N2987" s="1346"/>
    </row>
    <row r="2988" spans="1:14" x14ac:dyDescent="0.35">
      <c r="A2988" t="s">
        <v>5452</v>
      </c>
      <c r="B2988" t="s">
        <v>5426</v>
      </c>
      <c r="C2988" t="s">
        <v>5452</v>
      </c>
      <c r="D2988" s="1353" t="s">
        <v>10366</v>
      </c>
      <c r="E2988">
        <f>sch_learners_impregnator_adm_g9</f>
        <v>0</v>
      </c>
      <c r="F2988" t="b">
        <v>1</v>
      </c>
      <c r="N2988" s="1346"/>
    </row>
    <row r="2989" spans="1:14" x14ac:dyDescent="0.35">
      <c r="A2989" t="s">
        <v>5456</v>
      </c>
      <c r="B2989" t="s">
        <v>5426</v>
      </c>
      <c r="C2989" t="s">
        <v>5456</v>
      </c>
      <c r="D2989" s="1353" t="s">
        <v>10367</v>
      </c>
      <c r="E2989">
        <f>sch_learners_impregnator_transferredin_g9</f>
        <v>0</v>
      </c>
      <c r="F2989" t="b">
        <v>1</v>
      </c>
      <c r="N2989" s="1346"/>
    </row>
    <row r="2990" spans="1:14" x14ac:dyDescent="0.35">
      <c r="A2990" t="s">
        <v>5460</v>
      </c>
      <c r="B2990" t="s">
        <v>5426</v>
      </c>
      <c r="C2990" t="s">
        <v>5460</v>
      </c>
      <c r="D2990" s="1353" t="s">
        <v>10368</v>
      </c>
      <c r="E2990">
        <f>sch_learners_impregnator_transferredout_g9</f>
        <v>0</v>
      </c>
      <c r="F2990" t="b">
        <v>1</v>
      </c>
      <c r="N2990" s="1346"/>
    </row>
    <row r="2991" spans="1:14" x14ac:dyDescent="0.35">
      <c r="A2991" t="s">
        <v>5464</v>
      </c>
      <c r="B2991" t="s">
        <v>5426</v>
      </c>
      <c r="C2991" t="s">
        <v>5464</v>
      </c>
      <c r="D2991" s="1353" t="s">
        <v>10369</v>
      </c>
      <c r="E2991">
        <f>sch_learners_impregnator_dropped_g9</f>
        <v>0</v>
      </c>
      <c r="F2991" t="b">
        <v>1</v>
      </c>
      <c r="N2991" s="1346"/>
    </row>
    <row r="2992" spans="1:14" x14ac:dyDescent="0.35">
      <c r="A2992" t="s">
        <v>5449</v>
      </c>
      <c r="B2992" t="s">
        <v>5426</v>
      </c>
      <c r="C2992" t="s">
        <v>5449</v>
      </c>
      <c r="D2992" t="s">
        <v>10324</v>
      </c>
      <c r="E2992">
        <f>sch_learners_impregnator_inschool_g10</f>
        <v>0</v>
      </c>
      <c r="F2992" t="b">
        <v>1</v>
      </c>
      <c r="N2992" s="1346"/>
    </row>
    <row r="2993" spans="1:14" x14ac:dyDescent="0.35">
      <c r="A2993" t="s">
        <v>5453</v>
      </c>
      <c r="B2993" t="s">
        <v>5426</v>
      </c>
      <c r="C2993" t="s">
        <v>5453</v>
      </c>
      <c r="D2993" s="1353" t="s">
        <v>10370</v>
      </c>
      <c r="E2993">
        <f>sch_learners_impregnator_adm_g10</f>
        <v>0</v>
      </c>
      <c r="F2993" t="b">
        <v>1</v>
      </c>
      <c r="N2993" s="1346"/>
    </row>
    <row r="2994" spans="1:14" x14ac:dyDescent="0.35">
      <c r="A2994" t="s">
        <v>5457</v>
      </c>
      <c r="B2994" t="s">
        <v>5426</v>
      </c>
      <c r="C2994" t="s">
        <v>5457</v>
      </c>
      <c r="D2994" s="1353" t="s">
        <v>10371</v>
      </c>
      <c r="E2994">
        <f>sch_learners_impregnator_transferredin_g10</f>
        <v>0</v>
      </c>
      <c r="F2994" t="b">
        <v>1</v>
      </c>
      <c r="N2994" s="1346"/>
    </row>
    <row r="2995" spans="1:14" x14ac:dyDescent="0.35">
      <c r="A2995" t="s">
        <v>5461</v>
      </c>
      <c r="B2995" t="s">
        <v>5426</v>
      </c>
      <c r="C2995" t="s">
        <v>5461</v>
      </c>
      <c r="D2995" s="1353" t="s">
        <v>10372</v>
      </c>
      <c r="E2995">
        <f>sch_learners_impregnator_transferredout_g10</f>
        <v>0</v>
      </c>
      <c r="F2995" t="b">
        <v>1</v>
      </c>
      <c r="N2995" s="1346"/>
    </row>
    <row r="2996" spans="1:14" x14ac:dyDescent="0.35">
      <c r="A2996" t="s">
        <v>5465</v>
      </c>
      <c r="B2996" t="s">
        <v>5426</v>
      </c>
      <c r="C2996" t="s">
        <v>5465</v>
      </c>
      <c r="D2996" s="1353" t="s">
        <v>10373</v>
      </c>
      <c r="E2996">
        <f>sch_learners_impregnator_dropped_g10</f>
        <v>0</v>
      </c>
      <c r="F2996" t="b">
        <v>1</v>
      </c>
      <c r="N2996" s="1346"/>
    </row>
    <row r="2997" spans="1:14" x14ac:dyDescent="0.35">
      <c r="A2997" t="s">
        <v>5466</v>
      </c>
      <c r="B2997" t="s">
        <v>5426</v>
      </c>
      <c r="C2997" t="s">
        <v>5466</v>
      </c>
      <c r="D2997" t="s">
        <v>10325</v>
      </c>
      <c r="E2997" t="b">
        <f>sch_teencenter_operational</f>
        <v>1</v>
      </c>
      <c r="F2997" t="b">
        <f>ISLOGICAL(E2997)</f>
        <v>1</v>
      </c>
      <c r="G2997" t="s">
        <v>12516</v>
      </c>
      <c r="N2997" s="1346"/>
    </row>
    <row r="2998" spans="1:14" x14ac:dyDescent="0.35">
      <c r="A2998" t="s">
        <v>5467</v>
      </c>
      <c r="B2998" t="s">
        <v>5426</v>
      </c>
      <c r="C2998" t="s">
        <v>5467</v>
      </c>
      <c r="D2998" t="s">
        <v>10326</v>
      </c>
      <c r="E2998">
        <f>sch_learners_repoductivehealth_training_hivaids_g7</f>
        <v>0</v>
      </c>
      <c r="F2998" t="b">
        <v>1</v>
      </c>
      <c r="N2998" s="1346"/>
    </row>
    <row r="2999" spans="1:14" x14ac:dyDescent="0.35">
      <c r="A2999" t="s">
        <v>5471</v>
      </c>
      <c r="B2999" t="s">
        <v>5426</v>
      </c>
      <c r="C2999" t="s">
        <v>5471</v>
      </c>
      <c r="D2999" t="s">
        <v>10327</v>
      </c>
      <c r="E2999">
        <f>sch_learners_repoductivehealth_training_asrh_g7</f>
        <v>0</v>
      </c>
      <c r="F2999" t="b">
        <v>1</v>
      </c>
      <c r="N2999" s="1346"/>
    </row>
    <row r="3000" spans="1:14" x14ac:dyDescent="0.35">
      <c r="A3000" t="s">
        <v>5475</v>
      </c>
      <c r="B3000" t="s">
        <v>5426</v>
      </c>
      <c r="C3000" t="s">
        <v>5475</v>
      </c>
      <c r="D3000" t="s">
        <v>10328</v>
      </c>
      <c r="E3000">
        <f>sch_learners_repoductivehealth_training_arhc_g7</f>
        <v>0</v>
      </c>
      <c r="F3000" t="b">
        <v>1</v>
      </c>
      <c r="N3000" s="1346"/>
    </row>
    <row r="3001" spans="1:14" x14ac:dyDescent="0.35">
      <c r="A3001" t="s">
        <v>5479</v>
      </c>
      <c r="B3001" t="s">
        <v>5426</v>
      </c>
      <c r="C3001" t="s">
        <v>5479</v>
      </c>
      <c r="D3001" t="s">
        <v>10329</v>
      </c>
      <c r="E3001">
        <f>sch_learners_repoductivehealth_training_ctc_g7</f>
        <v>10</v>
      </c>
      <c r="F3001" t="b">
        <v>1</v>
      </c>
      <c r="N3001" s="1346"/>
    </row>
    <row r="3002" spans="1:14" x14ac:dyDescent="0.35">
      <c r="A3002" t="s">
        <v>5483</v>
      </c>
      <c r="B3002" t="s">
        <v>5426</v>
      </c>
      <c r="C3002" t="s">
        <v>5483</v>
      </c>
      <c r="D3002" t="s">
        <v>10330</v>
      </c>
      <c r="E3002">
        <f>sch_learners_repoductivehealth_training_rcy_g7</f>
        <v>0</v>
      </c>
      <c r="F3002" t="b">
        <v>1</v>
      </c>
      <c r="N3002" s="1346"/>
    </row>
    <row r="3003" spans="1:14" x14ac:dyDescent="0.35">
      <c r="A3003" t="s">
        <v>5468</v>
      </c>
      <c r="B3003" t="s">
        <v>5426</v>
      </c>
      <c r="C3003" t="s">
        <v>5468</v>
      </c>
      <c r="D3003" t="s">
        <v>10331</v>
      </c>
      <c r="E3003">
        <f>sch_learners_repoductivehealth_training_hivaids_g8</f>
        <v>0</v>
      </c>
      <c r="F3003" t="b">
        <v>1</v>
      </c>
      <c r="N3003" s="1346"/>
    </row>
    <row r="3004" spans="1:14" x14ac:dyDescent="0.35">
      <c r="A3004" t="s">
        <v>5472</v>
      </c>
      <c r="B3004" t="s">
        <v>5426</v>
      </c>
      <c r="C3004" t="s">
        <v>5472</v>
      </c>
      <c r="D3004" t="s">
        <v>10332</v>
      </c>
      <c r="E3004">
        <f>sch_learners_repoductivehealth_training_asrh_g8</f>
        <v>0</v>
      </c>
      <c r="F3004" t="b">
        <v>1</v>
      </c>
      <c r="N3004" s="1346"/>
    </row>
    <row r="3005" spans="1:14" x14ac:dyDescent="0.35">
      <c r="A3005" t="s">
        <v>5476</v>
      </c>
      <c r="B3005" t="s">
        <v>5426</v>
      </c>
      <c r="C3005" t="s">
        <v>5476</v>
      </c>
      <c r="D3005" t="s">
        <v>10333</v>
      </c>
      <c r="E3005">
        <f>sch_learners_repoductivehealth_training_arhc_g8</f>
        <v>0</v>
      </c>
      <c r="F3005" t="b">
        <v>1</v>
      </c>
      <c r="N3005" s="1346"/>
    </row>
    <row r="3006" spans="1:14" x14ac:dyDescent="0.35">
      <c r="A3006" t="s">
        <v>5480</v>
      </c>
      <c r="B3006" t="s">
        <v>5426</v>
      </c>
      <c r="C3006" t="s">
        <v>5480</v>
      </c>
      <c r="D3006" t="s">
        <v>10334</v>
      </c>
      <c r="E3006">
        <f>sch_learners_repoductivehealth_training_ctc_g8</f>
        <v>15</v>
      </c>
      <c r="F3006" t="b">
        <v>1</v>
      </c>
      <c r="N3006" s="1346"/>
    </row>
    <row r="3007" spans="1:14" x14ac:dyDescent="0.35">
      <c r="A3007" t="s">
        <v>5484</v>
      </c>
      <c r="B3007" t="s">
        <v>5426</v>
      </c>
      <c r="C3007" t="s">
        <v>5484</v>
      </c>
      <c r="D3007" t="s">
        <v>10335</v>
      </c>
      <c r="E3007">
        <f>sch_learners_repoductivehealth_training_rcy_g8</f>
        <v>0</v>
      </c>
      <c r="F3007" t="b">
        <v>1</v>
      </c>
      <c r="N3007" s="1346"/>
    </row>
    <row r="3008" spans="1:14" x14ac:dyDescent="0.35">
      <c r="A3008" t="s">
        <v>5469</v>
      </c>
      <c r="B3008" t="s">
        <v>5426</v>
      </c>
      <c r="C3008" t="s">
        <v>5469</v>
      </c>
      <c r="D3008" t="s">
        <v>10336</v>
      </c>
      <c r="E3008">
        <f>sch_learners_repoductivehealth_training_hivaids_g9</f>
        <v>0</v>
      </c>
      <c r="F3008" t="b">
        <v>1</v>
      </c>
      <c r="N3008" s="1346"/>
    </row>
    <row r="3009" spans="1:14" x14ac:dyDescent="0.35">
      <c r="A3009" t="s">
        <v>5473</v>
      </c>
      <c r="B3009" t="s">
        <v>5426</v>
      </c>
      <c r="C3009" t="s">
        <v>5473</v>
      </c>
      <c r="D3009" t="s">
        <v>10337</v>
      </c>
      <c r="E3009">
        <f>sch_learners_repoductivehealth_training_asrh_g9</f>
        <v>0</v>
      </c>
      <c r="F3009" t="b">
        <v>1</v>
      </c>
      <c r="N3009" s="1346"/>
    </row>
    <row r="3010" spans="1:14" x14ac:dyDescent="0.35">
      <c r="A3010" t="s">
        <v>5477</v>
      </c>
      <c r="B3010" t="s">
        <v>5426</v>
      </c>
      <c r="C3010" t="s">
        <v>5477</v>
      </c>
      <c r="D3010" t="s">
        <v>10338</v>
      </c>
      <c r="E3010">
        <f>sch_learners_repoductivehealth_training_arhc_g9</f>
        <v>0</v>
      </c>
      <c r="F3010" t="b">
        <v>1</v>
      </c>
      <c r="N3010" s="1346"/>
    </row>
    <row r="3011" spans="1:14" x14ac:dyDescent="0.35">
      <c r="A3011" t="s">
        <v>5481</v>
      </c>
      <c r="B3011" t="s">
        <v>5426</v>
      </c>
      <c r="C3011" t="s">
        <v>5481</v>
      </c>
      <c r="D3011" t="s">
        <v>10339</v>
      </c>
      <c r="E3011">
        <f>sch_learners_repoductivehealth_training_ctc_g9</f>
        <v>18</v>
      </c>
      <c r="F3011" t="b">
        <v>1</v>
      </c>
      <c r="N3011" s="1346"/>
    </row>
    <row r="3012" spans="1:14" x14ac:dyDescent="0.35">
      <c r="A3012" t="s">
        <v>5485</v>
      </c>
      <c r="B3012" t="s">
        <v>5426</v>
      </c>
      <c r="C3012" t="s">
        <v>5485</v>
      </c>
      <c r="D3012" t="s">
        <v>10340</v>
      </c>
      <c r="E3012">
        <f>sch_learners_repoductivehealth_training_rcy_g9</f>
        <v>0</v>
      </c>
      <c r="F3012" t="b">
        <v>1</v>
      </c>
      <c r="N3012" s="1346"/>
    </row>
    <row r="3013" spans="1:14" x14ac:dyDescent="0.35">
      <c r="A3013" t="s">
        <v>5470</v>
      </c>
      <c r="B3013" t="s">
        <v>5426</v>
      </c>
      <c r="C3013" t="s">
        <v>5470</v>
      </c>
      <c r="D3013" t="s">
        <v>10341</v>
      </c>
      <c r="E3013">
        <f>sch_learners_repoductivehealth_training_hivaids_g10</f>
        <v>0</v>
      </c>
      <c r="F3013" t="b">
        <v>1</v>
      </c>
      <c r="N3013" s="1346"/>
    </row>
    <row r="3014" spans="1:14" x14ac:dyDescent="0.35">
      <c r="A3014" t="s">
        <v>5474</v>
      </c>
      <c r="B3014" t="s">
        <v>5426</v>
      </c>
      <c r="C3014" t="s">
        <v>5474</v>
      </c>
      <c r="D3014" t="s">
        <v>10342</v>
      </c>
      <c r="E3014">
        <f>sch_learners_repoductivehealth_training_asrh_g10</f>
        <v>0</v>
      </c>
      <c r="F3014" t="b">
        <v>1</v>
      </c>
      <c r="N3014" s="1346"/>
    </row>
    <row r="3015" spans="1:14" x14ac:dyDescent="0.35">
      <c r="A3015" t="s">
        <v>5478</v>
      </c>
      <c r="B3015" t="s">
        <v>5426</v>
      </c>
      <c r="C3015" t="s">
        <v>5478</v>
      </c>
      <c r="D3015" t="s">
        <v>10343</v>
      </c>
      <c r="E3015">
        <f>sch_learners_repoductivehealth_training_arhc_g10</f>
        <v>0</v>
      </c>
      <c r="F3015" t="b">
        <v>1</v>
      </c>
      <c r="N3015" s="1346"/>
    </row>
    <row r="3016" spans="1:14" x14ac:dyDescent="0.35">
      <c r="A3016" t="s">
        <v>5482</v>
      </c>
      <c r="B3016" t="s">
        <v>5426</v>
      </c>
      <c r="C3016" t="s">
        <v>5482</v>
      </c>
      <c r="D3016" t="s">
        <v>10344</v>
      </c>
      <c r="E3016">
        <f>sch_learners_repoductivehealth_training_ctc_g10</f>
        <v>28</v>
      </c>
      <c r="F3016" t="b">
        <v>1</v>
      </c>
      <c r="N3016" s="1346"/>
    </row>
    <row r="3017" spans="1:14" x14ac:dyDescent="0.35">
      <c r="A3017" t="s">
        <v>5486</v>
      </c>
      <c r="B3017" t="s">
        <v>5426</v>
      </c>
      <c r="C3017" t="s">
        <v>5486</v>
      </c>
      <c r="D3017" t="s">
        <v>10345</v>
      </c>
      <c r="E3017">
        <f>sch_learners_repoductivehealth_training_rcy_g10</f>
        <v>0</v>
      </c>
      <c r="F3017" t="b">
        <v>1</v>
      </c>
      <c r="N3017" s="1346"/>
    </row>
    <row r="3018" spans="1:14" x14ac:dyDescent="0.35">
      <c r="A3018" t="s">
        <v>5487</v>
      </c>
      <c r="B3018" t="s">
        <v>5426</v>
      </c>
      <c r="C3018" t="s">
        <v>5487</v>
      </c>
      <c r="D3018" t="s">
        <v>10346</v>
      </c>
      <c r="E3018">
        <f>sch_teachers_repoductivehealth_training_aja_g7</f>
        <v>0</v>
      </c>
      <c r="F3018" t="b">
        <v>1</v>
      </c>
      <c r="N3018" s="1346"/>
    </row>
    <row r="3019" spans="1:14" x14ac:dyDescent="0.35">
      <c r="A3019" t="s">
        <v>5491</v>
      </c>
      <c r="B3019" t="s">
        <v>5426</v>
      </c>
      <c r="C3019" t="s">
        <v>5491</v>
      </c>
      <c r="D3019" t="s">
        <v>10347</v>
      </c>
      <c r="E3019">
        <f>sch_teachers_repoductivehealth_training_adept_g7</f>
        <v>0</v>
      </c>
      <c r="F3019" t="b">
        <v>1</v>
      </c>
      <c r="N3019" s="1346"/>
    </row>
    <row r="3020" spans="1:14" x14ac:dyDescent="0.35">
      <c r="A3020" t="s">
        <v>5495</v>
      </c>
      <c r="B3020" t="s">
        <v>5426</v>
      </c>
      <c r="C3020" t="s">
        <v>5495</v>
      </c>
      <c r="D3020" t="s">
        <v>10348</v>
      </c>
      <c r="E3020">
        <f>sch_teachers_repoductivehealth_training_hivaids_g7</f>
        <v>0</v>
      </c>
      <c r="F3020" t="b">
        <v>1</v>
      </c>
      <c r="N3020" s="1346"/>
    </row>
    <row r="3021" spans="1:14" x14ac:dyDescent="0.35">
      <c r="A3021" t="s">
        <v>5488</v>
      </c>
      <c r="B3021" t="s">
        <v>5426</v>
      </c>
      <c r="C3021" t="s">
        <v>5488</v>
      </c>
      <c r="D3021" t="s">
        <v>10349</v>
      </c>
      <c r="E3021">
        <f>sch_teachers_repoductivehealth_training_aja_g8</f>
        <v>0</v>
      </c>
      <c r="F3021" t="b">
        <v>1</v>
      </c>
      <c r="N3021" s="1346"/>
    </row>
    <row r="3022" spans="1:14" x14ac:dyDescent="0.35">
      <c r="A3022" t="s">
        <v>5492</v>
      </c>
      <c r="B3022" t="s">
        <v>5426</v>
      </c>
      <c r="C3022" t="s">
        <v>5492</v>
      </c>
      <c r="D3022" t="s">
        <v>10350</v>
      </c>
      <c r="E3022">
        <f>sch_teachers_repoductivehealth_training_adept_g8</f>
        <v>0</v>
      </c>
      <c r="F3022" t="b">
        <v>1</v>
      </c>
      <c r="N3022" s="1346"/>
    </row>
    <row r="3023" spans="1:14" x14ac:dyDescent="0.35">
      <c r="A3023" t="s">
        <v>5496</v>
      </c>
      <c r="B3023" t="s">
        <v>5426</v>
      </c>
      <c r="C3023" t="s">
        <v>5496</v>
      </c>
      <c r="D3023" t="s">
        <v>10351</v>
      </c>
      <c r="E3023">
        <f>sch_teachers_repoductivehealth_training_hivaids_g8</f>
        <v>0</v>
      </c>
      <c r="F3023" t="b">
        <v>1</v>
      </c>
      <c r="N3023" s="1346"/>
    </row>
    <row r="3024" spans="1:14" x14ac:dyDescent="0.35">
      <c r="A3024" t="s">
        <v>5489</v>
      </c>
      <c r="B3024" t="s">
        <v>5426</v>
      </c>
      <c r="C3024" t="s">
        <v>5489</v>
      </c>
      <c r="D3024" t="s">
        <v>10352</v>
      </c>
      <c r="E3024">
        <f>sch_teachers_repoductivehealth_training_aja_g9</f>
        <v>0</v>
      </c>
      <c r="F3024" t="b">
        <v>1</v>
      </c>
      <c r="N3024" s="1346"/>
    </row>
    <row r="3025" spans="1:14" x14ac:dyDescent="0.35">
      <c r="A3025" t="s">
        <v>5493</v>
      </c>
      <c r="B3025" t="s">
        <v>5426</v>
      </c>
      <c r="C3025" t="s">
        <v>5493</v>
      </c>
      <c r="D3025" t="s">
        <v>10353</v>
      </c>
      <c r="E3025">
        <f>sch_teachers_repoductivehealth_training_adept_g9</f>
        <v>0</v>
      </c>
      <c r="F3025" t="b">
        <v>1</v>
      </c>
      <c r="N3025" s="1346"/>
    </row>
    <row r="3026" spans="1:14" x14ac:dyDescent="0.35">
      <c r="A3026" t="s">
        <v>5497</v>
      </c>
      <c r="B3026" t="s">
        <v>5426</v>
      </c>
      <c r="C3026" t="s">
        <v>5497</v>
      </c>
      <c r="D3026" t="s">
        <v>10354</v>
      </c>
      <c r="E3026">
        <f>sch_teachers_repoductivehealth_training_hivaids_g9</f>
        <v>0</v>
      </c>
      <c r="F3026" t="b">
        <v>1</v>
      </c>
      <c r="N3026" s="1346"/>
    </row>
    <row r="3027" spans="1:14" x14ac:dyDescent="0.35">
      <c r="A3027" t="s">
        <v>5490</v>
      </c>
      <c r="B3027" t="s">
        <v>5426</v>
      </c>
      <c r="C3027" t="s">
        <v>5490</v>
      </c>
      <c r="D3027" t="s">
        <v>10355</v>
      </c>
      <c r="E3027">
        <f>sch_teachers_repoductivehealth_training_aja_g10</f>
        <v>1</v>
      </c>
      <c r="F3027" t="b">
        <v>1</v>
      </c>
      <c r="N3027" s="1346"/>
    </row>
    <row r="3028" spans="1:14" x14ac:dyDescent="0.35">
      <c r="A3028" t="s">
        <v>5494</v>
      </c>
      <c r="B3028" t="s">
        <v>5426</v>
      </c>
      <c r="C3028" t="s">
        <v>5494</v>
      </c>
      <c r="D3028" t="s">
        <v>10356</v>
      </c>
      <c r="E3028">
        <f>sch_teachers_repoductivehealth_training_adept_g10</f>
        <v>2</v>
      </c>
      <c r="F3028" t="b">
        <v>1</v>
      </c>
      <c r="N3028" s="1346"/>
    </row>
    <row r="3029" spans="1:14" s="1348" customFormat="1" ht="16" thickBot="1" x14ac:dyDescent="0.4">
      <c r="A3029" s="1348" t="s">
        <v>5498</v>
      </c>
      <c r="B3029" s="1348" t="s">
        <v>5426</v>
      </c>
      <c r="C3029" s="1348" t="s">
        <v>5498</v>
      </c>
      <c r="D3029" s="1348" t="s">
        <v>10357</v>
      </c>
      <c r="E3029" s="1348">
        <f>sch_teachers_repoductivehealth_training_hivaids_g10</f>
        <v>2</v>
      </c>
      <c r="F3029" s="1348" t="b">
        <v>1</v>
      </c>
      <c r="N3029" s="1366"/>
    </row>
    <row r="3030" spans="1:14" x14ac:dyDescent="0.35">
      <c r="A3030" t="s">
        <v>5499</v>
      </c>
      <c r="B3030" t="s">
        <v>5500</v>
      </c>
      <c r="C3030" t="s">
        <v>5499</v>
      </c>
      <c r="D3030" s="1353" t="s">
        <v>9020</v>
      </c>
      <c r="E3030" t="b">
        <f>tobaccoctrl_signages</f>
        <v>1</v>
      </c>
      <c r="F3030" t="b">
        <f>ISLOGICAL(E3030)</f>
        <v>1</v>
      </c>
      <c r="G3030" t="s">
        <v>12516</v>
      </c>
      <c r="N3030" s="1346"/>
    </row>
    <row r="3031" spans="1:14" x14ac:dyDescent="0.35">
      <c r="A3031" t="s">
        <v>5501</v>
      </c>
      <c r="B3031" t="s">
        <v>5500</v>
      </c>
      <c r="C3031" t="s">
        <v>5501</v>
      </c>
      <c r="D3031" s="1353" t="s">
        <v>9021</v>
      </c>
      <c r="E3031" t="b">
        <f>tobaccoctrl_posters</f>
        <v>1</v>
      </c>
      <c r="F3031" t="b">
        <f>ISLOGICAL(E3031)</f>
        <v>1</v>
      </c>
      <c r="G3031" t="s">
        <v>12516</v>
      </c>
      <c r="N3031" s="1346"/>
    </row>
    <row r="3032" spans="1:14" x14ac:dyDescent="0.35">
      <c r="A3032" t="s">
        <v>5502</v>
      </c>
      <c r="B3032" t="s">
        <v>5500</v>
      </c>
      <c r="C3032" t="s">
        <v>5502</v>
      </c>
      <c r="D3032" s="1353" t="s">
        <v>9022</v>
      </c>
      <c r="E3032" t="b">
        <f>tobaccoctrl_sellcigshop</f>
        <v>0</v>
      </c>
      <c r="F3032" t="b">
        <f>ISLOGICAL(E3032)</f>
        <v>1</v>
      </c>
      <c r="G3032" t="s">
        <v>12516</v>
      </c>
      <c r="N3032" s="1346"/>
    </row>
    <row r="3033" spans="1:14" x14ac:dyDescent="0.35">
      <c r="A3033" t="s">
        <v>5503</v>
      </c>
      <c r="B3033" t="s">
        <v>5500</v>
      </c>
      <c r="C3033" t="s">
        <v>5503</v>
      </c>
      <c r="D3033" s="1353" t="s">
        <v>9023</v>
      </c>
      <c r="E3033" t="b">
        <f>tobaccoctrl_sellvapeshop</f>
        <v>0</v>
      </c>
      <c r="F3033" t="b">
        <f>ISLOGICAL(E3033)</f>
        <v>1</v>
      </c>
      <c r="G3033" t="s">
        <v>12516</v>
      </c>
      <c r="N3033" s="1346"/>
    </row>
    <row r="3034" spans="1:14" x14ac:dyDescent="0.35">
      <c r="A3034" t="s">
        <v>5504</v>
      </c>
      <c r="B3034" t="s">
        <v>5500</v>
      </c>
      <c r="C3034" t="s">
        <v>5504</v>
      </c>
      <c r="D3034" s="1353" t="s">
        <v>9024</v>
      </c>
      <c r="E3034">
        <f>tobaccoctrl_matii_partnership</f>
        <v>0</v>
      </c>
      <c r="F3034" t="b">
        <v>1</v>
      </c>
      <c r="N3034" s="1346"/>
    </row>
    <row r="3035" spans="1:14" x14ac:dyDescent="0.35">
      <c r="A3035" t="s">
        <v>5505</v>
      </c>
      <c r="B3035" t="s">
        <v>5500</v>
      </c>
      <c r="C3035" t="s">
        <v>5505</v>
      </c>
      <c r="D3035" s="1353" t="s">
        <v>9025</v>
      </c>
      <c r="E3035">
        <f>tobaccoctrl_matii_partnership_ppi</f>
        <v>0</v>
      </c>
      <c r="F3035" t="b">
        <v>1</v>
      </c>
      <c r="N3035" s="1346"/>
    </row>
    <row r="3036" spans="1:14" x14ac:dyDescent="0.35">
      <c r="A3036" t="s">
        <v>5506</v>
      </c>
      <c r="B3036" t="s">
        <v>5500</v>
      </c>
      <c r="C3036" t="s">
        <v>5506</v>
      </c>
      <c r="D3036" s="1353" t="s">
        <v>9026</v>
      </c>
      <c r="E3036">
        <f>tobaccoctrl_matii_partnership_moa</f>
        <v>0</v>
      </c>
      <c r="F3036" t="b">
        <v>1</v>
      </c>
      <c r="N3036" s="1346"/>
    </row>
    <row r="3037" spans="1:14" x14ac:dyDescent="0.35">
      <c r="A3037" t="s">
        <v>5507</v>
      </c>
      <c r="B3037" t="s">
        <v>5500</v>
      </c>
      <c r="C3037" t="s">
        <v>5507</v>
      </c>
      <c r="D3037" s="1353" t="s">
        <v>9027</v>
      </c>
      <c r="E3037" t="b">
        <f>tobaccoctrl_sh_tobacco_noends</f>
        <v>0</v>
      </c>
      <c r="F3037" t="b">
        <f>ISLOGICAL(E3037)</f>
        <v>1</v>
      </c>
      <c r="G3037" t="s">
        <v>12516</v>
      </c>
      <c r="N3037" s="1346"/>
    </row>
    <row r="3038" spans="1:14" x14ac:dyDescent="0.35">
      <c r="A3038" t="s">
        <v>5508</v>
      </c>
      <c r="B3038" t="s">
        <v>5500</v>
      </c>
      <c r="C3038" t="s">
        <v>5508</v>
      </c>
      <c r="D3038" s="1353" t="s">
        <v>9028</v>
      </c>
      <c r="E3038" t="b">
        <f>tobaccoctrl_sh_notobacco_ends</f>
        <v>0</v>
      </c>
      <c r="F3038" t="b">
        <f>ISLOGICAL(E3038)</f>
        <v>1</v>
      </c>
      <c r="G3038" t="s">
        <v>12516</v>
      </c>
      <c r="N3038" s="1346"/>
    </row>
    <row r="3039" spans="1:14" x14ac:dyDescent="0.35">
      <c r="A3039" t="s">
        <v>5509</v>
      </c>
      <c r="B3039" t="s">
        <v>5500</v>
      </c>
      <c r="C3039" t="s">
        <v>5509</v>
      </c>
      <c r="D3039" s="1353" t="s">
        <v>9029</v>
      </c>
      <c r="E3039" t="b">
        <f>tobaccoctrl_sh_tobacco_ends</f>
        <v>0</v>
      </c>
      <c r="F3039" t="b">
        <f>ISLOGICAL(E3039)</f>
        <v>1</v>
      </c>
      <c r="G3039" t="s">
        <v>12516</v>
      </c>
      <c r="N3039" s="1346"/>
    </row>
    <row r="3040" spans="1:14" x14ac:dyDescent="0.35">
      <c r="A3040" t="s">
        <v>5510</v>
      </c>
      <c r="B3040" t="s">
        <v>5500</v>
      </c>
      <c r="C3040" t="s">
        <v>5510</v>
      </c>
      <c r="D3040" s="1353" t="s">
        <v>9030</v>
      </c>
      <c r="E3040" t="b">
        <f>tobaccoctrl_sh_notobacco_noends</f>
        <v>0</v>
      </c>
      <c r="F3040" t="b">
        <f>ISLOGICAL(E3040)</f>
        <v>1</v>
      </c>
      <c r="G3040" t="s">
        <v>12516</v>
      </c>
      <c r="N3040" s="1346"/>
    </row>
    <row r="3041" spans="1:14" x14ac:dyDescent="0.35">
      <c r="A3041" t="s">
        <v>5511</v>
      </c>
      <c r="B3041" t="s">
        <v>5500</v>
      </c>
      <c r="C3041" t="s">
        <v>5511</v>
      </c>
      <c r="D3041" s="1353" t="s">
        <v>9019</v>
      </c>
      <c r="E3041">
        <f>tobaccoctrl_teachers_tobacco_noends_g7</f>
        <v>0</v>
      </c>
      <c r="F3041" t="b">
        <v>1</v>
      </c>
      <c r="N3041" s="1346"/>
    </row>
    <row r="3042" spans="1:14" x14ac:dyDescent="0.35">
      <c r="A3042" t="s">
        <v>5515</v>
      </c>
      <c r="B3042" t="s">
        <v>5500</v>
      </c>
      <c r="C3042" t="s">
        <v>5515</v>
      </c>
      <c r="D3042" s="1353" t="s">
        <v>9034</v>
      </c>
      <c r="E3042">
        <f>tobaccoctrl_teachers_notobacco_ends_g7</f>
        <v>0</v>
      </c>
      <c r="F3042" t="b">
        <v>1</v>
      </c>
      <c r="N3042" s="1346"/>
    </row>
    <row r="3043" spans="1:14" x14ac:dyDescent="0.35">
      <c r="A3043" t="s">
        <v>5519</v>
      </c>
      <c r="B3043" t="s">
        <v>5500</v>
      </c>
      <c r="C3043" t="s">
        <v>5519</v>
      </c>
      <c r="D3043" s="1353" t="s">
        <v>9038</v>
      </c>
      <c r="E3043">
        <f>tobaccoctrl_teachers_tobacco_ends_g7</f>
        <v>0</v>
      </c>
      <c r="F3043" t="b">
        <v>1</v>
      </c>
      <c r="N3043" s="1346"/>
    </row>
    <row r="3044" spans="1:14" x14ac:dyDescent="0.35">
      <c r="A3044" t="s">
        <v>5512</v>
      </c>
      <c r="B3044" t="s">
        <v>5500</v>
      </c>
      <c r="C3044" t="s">
        <v>5512</v>
      </c>
      <c r="D3044" s="1353" t="s">
        <v>9031</v>
      </c>
      <c r="E3044">
        <f>tobaccoctrl_teachers_tobacco_noends_g8</f>
        <v>0</v>
      </c>
      <c r="F3044" t="b">
        <v>1</v>
      </c>
      <c r="N3044" s="1346"/>
    </row>
    <row r="3045" spans="1:14" x14ac:dyDescent="0.35">
      <c r="A3045" t="s">
        <v>5516</v>
      </c>
      <c r="B3045" t="s">
        <v>5500</v>
      </c>
      <c r="C3045" t="s">
        <v>5516</v>
      </c>
      <c r="D3045" s="1353" t="s">
        <v>9035</v>
      </c>
      <c r="E3045">
        <f>tobaccoctrl_teachers_notobacco_ends_g8</f>
        <v>0</v>
      </c>
      <c r="F3045" t="b">
        <v>1</v>
      </c>
      <c r="N3045" s="1346"/>
    </row>
    <row r="3046" spans="1:14" x14ac:dyDescent="0.35">
      <c r="A3046" t="s">
        <v>5520</v>
      </c>
      <c r="B3046" t="s">
        <v>5500</v>
      </c>
      <c r="C3046" t="s">
        <v>5520</v>
      </c>
      <c r="D3046" s="1353" t="s">
        <v>9039</v>
      </c>
      <c r="E3046">
        <f>tobaccoctrl_teachers_tobacco_ends_g8</f>
        <v>0</v>
      </c>
      <c r="F3046" t="b">
        <v>1</v>
      </c>
      <c r="N3046" s="1346"/>
    </row>
    <row r="3047" spans="1:14" x14ac:dyDescent="0.35">
      <c r="A3047" t="s">
        <v>5513</v>
      </c>
      <c r="B3047" t="s">
        <v>5500</v>
      </c>
      <c r="C3047" t="s">
        <v>5513</v>
      </c>
      <c r="D3047" s="1353" t="s">
        <v>9032</v>
      </c>
      <c r="E3047">
        <f>tobaccoctrl_teachers_tobacco_noends_g9</f>
        <v>0</v>
      </c>
      <c r="F3047" t="b">
        <v>1</v>
      </c>
      <c r="N3047" s="1346"/>
    </row>
    <row r="3048" spans="1:14" x14ac:dyDescent="0.35">
      <c r="A3048" t="s">
        <v>5517</v>
      </c>
      <c r="B3048" t="s">
        <v>5500</v>
      </c>
      <c r="C3048" t="s">
        <v>5517</v>
      </c>
      <c r="D3048" s="1353" t="s">
        <v>9036</v>
      </c>
      <c r="E3048">
        <f>tobaccoctrl_teachers_notobacco_ends_g9</f>
        <v>0</v>
      </c>
      <c r="F3048" t="b">
        <v>1</v>
      </c>
      <c r="N3048" s="1346"/>
    </row>
    <row r="3049" spans="1:14" x14ac:dyDescent="0.35">
      <c r="A3049" t="s">
        <v>5521</v>
      </c>
      <c r="B3049" t="s">
        <v>5500</v>
      </c>
      <c r="C3049" t="s">
        <v>5521</v>
      </c>
      <c r="D3049" s="1353" t="s">
        <v>9040</v>
      </c>
      <c r="E3049">
        <f>tobaccoctrl_teachers_tobacco_ends_g9</f>
        <v>0</v>
      </c>
      <c r="F3049" t="b">
        <v>1</v>
      </c>
      <c r="N3049" s="1346"/>
    </row>
    <row r="3050" spans="1:14" x14ac:dyDescent="0.35">
      <c r="A3050" t="s">
        <v>5514</v>
      </c>
      <c r="B3050" t="s">
        <v>5500</v>
      </c>
      <c r="C3050" t="s">
        <v>5514</v>
      </c>
      <c r="D3050" s="1353" t="s">
        <v>9033</v>
      </c>
      <c r="E3050">
        <f>tobaccoctrl_teachers_tobacco_noends_g10</f>
        <v>0</v>
      </c>
      <c r="F3050" t="b">
        <v>1</v>
      </c>
      <c r="N3050" s="1346"/>
    </row>
    <row r="3051" spans="1:14" x14ac:dyDescent="0.35">
      <c r="A3051" t="s">
        <v>5518</v>
      </c>
      <c r="B3051" t="s">
        <v>5500</v>
      </c>
      <c r="C3051" t="s">
        <v>5518</v>
      </c>
      <c r="D3051" s="1353" t="s">
        <v>9037</v>
      </c>
      <c r="E3051">
        <f>tobaccoctrl_teachers_notobacco_ends_g10</f>
        <v>0</v>
      </c>
      <c r="F3051" t="b">
        <v>1</v>
      </c>
      <c r="N3051" s="1346"/>
    </row>
    <row r="3052" spans="1:14" x14ac:dyDescent="0.35">
      <c r="A3052" t="s">
        <v>5522</v>
      </c>
      <c r="B3052" t="s">
        <v>5500</v>
      </c>
      <c r="C3052" t="s">
        <v>5522</v>
      </c>
      <c r="D3052" s="1353" t="s">
        <v>9041</v>
      </c>
      <c r="E3052">
        <f>tobaccoctrl_teachers_tobacco_ends_g10</f>
        <v>0</v>
      </c>
      <c r="F3052" t="b">
        <v>1</v>
      </c>
      <c r="N3052" s="1346"/>
    </row>
    <row r="3053" spans="1:14" x14ac:dyDescent="0.35">
      <c r="A3053" t="s">
        <v>5523</v>
      </c>
      <c r="B3053" t="s">
        <v>5500</v>
      </c>
      <c r="C3053" t="s">
        <v>5523</v>
      </c>
      <c r="D3053" s="1353" t="s">
        <v>9042</v>
      </c>
      <c r="E3053">
        <f>tobaccoctrl_learners_tobacco_noends_g7</f>
        <v>0</v>
      </c>
      <c r="F3053" t="b">
        <v>1</v>
      </c>
      <c r="N3053" s="1346"/>
    </row>
    <row r="3054" spans="1:14" x14ac:dyDescent="0.35">
      <c r="A3054" t="s">
        <v>5527</v>
      </c>
      <c r="B3054" t="s">
        <v>5500</v>
      </c>
      <c r="C3054" t="s">
        <v>5527</v>
      </c>
      <c r="D3054" s="1353" t="s">
        <v>9046</v>
      </c>
      <c r="E3054">
        <f>tobaccoctrl_learners_notobacco_ends_g7</f>
        <v>0</v>
      </c>
      <c r="F3054" t="b">
        <v>1</v>
      </c>
      <c r="N3054" s="1346"/>
    </row>
    <row r="3055" spans="1:14" x14ac:dyDescent="0.35">
      <c r="A3055" t="s">
        <v>5531</v>
      </c>
      <c r="B3055" t="s">
        <v>5500</v>
      </c>
      <c r="C3055" t="s">
        <v>5531</v>
      </c>
      <c r="D3055" s="1353" t="s">
        <v>9050</v>
      </c>
      <c r="E3055">
        <f>tobaccoctrl_learners_tobacco_ends_g7</f>
        <v>0</v>
      </c>
      <c r="F3055" t="b">
        <v>1</v>
      </c>
      <c r="N3055" s="1346"/>
    </row>
    <row r="3056" spans="1:14" x14ac:dyDescent="0.35">
      <c r="A3056" t="s">
        <v>5524</v>
      </c>
      <c r="B3056" t="s">
        <v>5500</v>
      </c>
      <c r="C3056" t="s">
        <v>5524</v>
      </c>
      <c r="D3056" s="1353" t="s">
        <v>9043</v>
      </c>
      <c r="E3056">
        <f>tobaccoctrl_learners_tobacco_noends_g8</f>
        <v>0</v>
      </c>
      <c r="F3056" t="b">
        <v>1</v>
      </c>
      <c r="N3056" s="1346"/>
    </row>
    <row r="3057" spans="1:14" x14ac:dyDescent="0.35">
      <c r="A3057" t="s">
        <v>5528</v>
      </c>
      <c r="B3057" t="s">
        <v>5500</v>
      </c>
      <c r="C3057" t="s">
        <v>5528</v>
      </c>
      <c r="D3057" s="1353" t="s">
        <v>9047</v>
      </c>
      <c r="E3057">
        <f>tobaccoctrl_learners_notobacco_ends_g8</f>
        <v>0</v>
      </c>
      <c r="F3057" t="b">
        <v>1</v>
      </c>
      <c r="N3057" s="1346"/>
    </row>
    <row r="3058" spans="1:14" x14ac:dyDescent="0.35">
      <c r="A3058" t="s">
        <v>5532</v>
      </c>
      <c r="B3058" t="s">
        <v>5500</v>
      </c>
      <c r="C3058" t="s">
        <v>5532</v>
      </c>
      <c r="D3058" s="1353" t="s">
        <v>9051</v>
      </c>
      <c r="E3058">
        <f>tobaccoctrl_learners_tobacco_ends_g8</f>
        <v>0</v>
      </c>
      <c r="F3058" t="b">
        <v>1</v>
      </c>
      <c r="N3058" s="1346"/>
    </row>
    <row r="3059" spans="1:14" x14ac:dyDescent="0.35">
      <c r="A3059" t="s">
        <v>5525</v>
      </c>
      <c r="B3059" t="s">
        <v>5500</v>
      </c>
      <c r="C3059" t="s">
        <v>5525</v>
      </c>
      <c r="D3059" s="1353" t="s">
        <v>9044</v>
      </c>
      <c r="E3059">
        <f>tobaccoctrl_learners_tobacco_noends_g9</f>
        <v>0</v>
      </c>
      <c r="F3059" t="b">
        <v>1</v>
      </c>
      <c r="N3059" s="1346"/>
    </row>
    <row r="3060" spans="1:14" x14ac:dyDescent="0.35">
      <c r="A3060" t="s">
        <v>5529</v>
      </c>
      <c r="B3060" t="s">
        <v>5500</v>
      </c>
      <c r="C3060" t="s">
        <v>5529</v>
      </c>
      <c r="D3060" s="1353" t="s">
        <v>9048</v>
      </c>
      <c r="E3060">
        <f>tobaccoctrl_learners_notobacco_ends_g9</f>
        <v>0</v>
      </c>
      <c r="F3060" t="b">
        <v>1</v>
      </c>
      <c r="N3060" s="1346"/>
    </row>
    <row r="3061" spans="1:14" x14ac:dyDescent="0.35">
      <c r="A3061" t="s">
        <v>5533</v>
      </c>
      <c r="B3061" t="s">
        <v>5500</v>
      </c>
      <c r="C3061" t="s">
        <v>5533</v>
      </c>
      <c r="D3061" s="1353" t="s">
        <v>9052</v>
      </c>
      <c r="E3061">
        <f>tobaccoctrl_learners_tobacco_ends_g9</f>
        <v>0</v>
      </c>
      <c r="F3061" t="b">
        <v>1</v>
      </c>
      <c r="N3061" s="1346"/>
    </row>
    <row r="3062" spans="1:14" x14ac:dyDescent="0.35">
      <c r="A3062" t="s">
        <v>5526</v>
      </c>
      <c r="B3062" t="s">
        <v>5500</v>
      </c>
      <c r="C3062" t="s">
        <v>5526</v>
      </c>
      <c r="D3062" s="1353" t="s">
        <v>9045</v>
      </c>
      <c r="E3062">
        <f>tobaccoctrl_learners_tobacco_noends_g10</f>
        <v>0</v>
      </c>
      <c r="F3062" t="b">
        <v>1</v>
      </c>
      <c r="N3062" s="1346"/>
    </row>
    <row r="3063" spans="1:14" x14ac:dyDescent="0.35">
      <c r="A3063" t="s">
        <v>5530</v>
      </c>
      <c r="B3063" t="s">
        <v>5500</v>
      </c>
      <c r="C3063" t="s">
        <v>5530</v>
      </c>
      <c r="D3063" s="1353" t="s">
        <v>9049</v>
      </c>
      <c r="E3063">
        <f>tobaccoctrl_learners_notobacco_ends_g10</f>
        <v>0</v>
      </c>
      <c r="F3063" t="b">
        <v>1</v>
      </c>
      <c r="N3063" s="1346"/>
    </row>
    <row r="3064" spans="1:14" s="1348" customFormat="1" ht="16" thickBot="1" x14ac:dyDescent="0.4">
      <c r="A3064" s="1348" t="s">
        <v>5534</v>
      </c>
      <c r="B3064" s="1348" t="s">
        <v>5500</v>
      </c>
      <c r="C3064" s="1348" t="s">
        <v>5534</v>
      </c>
      <c r="D3064" s="1355" t="s">
        <v>9053</v>
      </c>
      <c r="E3064" s="1348">
        <f>tobaccoctrl_learners_tobacco_ends_g10</f>
        <v>0</v>
      </c>
      <c r="F3064" s="1348" t="b">
        <v>1</v>
      </c>
      <c r="N3064" s="1366"/>
    </row>
    <row r="3065" spans="1:14" x14ac:dyDescent="0.35">
      <c r="A3065" t="s">
        <v>5535</v>
      </c>
      <c r="B3065" t="s">
        <v>5536</v>
      </c>
      <c r="C3065" t="s">
        <v>5535</v>
      </c>
      <c r="D3065" t="s">
        <v>10375</v>
      </c>
      <c r="E3065" t="b">
        <f>sch_drugprevention_implementation</f>
        <v>1</v>
      </c>
      <c r="F3065" t="b">
        <f>ISLOGICAL(E3065)</f>
        <v>1</v>
      </c>
      <c r="G3065" t="s">
        <v>12516</v>
      </c>
      <c r="N3065" s="1346"/>
    </row>
    <row r="3066" spans="1:14" x14ac:dyDescent="0.35">
      <c r="A3066" t="s">
        <v>5537</v>
      </c>
      <c r="B3066" t="s">
        <v>5536</v>
      </c>
      <c r="C3066" t="s">
        <v>5537</v>
      </c>
      <c r="D3066" t="s">
        <v>10376</v>
      </c>
      <c r="E3066" t="b">
        <f>sch_drugprevention_educprog_currintegration</f>
        <v>1</v>
      </c>
      <c r="F3066" t="b">
        <f>ISLOGICAL(E3066)</f>
        <v>1</v>
      </c>
      <c r="G3066" t="s">
        <v>12516</v>
      </c>
      <c r="N3066" s="1346"/>
    </row>
    <row r="3067" spans="1:14" x14ac:dyDescent="0.35">
      <c r="A3067" t="s">
        <v>5538</v>
      </c>
      <c r="B3067" t="s">
        <v>5536</v>
      </c>
      <c r="C3067" t="s">
        <v>5538</v>
      </c>
      <c r="D3067" t="s">
        <v>10377</v>
      </c>
      <c r="E3067" t="b">
        <f>sch_drugprevention_educprog_extracurri</f>
        <v>1</v>
      </c>
      <c r="F3067" t="b">
        <f>ISLOGICAL(E3067)</f>
        <v>1</v>
      </c>
      <c r="G3067" t="s">
        <v>12516</v>
      </c>
      <c r="N3067" s="1346"/>
    </row>
    <row r="3068" spans="1:14" x14ac:dyDescent="0.35">
      <c r="A3068" t="s">
        <v>5539</v>
      </c>
      <c r="B3068" t="s">
        <v>5536</v>
      </c>
      <c r="C3068" t="s">
        <v>5539</v>
      </c>
      <c r="D3068" t="s">
        <v>10378</v>
      </c>
      <c r="E3068" t="b">
        <f>sch_drugprevention_educprog_partnerbrgy</f>
        <v>1</v>
      </c>
      <c r="F3068" t="b">
        <f>ISLOGICAL(E3068)</f>
        <v>1</v>
      </c>
      <c r="G3068" t="s">
        <v>12516</v>
      </c>
      <c r="N3068" s="1346"/>
    </row>
    <row r="3069" spans="1:14" x14ac:dyDescent="0.35">
      <c r="A3069" t="s">
        <v>5540</v>
      </c>
      <c r="B3069" t="s">
        <v>5536</v>
      </c>
      <c r="C3069" t="s">
        <v>5540</v>
      </c>
      <c r="D3069" t="s">
        <v>10379</v>
      </c>
      <c r="E3069" t="b">
        <f>sch_drugprevention_educprog_other</f>
        <v>0</v>
      </c>
      <c r="F3069" t="b">
        <f>ISLOGICAL(E3069)</f>
        <v>1</v>
      </c>
      <c r="G3069" t="s">
        <v>12516</v>
      </c>
      <c r="N3069" s="1346"/>
    </row>
    <row r="3070" spans="1:14" x14ac:dyDescent="0.35">
      <c r="A3070" t="s">
        <v>5541</v>
      </c>
      <c r="B3070" t="s">
        <v>5536</v>
      </c>
      <c r="C3070" t="s">
        <v>5541</v>
      </c>
      <c r="D3070" t="s">
        <v>10380</v>
      </c>
      <c r="E3070">
        <f>sch_drugprevention_educprog_otherspecify</f>
        <v>0</v>
      </c>
      <c r="F3070" t="b">
        <v>1</v>
      </c>
      <c r="N3070" s="1346"/>
    </row>
    <row r="3071" spans="1:14" x14ac:dyDescent="0.35">
      <c r="A3071" t="s">
        <v>5542</v>
      </c>
      <c r="B3071" t="s">
        <v>5536</v>
      </c>
      <c r="C3071" t="s">
        <v>5542</v>
      </c>
      <c r="D3071" t="s">
        <v>10381</v>
      </c>
      <c r="E3071" t="b">
        <f>sch_drugprevention_ndep</f>
        <v>1</v>
      </c>
      <c r="F3071" t="b">
        <f>ISLOGICAL(E3071)</f>
        <v>1</v>
      </c>
      <c r="G3071" t="s">
        <v>12516</v>
      </c>
      <c r="N3071" s="1346"/>
    </row>
    <row r="3072" spans="1:14" x14ac:dyDescent="0.35">
      <c r="A3072" t="s">
        <v>5543</v>
      </c>
      <c r="B3072" t="s">
        <v>5536</v>
      </c>
      <c r="C3072" t="s">
        <v>5543</v>
      </c>
      <c r="D3072" t="s">
        <v>10382</v>
      </c>
      <c r="E3072">
        <f>sch_drugprevention_ndep_corners</f>
        <v>40</v>
      </c>
      <c r="F3072" t="b">
        <v>1</v>
      </c>
      <c r="N3072" s="1346"/>
    </row>
    <row r="3073" spans="1:14" x14ac:dyDescent="0.35">
      <c r="A3073" t="s">
        <v>5544</v>
      </c>
      <c r="B3073" t="s">
        <v>5536</v>
      </c>
      <c r="C3073" t="s">
        <v>5544</v>
      </c>
      <c r="D3073" t="s">
        <v>10383</v>
      </c>
      <c r="E3073" t="b">
        <f>sch_drugprevention_bkd</f>
        <v>1</v>
      </c>
      <c r="F3073" t="b">
        <f>ISLOGICAL(E3073)</f>
        <v>1</v>
      </c>
      <c r="G3073" t="s">
        <v>12516</v>
      </c>
      <c r="N3073" s="1346"/>
    </row>
    <row r="3074" spans="1:14" x14ac:dyDescent="0.35">
      <c r="A3074" t="s">
        <v>5545</v>
      </c>
      <c r="B3074" t="s">
        <v>5536</v>
      </c>
      <c r="C3074" t="s">
        <v>5545</v>
      </c>
      <c r="D3074" t="s">
        <v>10384</v>
      </c>
      <c r="E3074">
        <f>sch_drugprevention_learners_bkdmembers_g7</f>
        <v>352</v>
      </c>
      <c r="F3074" t="b">
        <v>1</v>
      </c>
      <c r="N3074" s="1346"/>
    </row>
    <row r="3075" spans="1:14" x14ac:dyDescent="0.35">
      <c r="A3075" t="s">
        <v>5546</v>
      </c>
      <c r="B3075" t="s">
        <v>5536</v>
      </c>
      <c r="C3075" t="s">
        <v>5546</v>
      </c>
      <c r="D3075" t="s">
        <v>10385</v>
      </c>
      <c r="E3075">
        <f>sch_drugprevention_learners_bkdmembers_g8</f>
        <v>320</v>
      </c>
      <c r="F3075" t="b">
        <v>1</v>
      </c>
      <c r="N3075" s="1346"/>
    </row>
    <row r="3076" spans="1:14" x14ac:dyDescent="0.35">
      <c r="A3076" t="s">
        <v>5547</v>
      </c>
      <c r="B3076" t="s">
        <v>5536</v>
      </c>
      <c r="C3076" t="s">
        <v>5547</v>
      </c>
      <c r="D3076" t="s">
        <v>10386</v>
      </c>
      <c r="E3076">
        <f>sch_drugprevention_learners_bkdmembers_g9</f>
        <v>377</v>
      </c>
      <c r="F3076" t="b">
        <v>1</v>
      </c>
      <c r="N3076" s="1346"/>
    </row>
    <row r="3077" spans="1:14" x14ac:dyDescent="0.35">
      <c r="A3077" t="s">
        <v>5548</v>
      </c>
      <c r="B3077" t="s">
        <v>5536</v>
      </c>
      <c r="C3077" t="s">
        <v>5548</v>
      </c>
      <c r="D3077" t="s">
        <v>10387</v>
      </c>
      <c r="E3077">
        <f>sch_drugprevention_learners_bkdmembers_g10</f>
        <v>420</v>
      </c>
      <c r="F3077" t="b">
        <v>1</v>
      </c>
      <c r="N3077" s="1346"/>
    </row>
    <row r="3078" spans="1:14" x14ac:dyDescent="0.35">
      <c r="A3078" t="s">
        <v>5549</v>
      </c>
      <c r="B3078" t="s">
        <v>5536</v>
      </c>
      <c r="C3078" t="s">
        <v>5549</v>
      </c>
      <c r="D3078" s="1353" t="s">
        <v>5550</v>
      </c>
      <c r="E3078">
        <f>sch_drugprevention_learners_trained_g7</f>
        <v>0</v>
      </c>
      <c r="F3078" t="b">
        <v>1</v>
      </c>
      <c r="N3078" s="1346"/>
    </row>
    <row r="3079" spans="1:14" x14ac:dyDescent="0.35">
      <c r="A3079" t="s">
        <v>5551</v>
      </c>
      <c r="B3079" t="s">
        <v>5536</v>
      </c>
      <c r="C3079" t="s">
        <v>5551</v>
      </c>
      <c r="D3079" s="1353" t="s">
        <v>5552</v>
      </c>
      <c r="E3079">
        <f>sch_drugprevention_learners_trained_g8</f>
        <v>0</v>
      </c>
      <c r="F3079" t="b">
        <v>1</v>
      </c>
      <c r="N3079" s="1346"/>
    </row>
    <row r="3080" spans="1:14" x14ac:dyDescent="0.35">
      <c r="A3080" t="s">
        <v>5553</v>
      </c>
      <c r="B3080" t="s">
        <v>5536</v>
      </c>
      <c r="C3080" t="s">
        <v>5553</v>
      </c>
      <c r="D3080" s="1353" t="s">
        <v>5554</v>
      </c>
      <c r="E3080">
        <f>sch_drugprevention_learners_trained_g9</f>
        <v>0</v>
      </c>
      <c r="F3080" t="b">
        <v>1</v>
      </c>
      <c r="N3080" s="1346"/>
    </row>
    <row r="3081" spans="1:14" s="1348" customFormat="1" ht="16" thickBot="1" x14ac:dyDescent="0.4">
      <c r="A3081" s="1348" t="s">
        <v>5555</v>
      </c>
      <c r="B3081" s="1348" t="s">
        <v>5536</v>
      </c>
      <c r="C3081" s="1348" t="s">
        <v>5555</v>
      </c>
      <c r="D3081" s="1355" t="s">
        <v>5556</v>
      </c>
      <c r="E3081" s="1348">
        <f>sch_drugprevention_learners_trained_g10</f>
        <v>0</v>
      </c>
      <c r="F3081" s="1348" t="b">
        <v>1</v>
      </c>
      <c r="N3081" s="1366"/>
    </row>
    <row r="3082" spans="1:14" x14ac:dyDescent="0.35">
      <c r="A3082" t="s">
        <v>5557</v>
      </c>
      <c r="B3082" t="s">
        <v>5558</v>
      </c>
      <c r="C3082" t="s">
        <v>5557</v>
      </c>
      <c r="D3082" t="s">
        <v>10388</v>
      </c>
      <c r="E3082" t="b">
        <f>sch_oksadeped_yes</f>
        <v>0</v>
      </c>
      <c r="F3082" t="b">
        <f>ISLOGICAL(E3082)</f>
        <v>1</v>
      </c>
      <c r="G3082" t="s">
        <v>12516</v>
      </c>
      <c r="N3082" s="1346"/>
    </row>
    <row r="3083" spans="1:14" x14ac:dyDescent="0.35">
      <c r="A3083" t="s">
        <v>5559</v>
      </c>
      <c r="B3083" t="s">
        <v>5558</v>
      </c>
      <c r="C3083" t="s">
        <v>5559</v>
      </c>
      <c r="D3083" t="s">
        <v>10389</v>
      </c>
      <c r="E3083" t="b">
        <f>sch_oksadeped_prevsy</f>
        <v>0</v>
      </c>
      <c r="F3083" t="b">
        <f>ISLOGICAL(E3083)</f>
        <v>1</v>
      </c>
      <c r="G3083" t="s">
        <v>12516</v>
      </c>
      <c r="N3083" s="1346"/>
    </row>
    <row r="3084" spans="1:14" x14ac:dyDescent="0.35">
      <c r="A3084" t="s">
        <v>5560</v>
      </c>
      <c r="B3084" t="s">
        <v>5558</v>
      </c>
      <c r="C3084" t="s">
        <v>5560</v>
      </c>
      <c r="D3084" t="s">
        <v>10390</v>
      </c>
      <c r="E3084" t="b">
        <f>sch_oksadeped_fbpage_yes</f>
        <v>0</v>
      </c>
      <c r="F3084" t="b">
        <f>ISLOGICAL(E3084)</f>
        <v>1</v>
      </c>
      <c r="G3084" t="s">
        <v>12516</v>
      </c>
      <c r="N3084" s="1346"/>
    </row>
    <row r="3085" spans="1:14" s="1348" customFormat="1" ht="16" thickBot="1" x14ac:dyDescent="0.4">
      <c r="A3085" s="1348" t="s">
        <v>5561</v>
      </c>
      <c r="B3085" s="1348" t="s">
        <v>5558</v>
      </c>
      <c r="C3085" s="1348" t="s">
        <v>5561</v>
      </c>
      <c r="D3085" s="1355" t="s">
        <v>10374</v>
      </c>
      <c r="E3085" s="1348">
        <f>sch_oksadeped_fbpage_specify</f>
        <v>0</v>
      </c>
      <c r="F3085" s="1348" t="b">
        <v>1</v>
      </c>
      <c r="N3085" s="1366"/>
    </row>
    <row r="3086" spans="1:14" x14ac:dyDescent="0.35">
      <c r="A3086" t="s">
        <v>5562</v>
      </c>
      <c r="B3086" t="s">
        <v>5563</v>
      </c>
      <c r="C3086" t="s">
        <v>5562</v>
      </c>
      <c r="D3086" t="s">
        <v>10391</v>
      </c>
      <c r="E3086" t="b">
        <f>feed_prog_yes</f>
        <v>0</v>
      </c>
      <c r="F3086" t="b">
        <f t="shared" ref="F3086:F3094" si="13">ISLOGICAL(E3086)</f>
        <v>1</v>
      </c>
      <c r="G3086" t="s">
        <v>12516</v>
      </c>
      <c r="N3086" s="1346"/>
    </row>
    <row r="3087" spans="1:14" x14ac:dyDescent="0.35">
      <c r="A3087" t="s">
        <v>5564</v>
      </c>
      <c r="B3087" t="s">
        <v>5563</v>
      </c>
      <c r="C3087" t="s">
        <v>5564</v>
      </c>
      <c r="D3087" t="s">
        <v>10392</v>
      </c>
      <c r="E3087" t="b">
        <f>feed_prog_yes_fundsource_schmooe</f>
        <v>0</v>
      </c>
      <c r="F3087" t="b">
        <f t="shared" si="13"/>
        <v>1</v>
      </c>
      <c r="G3087" t="s">
        <v>12516</v>
      </c>
      <c r="N3087" s="1346"/>
    </row>
    <row r="3088" spans="1:14" x14ac:dyDescent="0.35">
      <c r="A3088" t="s">
        <v>5565</v>
      </c>
      <c r="B3088" t="s">
        <v>5563</v>
      </c>
      <c r="C3088" t="s">
        <v>5565</v>
      </c>
      <c r="D3088" t="s">
        <v>10393</v>
      </c>
      <c r="E3088" t="b">
        <f>feed_prog_yes_fundsource_canteen</f>
        <v>0</v>
      </c>
      <c r="F3088" t="b">
        <f t="shared" si="13"/>
        <v>1</v>
      </c>
      <c r="G3088" t="s">
        <v>12516</v>
      </c>
      <c r="N3088" s="1346"/>
    </row>
    <row r="3089" spans="1:14" x14ac:dyDescent="0.35">
      <c r="A3089" t="s">
        <v>5566</v>
      </c>
      <c r="B3089" t="s">
        <v>5563</v>
      </c>
      <c r="C3089" t="s">
        <v>5566</v>
      </c>
      <c r="D3089" t="s">
        <v>10394</v>
      </c>
      <c r="E3089" t="b">
        <f>feed_prog_yes_fundsource_lgu</f>
        <v>0</v>
      </c>
      <c r="F3089" t="b">
        <f t="shared" si="13"/>
        <v>1</v>
      </c>
      <c r="G3089" t="s">
        <v>12516</v>
      </c>
      <c r="N3089" s="1346"/>
    </row>
    <row r="3090" spans="1:14" x14ac:dyDescent="0.35">
      <c r="A3090" t="s">
        <v>5567</v>
      </c>
      <c r="B3090" t="s">
        <v>5563</v>
      </c>
      <c r="C3090" t="s">
        <v>5567</v>
      </c>
      <c r="D3090" t="s">
        <v>10395</v>
      </c>
      <c r="E3090" t="b">
        <f>feed_prog_yes_fundsource_pta</f>
        <v>0</v>
      </c>
      <c r="F3090" t="b">
        <f t="shared" si="13"/>
        <v>1</v>
      </c>
      <c r="G3090" t="s">
        <v>12516</v>
      </c>
      <c r="N3090" s="1346"/>
    </row>
    <row r="3091" spans="1:14" x14ac:dyDescent="0.35">
      <c r="A3091" t="s">
        <v>5568</v>
      </c>
      <c r="B3091" t="s">
        <v>5563</v>
      </c>
      <c r="C3091" t="s">
        <v>5568</v>
      </c>
      <c r="D3091" t="s">
        <v>10396</v>
      </c>
      <c r="E3091" t="b">
        <f>feed_prog_yes_fundsource_brgy</f>
        <v>0</v>
      </c>
      <c r="F3091" t="b">
        <f t="shared" si="13"/>
        <v>1</v>
      </c>
      <c r="G3091" t="s">
        <v>12516</v>
      </c>
      <c r="N3091" s="1346"/>
    </row>
    <row r="3092" spans="1:14" x14ac:dyDescent="0.35">
      <c r="A3092" t="s">
        <v>5569</v>
      </c>
      <c r="B3092" t="s">
        <v>5563</v>
      </c>
      <c r="C3092" t="s">
        <v>5569</v>
      </c>
      <c r="D3092" t="s">
        <v>10397</v>
      </c>
      <c r="E3092" t="b">
        <f>feed_prog_yes_fundsource_private</f>
        <v>0</v>
      </c>
      <c r="F3092" t="b">
        <f t="shared" si="13"/>
        <v>1</v>
      </c>
      <c r="G3092" t="s">
        <v>12516</v>
      </c>
      <c r="N3092" s="1346"/>
    </row>
    <row r="3093" spans="1:14" x14ac:dyDescent="0.35">
      <c r="A3093" t="s">
        <v>5570</v>
      </c>
      <c r="B3093" t="s">
        <v>5563</v>
      </c>
      <c r="C3093" t="s">
        <v>5570</v>
      </c>
      <c r="D3093" t="s">
        <v>10398</v>
      </c>
      <c r="E3093" t="b">
        <f>feed_prog_yes_fundsource_sbfp</f>
        <v>0</v>
      </c>
      <c r="F3093" t="b">
        <f t="shared" si="13"/>
        <v>1</v>
      </c>
      <c r="G3093" t="s">
        <v>12516</v>
      </c>
      <c r="N3093" s="1346"/>
    </row>
    <row r="3094" spans="1:14" x14ac:dyDescent="0.35">
      <c r="A3094" t="s">
        <v>5571</v>
      </c>
      <c r="B3094" t="s">
        <v>5563</v>
      </c>
      <c r="C3094" t="s">
        <v>5571</v>
      </c>
      <c r="D3094" t="s">
        <v>10399</v>
      </c>
      <c r="E3094" t="b">
        <f>feed_prog_yes_fundsource_others</f>
        <v>0</v>
      </c>
      <c r="F3094" t="b">
        <f t="shared" si="13"/>
        <v>1</v>
      </c>
      <c r="G3094" t="s">
        <v>12516</v>
      </c>
      <c r="N3094" s="1346"/>
    </row>
    <row r="3095" spans="1:14" x14ac:dyDescent="0.35">
      <c r="A3095" t="s">
        <v>5572</v>
      </c>
      <c r="B3095" t="s">
        <v>5563</v>
      </c>
      <c r="C3095" t="s">
        <v>5572</v>
      </c>
      <c r="D3095" t="s">
        <v>10400</v>
      </c>
      <c r="E3095">
        <f>sch_feed_prog_yes_fundsource_others_specify</f>
        <v>0</v>
      </c>
      <c r="F3095" t="b">
        <v>1</v>
      </c>
      <c r="N3095" s="1346"/>
    </row>
    <row r="3096" spans="1:14" x14ac:dyDescent="0.35">
      <c r="A3096" t="s">
        <v>5573</v>
      </c>
      <c r="B3096" t="s">
        <v>5563</v>
      </c>
      <c r="C3096" t="s">
        <v>5573</v>
      </c>
      <c r="D3096" t="s">
        <v>10401</v>
      </c>
      <c r="E3096" t="b">
        <f>feed_prog_agri_fishery_gulayan</f>
        <v>1</v>
      </c>
      <c r="F3096" t="b">
        <f t="shared" ref="F3096:F3104" si="14">ISLOGICAL(E3096)</f>
        <v>1</v>
      </c>
      <c r="G3096" t="s">
        <v>12516</v>
      </c>
      <c r="N3096" s="1346"/>
    </row>
    <row r="3097" spans="1:14" x14ac:dyDescent="0.35">
      <c r="A3097" t="s">
        <v>5574</v>
      </c>
      <c r="B3097" t="s">
        <v>5563</v>
      </c>
      <c r="C3097" t="s">
        <v>5574</v>
      </c>
      <c r="D3097" t="s">
        <v>10402</v>
      </c>
      <c r="E3097" t="b">
        <f>feed_prog_agri_fishery_gulayan_fruit</f>
        <v>0</v>
      </c>
      <c r="F3097" t="b">
        <f t="shared" si="14"/>
        <v>1</v>
      </c>
      <c r="G3097" t="s">
        <v>12516</v>
      </c>
      <c r="N3097" s="1346"/>
    </row>
    <row r="3098" spans="1:14" x14ac:dyDescent="0.35">
      <c r="A3098" t="s">
        <v>5575</v>
      </c>
      <c r="B3098" t="s">
        <v>5563</v>
      </c>
      <c r="C3098" t="s">
        <v>5575</v>
      </c>
      <c r="D3098" t="s">
        <v>10403</v>
      </c>
      <c r="E3098" t="b">
        <f>feed_prog_agri_fishery_gulayan_leafy</f>
        <v>1</v>
      </c>
      <c r="F3098" t="b">
        <f t="shared" si="14"/>
        <v>1</v>
      </c>
      <c r="G3098" t="s">
        <v>12516</v>
      </c>
      <c r="N3098" s="1346"/>
    </row>
    <row r="3099" spans="1:14" x14ac:dyDescent="0.35">
      <c r="A3099" t="s">
        <v>5576</v>
      </c>
      <c r="B3099" t="s">
        <v>5563</v>
      </c>
      <c r="C3099" t="s">
        <v>5576</v>
      </c>
      <c r="D3099" t="s">
        <v>10404</v>
      </c>
      <c r="E3099" t="b">
        <f>feed_prog_agri_fishery_gulayan_legumes</f>
        <v>0</v>
      </c>
      <c r="F3099" t="b">
        <f t="shared" si="14"/>
        <v>1</v>
      </c>
      <c r="G3099" t="s">
        <v>12516</v>
      </c>
      <c r="N3099" s="1346"/>
    </row>
    <row r="3100" spans="1:14" x14ac:dyDescent="0.35">
      <c r="A3100" t="s">
        <v>5577</v>
      </c>
      <c r="B3100" t="s">
        <v>5563</v>
      </c>
      <c r="C3100" t="s">
        <v>5577</v>
      </c>
      <c r="D3100" t="s">
        <v>10405</v>
      </c>
      <c r="E3100" t="b">
        <f>feed_prog_agri_fishery_gulayan_rootcrops</f>
        <v>0</v>
      </c>
      <c r="F3100" t="b">
        <f t="shared" si="14"/>
        <v>1</v>
      </c>
      <c r="G3100" t="s">
        <v>12516</v>
      </c>
      <c r="N3100" s="1346"/>
    </row>
    <row r="3101" spans="1:14" x14ac:dyDescent="0.35">
      <c r="A3101" t="s">
        <v>5578</v>
      </c>
      <c r="B3101" t="s">
        <v>5563</v>
      </c>
      <c r="C3101" t="s">
        <v>5578</v>
      </c>
      <c r="D3101" t="s">
        <v>10406</v>
      </c>
      <c r="E3101" t="b">
        <f>feed_prog_agri_fishery_fishpond</f>
        <v>1</v>
      </c>
      <c r="F3101" t="b">
        <f t="shared" si="14"/>
        <v>1</v>
      </c>
      <c r="G3101" t="s">
        <v>12516</v>
      </c>
      <c r="N3101" s="1346"/>
    </row>
    <row r="3102" spans="1:14" x14ac:dyDescent="0.35">
      <c r="A3102" t="s">
        <v>5579</v>
      </c>
      <c r="B3102" t="s">
        <v>5563</v>
      </c>
      <c r="C3102" t="s">
        <v>5579</v>
      </c>
      <c r="D3102" t="s">
        <v>10407</v>
      </c>
      <c r="E3102" t="b">
        <f>feed_prog_agri_fishery_crops</f>
        <v>1</v>
      </c>
      <c r="F3102" t="b">
        <f t="shared" si="14"/>
        <v>1</v>
      </c>
      <c r="G3102" t="s">
        <v>12516</v>
      </c>
      <c r="N3102" s="1346"/>
    </row>
    <row r="3103" spans="1:14" x14ac:dyDescent="0.35">
      <c r="A3103" t="s">
        <v>5580</v>
      </c>
      <c r="B3103" t="s">
        <v>5563</v>
      </c>
      <c r="C3103" t="s">
        <v>5580</v>
      </c>
      <c r="D3103" t="s">
        <v>10408</v>
      </c>
      <c r="E3103" t="b">
        <f>feed_prog_agri_fishery_livestock</f>
        <v>1</v>
      </c>
      <c r="F3103" t="b">
        <f t="shared" si="14"/>
        <v>1</v>
      </c>
      <c r="G3103" t="s">
        <v>12516</v>
      </c>
      <c r="N3103" s="1346"/>
    </row>
    <row r="3104" spans="1:14" x14ac:dyDescent="0.35">
      <c r="A3104" t="s">
        <v>5581</v>
      </c>
      <c r="B3104" t="s">
        <v>5563</v>
      </c>
      <c r="C3104" t="s">
        <v>5581</v>
      </c>
      <c r="D3104" t="s">
        <v>10409</v>
      </c>
      <c r="E3104" t="b">
        <f>feed_prog_agri_fishery_others</f>
        <v>0</v>
      </c>
      <c r="F3104" t="b">
        <f t="shared" si="14"/>
        <v>1</v>
      </c>
      <c r="G3104" t="s">
        <v>12516</v>
      </c>
      <c r="N3104" s="1346"/>
    </row>
    <row r="3105" spans="1:14" x14ac:dyDescent="0.35">
      <c r="A3105" t="s">
        <v>5582</v>
      </c>
      <c r="B3105" t="s">
        <v>5563</v>
      </c>
      <c r="C3105" t="s">
        <v>5582</v>
      </c>
      <c r="D3105" t="s">
        <v>10410</v>
      </c>
      <c r="E3105">
        <f>sch_feed_prog_agri_fishery_others_specify</f>
        <v>0</v>
      </c>
      <c r="F3105" t="b">
        <v>1</v>
      </c>
      <c r="N3105" s="1346"/>
    </row>
    <row r="3106" spans="1:14" x14ac:dyDescent="0.35">
      <c r="A3106" t="s">
        <v>8480</v>
      </c>
      <c r="B3106" t="s">
        <v>5563</v>
      </c>
      <c r="C3106" t="s">
        <v>8480</v>
      </c>
      <c r="D3106" t="s">
        <v>10420</v>
      </c>
      <c r="E3106" t="b" cm="1">
        <f t="array" ref="E3106">feed_prog_agri_fishery_none</f>
        <v>0</v>
      </c>
      <c r="F3106" t="b">
        <f>ISLOGICAL(E3106)</f>
        <v>1</v>
      </c>
      <c r="G3106" t="s">
        <v>12516</v>
      </c>
      <c r="N3106" s="1346"/>
    </row>
    <row r="3107" spans="1:14" x14ac:dyDescent="0.35">
      <c r="A3107" t="s">
        <v>5583</v>
      </c>
      <c r="B3107" t="s">
        <v>5563</v>
      </c>
      <c r="C3107" t="s">
        <v>5583</v>
      </c>
      <c r="D3107" t="s">
        <v>10411</v>
      </c>
      <c r="E3107" t="b">
        <f>feed_prog_agri_fishery_usedfp_yes</f>
        <v>0</v>
      </c>
      <c r="F3107" t="b">
        <f t="shared" ref="F3107:F3114" si="15">ISLOGICAL(E3107)</f>
        <v>1</v>
      </c>
      <c r="G3107" t="s">
        <v>12516</v>
      </c>
      <c r="N3107" s="1346"/>
    </row>
    <row r="3108" spans="1:14" x14ac:dyDescent="0.35">
      <c r="A3108" t="s">
        <v>5584</v>
      </c>
      <c r="B3108" t="s">
        <v>5563</v>
      </c>
      <c r="C3108" t="s">
        <v>5584</v>
      </c>
      <c r="D3108" t="s">
        <v>10412</v>
      </c>
      <c r="E3108" t="b">
        <f>feed_prog_agri_fishery_usedfp_yes_fundsource_schmooe</f>
        <v>0</v>
      </c>
      <c r="F3108" t="b">
        <f t="shared" si="15"/>
        <v>1</v>
      </c>
      <c r="G3108" t="s">
        <v>12516</v>
      </c>
      <c r="N3108" s="1346"/>
    </row>
    <row r="3109" spans="1:14" x14ac:dyDescent="0.35">
      <c r="A3109" t="s">
        <v>5585</v>
      </c>
      <c r="B3109" t="s">
        <v>5563</v>
      </c>
      <c r="C3109" t="s">
        <v>5585</v>
      </c>
      <c r="D3109" t="s">
        <v>10413</v>
      </c>
      <c r="E3109" t="b">
        <f>feed_prog_agri_fishery_usedfp_yes_fundsource_canteen</f>
        <v>0</v>
      </c>
      <c r="F3109" t="b">
        <f t="shared" si="15"/>
        <v>1</v>
      </c>
      <c r="G3109" t="s">
        <v>12516</v>
      </c>
      <c r="N3109" s="1346"/>
    </row>
    <row r="3110" spans="1:14" x14ac:dyDescent="0.35">
      <c r="A3110" t="s">
        <v>5586</v>
      </c>
      <c r="B3110" t="s">
        <v>5563</v>
      </c>
      <c r="C3110" t="s">
        <v>5586</v>
      </c>
      <c r="D3110" t="s">
        <v>10414</v>
      </c>
      <c r="E3110" t="b">
        <f>feed_prog_agri_fishery_usedfp_yes_fundsource_pta</f>
        <v>0</v>
      </c>
      <c r="F3110" t="b">
        <f t="shared" si="15"/>
        <v>1</v>
      </c>
      <c r="G3110" t="s">
        <v>12516</v>
      </c>
      <c r="N3110" s="1346"/>
    </row>
    <row r="3111" spans="1:14" x14ac:dyDescent="0.35">
      <c r="A3111" t="s">
        <v>5587</v>
      </c>
      <c r="B3111" t="s">
        <v>5563</v>
      </c>
      <c r="C3111" t="s">
        <v>5587</v>
      </c>
      <c r="D3111" t="s">
        <v>10415</v>
      </c>
      <c r="E3111" t="b">
        <f>feed_prog_agri_fishery_usedfp_yes_fundsource_lgu</f>
        <v>0</v>
      </c>
      <c r="F3111" t="b">
        <f t="shared" si="15"/>
        <v>1</v>
      </c>
      <c r="G3111" t="s">
        <v>12516</v>
      </c>
      <c r="N3111" s="1346"/>
    </row>
    <row r="3112" spans="1:14" x14ac:dyDescent="0.35">
      <c r="A3112" t="s">
        <v>5588</v>
      </c>
      <c r="B3112" t="s">
        <v>5563</v>
      </c>
      <c r="C3112" t="s">
        <v>5588</v>
      </c>
      <c r="D3112" t="s">
        <v>10416</v>
      </c>
      <c r="E3112" t="b">
        <f>feed_prog_agri_fishery_usedfp_yes_fundsource_brgy</f>
        <v>0</v>
      </c>
      <c r="F3112" t="b">
        <f t="shared" si="15"/>
        <v>1</v>
      </c>
      <c r="G3112" t="s">
        <v>12516</v>
      </c>
      <c r="N3112" s="1346"/>
    </row>
    <row r="3113" spans="1:14" x14ac:dyDescent="0.35">
      <c r="A3113" t="s">
        <v>5589</v>
      </c>
      <c r="B3113" t="s">
        <v>5563</v>
      </c>
      <c r="C3113" t="s">
        <v>5589</v>
      </c>
      <c r="D3113" t="s">
        <v>10417</v>
      </c>
      <c r="E3113" t="b">
        <f>feed_prog_agri_fishery_usedfp_yes_fundsource_private</f>
        <v>0</v>
      </c>
      <c r="F3113" t="b">
        <f t="shared" si="15"/>
        <v>1</v>
      </c>
      <c r="G3113" t="s">
        <v>12516</v>
      </c>
      <c r="N3113" s="1346"/>
    </row>
    <row r="3114" spans="1:14" x14ac:dyDescent="0.35">
      <c r="A3114" t="s">
        <v>5590</v>
      </c>
      <c r="B3114" t="s">
        <v>5563</v>
      </c>
      <c r="C3114" t="s">
        <v>5590</v>
      </c>
      <c r="D3114" t="s">
        <v>10418</v>
      </c>
      <c r="E3114" t="b">
        <f>feed_prog_agri_fishery_usedfp_yes_fundsource_others</f>
        <v>0</v>
      </c>
      <c r="F3114" t="b">
        <f t="shared" si="15"/>
        <v>1</v>
      </c>
      <c r="G3114" t="s">
        <v>12516</v>
      </c>
      <c r="N3114" s="1346"/>
    </row>
    <row r="3115" spans="1:14" s="1348" customFormat="1" ht="16" thickBot="1" x14ac:dyDescent="0.4">
      <c r="A3115" s="1348" t="s">
        <v>5591</v>
      </c>
      <c r="B3115" s="1348" t="s">
        <v>5563</v>
      </c>
      <c r="C3115" s="1348" t="s">
        <v>5591</v>
      </c>
      <c r="D3115" s="1348" t="s">
        <v>10419</v>
      </c>
      <c r="E3115" s="1348">
        <f>sch_feed_prog_agri_fishery_usedfp_yes_fundsource_others_specify</f>
        <v>0</v>
      </c>
      <c r="F3115" s="1348" t="b">
        <v>1</v>
      </c>
      <c r="N3115" s="1366"/>
    </row>
    <row r="3116" spans="1:14" s="1350" customFormat="1" x14ac:dyDescent="0.35">
      <c r="A3116" s="1350" t="s">
        <v>5592</v>
      </c>
      <c r="B3116" s="1350" t="s">
        <v>5593</v>
      </c>
      <c r="C3116" s="1350" t="s">
        <v>5592</v>
      </c>
      <c r="D3116" s="1350" t="s">
        <v>10421</v>
      </c>
      <c r="E3116" s="1350" t="b">
        <f>food_hndlg_canteen_yes</f>
        <v>1</v>
      </c>
      <c r="F3116" s="1350" t="b">
        <f>ISLOGICAL(E3116)</f>
        <v>1</v>
      </c>
      <c r="G3116" s="1350" t="s">
        <v>12516</v>
      </c>
      <c r="N3116" s="1367"/>
    </row>
    <row r="3117" spans="1:14" x14ac:dyDescent="0.35">
      <c r="A3117" t="s">
        <v>5594</v>
      </c>
      <c r="B3117" t="s">
        <v>5593</v>
      </c>
      <c r="C3117" t="s">
        <v>5594</v>
      </c>
      <c r="D3117" t="s">
        <v>10422</v>
      </c>
      <c r="E3117" t="b">
        <f>food_hndlg_canteen_mngd_sch</f>
        <v>0</v>
      </c>
      <c r="F3117" t="b">
        <f>ISLOGICAL(E3117)</f>
        <v>1</v>
      </c>
      <c r="G3117" t="s">
        <v>12516</v>
      </c>
      <c r="N3117" s="1346"/>
    </row>
    <row r="3118" spans="1:14" x14ac:dyDescent="0.35">
      <c r="A3118" t="s">
        <v>5595</v>
      </c>
      <c r="B3118" t="s">
        <v>5593</v>
      </c>
      <c r="C3118" t="s">
        <v>5595</v>
      </c>
      <c r="D3118" t="s">
        <v>10423</v>
      </c>
      <c r="E3118" t="b">
        <f>food_hndlg_canteen_mngd_tchcoop</f>
        <v>1</v>
      </c>
      <c r="F3118" t="b">
        <f>ISLOGICAL(E3118)</f>
        <v>1</v>
      </c>
      <c r="G3118" t="s">
        <v>12516</v>
      </c>
      <c r="N3118" s="1346"/>
    </row>
    <row r="3119" spans="1:14" x14ac:dyDescent="0.35">
      <c r="A3119" t="s">
        <v>5596</v>
      </c>
      <c r="B3119" t="s">
        <v>5593</v>
      </c>
      <c r="C3119" t="s">
        <v>5596</v>
      </c>
      <c r="D3119" t="s">
        <v>10424</v>
      </c>
      <c r="E3119" t="b">
        <f>food_hndlg_canteen_mngd_others</f>
        <v>0</v>
      </c>
      <c r="F3119" t="b">
        <f>ISLOGICAL(E3119)</f>
        <v>1</v>
      </c>
      <c r="G3119" t="s">
        <v>12516</v>
      </c>
      <c r="N3119" s="1346"/>
    </row>
    <row r="3120" spans="1:14" x14ac:dyDescent="0.35">
      <c r="A3120" t="s">
        <v>5597</v>
      </c>
      <c r="B3120" t="s">
        <v>5593</v>
      </c>
      <c r="C3120" t="s">
        <v>5597</v>
      </c>
      <c r="D3120" t="s">
        <v>10425</v>
      </c>
      <c r="E3120">
        <f>sch_food_hndlg_canteen_mngd_others_specify</f>
        <v>0</v>
      </c>
      <c r="F3120" t="b">
        <v>1</v>
      </c>
      <c r="N3120" s="1346"/>
    </row>
    <row r="3121" spans="1:14" x14ac:dyDescent="0.35">
      <c r="A3121" t="s">
        <v>5598</v>
      </c>
      <c r="B3121" t="s">
        <v>5593</v>
      </c>
      <c r="C3121" t="s">
        <v>5598</v>
      </c>
      <c r="D3121" t="s">
        <v>10426</v>
      </c>
      <c r="E3121">
        <f>sch_food_hndlg_canteen_mngd_sch_sanitary</f>
        <v>0</v>
      </c>
      <c r="F3121" t="b">
        <v>1</v>
      </c>
      <c r="N3121" s="1346"/>
    </row>
    <row r="3122" spans="1:14" x14ac:dyDescent="0.35">
      <c r="A3122" t="s">
        <v>5599</v>
      </c>
      <c r="B3122" t="s">
        <v>5593</v>
      </c>
      <c r="C3122" t="s">
        <v>5599</v>
      </c>
      <c r="D3122" t="s">
        <v>10427</v>
      </c>
      <c r="E3122" s="1368">
        <f>sch_food_hndlg_canteen_mngd_sch_validity</f>
        <v>0</v>
      </c>
      <c r="F3122" t="b">
        <v>1</v>
      </c>
      <c r="N3122" s="1346"/>
    </row>
    <row r="3123" spans="1:14" x14ac:dyDescent="0.35">
      <c r="A3123" t="s">
        <v>5600</v>
      </c>
      <c r="B3123" t="s">
        <v>5593</v>
      </c>
      <c r="C3123" t="s">
        <v>5600</v>
      </c>
      <c r="D3123" t="s">
        <v>10428</v>
      </c>
      <c r="E3123">
        <f>sch_food_hndlg_canteen_mngd_tchcoop_sanitary</f>
        <v>44599</v>
      </c>
      <c r="F3123" t="b">
        <v>1</v>
      </c>
      <c r="N3123" s="1346"/>
    </row>
    <row r="3124" spans="1:14" x14ac:dyDescent="0.35">
      <c r="A3124" t="s">
        <v>5601</v>
      </c>
      <c r="B3124" t="s">
        <v>5593</v>
      </c>
      <c r="C3124" t="s">
        <v>5601</v>
      </c>
      <c r="D3124" t="s">
        <v>10429</v>
      </c>
      <c r="E3124" s="1368">
        <f>sch_food_hndlg_canteen_mngd_tchcoop_validity</f>
        <v>44926</v>
      </c>
      <c r="F3124" t="b">
        <v>1</v>
      </c>
      <c r="N3124" s="1346"/>
    </row>
    <row r="3125" spans="1:14" x14ac:dyDescent="0.35">
      <c r="A3125" t="s">
        <v>5602</v>
      </c>
      <c r="B3125" t="s">
        <v>5593</v>
      </c>
      <c r="C3125" t="s">
        <v>5602</v>
      </c>
      <c r="D3125" t="s">
        <v>10430</v>
      </c>
      <c r="E3125">
        <f>sch_food_hndlg_canteen_mngd_others_sanitary</f>
        <v>0</v>
      </c>
      <c r="F3125" t="b">
        <v>1</v>
      </c>
      <c r="N3125" s="1346"/>
    </row>
    <row r="3126" spans="1:14" x14ac:dyDescent="0.35">
      <c r="A3126" t="s">
        <v>5603</v>
      </c>
      <c r="B3126" t="s">
        <v>5593</v>
      </c>
      <c r="C3126" t="s">
        <v>5603</v>
      </c>
      <c r="D3126" t="s">
        <v>10431</v>
      </c>
      <c r="E3126" s="1368">
        <f>sch_food_hndlg_canteen_mngd_others_validity</f>
        <v>0</v>
      </c>
      <c r="F3126" t="b">
        <v>1</v>
      </c>
      <c r="N3126" s="1346"/>
    </row>
    <row r="3127" spans="1:14" x14ac:dyDescent="0.35">
      <c r="A3127" t="s">
        <v>5604</v>
      </c>
      <c r="B3127" t="s">
        <v>5593</v>
      </c>
      <c r="C3127" t="s">
        <v>5604</v>
      </c>
      <c r="D3127" t="s">
        <v>10432</v>
      </c>
      <c r="E3127" t="b">
        <f>food_hndlg_canteen_mngd_sch_personnel_health_cert_yes</f>
        <v>0</v>
      </c>
      <c r="F3127" t="b">
        <f>ISLOGICAL(E3127)</f>
        <v>1</v>
      </c>
      <c r="G3127" t="s">
        <v>12516</v>
      </c>
      <c r="N3127" s="1346"/>
    </row>
    <row r="3128" spans="1:14" x14ac:dyDescent="0.35">
      <c r="A3128" t="s">
        <v>5605</v>
      </c>
      <c r="B3128" t="s">
        <v>5593</v>
      </c>
      <c r="C3128" t="s">
        <v>5605</v>
      </c>
      <c r="D3128" t="s">
        <v>10433</v>
      </c>
      <c r="E3128" t="b">
        <f>food_hndlg_canteen_mngd_tchcoop_personnel_health_cert_yes</f>
        <v>1</v>
      </c>
      <c r="F3128" t="b">
        <f>ISLOGICAL(E3128)</f>
        <v>1</v>
      </c>
      <c r="G3128" t="s">
        <v>12516</v>
      </c>
      <c r="N3128" s="1346"/>
    </row>
    <row r="3129" spans="1:14" s="1348" customFormat="1" ht="16" thickBot="1" x14ac:dyDescent="0.4">
      <c r="A3129" s="1348" t="s">
        <v>5606</v>
      </c>
      <c r="B3129" s="1348" t="s">
        <v>5593</v>
      </c>
      <c r="C3129" s="1348" t="s">
        <v>5606</v>
      </c>
      <c r="D3129" s="1348" t="s">
        <v>10434</v>
      </c>
      <c r="E3129" s="1348" t="b">
        <f>food_hndlg_canteen_mngd_others_personnel_health_cert_yes</f>
        <v>0</v>
      </c>
      <c r="F3129" s="1348" t="b">
        <f>ISLOGICAL(E3129)</f>
        <v>1</v>
      </c>
      <c r="G3129" s="1348" t="s">
        <v>12516</v>
      </c>
      <c r="N3129" s="1366"/>
    </row>
    <row r="3130" spans="1:14" x14ac:dyDescent="0.35">
      <c r="A3130" t="s">
        <v>5607</v>
      </c>
      <c r="B3130" t="s">
        <v>5608</v>
      </c>
      <c r="C3130" t="s">
        <v>5607</v>
      </c>
      <c r="D3130" t="s">
        <v>10435</v>
      </c>
      <c r="E3130" t="b">
        <f>solidwm_compliant_eswma_yes</f>
        <v>1</v>
      </c>
      <c r="F3130" t="b">
        <f t="shared" ref="F3130:F3149" si="16">ISLOGICAL(E3130)</f>
        <v>1</v>
      </c>
      <c r="G3130" t="s">
        <v>12516</v>
      </c>
      <c r="N3130" s="1346"/>
    </row>
    <row r="3131" spans="1:14" x14ac:dyDescent="0.35">
      <c r="A3131" t="s">
        <v>5609</v>
      </c>
      <c r="B3131" t="s">
        <v>5608</v>
      </c>
      <c r="C3131" t="s">
        <v>5609</v>
      </c>
      <c r="D3131" t="s">
        <v>10436</v>
      </c>
      <c r="E3131" t="b">
        <f>solidwm_impl_swm_composting</f>
        <v>0</v>
      </c>
      <c r="F3131" t="b">
        <f t="shared" si="16"/>
        <v>1</v>
      </c>
      <c r="G3131" t="s">
        <v>12516</v>
      </c>
      <c r="N3131" s="1346"/>
    </row>
    <row r="3132" spans="1:14" x14ac:dyDescent="0.35">
      <c r="A3132" t="s">
        <v>5610</v>
      </c>
      <c r="B3132" t="s">
        <v>5608</v>
      </c>
      <c r="C3132" t="s">
        <v>5610</v>
      </c>
      <c r="D3132" t="s">
        <v>10437</v>
      </c>
      <c r="E3132" t="b">
        <f>solidwm_impl_swm_des_trash_collect_pt</f>
        <v>0</v>
      </c>
      <c r="F3132" t="b">
        <f t="shared" si="16"/>
        <v>1</v>
      </c>
      <c r="G3132" t="s">
        <v>12516</v>
      </c>
      <c r="N3132" s="1346"/>
    </row>
    <row r="3133" spans="1:14" x14ac:dyDescent="0.35">
      <c r="A3133" t="s">
        <v>5611</v>
      </c>
      <c r="B3133" t="s">
        <v>5608</v>
      </c>
      <c r="C3133" t="s">
        <v>5611</v>
      </c>
      <c r="D3133" t="s">
        <v>10438</v>
      </c>
      <c r="E3133" t="b">
        <f>solidwm_impl_swm_poster_slogan_contest</f>
        <v>0</v>
      </c>
      <c r="F3133" t="b">
        <f t="shared" si="16"/>
        <v>1</v>
      </c>
      <c r="G3133" t="s">
        <v>12516</v>
      </c>
      <c r="N3133" s="1346"/>
    </row>
    <row r="3134" spans="1:14" x14ac:dyDescent="0.35">
      <c r="A3134" t="s">
        <v>5612</v>
      </c>
      <c r="B3134" t="s">
        <v>5608</v>
      </c>
      <c r="C3134" t="s">
        <v>5612</v>
      </c>
      <c r="D3134" t="s">
        <v>10439</v>
      </c>
      <c r="E3134" t="b">
        <f>solidwm_impl_swm_postsign</f>
        <v>0</v>
      </c>
      <c r="F3134" t="b">
        <f t="shared" si="16"/>
        <v>1</v>
      </c>
      <c r="G3134" t="s">
        <v>12516</v>
      </c>
      <c r="N3134" s="1346"/>
    </row>
    <row r="3135" spans="1:14" x14ac:dyDescent="0.35">
      <c r="A3135" t="s">
        <v>5613</v>
      </c>
      <c r="B3135" t="s">
        <v>5608</v>
      </c>
      <c r="C3135" t="s">
        <v>5613</v>
      </c>
      <c r="D3135" t="s">
        <v>10440</v>
      </c>
      <c r="E3135" t="b">
        <f>solidwm_impl_swm_recycling_proj</f>
        <v>0</v>
      </c>
      <c r="F3135" t="b">
        <f t="shared" si="16"/>
        <v>1</v>
      </c>
      <c r="G3135" t="s">
        <v>12516</v>
      </c>
      <c r="N3135" s="1346"/>
    </row>
    <row r="3136" spans="1:14" x14ac:dyDescent="0.35">
      <c r="A3136" t="s">
        <v>5614</v>
      </c>
      <c r="B3136" t="s">
        <v>5608</v>
      </c>
      <c r="C3136" t="s">
        <v>5614</v>
      </c>
      <c r="D3136" t="s">
        <v>10441</v>
      </c>
      <c r="E3136" t="b">
        <f>solidwm_impl_swm_schrep_brgy_swmc</f>
        <v>0</v>
      </c>
      <c r="F3136" t="b">
        <f t="shared" si="16"/>
        <v>1</v>
      </c>
      <c r="G3136" t="s">
        <v>12516</v>
      </c>
      <c r="N3136" s="1346"/>
    </row>
    <row r="3137" spans="1:14" x14ac:dyDescent="0.35">
      <c r="A3137" t="s">
        <v>5615</v>
      </c>
      <c r="B3137" t="s">
        <v>5608</v>
      </c>
      <c r="C3137" t="s">
        <v>5615</v>
      </c>
      <c r="D3137" t="s">
        <v>10442</v>
      </c>
      <c r="E3137" t="b">
        <f>solidwm_impl_swm_use_paper_platesncups</f>
        <v>0</v>
      </c>
      <c r="F3137" t="b">
        <f t="shared" si="16"/>
        <v>1</v>
      </c>
      <c r="G3137" t="s">
        <v>12516</v>
      </c>
      <c r="N3137" s="1346"/>
    </row>
    <row r="3138" spans="1:14" x14ac:dyDescent="0.35">
      <c r="A3138" t="s">
        <v>5616</v>
      </c>
      <c r="B3138" t="s">
        <v>5608</v>
      </c>
      <c r="C3138" t="s">
        <v>5616</v>
      </c>
      <c r="D3138" s="1353" t="s">
        <v>5617</v>
      </c>
      <c r="E3138" t="b">
        <f>solidwm_impl_swm_use_recycled_mtrl</f>
        <v>0</v>
      </c>
      <c r="F3138" t="b">
        <f t="shared" si="16"/>
        <v>1</v>
      </c>
      <c r="G3138" t="s">
        <v>12516</v>
      </c>
      <c r="N3138" s="1346"/>
    </row>
    <row r="3139" spans="1:14" x14ac:dyDescent="0.35">
      <c r="A3139" t="s">
        <v>5618</v>
      </c>
      <c r="B3139" t="s">
        <v>5608</v>
      </c>
      <c r="C3139" t="s">
        <v>5618</v>
      </c>
      <c r="D3139" t="s">
        <v>10443</v>
      </c>
      <c r="E3139" t="b">
        <f>solidwm_impl_swm_use_reusable_food_container</f>
        <v>0</v>
      </c>
      <c r="F3139" t="b">
        <f t="shared" si="16"/>
        <v>1</v>
      </c>
      <c r="G3139" t="s">
        <v>12516</v>
      </c>
      <c r="N3139" s="1346"/>
    </row>
    <row r="3140" spans="1:14" x14ac:dyDescent="0.35">
      <c r="A3140" t="s">
        <v>5619</v>
      </c>
      <c r="B3140" t="s">
        <v>5608</v>
      </c>
      <c r="C3140" t="s">
        <v>5619</v>
      </c>
      <c r="D3140" t="s">
        <v>10444</v>
      </c>
      <c r="E3140" t="b">
        <f>solidwm_impl_swm_waste_seg</f>
        <v>1</v>
      </c>
      <c r="F3140" t="b">
        <f t="shared" si="16"/>
        <v>1</v>
      </c>
      <c r="G3140" t="s">
        <v>12516</v>
      </c>
      <c r="N3140" s="1346"/>
    </row>
    <row r="3141" spans="1:14" x14ac:dyDescent="0.35">
      <c r="A3141" t="s">
        <v>5620</v>
      </c>
      <c r="B3141" t="s">
        <v>5608</v>
      </c>
      <c r="C3141" t="s">
        <v>5620</v>
      </c>
      <c r="D3141" t="s">
        <v>10445</v>
      </c>
      <c r="E3141" t="b">
        <f>stakeholder_impl_swm_brgy</f>
        <v>1</v>
      </c>
      <c r="F3141" t="b">
        <f t="shared" si="16"/>
        <v>1</v>
      </c>
      <c r="G3141" t="s">
        <v>12516</v>
      </c>
      <c r="N3141" s="1346"/>
    </row>
    <row r="3142" spans="1:14" x14ac:dyDescent="0.35">
      <c r="A3142" t="s">
        <v>5621</v>
      </c>
      <c r="B3142" t="s">
        <v>5608</v>
      </c>
      <c r="C3142" t="s">
        <v>5621</v>
      </c>
      <c r="D3142" t="s">
        <v>10446</v>
      </c>
      <c r="E3142" t="b">
        <f>stakeholder_impl_swm_comm_lead</f>
        <v>0</v>
      </c>
      <c r="F3142" t="b">
        <f t="shared" si="16"/>
        <v>1</v>
      </c>
      <c r="G3142" t="s">
        <v>12516</v>
      </c>
      <c r="N3142" s="1346"/>
    </row>
    <row r="3143" spans="1:14" x14ac:dyDescent="0.35">
      <c r="A3143" t="s">
        <v>5622</v>
      </c>
      <c r="B3143" t="s">
        <v>5608</v>
      </c>
      <c r="C3143" t="s">
        <v>5622</v>
      </c>
      <c r="D3143" t="s">
        <v>10447</v>
      </c>
      <c r="E3143" t="b">
        <f>stakeholder_impl_swm_loc_business_partners</f>
        <v>0</v>
      </c>
      <c r="F3143" t="b">
        <f t="shared" si="16"/>
        <v>1</v>
      </c>
      <c r="G3143" t="s">
        <v>12516</v>
      </c>
      <c r="N3143" s="1346"/>
    </row>
    <row r="3144" spans="1:14" x14ac:dyDescent="0.35">
      <c r="A3144" t="s">
        <v>5623</v>
      </c>
      <c r="B3144" t="s">
        <v>5608</v>
      </c>
      <c r="C3144" t="s">
        <v>5623</v>
      </c>
      <c r="D3144" t="s">
        <v>10448</v>
      </c>
      <c r="E3144" t="b">
        <f>stakeholder_impl_swm_mun_city</f>
        <v>1</v>
      </c>
      <c r="F3144" t="b">
        <f t="shared" si="16"/>
        <v>1</v>
      </c>
      <c r="G3144" t="s">
        <v>12516</v>
      </c>
      <c r="N3144" s="1346"/>
    </row>
    <row r="3145" spans="1:14" s="1348" customFormat="1" ht="16" thickBot="1" x14ac:dyDescent="0.4">
      <c r="A3145" s="1348" t="s">
        <v>5624</v>
      </c>
      <c r="B3145" s="1348" t="s">
        <v>5608</v>
      </c>
      <c r="C3145" s="1348" t="s">
        <v>5624</v>
      </c>
      <c r="D3145" s="1348" t="s">
        <v>10449</v>
      </c>
      <c r="E3145" s="1348" t="b">
        <f>stakeholder_impl_swm_parents</f>
        <v>0</v>
      </c>
      <c r="F3145" s="1348" t="b">
        <f t="shared" si="16"/>
        <v>1</v>
      </c>
      <c r="G3145" s="1348" t="s">
        <v>12516</v>
      </c>
      <c r="N3145" s="1366"/>
    </row>
    <row r="3146" spans="1:14" x14ac:dyDescent="0.35">
      <c r="A3146" t="s">
        <v>5625</v>
      </c>
      <c r="B3146" t="s">
        <v>5626</v>
      </c>
      <c r="C3146" t="s">
        <v>5625</v>
      </c>
      <c r="D3146" t="s">
        <v>10450</v>
      </c>
      <c r="E3146" t="b">
        <f>opmaintsanitfac_sanitfacclean_daily</f>
        <v>1</v>
      </c>
      <c r="F3146" t="b">
        <f t="shared" si="16"/>
        <v>1</v>
      </c>
      <c r="G3146" t="s">
        <v>12516</v>
      </c>
      <c r="N3146" s="1346"/>
    </row>
    <row r="3147" spans="1:14" x14ac:dyDescent="0.35">
      <c r="A3147" t="s">
        <v>5627</v>
      </c>
      <c r="B3147" t="s">
        <v>5626</v>
      </c>
      <c r="C3147" t="s">
        <v>5627</v>
      </c>
      <c r="D3147" t="s">
        <v>10451</v>
      </c>
      <c r="E3147" t="b">
        <f>opmaintsanitfac_sanitfacclean_atleast_twice_wk</f>
        <v>0</v>
      </c>
      <c r="F3147" t="b">
        <f t="shared" si="16"/>
        <v>1</v>
      </c>
      <c r="G3147" t="s">
        <v>12516</v>
      </c>
      <c r="N3147" s="1346"/>
    </row>
    <row r="3148" spans="1:14" x14ac:dyDescent="0.35">
      <c r="A3148" t="s">
        <v>5628</v>
      </c>
      <c r="B3148" t="s">
        <v>5626</v>
      </c>
      <c r="C3148" t="s">
        <v>5628</v>
      </c>
      <c r="D3148" t="s">
        <v>10452</v>
      </c>
      <c r="E3148" t="b">
        <f>opmaintsanitfac_sanitfacclean_once_wk</f>
        <v>0</v>
      </c>
      <c r="F3148" t="b">
        <f t="shared" si="16"/>
        <v>1</v>
      </c>
      <c r="G3148" t="s">
        <v>12516</v>
      </c>
      <c r="N3148" s="1346"/>
    </row>
    <row r="3149" spans="1:14" x14ac:dyDescent="0.35">
      <c r="A3149" t="s">
        <v>5629</v>
      </c>
      <c r="B3149" t="s">
        <v>5626</v>
      </c>
      <c r="C3149" t="s">
        <v>5629</v>
      </c>
      <c r="D3149" t="s">
        <v>10453</v>
      </c>
      <c r="E3149" t="b">
        <f>opmaintsanitfac_sanitfacclean_less_once_wk</f>
        <v>0</v>
      </c>
      <c r="F3149" t="b">
        <f t="shared" si="16"/>
        <v>1</v>
      </c>
      <c r="G3149" t="s">
        <v>12516</v>
      </c>
      <c r="N3149" s="1346"/>
    </row>
    <row r="3150" spans="1:14" x14ac:dyDescent="0.35">
      <c r="A3150" t="s">
        <v>5630</v>
      </c>
      <c r="B3150" t="s">
        <v>5626</v>
      </c>
      <c r="C3150" t="s">
        <v>5630</v>
      </c>
      <c r="D3150" t="s">
        <v>10454</v>
      </c>
      <c r="E3150" s="1397">
        <f>sch_opmaintsanitfac_sanitfacclean_avg_mthly_bills</f>
        <v>0</v>
      </c>
      <c r="F3150" t="b">
        <v>1</v>
      </c>
      <c r="N3150" s="1346"/>
    </row>
    <row r="3151" spans="1:14" x14ac:dyDescent="0.35">
      <c r="A3151" t="s">
        <v>5631</v>
      </c>
      <c r="B3151" t="s">
        <v>5626</v>
      </c>
      <c r="C3151" t="s">
        <v>5631</v>
      </c>
      <c r="D3151" t="s">
        <v>10455</v>
      </c>
      <c r="E3151" t="b">
        <f>opmaintsanitfac_sanitfacclean_pay_mthly_bills_schmooe</f>
        <v>1</v>
      </c>
      <c r="F3151" t="b">
        <f t="shared" ref="F3151:F3156" si="17">ISLOGICAL(E3151)</f>
        <v>1</v>
      </c>
      <c r="G3151" t="s">
        <v>12516</v>
      </c>
      <c r="N3151" s="1346"/>
    </row>
    <row r="3152" spans="1:14" x14ac:dyDescent="0.35">
      <c r="A3152" t="s">
        <v>5632</v>
      </c>
      <c r="B3152" t="s">
        <v>5626</v>
      </c>
      <c r="C3152" t="s">
        <v>5632</v>
      </c>
      <c r="D3152" t="s">
        <v>10456</v>
      </c>
      <c r="E3152" t="b">
        <f>opmaintsanitfac_sanitfacclean_pay_mthly_bills_canteen</f>
        <v>0</v>
      </c>
      <c r="F3152" t="b">
        <f t="shared" si="17"/>
        <v>1</v>
      </c>
      <c r="G3152" t="s">
        <v>12516</v>
      </c>
      <c r="N3152" s="1346"/>
    </row>
    <row r="3153" spans="1:14" x14ac:dyDescent="0.35">
      <c r="A3153" t="s">
        <v>5633</v>
      </c>
      <c r="B3153" t="s">
        <v>5626</v>
      </c>
      <c r="C3153" t="s">
        <v>5633</v>
      </c>
      <c r="D3153" t="s">
        <v>10457</v>
      </c>
      <c r="E3153" t="b">
        <f>opmaintsanitfac_sanitfacclean_pay_mthly_bills_lgu</f>
        <v>0</v>
      </c>
      <c r="F3153" t="b">
        <f t="shared" si="17"/>
        <v>1</v>
      </c>
      <c r="G3153" t="s">
        <v>12516</v>
      </c>
      <c r="N3153" s="1346"/>
    </row>
    <row r="3154" spans="1:14" x14ac:dyDescent="0.35">
      <c r="A3154" t="s">
        <v>5634</v>
      </c>
      <c r="B3154" t="s">
        <v>5626</v>
      </c>
      <c r="C3154" t="s">
        <v>5634</v>
      </c>
      <c r="D3154" t="s">
        <v>10458</v>
      </c>
      <c r="E3154" t="b">
        <f>opmaintsanitfac_sanitfacclean_pay_mthly_bills_pta</f>
        <v>0</v>
      </c>
      <c r="F3154" t="b">
        <f t="shared" si="17"/>
        <v>1</v>
      </c>
      <c r="G3154" t="s">
        <v>12516</v>
      </c>
      <c r="N3154" s="1346"/>
    </row>
    <row r="3155" spans="1:14" x14ac:dyDescent="0.35">
      <c r="A3155" t="s">
        <v>5635</v>
      </c>
      <c r="B3155" t="s">
        <v>5626</v>
      </c>
      <c r="C3155" t="s">
        <v>5635</v>
      </c>
      <c r="D3155" t="s">
        <v>10459</v>
      </c>
      <c r="E3155" t="b">
        <f>opmaintsanitfac_sanitfacclean_pay_mthly_bills_private</f>
        <v>0</v>
      </c>
      <c r="F3155" t="b">
        <f t="shared" si="17"/>
        <v>1</v>
      </c>
      <c r="G3155" t="s">
        <v>12516</v>
      </c>
      <c r="N3155" s="1346"/>
    </row>
    <row r="3156" spans="1:14" x14ac:dyDescent="0.35">
      <c r="A3156" t="s">
        <v>5636</v>
      </c>
      <c r="B3156" t="s">
        <v>5626</v>
      </c>
      <c r="C3156" t="s">
        <v>5636</v>
      </c>
      <c r="D3156" t="s">
        <v>10460</v>
      </c>
      <c r="E3156" t="b">
        <f>opmaintsanitfac_sanitfacclean_pay_mthly_bills_others</f>
        <v>0</v>
      </c>
      <c r="F3156" t="b">
        <f t="shared" si="17"/>
        <v>1</v>
      </c>
      <c r="G3156" t="s">
        <v>12516</v>
      </c>
      <c r="N3156" s="1346"/>
    </row>
    <row r="3157" spans="1:14" s="1348" customFormat="1" ht="16" thickBot="1" x14ac:dyDescent="0.4">
      <c r="A3157" s="1348" t="s">
        <v>5637</v>
      </c>
      <c r="B3157" s="1348" t="s">
        <v>5626</v>
      </c>
      <c r="C3157" s="1348" t="s">
        <v>5637</v>
      </c>
      <c r="D3157" s="1348" t="s">
        <v>10461</v>
      </c>
      <c r="E3157" s="1348">
        <f>sch_opmaintsanitfac_sanitfacclean_pay_mthly_bills_others_specify</f>
        <v>0</v>
      </c>
      <c r="F3157" s="1348" t="b">
        <v>1</v>
      </c>
      <c r="N3157" s="1366"/>
    </row>
    <row r="3158" spans="1:14" x14ac:dyDescent="0.35">
      <c r="A3158" t="s">
        <v>5638</v>
      </c>
      <c r="B3158" t="s">
        <v>5639</v>
      </c>
      <c r="C3158" t="s">
        <v>5638</v>
      </c>
      <c r="D3158" t="s">
        <v>10462</v>
      </c>
      <c r="E3158" t="b">
        <f>menshygiene_avail_sanpads_yes</f>
        <v>1</v>
      </c>
      <c r="F3158" t="b">
        <f>ISLOGICAL(E3158)</f>
        <v>1</v>
      </c>
      <c r="G3158" t="s">
        <v>12516</v>
      </c>
      <c r="N3158" s="1346"/>
    </row>
    <row r="3159" spans="1:14" x14ac:dyDescent="0.35">
      <c r="A3159" t="s">
        <v>5640</v>
      </c>
      <c r="B3159" t="s">
        <v>5639</v>
      </c>
      <c r="C3159" t="s">
        <v>5640</v>
      </c>
      <c r="D3159" t="s">
        <v>10463</v>
      </c>
      <c r="E3159" t="b">
        <f>menshygiene_avail_sanpads_yes_canteen</f>
        <v>1</v>
      </c>
      <c r="F3159" t="b">
        <f>ISLOGICAL(E3159)</f>
        <v>1</v>
      </c>
      <c r="G3159" t="s">
        <v>12516</v>
      </c>
      <c r="N3159" s="1346"/>
    </row>
    <row r="3160" spans="1:14" x14ac:dyDescent="0.35">
      <c r="A3160" t="s">
        <v>5641</v>
      </c>
      <c r="B3160" t="s">
        <v>5639</v>
      </c>
      <c r="C3160" t="s">
        <v>5641</v>
      </c>
      <c r="D3160" t="s">
        <v>10464</v>
      </c>
      <c r="E3160" t="b">
        <f>menshygiene_avail_sanpads_yes_clinic</f>
        <v>1</v>
      </c>
      <c r="F3160" t="b">
        <f>ISLOGICAL(E3160)</f>
        <v>1</v>
      </c>
      <c r="G3160" t="s">
        <v>12516</v>
      </c>
      <c r="N3160" s="1346"/>
    </row>
    <row r="3161" spans="1:14" x14ac:dyDescent="0.35">
      <c r="A3161" t="s">
        <v>5642</v>
      </c>
      <c r="B3161" t="s">
        <v>5639</v>
      </c>
      <c r="C3161" t="s">
        <v>5642</v>
      </c>
      <c r="D3161" t="s">
        <v>10465</v>
      </c>
      <c r="E3161" t="b">
        <f>menshygiene_avail_sanpads_yes_guidance_ofc</f>
        <v>0</v>
      </c>
      <c r="F3161" t="b">
        <f>ISLOGICAL(E3161)</f>
        <v>1</v>
      </c>
      <c r="G3161" t="s">
        <v>12516</v>
      </c>
      <c r="N3161" s="1346"/>
    </row>
    <row r="3162" spans="1:14" x14ac:dyDescent="0.35">
      <c r="A3162" t="s">
        <v>5643</v>
      </c>
      <c r="B3162" t="s">
        <v>5639</v>
      </c>
      <c r="C3162" t="s">
        <v>5643</v>
      </c>
      <c r="D3162" t="s">
        <v>10466</v>
      </c>
      <c r="E3162" t="b">
        <f>menshygiene_avail_sanpads_yes_others</f>
        <v>0</v>
      </c>
      <c r="F3162" t="b">
        <f>ISLOGICAL(E3162)</f>
        <v>1</v>
      </c>
      <c r="G3162" t="s">
        <v>12516</v>
      </c>
      <c r="N3162" s="1346"/>
    </row>
    <row r="3163" spans="1:14" s="1348" customFormat="1" ht="16" thickBot="1" x14ac:dyDescent="0.4">
      <c r="A3163" s="1348" t="s">
        <v>5644</v>
      </c>
      <c r="B3163" s="1348" t="s">
        <v>5639</v>
      </c>
      <c r="C3163" s="1348" t="s">
        <v>5644</v>
      </c>
      <c r="D3163" s="1348" t="s">
        <v>10467</v>
      </c>
      <c r="E3163" s="1348">
        <f>sch_menshygiene_avail_sanpads_yes_others_specify</f>
        <v>0</v>
      </c>
      <c r="F3163" s="1348" t="b">
        <v>1</v>
      </c>
      <c r="N3163" s="1366"/>
    </row>
    <row r="3164" spans="1:14" x14ac:dyDescent="0.35">
      <c r="A3164" t="s">
        <v>5645</v>
      </c>
      <c r="B3164" t="s">
        <v>5646</v>
      </c>
      <c r="C3164" t="s">
        <v>5645</v>
      </c>
      <c r="D3164" s="1353" t="s">
        <v>10492</v>
      </c>
      <c r="E3164" t="b">
        <f>sch_childprotect_yes</f>
        <v>1</v>
      </c>
      <c r="F3164" t="b">
        <f>ISLOGICAL(E3164)</f>
        <v>1</v>
      </c>
      <c r="G3164" t="s">
        <v>12516</v>
      </c>
      <c r="N3164" s="1346"/>
    </row>
    <row r="3165" spans="1:14" x14ac:dyDescent="0.35">
      <c r="A3165" t="s">
        <v>5647</v>
      </c>
      <c r="B3165" t="s">
        <v>5646</v>
      </c>
      <c r="C3165" t="s">
        <v>5647</v>
      </c>
      <c r="D3165" s="1353" t="s">
        <v>10493</v>
      </c>
      <c r="E3165" t="b">
        <f>sch_childprotect_monthly</f>
        <v>0</v>
      </c>
      <c r="F3165" t="b">
        <f>ISLOGICAL(E3165)</f>
        <v>1</v>
      </c>
      <c r="G3165" t="s">
        <v>12516</v>
      </c>
      <c r="N3165" s="1346"/>
    </row>
    <row r="3166" spans="1:14" x14ac:dyDescent="0.35">
      <c r="A3166" t="s">
        <v>5648</v>
      </c>
      <c r="B3166" t="s">
        <v>5646</v>
      </c>
      <c r="C3166" t="s">
        <v>5648</v>
      </c>
      <c r="D3166" s="1353" t="s">
        <v>10494</v>
      </c>
      <c r="E3166" t="b">
        <f>sch_childprotect_quarterly</f>
        <v>0</v>
      </c>
      <c r="F3166" t="b">
        <f>ISLOGICAL(E3166)</f>
        <v>1</v>
      </c>
      <c r="G3166" t="s">
        <v>12516</v>
      </c>
      <c r="N3166" s="1346"/>
    </row>
    <row r="3167" spans="1:14" x14ac:dyDescent="0.35">
      <c r="A3167" t="s">
        <v>5649</v>
      </c>
      <c r="B3167" t="s">
        <v>5646</v>
      </c>
      <c r="C3167" t="s">
        <v>5649</v>
      </c>
      <c r="D3167" s="1353" t="s">
        <v>10495</v>
      </c>
      <c r="E3167" t="b">
        <f>sch_childprotect_annually</f>
        <v>1</v>
      </c>
      <c r="F3167" t="b">
        <f>ISLOGICAL(E3167)</f>
        <v>1</v>
      </c>
      <c r="G3167" t="s">
        <v>12516</v>
      </c>
      <c r="N3167" s="1346"/>
    </row>
    <row r="3168" spans="1:14" x14ac:dyDescent="0.35">
      <c r="A3168" t="s">
        <v>5650</v>
      </c>
      <c r="B3168" t="s">
        <v>5646</v>
      </c>
      <c r="C3168" t="s">
        <v>5650</v>
      </c>
      <c r="D3168" s="1353" t="s">
        <v>10496</v>
      </c>
      <c r="E3168" t="b">
        <f>sch_childprotect_others</f>
        <v>1</v>
      </c>
      <c r="F3168" t="b">
        <f>ISLOGICAL(E3168)</f>
        <v>1</v>
      </c>
      <c r="G3168" t="s">
        <v>12516</v>
      </c>
      <c r="N3168" s="1346"/>
    </row>
    <row r="3169" spans="1:14" x14ac:dyDescent="0.35">
      <c r="A3169" t="s">
        <v>5651</v>
      </c>
      <c r="B3169" t="s">
        <v>5646</v>
      </c>
      <c r="C3169" t="s">
        <v>5651</v>
      </c>
      <c r="D3169" s="1353" t="s">
        <v>10497</v>
      </c>
      <c r="E3169" t="str">
        <f>sch_childprotect_others_specify</f>
        <v>As needs arises</v>
      </c>
      <c r="F3169" t="b">
        <v>1</v>
      </c>
      <c r="N3169" s="1346"/>
    </row>
    <row r="3170" spans="1:14" x14ac:dyDescent="0.35">
      <c r="A3170" t="s">
        <v>5652</v>
      </c>
      <c r="B3170" t="s">
        <v>5646</v>
      </c>
      <c r="C3170" t="s">
        <v>5652</v>
      </c>
      <c r="D3170" s="1353" t="s">
        <v>10498</v>
      </c>
      <c r="E3170">
        <f>sch_childprotect_casesreported</f>
        <v>1</v>
      </c>
      <c r="F3170" t="b">
        <v>1</v>
      </c>
      <c r="N3170" s="1346"/>
    </row>
    <row r="3171" spans="1:14" x14ac:dyDescent="0.35">
      <c r="A3171" t="s">
        <v>5653</v>
      </c>
      <c r="B3171" t="s">
        <v>5646</v>
      </c>
      <c r="C3171" t="s">
        <v>5653</v>
      </c>
      <c r="D3171" s="1353" t="s">
        <v>10499</v>
      </c>
      <c r="E3171" t="b">
        <f>sch_childprotect_scc</f>
        <v>1</v>
      </c>
      <c r="F3171" t="b">
        <f>ISLOGICAL(E3171)</f>
        <v>1</v>
      </c>
      <c r="G3171" t="s">
        <v>12516</v>
      </c>
      <c r="N3171" s="1346"/>
    </row>
    <row r="3172" spans="1:14" x14ac:dyDescent="0.35">
      <c r="A3172" t="s">
        <v>5654</v>
      </c>
      <c r="B3172" t="s">
        <v>5646</v>
      </c>
      <c r="C3172" t="s">
        <v>5654</v>
      </c>
      <c r="D3172" t="s">
        <v>10500</v>
      </c>
      <c r="E3172" t="str">
        <f>do_child_prot_coor_name</f>
        <v>RONE RAY M. PORTACION  /  March 17, 2023</v>
      </c>
      <c r="F3172" t="b">
        <v>1</v>
      </c>
      <c r="N3172" s="1346"/>
    </row>
    <row r="3173" spans="1:14" s="1348" customFormat="1" ht="16" thickBot="1" x14ac:dyDescent="0.4">
      <c r="A3173" s="1348" t="s">
        <v>5655</v>
      </c>
      <c r="B3173" s="1348" t="s">
        <v>5646</v>
      </c>
      <c r="C3173" s="1348" t="s">
        <v>5655</v>
      </c>
      <c r="D3173" s="1348" t="s">
        <v>10501</v>
      </c>
      <c r="E3173" s="1348" t="str">
        <f>do_child_prot_coor_post</f>
        <v>Education Program Supervisor</v>
      </c>
      <c r="F3173" s="1348" t="b">
        <v>1</v>
      </c>
      <c r="N3173" s="1366"/>
    </row>
    <row r="3174" spans="1:14" x14ac:dyDescent="0.35">
      <c r="A3174" t="s">
        <v>5656</v>
      </c>
      <c r="B3174" t="s">
        <v>5657</v>
      </c>
      <c r="C3174" t="s">
        <v>5656</v>
      </c>
      <c r="D3174" t="s">
        <v>10486</v>
      </c>
      <c r="E3174">
        <f>sch_vac_aml_phyv</f>
        <v>0</v>
      </c>
      <c r="F3174" t="b">
        <v>1</v>
      </c>
      <c r="N3174" s="1346"/>
    </row>
    <row r="3175" spans="1:14" x14ac:dyDescent="0.35">
      <c r="A3175" t="s">
        <v>5661</v>
      </c>
      <c r="B3175" t="s">
        <v>5657</v>
      </c>
      <c r="C3175" t="s">
        <v>5661</v>
      </c>
      <c r="D3175" t="s">
        <v>10487</v>
      </c>
      <c r="E3175">
        <f>sch_vac_afl_phyv</f>
        <v>0</v>
      </c>
      <c r="F3175" t="b">
        <v>1</v>
      </c>
      <c r="N3175" s="1346"/>
    </row>
    <row r="3176" spans="1:14" x14ac:dyDescent="0.35">
      <c r="A3176" t="s">
        <v>5665</v>
      </c>
      <c r="B3176" t="s">
        <v>5657</v>
      </c>
      <c r="C3176" t="s">
        <v>5665</v>
      </c>
      <c r="D3176" t="s">
        <v>10488</v>
      </c>
      <c r="E3176">
        <f>sch_vac_perppersonel_phyv</f>
        <v>0</v>
      </c>
      <c r="F3176" t="b">
        <v>1</v>
      </c>
      <c r="N3176" s="1346"/>
    </row>
    <row r="3177" spans="1:14" x14ac:dyDescent="0.35">
      <c r="A3177" t="s">
        <v>5669</v>
      </c>
      <c r="B3177" t="s">
        <v>5657</v>
      </c>
      <c r="C3177" t="s">
        <v>5669</v>
      </c>
      <c r="D3177" t="s">
        <v>10489</v>
      </c>
      <c r="E3177">
        <f>sch_vac_perpoutsider_phyv</f>
        <v>0</v>
      </c>
      <c r="F3177" t="b">
        <v>1</v>
      </c>
      <c r="N3177" s="1346"/>
    </row>
    <row r="3178" spans="1:14" x14ac:dyDescent="0.35">
      <c r="A3178" t="s">
        <v>5658</v>
      </c>
      <c r="B3178" t="s">
        <v>5657</v>
      </c>
      <c r="C3178" t="s">
        <v>5658</v>
      </c>
      <c r="D3178" t="s">
        <v>10468</v>
      </c>
      <c r="E3178">
        <f>sch_vac_aml_sexv</f>
        <v>0</v>
      </c>
      <c r="F3178" t="b">
        <v>1</v>
      </c>
      <c r="N3178" s="1346"/>
    </row>
    <row r="3179" spans="1:14" x14ac:dyDescent="0.35">
      <c r="A3179" t="s">
        <v>5662</v>
      </c>
      <c r="B3179" t="s">
        <v>5657</v>
      </c>
      <c r="C3179" t="s">
        <v>5662</v>
      </c>
      <c r="D3179" t="s">
        <v>10471</v>
      </c>
      <c r="E3179">
        <f>sch_vac_afl_sexv</f>
        <v>0</v>
      </c>
      <c r="F3179" t="b">
        <v>1</v>
      </c>
      <c r="N3179" s="1346"/>
    </row>
    <row r="3180" spans="1:14" x14ac:dyDescent="0.35">
      <c r="A3180" t="s">
        <v>5666</v>
      </c>
      <c r="B3180" t="s">
        <v>5657</v>
      </c>
      <c r="C3180" t="s">
        <v>5666</v>
      </c>
      <c r="D3180" t="s">
        <v>10474</v>
      </c>
      <c r="E3180">
        <f>sch_vac_perppersonel_sexv</f>
        <v>0</v>
      </c>
      <c r="F3180" t="b">
        <v>1</v>
      </c>
      <c r="N3180" s="1346"/>
    </row>
    <row r="3181" spans="1:14" x14ac:dyDescent="0.35">
      <c r="A3181" t="s">
        <v>5670</v>
      </c>
      <c r="B3181" t="s">
        <v>5657</v>
      </c>
      <c r="C3181" t="s">
        <v>5670</v>
      </c>
      <c r="D3181" t="s">
        <v>10477</v>
      </c>
      <c r="E3181">
        <f>sch_vac_perpoutsider_sexv</f>
        <v>0</v>
      </c>
      <c r="F3181" t="b">
        <v>1</v>
      </c>
      <c r="N3181" s="1346"/>
    </row>
    <row r="3182" spans="1:14" x14ac:dyDescent="0.35">
      <c r="A3182" t="s">
        <v>5659</v>
      </c>
      <c r="B3182" t="s">
        <v>5657</v>
      </c>
      <c r="C3182" t="s">
        <v>5659</v>
      </c>
      <c r="D3182" t="s">
        <v>10469</v>
      </c>
      <c r="E3182">
        <f>sch_vac_aml_psyv</f>
        <v>0</v>
      </c>
      <c r="F3182" t="b">
        <v>1</v>
      </c>
      <c r="N3182" s="1346"/>
    </row>
    <row r="3183" spans="1:14" x14ac:dyDescent="0.35">
      <c r="A3183" t="s">
        <v>5663</v>
      </c>
      <c r="B3183" t="s">
        <v>5657</v>
      </c>
      <c r="C3183" t="s">
        <v>5663</v>
      </c>
      <c r="D3183" t="s">
        <v>10472</v>
      </c>
      <c r="E3183">
        <f>sch_vac_afl_psyv</f>
        <v>0</v>
      </c>
      <c r="F3183" t="b">
        <v>1</v>
      </c>
      <c r="N3183" s="1346"/>
    </row>
    <row r="3184" spans="1:14" x14ac:dyDescent="0.35">
      <c r="A3184" t="s">
        <v>5667</v>
      </c>
      <c r="B3184" t="s">
        <v>5657</v>
      </c>
      <c r="C3184" t="s">
        <v>5667</v>
      </c>
      <c r="D3184" t="s">
        <v>10475</v>
      </c>
      <c r="E3184">
        <f>sch_vac_perppersonel_psyv</f>
        <v>0</v>
      </c>
      <c r="F3184" t="b">
        <v>1</v>
      </c>
      <c r="N3184" s="1346"/>
    </row>
    <row r="3185" spans="1:14" x14ac:dyDescent="0.35">
      <c r="A3185" t="s">
        <v>5671</v>
      </c>
      <c r="B3185" t="s">
        <v>5657</v>
      </c>
      <c r="C3185" t="s">
        <v>5671</v>
      </c>
      <c r="D3185" t="s">
        <v>10478</v>
      </c>
      <c r="E3185">
        <f>sch_vac_perpoutsider_psyv</f>
        <v>0</v>
      </c>
      <c r="F3185" t="b">
        <v>1</v>
      </c>
      <c r="N3185" s="1346"/>
    </row>
    <row r="3186" spans="1:14" x14ac:dyDescent="0.35">
      <c r="A3186" t="s">
        <v>5660</v>
      </c>
      <c r="B3186" t="s">
        <v>5657</v>
      </c>
      <c r="C3186" t="s">
        <v>5660</v>
      </c>
      <c r="D3186" t="s">
        <v>10470</v>
      </c>
      <c r="E3186">
        <f>sch_vac_aml_okov</f>
        <v>0</v>
      </c>
      <c r="F3186" t="b">
        <v>1</v>
      </c>
      <c r="N3186" s="1346"/>
    </row>
    <row r="3187" spans="1:14" x14ac:dyDescent="0.35">
      <c r="A3187" t="s">
        <v>5664</v>
      </c>
      <c r="B3187" t="s">
        <v>5657</v>
      </c>
      <c r="C3187" t="s">
        <v>5664</v>
      </c>
      <c r="D3187" t="s">
        <v>10473</v>
      </c>
      <c r="E3187">
        <f>sch_vac_afl_okov</f>
        <v>0</v>
      </c>
      <c r="F3187" t="b">
        <v>1</v>
      </c>
      <c r="N3187" s="1346"/>
    </row>
    <row r="3188" spans="1:14" x14ac:dyDescent="0.35">
      <c r="A3188" t="s">
        <v>5668</v>
      </c>
      <c r="B3188" t="s">
        <v>5657</v>
      </c>
      <c r="C3188" t="s">
        <v>5668</v>
      </c>
      <c r="D3188" t="s">
        <v>10476</v>
      </c>
      <c r="E3188">
        <f>sch_vac_perppersonel_okov</f>
        <v>0</v>
      </c>
      <c r="F3188" t="b">
        <v>1</v>
      </c>
      <c r="N3188" s="1346"/>
    </row>
    <row r="3189" spans="1:14" x14ac:dyDescent="0.35">
      <c r="A3189" t="s">
        <v>5672</v>
      </c>
      <c r="B3189" t="s">
        <v>5657</v>
      </c>
      <c r="C3189" t="s">
        <v>5672</v>
      </c>
      <c r="D3189" t="s">
        <v>10479</v>
      </c>
      <c r="E3189">
        <f>sch_vac_perpoutsider_okov</f>
        <v>0</v>
      </c>
      <c r="F3189" t="b">
        <v>1</v>
      </c>
      <c r="N3189" s="1346"/>
    </row>
    <row r="3190" spans="1:14" x14ac:dyDescent="0.35">
      <c r="A3190" t="s">
        <v>5673</v>
      </c>
      <c r="B3190" t="s">
        <v>5657</v>
      </c>
      <c r="C3190" t="s">
        <v>5673</v>
      </c>
      <c r="D3190" t="s">
        <v>10490</v>
      </c>
      <c r="E3190">
        <f>sch_vac_bygradelevel_m_g7</f>
        <v>0</v>
      </c>
      <c r="F3190" t="b">
        <v>1</v>
      </c>
      <c r="N3190" s="1346"/>
    </row>
    <row r="3191" spans="1:14" x14ac:dyDescent="0.35">
      <c r="A3191" t="s">
        <v>5677</v>
      </c>
      <c r="B3191" t="s">
        <v>5657</v>
      </c>
      <c r="C3191" t="s">
        <v>5677</v>
      </c>
      <c r="D3191" t="s">
        <v>10491</v>
      </c>
      <c r="E3191">
        <f>sch_vac_bygradelevel_f_g7</f>
        <v>0</v>
      </c>
      <c r="F3191" t="b">
        <v>1</v>
      </c>
      <c r="N3191" s="1346"/>
    </row>
    <row r="3192" spans="1:14" x14ac:dyDescent="0.35">
      <c r="A3192" t="s">
        <v>5674</v>
      </c>
      <c r="B3192" t="s">
        <v>5657</v>
      </c>
      <c r="C3192" t="s">
        <v>5674</v>
      </c>
      <c r="D3192" t="s">
        <v>10480</v>
      </c>
      <c r="E3192">
        <f>sch_vac_bygradelevel_m_g8</f>
        <v>0</v>
      </c>
      <c r="F3192" t="b">
        <v>1</v>
      </c>
      <c r="N3192" s="1346"/>
    </row>
    <row r="3193" spans="1:14" x14ac:dyDescent="0.35">
      <c r="A3193" t="s">
        <v>5678</v>
      </c>
      <c r="B3193" t="s">
        <v>5657</v>
      </c>
      <c r="C3193" t="s">
        <v>5678</v>
      </c>
      <c r="D3193" t="s">
        <v>10483</v>
      </c>
      <c r="E3193">
        <f>sch_vac_bygradelevel_f_g8</f>
        <v>0</v>
      </c>
      <c r="F3193" t="b">
        <v>1</v>
      </c>
      <c r="N3193" s="1346"/>
    </row>
    <row r="3194" spans="1:14" x14ac:dyDescent="0.35">
      <c r="A3194" t="s">
        <v>5675</v>
      </c>
      <c r="B3194" t="s">
        <v>5657</v>
      </c>
      <c r="C3194" t="s">
        <v>5675</v>
      </c>
      <c r="D3194" t="s">
        <v>10481</v>
      </c>
      <c r="E3194">
        <f>sch_vac_bygradelevel_m_g9</f>
        <v>0</v>
      </c>
      <c r="F3194" t="b">
        <v>1</v>
      </c>
      <c r="N3194" s="1346"/>
    </row>
    <row r="3195" spans="1:14" x14ac:dyDescent="0.35">
      <c r="A3195" t="s">
        <v>5679</v>
      </c>
      <c r="B3195" t="s">
        <v>5657</v>
      </c>
      <c r="C3195" t="s">
        <v>5679</v>
      </c>
      <c r="D3195" t="s">
        <v>10484</v>
      </c>
      <c r="E3195">
        <f>sch_vac_bygradelevel_f_g9</f>
        <v>0</v>
      </c>
      <c r="F3195" t="b">
        <v>1</v>
      </c>
      <c r="N3195" s="1346"/>
    </row>
    <row r="3196" spans="1:14" x14ac:dyDescent="0.35">
      <c r="A3196" t="s">
        <v>5676</v>
      </c>
      <c r="B3196" t="s">
        <v>5657</v>
      </c>
      <c r="C3196" t="s">
        <v>5676</v>
      </c>
      <c r="D3196" t="s">
        <v>10482</v>
      </c>
      <c r="E3196">
        <f>sch_vac_bygradelevel_m_g10</f>
        <v>0</v>
      </c>
      <c r="F3196" t="b">
        <v>1</v>
      </c>
      <c r="N3196" s="1346"/>
    </row>
    <row r="3197" spans="1:14" s="1348" customFormat="1" ht="16" thickBot="1" x14ac:dyDescent="0.4">
      <c r="A3197" s="1348" t="s">
        <v>5680</v>
      </c>
      <c r="B3197" s="1348" t="s">
        <v>5657</v>
      </c>
      <c r="C3197" s="1348" t="s">
        <v>5680</v>
      </c>
      <c r="D3197" s="1348" t="s">
        <v>10485</v>
      </c>
      <c r="E3197" s="1348">
        <f>sch_vac_bygradelevel_f_g10</f>
        <v>0</v>
      </c>
      <c r="F3197" s="1348" t="b">
        <v>1</v>
      </c>
      <c r="N3197" s="1366"/>
    </row>
    <row r="3198" spans="1:14" x14ac:dyDescent="0.35">
      <c r="A3198" t="s">
        <v>5681</v>
      </c>
      <c r="B3198" t="s">
        <v>5682</v>
      </c>
      <c r="C3198" t="s">
        <v>5681</v>
      </c>
      <c r="D3198" t="s">
        <v>10502</v>
      </c>
      <c r="E3198">
        <f>sch_bully_aml_phybully</f>
        <v>0</v>
      </c>
      <c r="F3198" t="b">
        <v>1</v>
      </c>
      <c r="N3198" s="1346"/>
    </row>
    <row r="3199" spans="1:14" x14ac:dyDescent="0.35">
      <c r="A3199" t="s">
        <v>5686</v>
      </c>
      <c r="B3199" t="s">
        <v>5682</v>
      </c>
      <c r="C3199" t="s">
        <v>5686</v>
      </c>
      <c r="D3199" t="s">
        <v>10503</v>
      </c>
      <c r="E3199">
        <f>sch_bully_afl_phybully</f>
        <v>0</v>
      </c>
      <c r="F3199" t="b">
        <v>1</v>
      </c>
      <c r="N3199" s="1346"/>
    </row>
    <row r="3200" spans="1:14" x14ac:dyDescent="0.35">
      <c r="A3200" t="s">
        <v>5683</v>
      </c>
      <c r="B3200" t="s">
        <v>5682</v>
      </c>
      <c r="C3200" t="s">
        <v>5683</v>
      </c>
      <c r="D3200" t="s">
        <v>10504</v>
      </c>
      <c r="E3200">
        <f>sch_bully_aml_cybbully</f>
        <v>0</v>
      </c>
      <c r="F3200" t="b">
        <v>1</v>
      </c>
      <c r="N3200" s="1346"/>
    </row>
    <row r="3201" spans="1:14" x14ac:dyDescent="0.35">
      <c r="A3201" t="s">
        <v>5687</v>
      </c>
      <c r="B3201" t="s">
        <v>5682</v>
      </c>
      <c r="C3201" t="s">
        <v>5687</v>
      </c>
      <c r="D3201" t="s">
        <v>10505</v>
      </c>
      <c r="E3201">
        <f>sch_bully_afl_cybbully</f>
        <v>0</v>
      </c>
      <c r="F3201" t="b">
        <v>1</v>
      </c>
      <c r="N3201" s="1346"/>
    </row>
    <row r="3202" spans="1:14" x14ac:dyDescent="0.35">
      <c r="A3202" t="s">
        <v>5684</v>
      </c>
      <c r="B3202" t="s">
        <v>5682</v>
      </c>
      <c r="C3202" t="s">
        <v>5684</v>
      </c>
      <c r="D3202" t="s">
        <v>10506</v>
      </c>
      <c r="E3202">
        <f>sch_bully_aml_genbully</f>
        <v>0</v>
      </c>
      <c r="F3202" t="b">
        <v>1</v>
      </c>
      <c r="N3202" s="1346"/>
    </row>
    <row r="3203" spans="1:14" x14ac:dyDescent="0.35">
      <c r="A3203" t="s">
        <v>5688</v>
      </c>
      <c r="B3203" t="s">
        <v>5682</v>
      </c>
      <c r="C3203" t="s">
        <v>5688</v>
      </c>
      <c r="D3203" t="s">
        <v>10507</v>
      </c>
      <c r="E3203">
        <f>sch_bully_afl_genbully</f>
        <v>0</v>
      </c>
      <c r="F3203" t="b">
        <v>1</v>
      </c>
      <c r="N3203" s="1346"/>
    </row>
    <row r="3204" spans="1:14" x14ac:dyDescent="0.35">
      <c r="A3204" t="s">
        <v>5685</v>
      </c>
      <c r="B3204" t="s">
        <v>5682</v>
      </c>
      <c r="C3204" t="s">
        <v>5685</v>
      </c>
      <c r="D3204" t="s">
        <v>10508</v>
      </c>
      <c r="E3204">
        <f>sch_bully_aml_socbully</f>
        <v>0</v>
      </c>
      <c r="F3204" t="b">
        <v>1</v>
      </c>
      <c r="N3204" s="1346"/>
    </row>
    <row r="3205" spans="1:14" x14ac:dyDescent="0.35">
      <c r="A3205" t="s">
        <v>5689</v>
      </c>
      <c r="B3205" t="s">
        <v>5682</v>
      </c>
      <c r="C3205" t="s">
        <v>5689</v>
      </c>
      <c r="D3205" t="s">
        <v>10509</v>
      </c>
      <c r="E3205">
        <f>sch_bully_afl_socbully</f>
        <v>0</v>
      </c>
      <c r="F3205" t="b">
        <v>1</v>
      </c>
      <c r="N3205" s="1346"/>
    </row>
    <row r="3206" spans="1:14" x14ac:dyDescent="0.35">
      <c r="A3206" t="s">
        <v>5690</v>
      </c>
      <c r="B3206" t="s">
        <v>5682</v>
      </c>
      <c r="C3206" t="s">
        <v>5690</v>
      </c>
      <c r="D3206" t="s">
        <v>10510</v>
      </c>
      <c r="E3206">
        <f>sch_bully_aml_g7</f>
        <v>0</v>
      </c>
      <c r="F3206" t="b">
        <v>1</v>
      </c>
      <c r="N3206" s="1346"/>
    </row>
    <row r="3207" spans="1:14" x14ac:dyDescent="0.35">
      <c r="A3207" t="s">
        <v>5694</v>
      </c>
      <c r="B3207" t="s">
        <v>5682</v>
      </c>
      <c r="C3207" t="s">
        <v>5694</v>
      </c>
      <c r="D3207" t="s">
        <v>10511</v>
      </c>
      <c r="E3207">
        <f>sch_bully_afl_g7</f>
        <v>0</v>
      </c>
      <c r="F3207" t="b">
        <v>1</v>
      </c>
      <c r="N3207" s="1346"/>
    </row>
    <row r="3208" spans="1:14" x14ac:dyDescent="0.35">
      <c r="A3208" t="s">
        <v>5691</v>
      </c>
      <c r="B3208" t="s">
        <v>5682</v>
      </c>
      <c r="C3208" t="s">
        <v>5691</v>
      </c>
      <c r="D3208" t="s">
        <v>10512</v>
      </c>
      <c r="E3208">
        <f>sch_bully_aml_g8</f>
        <v>0</v>
      </c>
      <c r="F3208" t="b">
        <v>1</v>
      </c>
      <c r="N3208" s="1346"/>
    </row>
    <row r="3209" spans="1:14" x14ac:dyDescent="0.35">
      <c r="A3209" t="s">
        <v>5695</v>
      </c>
      <c r="B3209" t="s">
        <v>5682</v>
      </c>
      <c r="C3209" t="s">
        <v>5695</v>
      </c>
      <c r="D3209" t="s">
        <v>10513</v>
      </c>
      <c r="E3209">
        <f>sch_bully_afl_g8</f>
        <v>0</v>
      </c>
      <c r="F3209" t="b">
        <v>1</v>
      </c>
      <c r="N3209" s="1346"/>
    </row>
    <row r="3210" spans="1:14" x14ac:dyDescent="0.35">
      <c r="A3210" t="s">
        <v>5692</v>
      </c>
      <c r="B3210" t="s">
        <v>5682</v>
      </c>
      <c r="C3210" t="s">
        <v>5692</v>
      </c>
      <c r="D3210" t="s">
        <v>10514</v>
      </c>
      <c r="E3210">
        <f>sch_bully_aml_g9</f>
        <v>0</v>
      </c>
      <c r="F3210" t="b">
        <v>1</v>
      </c>
      <c r="N3210" s="1346"/>
    </row>
    <row r="3211" spans="1:14" x14ac:dyDescent="0.35">
      <c r="A3211" t="s">
        <v>5696</v>
      </c>
      <c r="B3211" t="s">
        <v>5682</v>
      </c>
      <c r="C3211" t="s">
        <v>5696</v>
      </c>
      <c r="D3211" t="s">
        <v>10515</v>
      </c>
      <c r="E3211">
        <f>sch_bully_afl_g9</f>
        <v>0</v>
      </c>
      <c r="F3211" t="b">
        <v>1</v>
      </c>
      <c r="N3211" s="1346"/>
    </row>
    <row r="3212" spans="1:14" x14ac:dyDescent="0.35">
      <c r="A3212" t="s">
        <v>5693</v>
      </c>
      <c r="B3212" t="s">
        <v>5682</v>
      </c>
      <c r="C3212" t="s">
        <v>5693</v>
      </c>
      <c r="D3212" t="s">
        <v>10516</v>
      </c>
      <c r="E3212">
        <f>sch_bully_aml_g10</f>
        <v>0</v>
      </c>
      <c r="F3212" t="b">
        <v>1</v>
      </c>
      <c r="N3212" s="1346"/>
    </row>
    <row r="3213" spans="1:14" x14ac:dyDescent="0.35">
      <c r="A3213" t="s">
        <v>5697</v>
      </c>
      <c r="B3213" t="s">
        <v>5682</v>
      </c>
      <c r="C3213" t="s">
        <v>5697</v>
      </c>
      <c r="D3213" t="s">
        <v>10517</v>
      </c>
      <c r="E3213">
        <f>sch_bully_afl_g10</f>
        <v>0</v>
      </c>
      <c r="F3213" t="b">
        <v>1</v>
      </c>
      <c r="N3213" s="1346"/>
    </row>
    <row r="3214" spans="1:14" x14ac:dyDescent="0.35">
      <c r="A3214" t="s">
        <v>5698</v>
      </c>
      <c r="B3214" t="s">
        <v>5682</v>
      </c>
      <c r="C3214" t="s">
        <v>5698</v>
      </c>
      <c r="D3214" t="s">
        <v>10518</v>
      </c>
      <c r="E3214">
        <f>sch_bully_phy_g7</f>
        <v>0</v>
      </c>
      <c r="F3214" t="b">
        <v>1</v>
      </c>
      <c r="N3214" s="1346"/>
    </row>
    <row r="3215" spans="1:14" x14ac:dyDescent="0.35">
      <c r="A3215" t="s">
        <v>5707</v>
      </c>
      <c r="B3215" t="s">
        <v>5682</v>
      </c>
      <c r="C3215" t="s">
        <v>5707</v>
      </c>
      <c r="D3215" t="s">
        <v>10519</v>
      </c>
      <c r="E3215">
        <f>sch_bully_phy_g8</f>
        <v>0</v>
      </c>
      <c r="F3215" t="b">
        <v>1</v>
      </c>
      <c r="N3215" s="1346"/>
    </row>
    <row r="3216" spans="1:14" x14ac:dyDescent="0.35">
      <c r="A3216" t="s">
        <v>5716</v>
      </c>
      <c r="B3216" t="s">
        <v>5682</v>
      </c>
      <c r="C3216" t="s">
        <v>5716</v>
      </c>
      <c r="D3216" t="s">
        <v>10520</v>
      </c>
      <c r="E3216">
        <f>sch_bully_phy_g9</f>
        <v>0</v>
      </c>
      <c r="F3216" t="b">
        <v>1</v>
      </c>
      <c r="N3216" s="1346"/>
    </row>
    <row r="3217" spans="1:14" x14ac:dyDescent="0.35">
      <c r="A3217" t="s">
        <v>5725</v>
      </c>
      <c r="B3217" t="s">
        <v>5682</v>
      </c>
      <c r="C3217" t="s">
        <v>5725</v>
      </c>
      <c r="D3217" t="s">
        <v>10521</v>
      </c>
      <c r="E3217">
        <f>sch_bully_phy_g10</f>
        <v>0</v>
      </c>
      <c r="F3217" t="b">
        <v>1</v>
      </c>
      <c r="N3217" s="1346"/>
    </row>
    <row r="3218" spans="1:14" x14ac:dyDescent="0.35">
      <c r="A3218" t="s">
        <v>5699</v>
      </c>
      <c r="B3218" t="s">
        <v>5682</v>
      </c>
      <c r="C3218" t="s">
        <v>5699</v>
      </c>
      <c r="D3218" t="s">
        <v>10522</v>
      </c>
      <c r="E3218">
        <f>sch_bully_stl_g7</f>
        <v>0</v>
      </c>
      <c r="F3218" t="b">
        <v>1</v>
      </c>
      <c r="N3218" s="1346"/>
    </row>
    <row r="3219" spans="1:14" x14ac:dyDescent="0.35">
      <c r="A3219" t="s">
        <v>5708</v>
      </c>
      <c r="B3219" t="s">
        <v>5682</v>
      </c>
      <c r="C3219" t="s">
        <v>5708</v>
      </c>
      <c r="D3219" t="s">
        <v>10523</v>
      </c>
      <c r="E3219">
        <f>sch_bully_stl_g8</f>
        <v>0</v>
      </c>
      <c r="F3219" t="b">
        <v>1</v>
      </c>
      <c r="N3219" s="1346"/>
    </row>
    <row r="3220" spans="1:14" x14ac:dyDescent="0.35">
      <c r="A3220" t="s">
        <v>5717</v>
      </c>
      <c r="B3220" t="s">
        <v>5682</v>
      </c>
      <c r="C3220" t="s">
        <v>5717</v>
      </c>
      <c r="D3220" t="s">
        <v>10524</v>
      </c>
      <c r="E3220">
        <f>sch_bully_stl_g9</f>
        <v>0</v>
      </c>
      <c r="F3220" t="b">
        <v>1</v>
      </c>
      <c r="N3220" s="1346"/>
    </row>
    <row r="3221" spans="1:14" x14ac:dyDescent="0.35">
      <c r="A3221" t="s">
        <v>5726</v>
      </c>
      <c r="B3221" t="s">
        <v>5682</v>
      </c>
      <c r="C3221" t="s">
        <v>5726</v>
      </c>
      <c r="D3221" t="s">
        <v>10525</v>
      </c>
      <c r="E3221">
        <f>sch_bully_stl_g10</f>
        <v>0</v>
      </c>
      <c r="F3221" t="b">
        <v>1</v>
      </c>
      <c r="N3221" s="1346"/>
    </row>
    <row r="3222" spans="1:14" x14ac:dyDescent="0.35">
      <c r="A3222" t="s">
        <v>5700</v>
      </c>
      <c r="B3222" t="s">
        <v>5682</v>
      </c>
      <c r="C3222" t="s">
        <v>5700</v>
      </c>
      <c r="D3222" t="s">
        <v>10526</v>
      </c>
      <c r="E3222">
        <f>sch_bully_skn_g7</f>
        <v>0</v>
      </c>
      <c r="F3222" t="b">
        <v>1</v>
      </c>
      <c r="N3222" s="1346"/>
    </row>
    <row r="3223" spans="1:14" x14ac:dyDescent="0.35">
      <c r="A3223" t="s">
        <v>5709</v>
      </c>
      <c r="B3223" t="s">
        <v>5682</v>
      </c>
      <c r="C3223" t="s">
        <v>5709</v>
      </c>
      <c r="D3223" t="s">
        <v>10527</v>
      </c>
      <c r="E3223">
        <f>sch_bully_skn_g8</f>
        <v>0</v>
      </c>
      <c r="F3223" t="b">
        <v>1</v>
      </c>
      <c r="N3223" s="1346"/>
    </row>
    <row r="3224" spans="1:14" x14ac:dyDescent="0.35">
      <c r="A3224" t="s">
        <v>5718</v>
      </c>
      <c r="B3224" t="s">
        <v>5682</v>
      </c>
      <c r="C3224" t="s">
        <v>5718</v>
      </c>
      <c r="D3224" t="s">
        <v>10528</v>
      </c>
      <c r="E3224">
        <f>sch_bully_skn_g9</f>
        <v>0</v>
      </c>
      <c r="F3224" t="b">
        <v>1</v>
      </c>
      <c r="N3224" s="1346"/>
    </row>
    <row r="3225" spans="1:14" x14ac:dyDescent="0.35">
      <c r="A3225" t="s">
        <v>5727</v>
      </c>
      <c r="B3225" t="s">
        <v>5682</v>
      </c>
      <c r="C3225" t="s">
        <v>5727</v>
      </c>
      <c r="D3225" t="s">
        <v>10529</v>
      </c>
      <c r="E3225">
        <f>sch_bully_skn_g10</f>
        <v>0</v>
      </c>
      <c r="F3225" t="b">
        <v>1</v>
      </c>
      <c r="N3225" s="1346"/>
    </row>
    <row r="3226" spans="1:14" x14ac:dyDescent="0.35">
      <c r="A3226" t="s">
        <v>5701</v>
      </c>
      <c r="B3226" t="s">
        <v>5682</v>
      </c>
      <c r="C3226" t="s">
        <v>5701</v>
      </c>
      <c r="D3226" t="s">
        <v>10530</v>
      </c>
      <c r="E3226">
        <f>sch_bully_age_g7</f>
        <v>0</v>
      </c>
      <c r="F3226" t="b">
        <v>1</v>
      </c>
      <c r="N3226" s="1346"/>
    </row>
    <row r="3227" spans="1:14" x14ac:dyDescent="0.35">
      <c r="A3227" t="s">
        <v>5710</v>
      </c>
      <c r="B3227" t="s">
        <v>5682</v>
      </c>
      <c r="C3227" t="s">
        <v>5710</v>
      </c>
      <c r="D3227" t="s">
        <v>10531</v>
      </c>
      <c r="E3227">
        <f>sch_bully_age_g8</f>
        <v>0</v>
      </c>
      <c r="F3227" t="b">
        <v>1</v>
      </c>
      <c r="N3227" s="1346"/>
    </row>
    <row r="3228" spans="1:14" x14ac:dyDescent="0.35">
      <c r="A3228" t="s">
        <v>5719</v>
      </c>
      <c r="B3228" t="s">
        <v>5682</v>
      </c>
      <c r="C3228" t="s">
        <v>5719</v>
      </c>
      <c r="D3228" t="s">
        <v>10532</v>
      </c>
      <c r="E3228">
        <f>sch_bully_age_g9</f>
        <v>0</v>
      </c>
      <c r="F3228" t="b">
        <v>1</v>
      </c>
      <c r="N3228" s="1346"/>
    </row>
    <row r="3229" spans="1:14" x14ac:dyDescent="0.35">
      <c r="A3229" t="s">
        <v>5728</v>
      </c>
      <c r="B3229" t="s">
        <v>5682</v>
      </c>
      <c r="C3229" t="s">
        <v>5728</v>
      </c>
      <c r="D3229" t="s">
        <v>10533</v>
      </c>
      <c r="E3229">
        <f>sch_bully_age_g10</f>
        <v>0</v>
      </c>
      <c r="F3229" t="b">
        <v>1</v>
      </c>
      <c r="N3229" s="1346"/>
    </row>
    <row r="3230" spans="1:14" x14ac:dyDescent="0.35">
      <c r="A3230" t="s">
        <v>5702</v>
      </c>
      <c r="B3230" t="s">
        <v>5682</v>
      </c>
      <c r="C3230" t="s">
        <v>5702</v>
      </c>
      <c r="D3230" t="s">
        <v>10534</v>
      </c>
      <c r="E3230">
        <f>sch_bully_gen_g7</f>
        <v>0</v>
      </c>
      <c r="F3230" t="b">
        <v>1</v>
      </c>
      <c r="N3230" s="1346"/>
    </row>
    <row r="3231" spans="1:14" x14ac:dyDescent="0.35">
      <c r="A3231" t="s">
        <v>5711</v>
      </c>
      <c r="B3231" t="s">
        <v>5682</v>
      </c>
      <c r="C3231" t="s">
        <v>5711</v>
      </c>
      <c r="D3231" t="s">
        <v>10535</v>
      </c>
      <c r="E3231">
        <f>sch_bully_gen_g8</f>
        <v>0</v>
      </c>
      <c r="F3231" t="b">
        <v>1</v>
      </c>
      <c r="N3231" s="1346"/>
    </row>
    <row r="3232" spans="1:14" x14ac:dyDescent="0.35">
      <c r="A3232" t="s">
        <v>5720</v>
      </c>
      <c r="B3232" t="s">
        <v>5682</v>
      </c>
      <c r="C3232" t="s">
        <v>5720</v>
      </c>
      <c r="D3232" t="s">
        <v>10536</v>
      </c>
      <c r="E3232">
        <f>sch_bully_gen_g9</f>
        <v>0</v>
      </c>
      <c r="F3232" t="b">
        <v>1</v>
      </c>
      <c r="N3232" s="1346"/>
    </row>
    <row r="3233" spans="1:14" x14ac:dyDescent="0.35">
      <c r="A3233" t="s">
        <v>5729</v>
      </c>
      <c r="B3233" t="s">
        <v>5682</v>
      </c>
      <c r="C3233" t="s">
        <v>5729</v>
      </c>
      <c r="D3233" t="s">
        <v>10537</v>
      </c>
      <c r="E3233">
        <f>sch_bully_gen_g10</f>
        <v>0</v>
      </c>
      <c r="F3233" t="b">
        <v>1</v>
      </c>
      <c r="N3233" s="1346"/>
    </row>
    <row r="3234" spans="1:14" x14ac:dyDescent="0.35">
      <c r="A3234" t="s">
        <v>5703</v>
      </c>
      <c r="B3234" t="s">
        <v>5682</v>
      </c>
      <c r="C3234" t="s">
        <v>5703</v>
      </c>
      <c r="D3234" t="s">
        <v>10538</v>
      </c>
      <c r="E3234">
        <f>sch_bully_eth_g7</f>
        <v>0</v>
      </c>
      <c r="F3234" t="b">
        <v>1</v>
      </c>
      <c r="N3234" s="1346"/>
    </row>
    <row r="3235" spans="1:14" x14ac:dyDescent="0.35">
      <c r="A3235" t="s">
        <v>5712</v>
      </c>
      <c r="B3235" t="s">
        <v>5682</v>
      </c>
      <c r="C3235" t="s">
        <v>5712</v>
      </c>
      <c r="D3235" t="s">
        <v>10539</v>
      </c>
      <c r="E3235">
        <f>sch_bully_eth_g8</f>
        <v>0</v>
      </c>
      <c r="F3235" t="b">
        <v>1</v>
      </c>
      <c r="N3235" s="1346"/>
    </row>
    <row r="3236" spans="1:14" x14ac:dyDescent="0.35">
      <c r="A3236" t="s">
        <v>5721</v>
      </c>
      <c r="B3236" t="s">
        <v>5682</v>
      </c>
      <c r="C3236" t="s">
        <v>5721</v>
      </c>
      <c r="D3236" t="s">
        <v>10540</v>
      </c>
      <c r="E3236">
        <f>sch_bully_eth_g9</f>
        <v>0</v>
      </c>
      <c r="F3236" t="b">
        <v>1</v>
      </c>
      <c r="N3236" s="1346"/>
    </row>
    <row r="3237" spans="1:14" x14ac:dyDescent="0.35">
      <c r="A3237" t="s">
        <v>5730</v>
      </c>
      <c r="B3237" t="s">
        <v>5682</v>
      </c>
      <c r="C3237" t="s">
        <v>5730</v>
      </c>
      <c r="D3237" t="s">
        <v>10541</v>
      </c>
      <c r="E3237">
        <f>sch_bully_eth_g10</f>
        <v>0</v>
      </c>
      <c r="F3237" t="b">
        <v>1</v>
      </c>
      <c r="N3237" s="1346"/>
    </row>
    <row r="3238" spans="1:14" x14ac:dyDescent="0.35">
      <c r="A3238" t="s">
        <v>5704</v>
      </c>
      <c r="B3238" t="s">
        <v>5682</v>
      </c>
      <c r="C3238" t="s">
        <v>5704</v>
      </c>
      <c r="D3238" t="s">
        <v>10542</v>
      </c>
      <c r="E3238">
        <f>sch_bully_rel_g7</f>
        <v>0</v>
      </c>
      <c r="F3238" t="b">
        <v>1</v>
      </c>
      <c r="N3238" s="1346"/>
    </row>
    <row r="3239" spans="1:14" x14ac:dyDescent="0.35">
      <c r="A3239" t="s">
        <v>5713</v>
      </c>
      <c r="B3239" t="s">
        <v>5682</v>
      </c>
      <c r="C3239" t="s">
        <v>5713</v>
      </c>
      <c r="D3239" t="s">
        <v>10543</v>
      </c>
      <c r="E3239">
        <f>sch_bully_rel_g8</f>
        <v>0</v>
      </c>
      <c r="F3239" t="b">
        <v>1</v>
      </c>
      <c r="N3239" s="1346"/>
    </row>
    <row r="3240" spans="1:14" x14ac:dyDescent="0.35">
      <c r="A3240" t="s">
        <v>5722</v>
      </c>
      <c r="B3240" t="s">
        <v>5682</v>
      </c>
      <c r="C3240" t="s">
        <v>5722</v>
      </c>
      <c r="D3240" t="s">
        <v>10544</v>
      </c>
      <c r="E3240">
        <f>sch_bully_rel_g9</f>
        <v>0</v>
      </c>
      <c r="F3240" t="b">
        <v>1</v>
      </c>
      <c r="N3240" s="1346"/>
    </row>
    <row r="3241" spans="1:14" x14ac:dyDescent="0.35">
      <c r="A3241" t="s">
        <v>5731</v>
      </c>
      <c r="B3241" t="s">
        <v>5682</v>
      </c>
      <c r="C3241" t="s">
        <v>5731</v>
      </c>
      <c r="D3241" t="s">
        <v>10545</v>
      </c>
      <c r="E3241">
        <f>sch_bully_rel_g10</f>
        <v>0</v>
      </c>
      <c r="F3241" t="b">
        <v>1</v>
      </c>
      <c r="N3241" s="1346"/>
    </row>
    <row r="3242" spans="1:14" x14ac:dyDescent="0.35">
      <c r="A3242" t="s">
        <v>5705</v>
      </c>
      <c r="B3242" t="s">
        <v>5682</v>
      </c>
      <c r="C3242" t="s">
        <v>5705</v>
      </c>
      <c r="D3242" t="s">
        <v>10546</v>
      </c>
      <c r="E3242">
        <f>sch_bully_dis_g7</f>
        <v>0</v>
      </c>
      <c r="F3242" t="b">
        <v>1</v>
      </c>
      <c r="N3242" s="1346"/>
    </row>
    <row r="3243" spans="1:14" x14ac:dyDescent="0.35">
      <c r="A3243" t="s">
        <v>5714</v>
      </c>
      <c r="B3243" t="s">
        <v>5682</v>
      </c>
      <c r="C3243" t="s">
        <v>5714</v>
      </c>
      <c r="D3243" t="s">
        <v>10547</v>
      </c>
      <c r="E3243">
        <f>sch_bully_dis_g8</f>
        <v>0</v>
      </c>
      <c r="F3243" t="b">
        <v>1</v>
      </c>
      <c r="N3243" s="1346"/>
    </row>
    <row r="3244" spans="1:14" x14ac:dyDescent="0.35">
      <c r="A3244" t="s">
        <v>5723</v>
      </c>
      <c r="B3244" t="s">
        <v>5682</v>
      </c>
      <c r="C3244" t="s">
        <v>5723</v>
      </c>
      <c r="D3244" t="s">
        <v>10548</v>
      </c>
      <c r="E3244">
        <f>sch_bully_dis_g9</f>
        <v>0</v>
      </c>
      <c r="F3244" t="b">
        <v>1</v>
      </c>
      <c r="N3244" s="1346"/>
    </row>
    <row r="3245" spans="1:14" x14ac:dyDescent="0.35">
      <c r="A3245" t="s">
        <v>5732</v>
      </c>
      <c r="B3245" t="s">
        <v>5682</v>
      </c>
      <c r="C3245" t="s">
        <v>5732</v>
      </c>
      <c r="D3245" t="s">
        <v>10549</v>
      </c>
      <c r="E3245">
        <f>sch_bully_dis_g10</f>
        <v>0</v>
      </c>
      <c r="F3245" t="b">
        <v>1</v>
      </c>
      <c r="N3245" s="1346"/>
    </row>
    <row r="3246" spans="1:14" x14ac:dyDescent="0.35">
      <c r="A3246" t="s">
        <v>5706</v>
      </c>
      <c r="B3246" t="s">
        <v>5682</v>
      </c>
      <c r="C3246" t="s">
        <v>5706</v>
      </c>
      <c r="D3246" t="s">
        <v>10550</v>
      </c>
      <c r="E3246">
        <f>sch_bully_oth_g7</f>
        <v>0</v>
      </c>
      <c r="F3246" t="b">
        <v>1</v>
      </c>
      <c r="N3246" s="1346"/>
    </row>
    <row r="3247" spans="1:14" x14ac:dyDescent="0.35">
      <c r="A3247" t="s">
        <v>5715</v>
      </c>
      <c r="B3247" t="s">
        <v>5682</v>
      </c>
      <c r="C3247" t="s">
        <v>5715</v>
      </c>
      <c r="D3247" t="s">
        <v>10551</v>
      </c>
      <c r="E3247">
        <f>sch_bully_oth_g8</f>
        <v>0</v>
      </c>
      <c r="F3247" t="b">
        <v>1</v>
      </c>
      <c r="N3247" s="1346"/>
    </row>
    <row r="3248" spans="1:14" x14ac:dyDescent="0.35">
      <c r="A3248" t="s">
        <v>5724</v>
      </c>
      <c r="B3248" t="s">
        <v>5682</v>
      </c>
      <c r="C3248" t="s">
        <v>5724</v>
      </c>
      <c r="D3248" t="s">
        <v>10552</v>
      </c>
      <c r="E3248">
        <f>sch_bully_oth_g9</f>
        <v>0</v>
      </c>
      <c r="F3248" t="b">
        <v>1</v>
      </c>
      <c r="N3248" s="1346"/>
    </row>
    <row r="3249" spans="1:14" s="1348" customFormat="1" ht="16" thickBot="1" x14ac:dyDescent="0.4">
      <c r="A3249" s="1348" t="s">
        <v>5733</v>
      </c>
      <c r="B3249" s="1348" t="s">
        <v>5682</v>
      </c>
      <c r="C3249" s="1348" t="s">
        <v>5733</v>
      </c>
      <c r="D3249" s="1348" t="s">
        <v>10553</v>
      </c>
      <c r="E3249" s="1348">
        <f>sch_bully_oth_g10</f>
        <v>0</v>
      </c>
      <c r="F3249" s="1348" t="b">
        <v>1</v>
      </c>
      <c r="N3249" s="1366"/>
    </row>
    <row r="3250" spans="1:14" x14ac:dyDescent="0.35">
      <c r="A3250" t="s">
        <v>5734</v>
      </c>
      <c r="B3250" t="s">
        <v>5735</v>
      </c>
      <c r="C3250" t="s">
        <v>5734</v>
      </c>
      <c r="D3250" t="s">
        <v>10554</v>
      </c>
      <c r="E3250" t="b">
        <f>avail_sp_sportsevent_archery</f>
        <v>0</v>
      </c>
      <c r="F3250" t="b">
        <f>ISLOGICAL(E3250)</f>
        <v>1</v>
      </c>
      <c r="G3250" t="s">
        <v>12516</v>
      </c>
      <c r="N3250" s="1346"/>
    </row>
    <row r="3251" spans="1:14" x14ac:dyDescent="0.35">
      <c r="A3251" t="s">
        <v>5736</v>
      </c>
      <c r="B3251" t="s">
        <v>5735</v>
      </c>
      <c r="C3251" t="s">
        <v>5736</v>
      </c>
      <c r="D3251" t="s">
        <v>10555</v>
      </c>
      <c r="E3251" t="b">
        <f>avail_sp_sportsevent_arnis</f>
        <v>1</v>
      </c>
      <c r="F3251" t="b">
        <v>1</v>
      </c>
      <c r="G3251" t="s">
        <v>12516</v>
      </c>
      <c r="N3251" s="1346"/>
    </row>
    <row r="3252" spans="1:14" x14ac:dyDescent="0.35">
      <c r="A3252" t="s">
        <v>5737</v>
      </c>
      <c r="B3252" t="s">
        <v>5735</v>
      </c>
      <c r="C3252" t="s">
        <v>5737</v>
      </c>
      <c r="D3252" t="s">
        <v>10556</v>
      </c>
      <c r="E3252" t="b">
        <f>avail_sp_sportsevent_athlthrow</f>
        <v>0</v>
      </c>
      <c r="F3252" t="b">
        <v>1</v>
      </c>
      <c r="G3252" t="s">
        <v>12516</v>
      </c>
      <c r="N3252" s="1346"/>
    </row>
    <row r="3253" spans="1:14" x14ac:dyDescent="0.35">
      <c r="A3253" t="s">
        <v>5738</v>
      </c>
      <c r="B3253" t="s">
        <v>5735</v>
      </c>
      <c r="C3253" t="s">
        <v>5738</v>
      </c>
      <c r="D3253" t="s">
        <v>10557</v>
      </c>
      <c r="E3253" t="b">
        <f>avail_sp_sportsevent_athlrun</f>
        <v>0</v>
      </c>
      <c r="F3253" t="b">
        <v>1</v>
      </c>
      <c r="G3253" t="s">
        <v>12516</v>
      </c>
      <c r="N3253" s="1346"/>
    </row>
    <row r="3254" spans="1:14" x14ac:dyDescent="0.35">
      <c r="A3254" t="s">
        <v>5739</v>
      </c>
      <c r="B3254" t="s">
        <v>5735</v>
      </c>
      <c r="C3254" t="s">
        <v>5739</v>
      </c>
      <c r="D3254" t="s">
        <v>10558</v>
      </c>
      <c r="E3254" t="b">
        <f>avail_sp_sportsevent_badminton</f>
        <v>0</v>
      </c>
      <c r="F3254" t="b">
        <v>1</v>
      </c>
      <c r="G3254" t="s">
        <v>12516</v>
      </c>
      <c r="N3254" s="1346"/>
    </row>
    <row r="3255" spans="1:14" x14ac:dyDescent="0.35">
      <c r="A3255" t="s">
        <v>5740</v>
      </c>
      <c r="B3255" t="s">
        <v>5735</v>
      </c>
      <c r="C3255" t="s">
        <v>5740</v>
      </c>
      <c r="D3255" t="s">
        <v>10559</v>
      </c>
      <c r="E3255" t="b">
        <f>avail_sp_sportsevent_basketball</f>
        <v>0</v>
      </c>
      <c r="F3255" t="b">
        <v>1</v>
      </c>
      <c r="G3255" t="s">
        <v>12516</v>
      </c>
      <c r="N3255" s="1346"/>
    </row>
    <row r="3256" spans="1:14" x14ac:dyDescent="0.35">
      <c r="A3256" t="s">
        <v>5741</v>
      </c>
      <c r="B3256" t="s">
        <v>5735</v>
      </c>
      <c r="C3256" t="s">
        <v>5741</v>
      </c>
      <c r="D3256" t="s">
        <v>10560</v>
      </c>
      <c r="E3256" t="b">
        <f>avail_sp_sportsevent_baseball</f>
        <v>0</v>
      </c>
      <c r="F3256" t="b">
        <v>1</v>
      </c>
      <c r="G3256" t="s">
        <v>12516</v>
      </c>
      <c r="N3256" s="1346"/>
    </row>
    <row r="3257" spans="1:14" x14ac:dyDescent="0.35">
      <c r="A3257" t="s">
        <v>5742</v>
      </c>
      <c r="B3257" t="s">
        <v>5735</v>
      </c>
      <c r="C3257" t="s">
        <v>5742</v>
      </c>
      <c r="D3257" t="s">
        <v>10561</v>
      </c>
      <c r="E3257" t="b">
        <f>avail_sp_sportsevent_billard</f>
        <v>0</v>
      </c>
      <c r="F3257" t="b">
        <v>1</v>
      </c>
      <c r="G3257" t="s">
        <v>12516</v>
      </c>
      <c r="N3257" s="1346"/>
    </row>
    <row r="3258" spans="1:14" x14ac:dyDescent="0.35">
      <c r="A3258" t="s">
        <v>5743</v>
      </c>
      <c r="B3258" t="s">
        <v>5735</v>
      </c>
      <c r="C3258" t="s">
        <v>5743</v>
      </c>
      <c r="D3258" t="s">
        <v>10562</v>
      </c>
      <c r="E3258" t="b">
        <f>avail_sp_sportsevent_boxing</f>
        <v>0</v>
      </c>
      <c r="F3258" t="b">
        <v>1</v>
      </c>
      <c r="G3258" t="s">
        <v>12516</v>
      </c>
      <c r="N3258" s="1346"/>
    </row>
    <row r="3259" spans="1:14" x14ac:dyDescent="0.35">
      <c r="A3259" t="s">
        <v>5744</v>
      </c>
      <c r="B3259" t="s">
        <v>5735</v>
      </c>
      <c r="C3259" t="s">
        <v>5744</v>
      </c>
      <c r="D3259" t="s">
        <v>10563</v>
      </c>
      <c r="E3259" t="b">
        <f>avail_sp_sportsevent_chess</f>
        <v>0</v>
      </c>
      <c r="F3259" t="b">
        <v>1</v>
      </c>
      <c r="G3259" t="s">
        <v>12516</v>
      </c>
      <c r="N3259" s="1346"/>
    </row>
    <row r="3260" spans="1:14" x14ac:dyDescent="0.35">
      <c r="A3260" t="s">
        <v>5745</v>
      </c>
      <c r="B3260" t="s">
        <v>5735</v>
      </c>
      <c r="C3260" t="s">
        <v>5745</v>
      </c>
      <c r="D3260" t="s">
        <v>10564</v>
      </c>
      <c r="E3260" t="b">
        <f>avail_sp_sportsevent_dancesports</f>
        <v>1</v>
      </c>
      <c r="F3260" t="b">
        <v>1</v>
      </c>
      <c r="G3260" t="s">
        <v>12516</v>
      </c>
      <c r="N3260" s="1346"/>
    </row>
    <row r="3261" spans="1:14" x14ac:dyDescent="0.35">
      <c r="A3261" t="s">
        <v>5746</v>
      </c>
      <c r="B3261" t="s">
        <v>5735</v>
      </c>
      <c r="C3261" t="s">
        <v>5746</v>
      </c>
      <c r="D3261" t="s">
        <v>10565</v>
      </c>
      <c r="E3261" t="b">
        <f>avail_sp_sportsevent_football</f>
        <v>0</v>
      </c>
      <c r="F3261" t="b">
        <v>1</v>
      </c>
      <c r="G3261" t="s">
        <v>12516</v>
      </c>
      <c r="N3261" s="1346"/>
    </row>
    <row r="3262" spans="1:14" x14ac:dyDescent="0.35">
      <c r="A3262" t="s">
        <v>5747</v>
      </c>
      <c r="B3262" t="s">
        <v>5735</v>
      </c>
      <c r="C3262" t="s">
        <v>5747</v>
      </c>
      <c r="D3262" t="s">
        <v>10566</v>
      </c>
      <c r="E3262" t="b">
        <f>avail_sp_sportsevent_futsal</f>
        <v>0</v>
      </c>
      <c r="F3262" t="b">
        <v>1</v>
      </c>
      <c r="G3262" t="s">
        <v>12516</v>
      </c>
      <c r="N3262" s="1346"/>
    </row>
    <row r="3263" spans="1:14" x14ac:dyDescent="0.35">
      <c r="A3263" t="s">
        <v>5748</v>
      </c>
      <c r="B3263" t="s">
        <v>5735</v>
      </c>
      <c r="C3263" t="s">
        <v>5748</v>
      </c>
      <c r="D3263" t="s">
        <v>10567</v>
      </c>
      <c r="E3263" t="b">
        <f>avail_sp_sportsevent_aerogymn</f>
        <v>0</v>
      </c>
      <c r="F3263" t="b">
        <v>1</v>
      </c>
      <c r="G3263" t="s">
        <v>12516</v>
      </c>
      <c r="N3263" s="1346"/>
    </row>
    <row r="3264" spans="1:14" x14ac:dyDescent="0.35">
      <c r="A3264" t="s">
        <v>5749</v>
      </c>
      <c r="B3264" t="s">
        <v>5735</v>
      </c>
      <c r="C3264" t="s">
        <v>5749</v>
      </c>
      <c r="D3264" t="s">
        <v>10568</v>
      </c>
      <c r="E3264" t="b">
        <f>avail_sp_sportsevent_mag</f>
        <v>0</v>
      </c>
      <c r="F3264" t="b">
        <v>1</v>
      </c>
      <c r="G3264" t="s">
        <v>12516</v>
      </c>
      <c r="N3264" s="1346"/>
    </row>
    <row r="3265" spans="1:14" x14ac:dyDescent="0.35">
      <c r="A3265" t="s">
        <v>5750</v>
      </c>
      <c r="B3265" t="s">
        <v>5735</v>
      </c>
      <c r="C3265" t="s">
        <v>8481</v>
      </c>
      <c r="D3265" t="s">
        <v>10569</v>
      </c>
      <c r="E3265" t="b" cm="1">
        <f t="array" ref="E3265">avail_sp_sportsclub_archery</f>
        <v>0</v>
      </c>
      <c r="F3265" t="b">
        <v>1</v>
      </c>
      <c r="G3265" t="s">
        <v>12516</v>
      </c>
      <c r="N3265" s="1346"/>
    </row>
    <row r="3266" spans="1:14" x14ac:dyDescent="0.35">
      <c r="A3266" t="s">
        <v>5751</v>
      </c>
      <c r="B3266" t="s">
        <v>5735</v>
      </c>
      <c r="C3266" t="s">
        <v>8482</v>
      </c>
      <c r="D3266" t="s">
        <v>10570</v>
      </c>
      <c r="E3266" t="b" cm="1">
        <f t="array" ref="E3266">avail_sp_sportsclub_arnis</f>
        <v>1</v>
      </c>
      <c r="F3266" t="b">
        <v>1</v>
      </c>
      <c r="G3266" t="s">
        <v>12516</v>
      </c>
      <c r="N3266" s="1346"/>
    </row>
    <row r="3267" spans="1:14" x14ac:dyDescent="0.35">
      <c r="A3267" t="s">
        <v>5752</v>
      </c>
      <c r="B3267" t="s">
        <v>5735</v>
      </c>
      <c r="C3267" t="s">
        <v>8483</v>
      </c>
      <c r="D3267" t="s">
        <v>10571</v>
      </c>
      <c r="E3267" t="b" cm="1">
        <f t="array" ref="E3267">avail_sp_sportsclub_athlthrow</f>
        <v>0</v>
      </c>
      <c r="F3267" t="b">
        <v>1</v>
      </c>
      <c r="G3267" t="s">
        <v>12516</v>
      </c>
      <c r="N3267" s="1346"/>
    </row>
    <row r="3268" spans="1:14" x14ac:dyDescent="0.35">
      <c r="A3268" t="s">
        <v>5753</v>
      </c>
      <c r="B3268" t="s">
        <v>5735</v>
      </c>
      <c r="C3268" t="s">
        <v>8484</v>
      </c>
      <c r="D3268" t="s">
        <v>10572</v>
      </c>
      <c r="E3268" t="b" cm="1">
        <f t="array" ref="E3268">avail_sp_sportsclub_athlrun</f>
        <v>0</v>
      </c>
      <c r="F3268" t="b">
        <v>1</v>
      </c>
      <c r="G3268" t="s">
        <v>12516</v>
      </c>
      <c r="N3268" s="1346"/>
    </row>
    <row r="3269" spans="1:14" x14ac:dyDescent="0.35">
      <c r="A3269" t="s">
        <v>5754</v>
      </c>
      <c r="B3269" t="s">
        <v>5735</v>
      </c>
      <c r="C3269" t="s">
        <v>8485</v>
      </c>
      <c r="D3269" t="s">
        <v>10573</v>
      </c>
      <c r="E3269" t="b" cm="1">
        <f t="array" ref="E3269">avail_sp_sportsclub_badminton</f>
        <v>0</v>
      </c>
      <c r="F3269" t="b">
        <v>1</v>
      </c>
      <c r="G3269" t="s">
        <v>12516</v>
      </c>
      <c r="N3269" s="1346"/>
    </row>
    <row r="3270" spans="1:14" x14ac:dyDescent="0.35">
      <c r="A3270" t="s">
        <v>5755</v>
      </c>
      <c r="B3270" t="s">
        <v>5735</v>
      </c>
      <c r="C3270" t="s">
        <v>8486</v>
      </c>
      <c r="D3270" t="s">
        <v>10574</v>
      </c>
      <c r="E3270" t="b" cm="1">
        <f t="array" ref="E3270">avail_sp_sportsclub_basketball</f>
        <v>0</v>
      </c>
      <c r="F3270" t="b">
        <v>1</v>
      </c>
      <c r="G3270" t="s">
        <v>12516</v>
      </c>
      <c r="N3270" s="1346"/>
    </row>
    <row r="3271" spans="1:14" x14ac:dyDescent="0.35">
      <c r="A3271" t="s">
        <v>5756</v>
      </c>
      <c r="B3271" t="s">
        <v>5735</v>
      </c>
      <c r="C3271" t="s">
        <v>8487</v>
      </c>
      <c r="D3271" t="s">
        <v>10575</v>
      </c>
      <c r="E3271" t="b" cm="1">
        <f t="array" ref="E3271">avail_sp_sportsclub_baseball</f>
        <v>0</v>
      </c>
      <c r="F3271" t="b">
        <v>1</v>
      </c>
      <c r="G3271" t="s">
        <v>12516</v>
      </c>
      <c r="N3271" s="1346"/>
    </row>
    <row r="3272" spans="1:14" x14ac:dyDescent="0.35">
      <c r="A3272" t="s">
        <v>5757</v>
      </c>
      <c r="B3272" t="s">
        <v>5735</v>
      </c>
      <c r="C3272" t="s">
        <v>8488</v>
      </c>
      <c r="D3272" t="s">
        <v>10576</v>
      </c>
      <c r="E3272" t="b" cm="1">
        <f t="array" ref="E3272">avail_sp_sportsclub_billard</f>
        <v>0</v>
      </c>
      <c r="F3272" t="b">
        <v>1</v>
      </c>
      <c r="G3272" t="s">
        <v>12516</v>
      </c>
      <c r="N3272" s="1346"/>
    </row>
    <row r="3273" spans="1:14" x14ac:dyDescent="0.35">
      <c r="A3273" t="s">
        <v>5758</v>
      </c>
      <c r="B3273" t="s">
        <v>5735</v>
      </c>
      <c r="C3273" t="s">
        <v>8489</v>
      </c>
      <c r="D3273" t="s">
        <v>10577</v>
      </c>
      <c r="E3273" t="b" cm="1">
        <f t="array" ref="E3273">avail_sp_sportsclub_boxing</f>
        <v>0</v>
      </c>
      <c r="F3273" t="b">
        <v>1</v>
      </c>
      <c r="G3273" t="s">
        <v>12516</v>
      </c>
      <c r="N3273" s="1346"/>
    </row>
    <row r="3274" spans="1:14" x14ac:dyDescent="0.35">
      <c r="A3274" t="s">
        <v>5759</v>
      </c>
      <c r="B3274" t="s">
        <v>5735</v>
      </c>
      <c r="C3274" t="s">
        <v>8490</v>
      </c>
      <c r="D3274" t="s">
        <v>10578</v>
      </c>
      <c r="E3274" t="b" cm="1">
        <f t="array" ref="E3274">avail_sp_sportsclub_chess</f>
        <v>0</v>
      </c>
      <c r="F3274" t="b">
        <v>1</v>
      </c>
      <c r="G3274" t="s">
        <v>12516</v>
      </c>
      <c r="N3274" s="1346"/>
    </row>
    <row r="3275" spans="1:14" x14ac:dyDescent="0.35">
      <c r="A3275" t="s">
        <v>5760</v>
      </c>
      <c r="B3275" t="s">
        <v>5735</v>
      </c>
      <c r="C3275" t="s">
        <v>8491</v>
      </c>
      <c r="D3275" t="s">
        <v>10579</v>
      </c>
      <c r="E3275" t="b" cm="1">
        <f t="array" ref="E3275">avail_sp_sportsclub_dancesports</f>
        <v>1</v>
      </c>
      <c r="F3275" t="b">
        <v>1</v>
      </c>
      <c r="G3275" t="s">
        <v>12516</v>
      </c>
      <c r="N3275" s="1346"/>
    </row>
    <row r="3276" spans="1:14" x14ac:dyDescent="0.35">
      <c r="A3276" t="s">
        <v>5761</v>
      </c>
      <c r="B3276" t="s">
        <v>5735</v>
      </c>
      <c r="C3276" t="s">
        <v>8492</v>
      </c>
      <c r="D3276" t="s">
        <v>10580</v>
      </c>
      <c r="E3276" t="b" cm="1">
        <f t="array" ref="E3276">avail_sp_sportsclub_football</f>
        <v>0</v>
      </c>
      <c r="F3276" t="b">
        <v>1</v>
      </c>
      <c r="G3276" t="s">
        <v>12516</v>
      </c>
      <c r="N3276" s="1346"/>
    </row>
    <row r="3277" spans="1:14" x14ac:dyDescent="0.35">
      <c r="A3277" t="s">
        <v>5762</v>
      </c>
      <c r="B3277" t="s">
        <v>5735</v>
      </c>
      <c r="C3277" t="s">
        <v>8493</v>
      </c>
      <c r="D3277" t="s">
        <v>10581</v>
      </c>
      <c r="E3277" t="b" cm="1">
        <f t="array" ref="E3277">avail_sp_sportsclub_futsal</f>
        <v>0</v>
      </c>
      <c r="F3277" t="b">
        <v>1</v>
      </c>
      <c r="G3277" t="s">
        <v>12516</v>
      </c>
      <c r="N3277" s="1346"/>
    </row>
    <row r="3278" spans="1:14" x14ac:dyDescent="0.35">
      <c r="A3278" t="s">
        <v>5763</v>
      </c>
      <c r="B3278" t="s">
        <v>5735</v>
      </c>
      <c r="C3278" t="s">
        <v>8494</v>
      </c>
      <c r="D3278" t="s">
        <v>10582</v>
      </c>
      <c r="E3278" t="b" cm="1">
        <f t="array" ref="E3278">avail_sp_sportsclub_aerogymn</f>
        <v>0</v>
      </c>
      <c r="F3278" t="b">
        <v>1</v>
      </c>
      <c r="G3278" t="s">
        <v>12516</v>
      </c>
      <c r="N3278" s="1346"/>
    </row>
    <row r="3279" spans="1:14" x14ac:dyDescent="0.35">
      <c r="A3279" t="s">
        <v>5764</v>
      </c>
      <c r="B3279" t="s">
        <v>5735</v>
      </c>
      <c r="C3279" t="s">
        <v>8495</v>
      </c>
      <c r="D3279" t="s">
        <v>10583</v>
      </c>
      <c r="E3279" t="b" cm="1">
        <f t="array" ref="E3279">avail_sp_sportsclub_mag</f>
        <v>0</v>
      </c>
      <c r="F3279" t="b">
        <v>1</v>
      </c>
      <c r="G3279" t="s">
        <v>12516</v>
      </c>
      <c r="N3279" s="1346"/>
    </row>
    <row r="3280" spans="1:14" x14ac:dyDescent="0.35">
      <c r="A3280" t="s">
        <v>5765</v>
      </c>
      <c r="B3280" t="s">
        <v>5735</v>
      </c>
      <c r="C3280" t="s">
        <v>8496</v>
      </c>
      <c r="D3280" t="s">
        <v>10584</v>
      </c>
      <c r="E3280" t="b" cm="1">
        <f t="array" ref="E3280">avail_sp_sportsfac_archery</f>
        <v>0</v>
      </c>
      <c r="F3280" t="b">
        <v>1</v>
      </c>
      <c r="G3280" t="s">
        <v>12516</v>
      </c>
      <c r="N3280" s="1346"/>
    </row>
    <row r="3281" spans="1:14" x14ac:dyDescent="0.35">
      <c r="A3281" t="s">
        <v>5766</v>
      </c>
      <c r="B3281" t="s">
        <v>5735</v>
      </c>
      <c r="C3281" t="s">
        <v>8497</v>
      </c>
      <c r="D3281" t="s">
        <v>10585</v>
      </c>
      <c r="E3281" t="b" cm="1">
        <f t="array" ref="E3281">avail_sp_sportsfac_arnis</f>
        <v>1</v>
      </c>
      <c r="F3281" t="b">
        <v>1</v>
      </c>
      <c r="G3281" t="s">
        <v>12516</v>
      </c>
      <c r="N3281" s="1346"/>
    </row>
    <row r="3282" spans="1:14" x14ac:dyDescent="0.35">
      <c r="A3282" t="s">
        <v>5767</v>
      </c>
      <c r="B3282" t="s">
        <v>5735</v>
      </c>
      <c r="C3282" t="s">
        <v>8498</v>
      </c>
      <c r="D3282" t="s">
        <v>10586</v>
      </c>
      <c r="E3282" t="b" cm="1">
        <f t="array" ref="E3282">avail_sp_sportsfac_athlthrow</f>
        <v>0</v>
      </c>
      <c r="F3282" t="b">
        <v>1</v>
      </c>
      <c r="G3282" t="s">
        <v>12516</v>
      </c>
      <c r="N3282" s="1346"/>
    </row>
    <row r="3283" spans="1:14" x14ac:dyDescent="0.35">
      <c r="A3283" t="s">
        <v>5768</v>
      </c>
      <c r="B3283" t="s">
        <v>5735</v>
      </c>
      <c r="C3283" t="s">
        <v>8499</v>
      </c>
      <c r="D3283" t="s">
        <v>10587</v>
      </c>
      <c r="E3283" t="b" cm="1">
        <f t="array" ref="E3283">avail_sp_sportsfac_athlrun</f>
        <v>0</v>
      </c>
      <c r="F3283" t="b">
        <v>1</v>
      </c>
      <c r="G3283" t="s">
        <v>12516</v>
      </c>
      <c r="N3283" s="1346"/>
    </row>
    <row r="3284" spans="1:14" x14ac:dyDescent="0.35">
      <c r="A3284" t="s">
        <v>5769</v>
      </c>
      <c r="B3284" t="s">
        <v>5735</v>
      </c>
      <c r="C3284" t="s">
        <v>8500</v>
      </c>
      <c r="D3284" t="s">
        <v>10588</v>
      </c>
      <c r="E3284" t="b" cm="1">
        <f t="array" ref="E3284">avail_sp_sportsfac_badminton</f>
        <v>0</v>
      </c>
      <c r="F3284" t="b">
        <v>1</v>
      </c>
      <c r="G3284" t="s">
        <v>12516</v>
      </c>
      <c r="N3284" s="1346"/>
    </row>
    <row r="3285" spans="1:14" x14ac:dyDescent="0.35">
      <c r="A3285" t="s">
        <v>5770</v>
      </c>
      <c r="B3285" t="s">
        <v>5735</v>
      </c>
      <c r="C3285" t="s">
        <v>8501</v>
      </c>
      <c r="D3285" t="s">
        <v>10589</v>
      </c>
      <c r="E3285" t="b" cm="1">
        <f t="array" ref="E3285">avail_sp_sportsfac_basketball</f>
        <v>0</v>
      </c>
      <c r="F3285" t="b">
        <v>1</v>
      </c>
      <c r="G3285" t="s">
        <v>12516</v>
      </c>
      <c r="N3285" s="1346"/>
    </row>
    <row r="3286" spans="1:14" x14ac:dyDescent="0.35">
      <c r="A3286" t="s">
        <v>5771</v>
      </c>
      <c r="B3286" t="s">
        <v>5735</v>
      </c>
      <c r="C3286" t="s">
        <v>8502</v>
      </c>
      <c r="D3286" t="s">
        <v>10590</v>
      </c>
      <c r="E3286" t="b" cm="1">
        <f t="array" ref="E3286">avail_sp_sportsfac_baseball</f>
        <v>0</v>
      </c>
      <c r="F3286" t="b">
        <v>1</v>
      </c>
      <c r="G3286" t="s">
        <v>12516</v>
      </c>
      <c r="N3286" s="1346"/>
    </row>
    <row r="3287" spans="1:14" x14ac:dyDescent="0.35">
      <c r="A3287" t="s">
        <v>5772</v>
      </c>
      <c r="B3287" t="s">
        <v>5735</v>
      </c>
      <c r="C3287" t="s">
        <v>8503</v>
      </c>
      <c r="D3287" t="s">
        <v>10591</v>
      </c>
      <c r="E3287" t="b" cm="1">
        <f t="array" ref="E3287">avail_sp_sportsfac_billard</f>
        <v>0</v>
      </c>
      <c r="F3287" t="b">
        <v>1</v>
      </c>
      <c r="G3287" t="s">
        <v>12516</v>
      </c>
      <c r="N3287" s="1346"/>
    </row>
    <row r="3288" spans="1:14" x14ac:dyDescent="0.35">
      <c r="A3288" t="s">
        <v>5773</v>
      </c>
      <c r="B3288" t="s">
        <v>5735</v>
      </c>
      <c r="C3288" t="s">
        <v>8504</v>
      </c>
      <c r="D3288" t="s">
        <v>10592</v>
      </c>
      <c r="E3288" t="b" cm="1">
        <f t="array" ref="E3288">avail_sp_sportsfac_boxing</f>
        <v>0</v>
      </c>
      <c r="F3288" t="b">
        <v>1</v>
      </c>
      <c r="G3288" t="s">
        <v>12516</v>
      </c>
      <c r="N3288" s="1346"/>
    </row>
    <row r="3289" spans="1:14" x14ac:dyDescent="0.35">
      <c r="A3289" t="s">
        <v>5774</v>
      </c>
      <c r="B3289" t="s">
        <v>5735</v>
      </c>
      <c r="C3289" t="s">
        <v>8505</v>
      </c>
      <c r="D3289" t="s">
        <v>10593</v>
      </c>
      <c r="E3289" t="b" cm="1">
        <f t="array" ref="E3289">avail_sp_sportsfac_chess</f>
        <v>0</v>
      </c>
      <c r="F3289" t="b">
        <v>1</v>
      </c>
      <c r="G3289" t="s">
        <v>12516</v>
      </c>
      <c r="N3289" s="1346"/>
    </row>
    <row r="3290" spans="1:14" x14ac:dyDescent="0.35">
      <c r="A3290" t="s">
        <v>5775</v>
      </c>
      <c r="B3290" t="s">
        <v>5735</v>
      </c>
      <c r="C3290" t="s">
        <v>8506</v>
      </c>
      <c r="D3290" t="s">
        <v>10594</v>
      </c>
      <c r="E3290" t="b" cm="1">
        <f t="array" ref="E3290">avail_sp_sportsfac_dancesports</f>
        <v>0</v>
      </c>
      <c r="F3290" t="b">
        <v>1</v>
      </c>
      <c r="G3290" t="s">
        <v>12516</v>
      </c>
      <c r="N3290" s="1346"/>
    </row>
    <row r="3291" spans="1:14" x14ac:dyDescent="0.35">
      <c r="A3291" t="s">
        <v>5776</v>
      </c>
      <c r="B3291" t="s">
        <v>5735</v>
      </c>
      <c r="C3291" t="s">
        <v>8507</v>
      </c>
      <c r="D3291" t="s">
        <v>10595</v>
      </c>
      <c r="E3291" t="b" cm="1">
        <f t="array" ref="E3291">avail_sp_sportsfac_football</f>
        <v>0</v>
      </c>
      <c r="F3291" t="b">
        <v>1</v>
      </c>
      <c r="G3291" t="s">
        <v>12516</v>
      </c>
      <c r="N3291" s="1346"/>
    </row>
    <row r="3292" spans="1:14" x14ac:dyDescent="0.35">
      <c r="A3292" t="s">
        <v>5777</v>
      </c>
      <c r="B3292" t="s">
        <v>5735</v>
      </c>
      <c r="C3292" t="s">
        <v>8508</v>
      </c>
      <c r="D3292" t="s">
        <v>10596</v>
      </c>
      <c r="E3292" t="b" cm="1">
        <f t="array" ref="E3292">avail_sp_sportsfac_futsal</f>
        <v>0</v>
      </c>
      <c r="F3292" t="b">
        <v>1</v>
      </c>
      <c r="G3292" t="s">
        <v>12516</v>
      </c>
      <c r="N3292" s="1346"/>
    </row>
    <row r="3293" spans="1:14" x14ac:dyDescent="0.35">
      <c r="A3293" t="s">
        <v>5778</v>
      </c>
      <c r="B3293" t="s">
        <v>5735</v>
      </c>
      <c r="C3293" t="s">
        <v>8509</v>
      </c>
      <c r="D3293" t="s">
        <v>10597</v>
      </c>
      <c r="E3293" t="b" cm="1">
        <f t="array" ref="E3293">avail_sp_sportsfac_aerogymn</f>
        <v>0</v>
      </c>
      <c r="F3293" t="b">
        <v>1</v>
      </c>
      <c r="G3293" t="s">
        <v>12516</v>
      </c>
      <c r="N3293" s="1346"/>
    </row>
    <row r="3294" spans="1:14" x14ac:dyDescent="0.35">
      <c r="A3294" t="s">
        <v>5779</v>
      </c>
      <c r="B3294" t="s">
        <v>5735</v>
      </c>
      <c r="C3294" t="s">
        <v>8510</v>
      </c>
      <c r="D3294" t="s">
        <v>10598</v>
      </c>
      <c r="E3294" t="b" cm="1">
        <f t="array" ref="E3294">avail_sp_sportsfac_mag</f>
        <v>0</v>
      </c>
      <c r="F3294" t="b">
        <v>1</v>
      </c>
      <c r="G3294" t="s">
        <v>12516</v>
      </c>
      <c r="N3294" s="1346"/>
    </row>
    <row r="3295" spans="1:14" x14ac:dyDescent="0.35">
      <c r="A3295" t="s">
        <v>5780</v>
      </c>
      <c r="B3295" t="s">
        <v>5735</v>
      </c>
      <c r="C3295" t="s">
        <v>5780</v>
      </c>
      <c r="D3295" t="s">
        <v>10599</v>
      </c>
      <c r="E3295" t="b">
        <f>avail_sp_sportsevent_wag</f>
        <v>0</v>
      </c>
      <c r="F3295" t="b">
        <v>1</v>
      </c>
      <c r="G3295" t="s">
        <v>12516</v>
      </c>
      <c r="N3295" s="1346"/>
    </row>
    <row r="3296" spans="1:14" x14ac:dyDescent="0.35">
      <c r="A3296" t="s">
        <v>5781</v>
      </c>
      <c r="B3296" t="s">
        <v>5735</v>
      </c>
      <c r="C3296" t="s">
        <v>5781</v>
      </c>
      <c r="D3296" t="s">
        <v>10600</v>
      </c>
      <c r="E3296" t="b">
        <f>avail_sp_sportsevent_rg</f>
        <v>0</v>
      </c>
      <c r="F3296" t="b">
        <v>1</v>
      </c>
      <c r="G3296" t="s">
        <v>12516</v>
      </c>
      <c r="N3296" s="1346"/>
    </row>
    <row r="3297" spans="1:14" x14ac:dyDescent="0.35">
      <c r="A3297" t="s">
        <v>5782</v>
      </c>
      <c r="B3297" t="s">
        <v>5735</v>
      </c>
      <c r="C3297" t="s">
        <v>5782</v>
      </c>
      <c r="D3297" t="s">
        <v>10601</v>
      </c>
      <c r="E3297" t="b">
        <f>avail_sp_sportsevent_pencaksilat</f>
        <v>0</v>
      </c>
      <c r="F3297" t="b">
        <v>1</v>
      </c>
      <c r="G3297" t="s">
        <v>12516</v>
      </c>
      <c r="N3297" s="1346"/>
    </row>
    <row r="3298" spans="1:14" x14ac:dyDescent="0.35">
      <c r="A3298" t="s">
        <v>5783</v>
      </c>
      <c r="B3298" t="s">
        <v>5735</v>
      </c>
      <c r="C3298" t="s">
        <v>5783</v>
      </c>
      <c r="D3298" t="s">
        <v>10602</v>
      </c>
      <c r="E3298" t="b">
        <f>avail_sp_sportsevent_sepaktakraw</f>
        <v>1</v>
      </c>
      <c r="F3298" t="b">
        <v>1</v>
      </c>
      <c r="G3298" t="s">
        <v>12516</v>
      </c>
      <c r="N3298" s="1346"/>
    </row>
    <row r="3299" spans="1:14" x14ac:dyDescent="0.35">
      <c r="A3299" t="s">
        <v>5784</v>
      </c>
      <c r="B3299" t="s">
        <v>5735</v>
      </c>
      <c r="C3299" t="s">
        <v>5784</v>
      </c>
      <c r="D3299" t="s">
        <v>10603</v>
      </c>
      <c r="E3299" t="b">
        <f>avail_sp_sportsevent_softball</f>
        <v>0</v>
      </c>
      <c r="F3299" t="b">
        <v>1</v>
      </c>
      <c r="G3299" t="s">
        <v>12516</v>
      </c>
      <c r="N3299" s="1346"/>
    </row>
    <row r="3300" spans="1:14" x14ac:dyDescent="0.35">
      <c r="A3300" t="s">
        <v>5785</v>
      </c>
      <c r="B3300" t="s">
        <v>5735</v>
      </c>
      <c r="C3300" t="s">
        <v>5785</v>
      </c>
      <c r="D3300" t="s">
        <v>10604</v>
      </c>
      <c r="E3300" t="b">
        <f>avail_sp_sportsevent_swimming</f>
        <v>0</v>
      </c>
      <c r="F3300" t="b">
        <v>1</v>
      </c>
      <c r="G3300" t="s">
        <v>12516</v>
      </c>
      <c r="N3300" s="1346"/>
    </row>
    <row r="3301" spans="1:14" x14ac:dyDescent="0.35">
      <c r="A3301" t="s">
        <v>5786</v>
      </c>
      <c r="B3301" t="s">
        <v>5735</v>
      </c>
      <c r="C3301" t="s">
        <v>5786</v>
      </c>
      <c r="D3301" t="s">
        <v>10605</v>
      </c>
      <c r="E3301" t="b">
        <f>avail_sp_sportsevent_tabletennis</f>
        <v>0</v>
      </c>
      <c r="F3301" t="b">
        <v>1</v>
      </c>
      <c r="G3301" t="s">
        <v>12516</v>
      </c>
      <c r="N3301" s="1346"/>
    </row>
    <row r="3302" spans="1:14" x14ac:dyDescent="0.35">
      <c r="A3302" t="s">
        <v>5787</v>
      </c>
      <c r="B3302" t="s">
        <v>5735</v>
      </c>
      <c r="C3302" t="s">
        <v>5787</v>
      </c>
      <c r="D3302" t="s">
        <v>10606</v>
      </c>
      <c r="E3302" t="b">
        <f>avail_sp_sportsevent_taekwondo</f>
        <v>0</v>
      </c>
      <c r="F3302" t="b">
        <v>1</v>
      </c>
      <c r="G3302" t="s">
        <v>12516</v>
      </c>
      <c r="N3302" s="1346"/>
    </row>
    <row r="3303" spans="1:14" x14ac:dyDescent="0.35">
      <c r="A3303" t="s">
        <v>5788</v>
      </c>
      <c r="B3303" t="s">
        <v>5735</v>
      </c>
      <c r="C3303" t="s">
        <v>5788</v>
      </c>
      <c r="D3303" t="s">
        <v>10607</v>
      </c>
      <c r="E3303" t="b">
        <f>avail_sp_sportsevent_tennis</f>
        <v>0</v>
      </c>
      <c r="F3303" t="b">
        <v>1</v>
      </c>
      <c r="G3303" t="s">
        <v>12516</v>
      </c>
      <c r="N3303" s="1346"/>
    </row>
    <row r="3304" spans="1:14" x14ac:dyDescent="0.35">
      <c r="A3304" t="s">
        <v>5789</v>
      </c>
      <c r="B3304" t="s">
        <v>5735</v>
      </c>
      <c r="C3304" t="s">
        <v>5789</v>
      </c>
      <c r="D3304" t="s">
        <v>10608</v>
      </c>
      <c r="E3304" t="b">
        <f>avail_sp_sportsevent_volleyball</f>
        <v>0</v>
      </c>
      <c r="F3304" t="b">
        <v>1</v>
      </c>
      <c r="G3304" t="s">
        <v>12516</v>
      </c>
      <c r="N3304" s="1346"/>
    </row>
    <row r="3305" spans="1:14" x14ac:dyDescent="0.35">
      <c r="A3305" t="s">
        <v>5790</v>
      </c>
      <c r="B3305" t="s">
        <v>5735</v>
      </c>
      <c r="C3305" t="s">
        <v>5790</v>
      </c>
      <c r="D3305" t="s">
        <v>10609</v>
      </c>
      <c r="E3305" t="b">
        <f>avail_sp_sportsevent_wrestling</f>
        <v>0</v>
      </c>
      <c r="F3305" t="b">
        <v>1</v>
      </c>
      <c r="G3305" t="s">
        <v>12516</v>
      </c>
      <c r="N3305" s="1346"/>
    </row>
    <row r="3306" spans="1:14" x14ac:dyDescent="0.35">
      <c r="A3306" t="s">
        <v>5791</v>
      </c>
      <c r="B3306" t="s">
        <v>5735</v>
      </c>
      <c r="C3306" t="s">
        <v>5791</v>
      </c>
      <c r="D3306" t="s">
        <v>10610</v>
      </c>
      <c r="E3306" t="b">
        <f>avail_sp_sportsevent_wushu</f>
        <v>0</v>
      </c>
      <c r="F3306" t="b">
        <v>1</v>
      </c>
      <c r="G3306" t="s">
        <v>12516</v>
      </c>
      <c r="N3306" s="1346"/>
    </row>
    <row r="3307" spans="1:14" x14ac:dyDescent="0.35">
      <c r="A3307" t="s">
        <v>5792</v>
      </c>
      <c r="B3307" t="s">
        <v>5735</v>
      </c>
      <c r="C3307" t="s">
        <v>5792</v>
      </c>
      <c r="D3307" t="s">
        <v>10611</v>
      </c>
      <c r="E3307" t="b">
        <f>avail_sp_sportsevent_bocce</f>
        <v>0</v>
      </c>
      <c r="F3307" t="b">
        <v>1</v>
      </c>
      <c r="G3307" t="s">
        <v>12516</v>
      </c>
      <c r="N3307" s="1346"/>
    </row>
    <row r="3308" spans="1:14" x14ac:dyDescent="0.35">
      <c r="A3308" t="s">
        <v>5793</v>
      </c>
      <c r="B3308" t="s">
        <v>5735</v>
      </c>
      <c r="C3308" t="s">
        <v>5793</v>
      </c>
      <c r="D3308" t="s">
        <v>10612</v>
      </c>
      <c r="E3308" t="b">
        <f>avail_sp_sportsevent_goalball</f>
        <v>0</v>
      </c>
      <c r="F3308" t="b">
        <v>1</v>
      </c>
      <c r="G3308" t="s">
        <v>12516</v>
      </c>
      <c r="N3308" s="1346"/>
    </row>
    <row r="3309" spans="1:14" x14ac:dyDescent="0.35">
      <c r="A3309" t="s">
        <v>5794</v>
      </c>
      <c r="B3309" t="s">
        <v>5735</v>
      </c>
      <c r="C3309" t="s">
        <v>5794</v>
      </c>
      <c r="D3309" t="s">
        <v>10613</v>
      </c>
      <c r="E3309" t="b">
        <f>avail_sp_sportsclub_wag</f>
        <v>0</v>
      </c>
      <c r="F3309" t="b">
        <v>1</v>
      </c>
      <c r="G3309" t="s">
        <v>12516</v>
      </c>
      <c r="N3309" s="1346"/>
    </row>
    <row r="3310" spans="1:14" x14ac:dyDescent="0.35">
      <c r="A3310" t="s">
        <v>5795</v>
      </c>
      <c r="B3310" t="s">
        <v>5735</v>
      </c>
      <c r="C3310" t="s">
        <v>5795</v>
      </c>
      <c r="D3310" t="s">
        <v>10614</v>
      </c>
      <c r="E3310" t="b">
        <f>avail_sp_sportsclub_rg</f>
        <v>0</v>
      </c>
      <c r="F3310" t="b">
        <v>1</v>
      </c>
      <c r="G3310" t="s">
        <v>12516</v>
      </c>
      <c r="N3310" s="1346"/>
    </row>
    <row r="3311" spans="1:14" x14ac:dyDescent="0.35">
      <c r="A3311" t="s">
        <v>5796</v>
      </c>
      <c r="B3311" t="s">
        <v>5735</v>
      </c>
      <c r="C3311" t="s">
        <v>5796</v>
      </c>
      <c r="D3311" t="s">
        <v>10615</v>
      </c>
      <c r="E3311" t="b">
        <f>avail_sp_sportsclub_pencaksilat</f>
        <v>0</v>
      </c>
      <c r="F3311" t="b">
        <v>1</v>
      </c>
      <c r="G3311" t="s">
        <v>12516</v>
      </c>
      <c r="N3311" s="1346"/>
    </row>
    <row r="3312" spans="1:14" x14ac:dyDescent="0.35">
      <c r="A3312" t="s">
        <v>5797</v>
      </c>
      <c r="B3312" t="s">
        <v>5735</v>
      </c>
      <c r="C3312" t="s">
        <v>5797</v>
      </c>
      <c r="D3312" t="s">
        <v>10616</v>
      </c>
      <c r="E3312" t="b">
        <f>avail_sp_sportsclub_sepaktakraw</f>
        <v>1</v>
      </c>
      <c r="F3312" t="b">
        <v>1</v>
      </c>
      <c r="G3312" t="s">
        <v>12516</v>
      </c>
      <c r="N3312" s="1346"/>
    </row>
    <row r="3313" spans="1:14" x14ac:dyDescent="0.35">
      <c r="A3313" t="s">
        <v>5798</v>
      </c>
      <c r="B3313" t="s">
        <v>5735</v>
      </c>
      <c r="C3313" t="s">
        <v>5798</v>
      </c>
      <c r="D3313" t="s">
        <v>10617</v>
      </c>
      <c r="E3313" t="b">
        <f>avail_sp_sportsclub_softball</f>
        <v>0</v>
      </c>
      <c r="F3313" t="b">
        <v>1</v>
      </c>
      <c r="G3313" t="s">
        <v>12516</v>
      </c>
      <c r="N3313" s="1346"/>
    </row>
    <row r="3314" spans="1:14" x14ac:dyDescent="0.35">
      <c r="A3314" t="s">
        <v>5799</v>
      </c>
      <c r="B3314" t="s">
        <v>5735</v>
      </c>
      <c r="C3314" t="s">
        <v>5799</v>
      </c>
      <c r="D3314" t="s">
        <v>10618</v>
      </c>
      <c r="E3314" t="b">
        <f>avail_sp_sportsclub_swimming</f>
        <v>0</v>
      </c>
      <c r="F3314" t="b">
        <v>1</v>
      </c>
      <c r="G3314" t="s">
        <v>12516</v>
      </c>
      <c r="N3314" s="1346"/>
    </row>
    <row r="3315" spans="1:14" x14ac:dyDescent="0.35">
      <c r="A3315" t="s">
        <v>5800</v>
      </c>
      <c r="B3315" t="s">
        <v>5735</v>
      </c>
      <c r="C3315" t="s">
        <v>5800</v>
      </c>
      <c r="D3315" t="s">
        <v>10619</v>
      </c>
      <c r="E3315" t="b">
        <f>avail_sp_sportsclub_tabletennis</f>
        <v>0</v>
      </c>
      <c r="F3315" t="b">
        <v>1</v>
      </c>
      <c r="G3315" t="s">
        <v>12516</v>
      </c>
      <c r="N3315" s="1346"/>
    </row>
    <row r="3316" spans="1:14" x14ac:dyDescent="0.35">
      <c r="A3316" t="s">
        <v>5801</v>
      </c>
      <c r="B3316" t="s">
        <v>5735</v>
      </c>
      <c r="C3316" t="s">
        <v>5801</v>
      </c>
      <c r="D3316" t="s">
        <v>10620</v>
      </c>
      <c r="E3316" t="b">
        <f>avail_sp_sportsclub_taekwondo</f>
        <v>0</v>
      </c>
      <c r="F3316" t="b">
        <v>1</v>
      </c>
      <c r="G3316" t="s">
        <v>12516</v>
      </c>
      <c r="N3316" s="1346"/>
    </row>
    <row r="3317" spans="1:14" x14ac:dyDescent="0.35">
      <c r="A3317" t="s">
        <v>5802</v>
      </c>
      <c r="B3317" t="s">
        <v>5735</v>
      </c>
      <c r="C3317" t="s">
        <v>5802</v>
      </c>
      <c r="D3317" t="s">
        <v>10621</v>
      </c>
      <c r="E3317" t="b">
        <f>avail_sp_sportsclub_tennis</f>
        <v>0</v>
      </c>
      <c r="F3317" t="b">
        <v>1</v>
      </c>
      <c r="G3317" t="s">
        <v>12516</v>
      </c>
      <c r="N3317" s="1346"/>
    </row>
    <row r="3318" spans="1:14" x14ac:dyDescent="0.35">
      <c r="A3318" t="s">
        <v>5803</v>
      </c>
      <c r="B3318" t="s">
        <v>5735</v>
      </c>
      <c r="C3318" t="s">
        <v>5803</v>
      </c>
      <c r="D3318" t="s">
        <v>10622</v>
      </c>
      <c r="E3318" t="b">
        <f>avail_sp_sportsclub_volleyball</f>
        <v>0</v>
      </c>
      <c r="F3318" t="b">
        <v>1</v>
      </c>
      <c r="G3318" t="s">
        <v>12516</v>
      </c>
      <c r="N3318" s="1346"/>
    </row>
    <row r="3319" spans="1:14" x14ac:dyDescent="0.35">
      <c r="A3319" t="s">
        <v>5804</v>
      </c>
      <c r="B3319" t="s">
        <v>5735</v>
      </c>
      <c r="C3319" t="s">
        <v>5804</v>
      </c>
      <c r="D3319" t="s">
        <v>10623</v>
      </c>
      <c r="E3319" t="b">
        <f>avail_sp_sportsclub_wrestling</f>
        <v>0</v>
      </c>
      <c r="F3319" t="b">
        <v>1</v>
      </c>
      <c r="G3319" t="s">
        <v>12516</v>
      </c>
      <c r="N3319" s="1346"/>
    </row>
    <row r="3320" spans="1:14" x14ac:dyDescent="0.35">
      <c r="A3320" t="s">
        <v>5805</v>
      </c>
      <c r="B3320" t="s">
        <v>5735</v>
      </c>
      <c r="C3320" t="s">
        <v>5805</v>
      </c>
      <c r="D3320" t="s">
        <v>10624</v>
      </c>
      <c r="E3320" t="b">
        <f>avail_sp_sportsclub_wushu</f>
        <v>0</v>
      </c>
      <c r="F3320" t="b">
        <v>1</v>
      </c>
      <c r="G3320" t="s">
        <v>12516</v>
      </c>
      <c r="N3320" s="1346"/>
    </row>
    <row r="3321" spans="1:14" x14ac:dyDescent="0.35">
      <c r="A3321" t="s">
        <v>5806</v>
      </c>
      <c r="B3321" t="s">
        <v>5735</v>
      </c>
      <c r="C3321" t="s">
        <v>5806</v>
      </c>
      <c r="D3321" t="s">
        <v>10625</v>
      </c>
      <c r="E3321" t="b">
        <f>avail_sp_sportsclub_bocce</f>
        <v>0</v>
      </c>
      <c r="F3321" t="b">
        <v>1</v>
      </c>
      <c r="G3321" t="s">
        <v>12516</v>
      </c>
      <c r="N3321" s="1346"/>
    </row>
    <row r="3322" spans="1:14" x14ac:dyDescent="0.35">
      <c r="A3322" t="s">
        <v>5807</v>
      </c>
      <c r="B3322" t="s">
        <v>5735</v>
      </c>
      <c r="C3322" t="s">
        <v>5807</v>
      </c>
      <c r="D3322" t="s">
        <v>10626</v>
      </c>
      <c r="E3322" t="b">
        <f>avail_sp_sportsclub_goalball</f>
        <v>0</v>
      </c>
      <c r="F3322" t="b">
        <v>1</v>
      </c>
      <c r="G3322" t="s">
        <v>12516</v>
      </c>
      <c r="N3322" s="1346"/>
    </row>
    <row r="3323" spans="1:14" x14ac:dyDescent="0.35">
      <c r="A3323" t="s">
        <v>5808</v>
      </c>
      <c r="B3323" t="s">
        <v>5735</v>
      </c>
      <c r="C3323" t="s">
        <v>5808</v>
      </c>
      <c r="D3323" t="s">
        <v>10627</v>
      </c>
      <c r="E3323" t="b">
        <f>avail_sp_sportsfac_wag</f>
        <v>0</v>
      </c>
      <c r="F3323" t="b">
        <v>1</v>
      </c>
      <c r="G3323" t="s">
        <v>12516</v>
      </c>
      <c r="N3323" s="1346"/>
    </row>
    <row r="3324" spans="1:14" x14ac:dyDescent="0.35">
      <c r="A3324" t="s">
        <v>5809</v>
      </c>
      <c r="B3324" t="s">
        <v>5735</v>
      </c>
      <c r="C3324" t="s">
        <v>5809</v>
      </c>
      <c r="D3324" t="s">
        <v>10628</v>
      </c>
      <c r="E3324" t="b">
        <f>avail_sp_sportsfac_rg</f>
        <v>0</v>
      </c>
      <c r="F3324" t="b">
        <v>1</v>
      </c>
      <c r="G3324" t="s">
        <v>12516</v>
      </c>
      <c r="N3324" s="1346"/>
    </row>
    <row r="3325" spans="1:14" x14ac:dyDescent="0.35">
      <c r="A3325" t="s">
        <v>5810</v>
      </c>
      <c r="B3325" t="s">
        <v>5735</v>
      </c>
      <c r="C3325" t="s">
        <v>5810</v>
      </c>
      <c r="D3325" t="s">
        <v>10629</v>
      </c>
      <c r="E3325" t="b">
        <f>avail_sp_sportsfac_pencaksilat</f>
        <v>0</v>
      </c>
      <c r="F3325" t="b">
        <v>1</v>
      </c>
      <c r="G3325" t="s">
        <v>12516</v>
      </c>
      <c r="N3325" s="1346"/>
    </row>
    <row r="3326" spans="1:14" x14ac:dyDescent="0.35">
      <c r="A3326" t="s">
        <v>5811</v>
      </c>
      <c r="B3326" t="s">
        <v>5735</v>
      </c>
      <c r="C3326" t="s">
        <v>5811</v>
      </c>
      <c r="D3326" t="s">
        <v>10630</v>
      </c>
      <c r="E3326" t="b">
        <f>avail_sp_sportsfac_sepaktakraw</f>
        <v>1</v>
      </c>
      <c r="F3326" t="b">
        <v>1</v>
      </c>
      <c r="G3326" t="s">
        <v>12516</v>
      </c>
      <c r="N3326" s="1346"/>
    </row>
    <row r="3327" spans="1:14" x14ac:dyDescent="0.35">
      <c r="A3327" t="s">
        <v>5812</v>
      </c>
      <c r="B3327" t="s">
        <v>5735</v>
      </c>
      <c r="C3327" t="s">
        <v>5812</v>
      </c>
      <c r="D3327" t="s">
        <v>10631</v>
      </c>
      <c r="E3327" t="b">
        <f>avail_sp_sportsfac_softball</f>
        <v>0</v>
      </c>
      <c r="F3327" t="b">
        <v>1</v>
      </c>
      <c r="G3327" t="s">
        <v>12516</v>
      </c>
      <c r="N3327" s="1346"/>
    </row>
    <row r="3328" spans="1:14" x14ac:dyDescent="0.35">
      <c r="A3328" t="s">
        <v>5813</v>
      </c>
      <c r="B3328" t="s">
        <v>5735</v>
      </c>
      <c r="C3328" t="s">
        <v>5813</v>
      </c>
      <c r="D3328" t="s">
        <v>10632</v>
      </c>
      <c r="E3328" t="b">
        <f>avail_sp_sportsfac_swimming</f>
        <v>0</v>
      </c>
      <c r="F3328" t="b">
        <v>1</v>
      </c>
      <c r="G3328" t="s">
        <v>12516</v>
      </c>
      <c r="N3328" s="1346"/>
    </row>
    <row r="3329" spans="1:14" x14ac:dyDescent="0.35">
      <c r="A3329" t="s">
        <v>5814</v>
      </c>
      <c r="B3329" t="s">
        <v>5735</v>
      </c>
      <c r="C3329" t="s">
        <v>5814</v>
      </c>
      <c r="D3329" t="s">
        <v>10633</v>
      </c>
      <c r="E3329" t="b">
        <f>avail_sp_sportsfac_tabletennis</f>
        <v>0</v>
      </c>
      <c r="F3329" t="b">
        <v>1</v>
      </c>
      <c r="G3329" t="s">
        <v>12516</v>
      </c>
      <c r="N3329" s="1346"/>
    </row>
    <row r="3330" spans="1:14" x14ac:dyDescent="0.35">
      <c r="A3330" t="s">
        <v>5815</v>
      </c>
      <c r="B3330" t="s">
        <v>5735</v>
      </c>
      <c r="C3330" t="s">
        <v>5815</v>
      </c>
      <c r="D3330" t="s">
        <v>10634</v>
      </c>
      <c r="E3330" t="b">
        <f>avail_sp_sportsfac_taekwondo</f>
        <v>0</v>
      </c>
      <c r="F3330" t="b">
        <v>1</v>
      </c>
      <c r="G3330" t="s">
        <v>12516</v>
      </c>
      <c r="N3330" s="1346"/>
    </row>
    <row r="3331" spans="1:14" x14ac:dyDescent="0.35">
      <c r="A3331" t="s">
        <v>5816</v>
      </c>
      <c r="B3331" t="s">
        <v>5735</v>
      </c>
      <c r="C3331" t="s">
        <v>5816</v>
      </c>
      <c r="D3331" t="s">
        <v>10635</v>
      </c>
      <c r="E3331" t="b">
        <f>avail_sp_sportsfac_tennis</f>
        <v>0</v>
      </c>
      <c r="F3331" t="b">
        <v>1</v>
      </c>
      <c r="G3331" t="s">
        <v>12516</v>
      </c>
      <c r="N3331" s="1346"/>
    </row>
    <row r="3332" spans="1:14" x14ac:dyDescent="0.35">
      <c r="A3332" t="s">
        <v>5817</v>
      </c>
      <c r="B3332" t="s">
        <v>5735</v>
      </c>
      <c r="C3332" t="s">
        <v>5817</v>
      </c>
      <c r="D3332" t="s">
        <v>10636</v>
      </c>
      <c r="E3332" t="b">
        <f>avail_sp_sportsfac_volleyball</f>
        <v>0</v>
      </c>
      <c r="F3332" t="b">
        <v>1</v>
      </c>
      <c r="G3332" t="s">
        <v>12516</v>
      </c>
      <c r="N3332" s="1346"/>
    </row>
    <row r="3333" spans="1:14" x14ac:dyDescent="0.35">
      <c r="A3333" t="s">
        <v>5818</v>
      </c>
      <c r="B3333" t="s">
        <v>5735</v>
      </c>
      <c r="C3333" t="s">
        <v>5818</v>
      </c>
      <c r="D3333" t="s">
        <v>10637</v>
      </c>
      <c r="E3333" t="b">
        <f>avail_sp_sportsfac_wrestling</f>
        <v>0</v>
      </c>
      <c r="F3333" t="b">
        <v>1</v>
      </c>
      <c r="G3333" t="s">
        <v>12516</v>
      </c>
      <c r="N3333" s="1346"/>
    </row>
    <row r="3334" spans="1:14" x14ac:dyDescent="0.35">
      <c r="A3334" t="s">
        <v>5819</v>
      </c>
      <c r="B3334" t="s">
        <v>5735</v>
      </c>
      <c r="C3334" t="s">
        <v>5819</v>
      </c>
      <c r="D3334" t="s">
        <v>10638</v>
      </c>
      <c r="E3334" t="b">
        <f>avail_sp_sportsfac_wushu</f>
        <v>0</v>
      </c>
      <c r="F3334" t="b">
        <v>1</v>
      </c>
      <c r="G3334" t="s">
        <v>12516</v>
      </c>
      <c r="N3334" s="1346"/>
    </row>
    <row r="3335" spans="1:14" x14ac:dyDescent="0.35">
      <c r="A3335" t="s">
        <v>5820</v>
      </c>
      <c r="B3335" t="s">
        <v>5735</v>
      </c>
      <c r="C3335" t="s">
        <v>5820</v>
      </c>
      <c r="D3335" t="s">
        <v>10639</v>
      </c>
      <c r="E3335" t="b">
        <f>avail_sp_sportsfac_bocce</f>
        <v>0</v>
      </c>
      <c r="F3335" t="b">
        <v>1</v>
      </c>
      <c r="G3335" t="s">
        <v>12516</v>
      </c>
      <c r="N3335" s="1346"/>
    </row>
    <row r="3336" spans="1:14" x14ac:dyDescent="0.35">
      <c r="A3336" t="s">
        <v>5821</v>
      </c>
      <c r="B3336" t="s">
        <v>5735</v>
      </c>
      <c r="C3336" t="s">
        <v>5821</v>
      </c>
      <c r="D3336" t="s">
        <v>10640</v>
      </c>
      <c r="E3336" t="b">
        <f>avail_sp_sportsfac_goalball</f>
        <v>0</v>
      </c>
      <c r="F3336" t="b">
        <v>1</v>
      </c>
      <c r="G3336" t="s">
        <v>12516</v>
      </c>
      <c r="N3336" s="1346"/>
    </row>
    <row r="3337" spans="1:14" x14ac:dyDescent="0.35">
      <c r="A3337" t="s">
        <v>5822</v>
      </c>
      <c r="B3337" t="s">
        <v>5735</v>
      </c>
      <c r="C3337" t="s">
        <v>5822</v>
      </c>
      <c r="D3337" t="s">
        <v>10641</v>
      </c>
      <c r="E3337" t="str">
        <f>do_sports_coor_name</f>
        <v>PARA D. TALIP  /March 17, 2023</v>
      </c>
      <c r="F3337" t="b">
        <v>1</v>
      </c>
      <c r="N3337" s="1346"/>
    </row>
    <row r="3338" spans="1:14" s="1348" customFormat="1" ht="16" thickBot="1" x14ac:dyDescent="0.4">
      <c r="A3338" s="1348" t="s">
        <v>5823</v>
      </c>
      <c r="B3338" s="1348" t="s">
        <v>5735</v>
      </c>
      <c r="C3338" s="1348" t="s">
        <v>5823</v>
      </c>
      <c r="D3338" s="1348" t="s">
        <v>10642</v>
      </c>
      <c r="E3338" s="1348" t="str">
        <f>do_sports_coor_post</f>
        <v>Education Program Supervisor</v>
      </c>
      <c r="F3338" s="1348" t="b">
        <v>1</v>
      </c>
      <c r="N3338" s="1366"/>
    </row>
    <row r="3339" spans="1:14" x14ac:dyDescent="0.35">
      <c r="A3339" t="s">
        <v>5824</v>
      </c>
      <c r="B3339" t="s">
        <v>5825</v>
      </c>
      <c r="C3339" t="s">
        <v>5824</v>
      </c>
      <c r="D3339" s="1350" t="s">
        <v>10643</v>
      </c>
      <c r="E3339">
        <f>sch_sp_se_num_coaches_archery</f>
        <v>0</v>
      </c>
      <c r="F3339" t="b">
        <v>1</v>
      </c>
      <c r="N3339" s="1346"/>
    </row>
    <row r="3340" spans="1:14" x14ac:dyDescent="0.35">
      <c r="A3340" t="s">
        <v>5912</v>
      </c>
      <c r="B3340" t="s">
        <v>5825</v>
      </c>
      <c r="C3340" t="s">
        <v>5912</v>
      </c>
      <c r="D3340" t="s">
        <v>10672</v>
      </c>
      <c r="E3340">
        <f>sch_sp_se_num_officials_archery</f>
        <v>0</v>
      </c>
      <c r="F3340" t="b">
        <v>1</v>
      </c>
      <c r="N3340" s="1346"/>
    </row>
    <row r="3341" spans="1:14" x14ac:dyDescent="0.35">
      <c r="A3341" t="s">
        <v>5941</v>
      </c>
      <c r="B3341" t="s">
        <v>5825</v>
      </c>
      <c r="C3341" t="s">
        <v>5941</v>
      </c>
      <c r="D3341" t="s">
        <v>10701</v>
      </c>
      <c r="E3341">
        <f>sch_sp_se_num_peteachss_archery</f>
        <v>0</v>
      </c>
      <c r="F3341" t="b">
        <v>1</v>
      </c>
      <c r="N3341" s="1346"/>
    </row>
    <row r="3342" spans="1:14" x14ac:dyDescent="0.35">
      <c r="A3342" t="s">
        <v>5854</v>
      </c>
      <c r="B3342" t="s">
        <v>5825</v>
      </c>
      <c r="C3342" t="s">
        <v>5854</v>
      </c>
      <c r="D3342" t="s">
        <v>10730</v>
      </c>
      <c r="E3342">
        <f>sch_sp_se_num_nonpeteachss_archery</f>
        <v>0</v>
      </c>
      <c r="F3342" t="b">
        <v>1</v>
      </c>
      <c r="N3342" s="1346"/>
    </row>
    <row r="3343" spans="1:14" x14ac:dyDescent="0.35">
      <c r="A3343" t="s">
        <v>5883</v>
      </c>
      <c r="B3343" t="s">
        <v>5825</v>
      </c>
      <c r="C3343" t="s">
        <v>5883</v>
      </c>
      <c r="D3343" t="s">
        <v>10759</v>
      </c>
      <c r="E3343">
        <f>sch_sp_se_num_nonteachpss_archery</f>
        <v>0</v>
      </c>
      <c r="F3343" t="b">
        <v>1</v>
      </c>
      <c r="N3343" s="1346"/>
    </row>
    <row r="3344" spans="1:14" x14ac:dyDescent="0.35">
      <c r="A3344" t="s">
        <v>5826</v>
      </c>
      <c r="B3344" t="s">
        <v>5825</v>
      </c>
      <c r="C3344" t="s">
        <v>5826</v>
      </c>
      <c r="D3344" t="s">
        <v>10644</v>
      </c>
      <c r="E3344">
        <f>sch_sp_se_num_coaches_arnis</f>
        <v>2</v>
      </c>
      <c r="F3344" t="b">
        <v>1</v>
      </c>
      <c r="N3344" s="1346"/>
    </row>
    <row r="3345" spans="1:14" x14ac:dyDescent="0.35">
      <c r="A3345" t="s">
        <v>5913</v>
      </c>
      <c r="B3345" t="s">
        <v>5825</v>
      </c>
      <c r="C3345" t="s">
        <v>5913</v>
      </c>
      <c r="D3345" t="s">
        <v>10673</v>
      </c>
      <c r="E3345">
        <f>sch_sp_se_num_officials_arnis</f>
        <v>0</v>
      </c>
      <c r="F3345" t="b">
        <v>1</v>
      </c>
      <c r="N3345" s="1346"/>
    </row>
    <row r="3346" spans="1:14" x14ac:dyDescent="0.35">
      <c r="A3346" t="s">
        <v>5942</v>
      </c>
      <c r="B3346" t="s">
        <v>5825</v>
      </c>
      <c r="C3346" t="s">
        <v>5942</v>
      </c>
      <c r="D3346" t="s">
        <v>10702</v>
      </c>
      <c r="E3346">
        <f>sch_sp_se_num_peteachss_arnis</f>
        <v>2</v>
      </c>
      <c r="F3346" t="b">
        <v>1</v>
      </c>
      <c r="N3346" s="1346"/>
    </row>
    <row r="3347" spans="1:14" x14ac:dyDescent="0.35">
      <c r="A3347" t="s">
        <v>5855</v>
      </c>
      <c r="B3347" t="s">
        <v>5825</v>
      </c>
      <c r="C3347" t="s">
        <v>5855</v>
      </c>
      <c r="D3347" t="s">
        <v>10731</v>
      </c>
      <c r="E3347">
        <f>sch_sp_se_num_nonpeteachss_arnis</f>
        <v>0</v>
      </c>
      <c r="F3347" t="b">
        <v>1</v>
      </c>
      <c r="N3347" s="1346"/>
    </row>
    <row r="3348" spans="1:14" x14ac:dyDescent="0.35">
      <c r="A3348" t="s">
        <v>5884</v>
      </c>
      <c r="B3348" t="s">
        <v>5825</v>
      </c>
      <c r="C3348" t="s">
        <v>5884</v>
      </c>
      <c r="D3348" t="s">
        <v>10760</v>
      </c>
      <c r="E3348">
        <f>sch_sp_se_num_nonteachpss_arnis</f>
        <v>0</v>
      </c>
      <c r="F3348" t="b">
        <v>1</v>
      </c>
      <c r="N3348" s="1346"/>
    </row>
    <row r="3349" spans="1:14" x14ac:dyDescent="0.35">
      <c r="A3349" t="s">
        <v>5827</v>
      </c>
      <c r="B3349" t="s">
        <v>5825</v>
      </c>
      <c r="C3349" t="s">
        <v>5827</v>
      </c>
      <c r="D3349" t="s">
        <v>10645</v>
      </c>
      <c r="E3349">
        <f>sch_sp_se_num_coaches_athlthrow</f>
        <v>0</v>
      </c>
      <c r="F3349" t="b">
        <v>1</v>
      </c>
      <c r="N3349" s="1346"/>
    </row>
    <row r="3350" spans="1:14" x14ac:dyDescent="0.35">
      <c r="A3350" t="s">
        <v>5914</v>
      </c>
      <c r="B3350" t="s">
        <v>5825</v>
      </c>
      <c r="C3350" t="s">
        <v>5914</v>
      </c>
      <c r="D3350" t="s">
        <v>10674</v>
      </c>
      <c r="E3350">
        <f>sch_sp_se_num_officials_athlthrow</f>
        <v>0</v>
      </c>
      <c r="F3350" t="b">
        <v>1</v>
      </c>
      <c r="N3350" s="1346"/>
    </row>
    <row r="3351" spans="1:14" x14ac:dyDescent="0.35">
      <c r="A3351" t="s">
        <v>5943</v>
      </c>
      <c r="B3351" t="s">
        <v>5825</v>
      </c>
      <c r="C3351" t="s">
        <v>5943</v>
      </c>
      <c r="D3351" t="s">
        <v>10703</v>
      </c>
      <c r="E3351">
        <f>sch_sp_se_num_peteachss_athlthrow</f>
        <v>0</v>
      </c>
      <c r="F3351" t="b">
        <v>1</v>
      </c>
      <c r="N3351" s="1346"/>
    </row>
    <row r="3352" spans="1:14" x14ac:dyDescent="0.35">
      <c r="A3352" t="s">
        <v>5856</v>
      </c>
      <c r="B3352" t="s">
        <v>5825</v>
      </c>
      <c r="C3352" t="s">
        <v>5856</v>
      </c>
      <c r="D3352" t="s">
        <v>10732</v>
      </c>
      <c r="E3352">
        <f>sch_sp_se_num_nonpeteachss_athlthrow</f>
        <v>0</v>
      </c>
      <c r="F3352" t="b">
        <v>1</v>
      </c>
      <c r="N3352" s="1346"/>
    </row>
    <row r="3353" spans="1:14" x14ac:dyDescent="0.35">
      <c r="A3353" t="s">
        <v>5885</v>
      </c>
      <c r="B3353" t="s">
        <v>5825</v>
      </c>
      <c r="C3353" t="s">
        <v>5885</v>
      </c>
      <c r="D3353" t="s">
        <v>10761</v>
      </c>
      <c r="E3353">
        <f>sch_sp_se_num_nonteachpss_athlthrow</f>
        <v>0</v>
      </c>
      <c r="F3353" t="b">
        <v>1</v>
      </c>
      <c r="N3353" s="1346"/>
    </row>
    <row r="3354" spans="1:14" x14ac:dyDescent="0.35">
      <c r="A3354" t="s">
        <v>5828</v>
      </c>
      <c r="B3354" t="s">
        <v>5825</v>
      </c>
      <c r="C3354" t="s">
        <v>5828</v>
      </c>
      <c r="D3354" t="s">
        <v>10646</v>
      </c>
      <c r="E3354">
        <f>sch_sp_se_num_coaches_athltrun</f>
        <v>0</v>
      </c>
      <c r="F3354" t="b">
        <v>1</v>
      </c>
      <c r="N3354" s="1346"/>
    </row>
    <row r="3355" spans="1:14" x14ac:dyDescent="0.35">
      <c r="A3355" t="s">
        <v>5915</v>
      </c>
      <c r="B3355" t="s">
        <v>5825</v>
      </c>
      <c r="C3355" t="s">
        <v>5915</v>
      </c>
      <c r="D3355" t="s">
        <v>10675</v>
      </c>
      <c r="E3355">
        <f>sch_sp_se_num_officials_athltrun</f>
        <v>0</v>
      </c>
      <c r="F3355" t="b">
        <v>1</v>
      </c>
      <c r="N3355" s="1346"/>
    </row>
    <row r="3356" spans="1:14" x14ac:dyDescent="0.35">
      <c r="A3356" t="s">
        <v>5944</v>
      </c>
      <c r="B3356" t="s">
        <v>5825</v>
      </c>
      <c r="C3356" t="s">
        <v>5944</v>
      </c>
      <c r="D3356" t="s">
        <v>10704</v>
      </c>
      <c r="E3356">
        <f>sch_sp_se_num_peteachss_athltrun</f>
        <v>0</v>
      </c>
      <c r="F3356" t="b">
        <v>1</v>
      </c>
      <c r="N3356" s="1346"/>
    </row>
    <row r="3357" spans="1:14" x14ac:dyDescent="0.35">
      <c r="A3357" t="s">
        <v>5857</v>
      </c>
      <c r="B3357" t="s">
        <v>5825</v>
      </c>
      <c r="C3357" t="s">
        <v>5857</v>
      </c>
      <c r="D3357" t="s">
        <v>10733</v>
      </c>
      <c r="E3357">
        <f>sch_sp_se_num_nonpeteachss_athltrun</f>
        <v>0</v>
      </c>
      <c r="F3357" t="b">
        <v>1</v>
      </c>
      <c r="N3357" s="1346"/>
    </row>
    <row r="3358" spans="1:14" x14ac:dyDescent="0.35">
      <c r="A3358" t="s">
        <v>5886</v>
      </c>
      <c r="B3358" t="s">
        <v>5825</v>
      </c>
      <c r="C3358" t="s">
        <v>5886</v>
      </c>
      <c r="D3358" t="s">
        <v>10762</v>
      </c>
      <c r="E3358">
        <f>sch_sp_se_num_nonteachpss_athltrun</f>
        <v>0</v>
      </c>
      <c r="F3358" t="b">
        <v>1</v>
      </c>
      <c r="N3358" s="1346"/>
    </row>
    <row r="3359" spans="1:14" x14ac:dyDescent="0.35">
      <c r="A3359" t="s">
        <v>5829</v>
      </c>
      <c r="B3359" t="s">
        <v>5825</v>
      </c>
      <c r="C3359" t="s">
        <v>5829</v>
      </c>
      <c r="D3359" t="s">
        <v>10647</v>
      </c>
      <c r="E3359">
        <f>sch_sp_se_num_coaches_badminton</f>
        <v>0</v>
      </c>
      <c r="F3359" t="b">
        <v>1</v>
      </c>
      <c r="N3359" s="1346"/>
    </row>
    <row r="3360" spans="1:14" x14ac:dyDescent="0.35">
      <c r="A3360" t="s">
        <v>5916</v>
      </c>
      <c r="B3360" t="s">
        <v>5825</v>
      </c>
      <c r="C3360" t="s">
        <v>5916</v>
      </c>
      <c r="D3360" t="s">
        <v>10676</v>
      </c>
      <c r="E3360">
        <f>sch_sp_se_num_officials_badminton</f>
        <v>0</v>
      </c>
      <c r="F3360" t="b">
        <v>1</v>
      </c>
      <c r="N3360" s="1346"/>
    </row>
    <row r="3361" spans="1:14" x14ac:dyDescent="0.35">
      <c r="A3361" t="s">
        <v>5945</v>
      </c>
      <c r="B3361" t="s">
        <v>5825</v>
      </c>
      <c r="C3361" t="s">
        <v>5945</v>
      </c>
      <c r="D3361" t="s">
        <v>10705</v>
      </c>
      <c r="E3361">
        <f>sch_sp_se_num_peteachss_badminton</f>
        <v>0</v>
      </c>
      <c r="F3361" t="b">
        <v>1</v>
      </c>
      <c r="N3361" s="1346"/>
    </row>
    <row r="3362" spans="1:14" x14ac:dyDescent="0.35">
      <c r="A3362" t="s">
        <v>5858</v>
      </c>
      <c r="B3362" t="s">
        <v>5825</v>
      </c>
      <c r="C3362" t="s">
        <v>5858</v>
      </c>
      <c r="D3362" t="s">
        <v>10734</v>
      </c>
      <c r="E3362">
        <f>sch_sp_se_num_nonpeteachss_badminton</f>
        <v>0</v>
      </c>
      <c r="F3362" t="b">
        <v>1</v>
      </c>
      <c r="N3362" s="1346"/>
    </row>
    <row r="3363" spans="1:14" x14ac:dyDescent="0.35">
      <c r="A3363" t="s">
        <v>5887</v>
      </c>
      <c r="B3363" t="s">
        <v>5825</v>
      </c>
      <c r="C3363" t="s">
        <v>5887</v>
      </c>
      <c r="D3363" t="s">
        <v>10763</v>
      </c>
      <c r="E3363">
        <f>sch_sp_se_num_nonteachpss_badminton</f>
        <v>0</v>
      </c>
      <c r="F3363" t="b">
        <v>1</v>
      </c>
      <c r="N3363" s="1346"/>
    </row>
    <row r="3364" spans="1:14" x14ac:dyDescent="0.35">
      <c r="A3364" t="s">
        <v>5831</v>
      </c>
      <c r="B3364" t="s">
        <v>5825</v>
      </c>
      <c r="C3364" t="s">
        <v>5831</v>
      </c>
      <c r="D3364" t="s">
        <v>10648</v>
      </c>
      <c r="E3364">
        <f>sch_sp_se_num_coaches_basketball</f>
        <v>0</v>
      </c>
      <c r="F3364" t="b">
        <v>1</v>
      </c>
      <c r="N3364" s="1346"/>
    </row>
    <row r="3365" spans="1:14" x14ac:dyDescent="0.35">
      <c r="A3365" t="s">
        <v>5918</v>
      </c>
      <c r="B3365" t="s">
        <v>5825</v>
      </c>
      <c r="C3365" t="s">
        <v>5918</v>
      </c>
      <c r="D3365" t="s">
        <v>10677</v>
      </c>
      <c r="E3365">
        <f>sch_sp_se_num_officials_basketball</f>
        <v>0</v>
      </c>
      <c r="F3365" t="b">
        <v>1</v>
      </c>
      <c r="N3365" s="1346"/>
    </row>
    <row r="3366" spans="1:14" x14ac:dyDescent="0.35">
      <c r="A3366" t="s">
        <v>5947</v>
      </c>
      <c r="B3366" t="s">
        <v>5825</v>
      </c>
      <c r="C3366" t="s">
        <v>5947</v>
      </c>
      <c r="D3366" t="s">
        <v>10706</v>
      </c>
      <c r="E3366">
        <f>sch_sp_se_num_peteachss_basketball</f>
        <v>0</v>
      </c>
      <c r="F3366" t="b">
        <v>1</v>
      </c>
      <c r="N3366" s="1346"/>
    </row>
    <row r="3367" spans="1:14" x14ac:dyDescent="0.35">
      <c r="A3367" t="s">
        <v>5860</v>
      </c>
      <c r="B3367" t="s">
        <v>5825</v>
      </c>
      <c r="C3367" t="s">
        <v>5860</v>
      </c>
      <c r="D3367" t="s">
        <v>10735</v>
      </c>
      <c r="E3367">
        <f>sch_sp_se_num_nonpeteachss_basketball</f>
        <v>0</v>
      </c>
      <c r="F3367" t="b">
        <v>1</v>
      </c>
      <c r="N3367" s="1346"/>
    </row>
    <row r="3368" spans="1:14" x14ac:dyDescent="0.35">
      <c r="A3368" t="s">
        <v>5889</v>
      </c>
      <c r="B3368" t="s">
        <v>5825</v>
      </c>
      <c r="C3368" t="s">
        <v>5889</v>
      </c>
      <c r="D3368" t="s">
        <v>10764</v>
      </c>
      <c r="E3368">
        <f>sch_sp_se_num_nonteachpss_basketball</f>
        <v>0</v>
      </c>
      <c r="F3368" t="b">
        <v>1</v>
      </c>
      <c r="N3368" s="1346"/>
    </row>
    <row r="3369" spans="1:14" x14ac:dyDescent="0.35">
      <c r="A3369" t="s">
        <v>5830</v>
      </c>
      <c r="B3369" t="s">
        <v>5825</v>
      </c>
      <c r="C3369" t="s">
        <v>5830</v>
      </c>
      <c r="D3369" t="s">
        <v>10649</v>
      </c>
      <c r="E3369">
        <f>sch_sp_se_num_coaches_baseball</f>
        <v>0</v>
      </c>
      <c r="F3369" t="b">
        <v>1</v>
      </c>
      <c r="N3369" s="1346"/>
    </row>
    <row r="3370" spans="1:14" x14ac:dyDescent="0.35">
      <c r="A3370" t="s">
        <v>5917</v>
      </c>
      <c r="B3370" t="s">
        <v>5825</v>
      </c>
      <c r="C3370" t="s">
        <v>5917</v>
      </c>
      <c r="D3370" t="s">
        <v>10678</v>
      </c>
      <c r="E3370">
        <f>sch_sp_se_num_officials_baseball</f>
        <v>0</v>
      </c>
      <c r="F3370" t="b">
        <v>1</v>
      </c>
      <c r="N3370" s="1346"/>
    </row>
    <row r="3371" spans="1:14" x14ac:dyDescent="0.35">
      <c r="A3371" t="s">
        <v>5946</v>
      </c>
      <c r="B3371" t="s">
        <v>5825</v>
      </c>
      <c r="C3371" t="s">
        <v>5946</v>
      </c>
      <c r="D3371" t="s">
        <v>10707</v>
      </c>
      <c r="E3371">
        <f>sch_sp_se_num_peteachss_baseball</f>
        <v>0</v>
      </c>
      <c r="F3371" t="b">
        <v>1</v>
      </c>
      <c r="N3371" s="1346"/>
    </row>
    <row r="3372" spans="1:14" x14ac:dyDescent="0.35">
      <c r="A3372" t="s">
        <v>5859</v>
      </c>
      <c r="B3372" t="s">
        <v>5825</v>
      </c>
      <c r="C3372" t="s">
        <v>5859</v>
      </c>
      <c r="D3372" t="s">
        <v>10736</v>
      </c>
      <c r="E3372">
        <f>sch_sp_se_num_nonpeteachss_baseball</f>
        <v>0</v>
      </c>
      <c r="F3372" t="b">
        <v>1</v>
      </c>
      <c r="N3372" s="1346"/>
    </row>
    <row r="3373" spans="1:14" x14ac:dyDescent="0.35">
      <c r="A3373" t="s">
        <v>5888</v>
      </c>
      <c r="B3373" t="s">
        <v>5825</v>
      </c>
      <c r="C3373" t="s">
        <v>5888</v>
      </c>
      <c r="D3373" t="s">
        <v>10765</v>
      </c>
      <c r="E3373">
        <f>sch_sp_se_num_nonteachpss_baseball</f>
        <v>0</v>
      </c>
      <c r="F3373" t="b">
        <v>1</v>
      </c>
      <c r="N3373" s="1346"/>
    </row>
    <row r="3374" spans="1:14" x14ac:dyDescent="0.35">
      <c r="A3374" t="s">
        <v>5832</v>
      </c>
      <c r="B3374" t="s">
        <v>5825</v>
      </c>
      <c r="C3374" t="s">
        <v>5832</v>
      </c>
      <c r="D3374" t="s">
        <v>10650</v>
      </c>
      <c r="E3374">
        <f>sch_sp_se_num_coaches_billard</f>
        <v>0</v>
      </c>
      <c r="F3374" t="b">
        <v>1</v>
      </c>
      <c r="N3374" s="1346"/>
    </row>
    <row r="3375" spans="1:14" x14ac:dyDescent="0.35">
      <c r="A3375" t="s">
        <v>5919</v>
      </c>
      <c r="B3375" t="s">
        <v>5825</v>
      </c>
      <c r="C3375" t="s">
        <v>5919</v>
      </c>
      <c r="D3375" t="s">
        <v>10679</v>
      </c>
      <c r="E3375">
        <f>sch_sp_se_num_officials_billard</f>
        <v>0</v>
      </c>
      <c r="F3375" t="b">
        <v>1</v>
      </c>
      <c r="N3375" s="1346"/>
    </row>
    <row r="3376" spans="1:14" x14ac:dyDescent="0.35">
      <c r="A3376" t="s">
        <v>5948</v>
      </c>
      <c r="B3376" t="s">
        <v>5825</v>
      </c>
      <c r="C3376" t="s">
        <v>5948</v>
      </c>
      <c r="D3376" t="s">
        <v>10708</v>
      </c>
      <c r="E3376">
        <f>sch_sp_se_num_peteachss_billard</f>
        <v>0</v>
      </c>
      <c r="F3376" t="b">
        <v>1</v>
      </c>
      <c r="N3376" s="1346"/>
    </row>
    <row r="3377" spans="1:14" x14ac:dyDescent="0.35">
      <c r="A3377" t="s">
        <v>5861</v>
      </c>
      <c r="B3377" t="s">
        <v>5825</v>
      </c>
      <c r="C3377" t="s">
        <v>5861</v>
      </c>
      <c r="D3377" t="s">
        <v>10737</v>
      </c>
      <c r="E3377">
        <f>sch_sp_se_num_nonpeteachss_billard</f>
        <v>0</v>
      </c>
      <c r="F3377" t="b">
        <v>1</v>
      </c>
      <c r="N3377" s="1346"/>
    </row>
    <row r="3378" spans="1:14" x14ac:dyDescent="0.35">
      <c r="A3378" t="s">
        <v>5890</v>
      </c>
      <c r="B3378" t="s">
        <v>5825</v>
      </c>
      <c r="C3378" t="s">
        <v>5890</v>
      </c>
      <c r="D3378" t="s">
        <v>10766</v>
      </c>
      <c r="E3378">
        <f>sch_sp_se_num_nonteachpss_billard</f>
        <v>0</v>
      </c>
      <c r="F3378" t="b">
        <v>1</v>
      </c>
      <c r="N3378" s="1346"/>
    </row>
    <row r="3379" spans="1:14" x14ac:dyDescent="0.35">
      <c r="A3379" t="s">
        <v>5833</v>
      </c>
      <c r="B3379" t="s">
        <v>5825</v>
      </c>
      <c r="C3379" t="s">
        <v>5833</v>
      </c>
      <c r="D3379" t="s">
        <v>10651</v>
      </c>
      <c r="E3379">
        <f>sch_sp_se_num_coaches_boxing</f>
        <v>0</v>
      </c>
      <c r="F3379" t="b">
        <v>1</v>
      </c>
      <c r="N3379" s="1346"/>
    </row>
    <row r="3380" spans="1:14" x14ac:dyDescent="0.35">
      <c r="A3380" t="s">
        <v>5920</v>
      </c>
      <c r="B3380" t="s">
        <v>5825</v>
      </c>
      <c r="C3380" t="s">
        <v>5920</v>
      </c>
      <c r="D3380" t="s">
        <v>10680</v>
      </c>
      <c r="E3380">
        <f>sch_sp_se_num_officials_boxing</f>
        <v>0</v>
      </c>
      <c r="F3380" t="b">
        <v>1</v>
      </c>
      <c r="N3380" s="1346"/>
    </row>
    <row r="3381" spans="1:14" x14ac:dyDescent="0.35">
      <c r="A3381" t="s">
        <v>5949</v>
      </c>
      <c r="B3381" t="s">
        <v>5825</v>
      </c>
      <c r="C3381" t="s">
        <v>5949</v>
      </c>
      <c r="D3381" t="s">
        <v>10709</v>
      </c>
      <c r="E3381">
        <f>sch_sp_se_num_peteachss_boxing</f>
        <v>0</v>
      </c>
      <c r="F3381" t="b">
        <v>1</v>
      </c>
      <c r="N3381" s="1346"/>
    </row>
    <row r="3382" spans="1:14" x14ac:dyDescent="0.35">
      <c r="A3382" t="s">
        <v>5862</v>
      </c>
      <c r="B3382" t="s">
        <v>5825</v>
      </c>
      <c r="C3382" t="s">
        <v>5862</v>
      </c>
      <c r="D3382" t="s">
        <v>10738</v>
      </c>
      <c r="E3382">
        <f>sch_sp_se_num_nonpeteachss_boxing</f>
        <v>0</v>
      </c>
      <c r="F3382" t="b">
        <v>1</v>
      </c>
      <c r="N3382" s="1346"/>
    </row>
    <row r="3383" spans="1:14" x14ac:dyDescent="0.35">
      <c r="A3383" t="s">
        <v>5891</v>
      </c>
      <c r="B3383" t="s">
        <v>5825</v>
      </c>
      <c r="C3383" t="s">
        <v>5891</v>
      </c>
      <c r="D3383" t="s">
        <v>10767</v>
      </c>
      <c r="E3383">
        <f>sch_sp_se_num_nonteachpss_boxing</f>
        <v>0</v>
      </c>
      <c r="F3383" t="b">
        <v>1</v>
      </c>
      <c r="N3383" s="1346"/>
    </row>
    <row r="3384" spans="1:14" x14ac:dyDescent="0.35">
      <c r="A3384" t="s">
        <v>5834</v>
      </c>
      <c r="B3384" t="s">
        <v>5825</v>
      </c>
      <c r="C3384" t="s">
        <v>5834</v>
      </c>
      <c r="D3384" t="s">
        <v>10652</v>
      </c>
      <c r="E3384">
        <f>sch_sp_se_num_coaches_chess</f>
        <v>0</v>
      </c>
      <c r="F3384" t="b">
        <v>1</v>
      </c>
      <c r="N3384" s="1346"/>
    </row>
    <row r="3385" spans="1:14" x14ac:dyDescent="0.35">
      <c r="A3385" t="s">
        <v>5921</v>
      </c>
      <c r="B3385" t="s">
        <v>5825</v>
      </c>
      <c r="C3385" t="s">
        <v>5921</v>
      </c>
      <c r="D3385" t="s">
        <v>10681</v>
      </c>
      <c r="E3385">
        <f>sch_sp_se_num_officials_chess</f>
        <v>0</v>
      </c>
      <c r="F3385" t="b">
        <v>1</v>
      </c>
      <c r="N3385" s="1346"/>
    </row>
    <row r="3386" spans="1:14" x14ac:dyDescent="0.35">
      <c r="A3386" t="s">
        <v>5950</v>
      </c>
      <c r="B3386" t="s">
        <v>5825</v>
      </c>
      <c r="C3386" t="s">
        <v>5950</v>
      </c>
      <c r="D3386" t="s">
        <v>10710</v>
      </c>
      <c r="E3386">
        <f>sch_sp_se_num_peteachss_chess</f>
        <v>0</v>
      </c>
      <c r="F3386" t="b">
        <v>1</v>
      </c>
      <c r="N3386" s="1346"/>
    </row>
    <row r="3387" spans="1:14" x14ac:dyDescent="0.35">
      <c r="A3387" t="s">
        <v>5863</v>
      </c>
      <c r="B3387" t="s">
        <v>5825</v>
      </c>
      <c r="C3387" t="s">
        <v>5863</v>
      </c>
      <c r="D3387" t="s">
        <v>10739</v>
      </c>
      <c r="E3387">
        <f>sch_sp_se_num_nonpeteachss_chess</f>
        <v>0</v>
      </c>
      <c r="F3387" t="b">
        <v>1</v>
      </c>
      <c r="N3387" s="1346"/>
    </row>
    <row r="3388" spans="1:14" x14ac:dyDescent="0.35">
      <c r="A3388" t="s">
        <v>5892</v>
      </c>
      <c r="B3388" t="s">
        <v>5825</v>
      </c>
      <c r="C3388" t="s">
        <v>5892</v>
      </c>
      <c r="D3388" t="s">
        <v>10768</v>
      </c>
      <c r="E3388">
        <f>sch_sp_se_num_nonteachpss_chess</f>
        <v>0</v>
      </c>
      <c r="F3388" t="b">
        <v>1</v>
      </c>
      <c r="N3388" s="1346"/>
    </row>
    <row r="3389" spans="1:14" x14ac:dyDescent="0.35">
      <c r="A3389" t="s">
        <v>5835</v>
      </c>
      <c r="B3389" t="s">
        <v>5825</v>
      </c>
      <c r="C3389" t="s">
        <v>5835</v>
      </c>
      <c r="D3389" t="s">
        <v>10653</v>
      </c>
      <c r="E3389">
        <f>sch_sp_se_num_coaches_dancesports</f>
        <v>0</v>
      </c>
      <c r="F3389" t="b">
        <v>1</v>
      </c>
      <c r="N3389" s="1346"/>
    </row>
    <row r="3390" spans="1:14" x14ac:dyDescent="0.35">
      <c r="A3390" t="s">
        <v>5922</v>
      </c>
      <c r="B3390" t="s">
        <v>5825</v>
      </c>
      <c r="C3390" t="s">
        <v>5922</v>
      </c>
      <c r="D3390" t="s">
        <v>10682</v>
      </c>
      <c r="E3390">
        <f>sch_sp_se_num_officials_dancesports</f>
        <v>0</v>
      </c>
      <c r="F3390" t="b">
        <v>1</v>
      </c>
      <c r="N3390" s="1346"/>
    </row>
    <row r="3391" spans="1:14" x14ac:dyDescent="0.35">
      <c r="A3391" t="s">
        <v>5951</v>
      </c>
      <c r="B3391" t="s">
        <v>5825</v>
      </c>
      <c r="C3391" t="s">
        <v>5951</v>
      </c>
      <c r="D3391" t="s">
        <v>10711</v>
      </c>
      <c r="E3391">
        <f>sch_sp_se_num_peteachss_dancesports</f>
        <v>2</v>
      </c>
      <c r="F3391" t="b">
        <v>1</v>
      </c>
      <c r="N3391" s="1346"/>
    </row>
    <row r="3392" spans="1:14" x14ac:dyDescent="0.35">
      <c r="A3392" t="s">
        <v>5864</v>
      </c>
      <c r="B3392" t="s">
        <v>5825</v>
      </c>
      <c r="C3392" t="s">
        <v>5864</v>
      </c>
      <c r="D3392" t="s">
        <v>10740</v>
      </c>
      <c r="E3392">
        <f>sch_sp_se_num_nonpeteachss_dancesports</f>
        <v>0</v>
      </c>
      <c r="F3392" t="b">
        <v>1</v>
      </c>
      <c r="N3392" s="1346"/>
    </row>
    <row r="3393" spans="1:14" x14ac:dyDescent="0.35">
      <c r="A3393" t="s">
        <v>5893</v>
      </c>
      <c r="B3393" t="s">
        <v>5825</v>
      </c>
      <c r="C3393" t="s">
        <v>5893</v>
      </c>
      <c r="D3393" t="s">
        <v>10769</v>
      </c>
      <c r="E3393">
        <f>sch_sp_se_num_nonteachpss_dancesports</f>
        <v>0</v>
      </c>
      <c r="F3393" t="b">
        <v>1</v>
      </c>
      <c r="N3393" s="1346"/>
    </row>
    <row r="3394" spans="1:14" x14ac:dyDescent="0.35">
      <c r="A3394" t="s">
        <v>5836</v>
      </c>
      <c r="B3394" t="s">
        <v>5825</v>
      </c>
      <c r="C3394" t="s">
        <v>5836</v>
      </c>
      <c r="D3394" t="s">
        <v>10654</v>
      </c>
      <c r="E3394">
        <f>sch_sp_se_num_coaches_football</f>
        <v>0</v>
      </c>
      <c r="F3394" t="b">
        <v>1</v>
      </c>
      <c r="N3394" s="1346"/>
    </row>
    <row r="3395" spans="1:14" x14ac:dyDescent="0.35">
      <c r="A3395" t="s">
        <v>5923</v>
      </c>
      <c r="B3395" t="s">
        <v>5825</v>
      </c>
      <c r="C3395" t="s">
        <v>5923</v>
      </c>
      <c r="D3395" t="s">
        <v>10683</v>
      </c>
      <c r="E3395">
        <f>sch_sp_se_num_officials_football</f>
        <v>0</v>
      </c>
      <c r="F3395" t="b">
        <v>1</v>
      </c>
      <c r="N3395" s="1346"/>
    </row>
    <row r="3396" spans="1:14" x14ac:dyDescent="0.35">
      <c r="A3396" t="s">
        <v>5952</v>
      </c>
      <c r="B3396" t="s">
        <v>5825</v>
      </c>
      <c r="C3396" t="s">
        <v>5952</v>
      </c>
      <c r="D3396" t="s">
        <v>10712</v>
      </c>
      <c r="E3396">
        <f>sch_sp_se_num_peteachss_football</f>
        <v>0</v>
      </c>
      <c r="F3396" t="b">
        <v>1</v>
      </c>
      <c r="N3396" s="1346"/>
    </row>
    <row r="3397" spans="1:14" x14ac:dyDescent="0.35">
      <c r="A3397" t="s">
        <v>5865</v>
      </c>
      <c r="B3397" t="s">
        <v>5825</v>
      </c>
      <c r="C3397" t="s">
        <v>5865</v>
      </c>
      <c r="D3397" t="s">
        <v>10741</v>
      </c>
      <c r="E3397">
        <f>sch_sp_se_num_nonpeteachss_football</f>
        <v>0</v>
      </c>
      <c r="F3397" t="b">
        <v>1</v>
      </c>
      <c r="N3397" s="1346"/>
    </row>
    <row r="3398" spans="1:14" x14ac:dyDescent="0.35">
      <c r="A3398" t="s">
        <v>5894</v>
      </c>
      <c r="B3398" t="s">
        <v>5825</v>
      </c>
      <c r="C3398" t="s">
        <v>5894</v>
      </c>
      <c r="D3398" t="s">
        <v>10770</v>
      </c>
      <c r="E3398">
        <f>sch_sp_se_num_nonteachpss_football</f>
        <v>0</v>
      </c>
      <c r="F3398" t="b">
        <v>1</v>
      </c>
      <c r="N3398" s="1346"/>
    </row>
    <row r="3399" spans="1:14" x14ac:dyDescent="0.35">
      <c r="A3399" t="s">
        <v>5837</v>
      </c>
      <c r="B3399" t="s">
        <v>5825</v>
      </c>
      <c r="C3399" t="s">
        <v>5837</v>
      </c>
      <c r="D3399" t="s">
        <v>10655</v>
      </c>
      <c r="E3399">
        <f>sch_sp_se_num_coaches_futsal</f>
        <v>0</v>
      </c>
      <c r="F3399" t="b">
        <v>1</v>
      </c>
      <c r="N3399" s="1346"/>
    </row>
    <row r="3400" spans="1:14" x14ac:dyDescent="0.35">
      <c r="A3400" t="s">
        <v>5924</v>
      </c>
      <c r="B3400" t="s">
        <v>5825</v>
      </c>
      <c r="C3400" t="s">
        <v>5924</v>
      </c>
      <c r="D3400" t="s">
        <v>10684</v>
      </c>
      <c r="E3400">
        <f>sch_sp_se_num_officials_futsal</f>
        <v>0</v>
      </c>
      <c r="F3400" t="b">
        <v>1</v>
      </c>
      <c r="N3400" s="1346"/>
    </row>
    <row r="3401" spans="1:14" x14ac:dyDescent="0.35">
      <c r="A3401" t="s">
        <v>5953</v>
      </c>
      <c r="B3401" t="s">
        <v>5825</v>
      </c>
      <c r="C3401" t="s">
        <v>5953</v>
      </c>
      <c r="D3401" t="s">
        <v>10713</v>
      </c>
      <c r="E3401">
        <f>sch_sp_se_num_peteachss_futsal</f>
        <v>0</v>
      </c>
      <c r="F3401" t="b">
        <v>1</v>
      </c>
      <c r="N3401" s="1346"/>
    </row>
    <row r="3402" spans="1:14" x14ac:dyDescent="0.35">
      <c r="A3402" t="s">
        <v>5866</v>
      </c>
      <c r="B3402" t="s">
        <v>5825</v>
      </c>
      <c r="C3402" t="s">
        <v>5866</v>
      </c>
      <c r="D3402" t="s">
        <v>10742</v>
      </c>
      <c r="E3402">
        <f>sch_sp_se_num_nonpeteachss_futsal</f>
        <v>0</v>
      </c>
      <c r="F3402" t="b">
        <v>1</v>
      </c>
      <c r="N3402" s="1346"/>
    </row>
    <row r="3403" spans="1:14" x14ac:dyDescent="0.35">
      <c r="A3403" t="s">
        <v>5895</v>
      </c>
      <c r="B3403" t="s">
        <v>5825</v>
      </c>
      <c r="C3403" t="s">
        <v>5895</v>
      </c>
      <c r="D3403" t="s">
        <v>10771</v>
      </c>
      <c r="E3403">
        <f>sch_sp_se_num_nonteachpss_futsal</f>
        <v>0</v>
      </c>
      <c r="F3403" t="b">
        <v>1</v>
      </c>
      <c r="N3403" s="1346"/>
    </row>
    <row r="3404" spans="1:14" x14ac:dyDescent="0.35">
      <c r="A3404" t="s">
        <v>5838</v>
      </c>
      <c r="B3404" t="s">
        <v>5825</v>
      </c>
      <c r="C3404" t="s">
        <v>5838</v>
      </c>
      <c r="D3404" t="s">
        <v>10656</v>
      </c>
      <c r="E3404">
        <f>sch_sp_se_num_coaches_aerogymn</f>
        <v>0</v>
      </c>
      <c r="F3404" t="b">
        <v>1</v>
      </c>
      <c r="N3404" s="1346"/>
    </row>
    <row r="3405" spans="1:14" x14ac:dyDescent="0.35">
      <c r="A3405" t="s">
        <v>5925</v>
      </c>
      <c r="B3405" t="s">
        <v>5825</v>
      </c>
      <c r="C3405" t="s">
        <v>5925</v>
      </c>
      <c r="D3405" t="s">
        <v>10685</v>
      </c>
      <c r="E3405">
        <f>sch_sp_se_num_officials_aerogymn</f>
        <v>0</v>
      </c>
      <c r="F3405" t="b">
        <v>1</v>
      </c>
      <c r="N3405" s="1346"/>
    </row>
    <row r="3406" spans="1:14" x14ac:dyDescent="0.35">
      <c r="A3406" t="s">
        <v>5954</v>
      </c>
      <c r="B3406" t="s">
        <v>5825</v>
      </c>
      <c r="C3406" t="s">
        <v>5954</v>
      </c>
      <c r="D3406" t="s">
        <v>10714</v>
      </c>
      <c r="E3406">
        <f>sch_sp_se_num_peteachss_aerogymn</f>
        <v>0</v>
      </c>
      <c r="F3406" t="b">
        <v>1</v>
      </c>
      <c r="N3406" s="1346"/>
    </row>
    <row r="3407" spans="1:14" x14ac:dyDescent="0.35">
      <c r="A3407" t="s">
        <v>5867</v>
      </c>
      <c r="B3407" t="s">
        <v>5825</v>
      </c>
      <c r="C3407" t="s">
        <v>5867</v>
      </c>
      <c r="D3407" t="s">
        <v>10743</v>
      </c>
      <c r="E3407">
        <f>sch_sp_se_num_nonpeteachss_aerogymn</f>
        <v>0</v>
      </c>
      <c r="F3407" t="b">
        <v>1</v>
      </c>
      <c r="N3407" s="1346"/>
    </row>
    <row r="3408" spans="1:14" x14ac:dyDescent="0.35">
      <c r="A3408" t="s">
        <v>5896</v>
      </c>
      <c r="B3408" t="s">
        <v>5825</v>
      </c>
      <c r="C3408" t="s">
        <v>5896</v>
      </c>
      <c r="D3408" t="s">
        <v>10772</v>
      </c>
      <c r="E3408">
        <f>sch_sp_se_num_nonteachpss_aerogymn</f>
        <v>0</v>
      </c>
      <c r="F3408" t="b">
        <v>1</v>
      </c>
      <c r="N3408" s="1346"/>
    </row>
    <row r="3409" spans="1:14" x14ac:dyDescent="0.35">
      <c r="A3409" t="s">
        <v>5839</v>
      </c>
      <c r="B3409" t="s">
        <v>5825</v>
      </c>
      <c r="C3409" t="s">
        <v>5839</v>
      </c>
      <c r="D3409" t="s">
        <v>10657</v>
      </c>
      <c r="E3409">
        <f>sch_sp_se_num_coaches_mag</f>
        <v>0</v>
      </c>
      <c r="F3409" t="b">
        <v>1</v>
      </c>
      <c r="N3409" s="1346"/>
    </row>
    <row r="3410" spans="1:14" x14ac:dyDescent="0.35">
      <c r="A3410" t="s">
        <v>5926</v>
      </c>
      <c r="B3410" t="s">
        <v>5825</v>
      </c>
      <c r="C3410" t="s">
        <v>5926</v>
      </c>
      <c r="D3410" t="s">
        <v>10686</v>
      </c>
      <c r="E3410">
        <f>sch_sp_se_num_officials_mag</f>
        <v>0</v>
      </c>
      <c r="F3410" t="b">
        <v>1</v>
      </c>
      <c r="N3410" s="1346"/>
    </row>
    <row r="3411" spans="1:14" x14ac:dyDescent="0.35">
      <c r="A3411" t="s">
        <v>5955</v>
      </c>
      <c r="B3411" t="s">
        <v>5825</v>
      </c>
      <c r="C3411" t="s">
        <v>5955</v>
      </c>
      <c r="D3411" t="s">
        <v>10715</v>
      </c>
      <c r="E3411">
        <f>sch_sp_se_num_peteachss_mag</f>
        <v>0</v>
      </c>
      <c r="F3411" t="b">
        <v>1</v>
      </c>
      <c r="N3411" s="1346"/>
    </row>
    <row r="3412" spans="1:14" x14ac:dyDescent="0.35">
      <c r="A3412" t="s">
        <v>5868</v>
      </c>
      <c r="B3412" t="s">
        <v>5825</v>
      </c>
      <c r="C3412" t="s">
        <v>5868</v>
      </c>
      <c r="D3412" t="s">
        <v>10744</v>
      </c>
      <c r="E3412">
        <f>sch_sp_se_num_nonpeteachss_mag</f>
        <v>0</v>
      </c>
      <c r="F3412" t="b">
        <v>1</v>
      </c>
      <c r="N3412" s="1346"/>
    </row>
    <row r="3413" spans="1:14" x14ac:dyDescent="0.35">
      <c r="A3413" t="s">
        <v>5897</v>
      </c>
      <c r="B3413" t="s">
        <v>5825</v>
      </c>
      <c r="C3413" t="s">
        <v>5897</v>
      </c>
      <c r="D3413" t="s">
        <v>10773</v>
      </c>
      <c r="E3413">
        <f>sch_sp_se_num_nonteachpss_mag</f>
        <v>0</v>
      </c>
      <c r="F3413" t="b">
        <v>1</v>
      </c>
      <c r="N3413" s="1346"/>
    </row>
    <row r="3414" spans="1:14" x14ac:dyDescent="0.35">
      <c r="A3414" t="s">
        <v>5840</v>
      </c>
      <c r="B3414" t="s">
        <v>5825</v>
      </c>
      <c r="C3414" t="s">
        <v>5840</v>
      </c>
      <c r="D3414" t="s">
        <v>10658</v>
      </c>
      <c r="E3414">
        <f>sch_sp_se_num_coaches_wag</f>
        <v>0</v>
      </c>
      <c r="F3414" t="b">
        <v>1</v>
      </c>
      <c r="N3414" s="1346"/>
    </row>
    <row r="3415" spans="1:14" x14ac:dyDescent="0.35">
      <c r="A3415" t="s">
        <v>5927</v>
      </c>
      <c r="B3415" t="s">
        <v>5825</v>
      </c>
      <c r="C3415" t="s">
        <v>5927</v>
      </c>
      <c r="D3415" t="s">
        <v>10687</v>
      </c>
      <c r="E3415">
        <f>sch_sp_se_num_officials_wag</f>
        <v>0</v>
      </c>
      <c r="F3415" t="b">
        <v>1</v>
      </c>
      <c r="N3415" s="1346"/>
    </row>
    <row r="3416" spans="1:14" x14ac:dyDescent="0.35">
      <c r="A3416" t="s">
        <v>5956</v>
      </c>
      <c r="B3416" t="s">
        <v>5825</v>
      </c>
      <c r="C3416" t="s">
        <v>5956</v>
      </c>
      <c r="D3416" t="s">
        <v>10716</v>
      </c>
      <c r="E3416">
        <f>sch_sp_se_num_peteachss_wag</f>
        <v>0</v>
      </c>
      <c r="F3416" t="b">
        <v>1</v>
      </c>
      <c r="N3416" s="1346"/>
    </row>
    <row r="3417" spans="1:14" x14ac:dyDescent="0.35">
      <c r="A3417" t="s">
        <v>5869</v>
      </c>
      <c r="B3417" t="s">
        <v>5825</v>
      </c>
      <c r="C3417" t="s">
        <v>5869</v>
      </c>
      <c r="D3417" t="s">
        <v>10745</v>
      </c>
      <c r="E3417">
        <f>sch_sp_se_num_nonpeteachss_wag</f>
        <v>0</v>
      </c>
      <c r="F3417" t="b">
        <v>1</v>
      </c>
      <c r="N3417" s="1346"/>
    </row>
    <row r="3418" spans="1:14" x14ac:dyDescent="0.35">
      <c r="A3418" t="s">
        <v>5898</v>
      </c>
      <c r="B3418" t="s">
        <v>5825</v>
      </c>
      <c r="C3418" t="s">
        <v>5898</v>
      </c>
      <c r="D3418" t="s">
        <v>10774</v>
      </c>
      <c r="E3418">
        <f>sch_sp_se_num_nonteachpss_wag</f>
        <v>0</v>
      </c>
      <c r="F3418" t="b">
        <v>1</v>
      </c>
      <c r="N3418" s="1346"/>
    </row>
    <row r="3419" spans="1:14" x14ac:dyDescent="0.35">
      <c r="A3419" t="s">
        <v>5841</v>
      </c>
      <c r="B3419" t="s">
        <v>5825</v>
      </c>
      <c r="C3419" t="s">
        <v>5841</v>
      </c>
      <c r="D3419" t="s">
        <v>10659</v>
      </c>
      <c r="E3419">
        <f>sch_sp_se_num_coaches_rg</f>
        <v>0</v>
      </c>
      <c r="F3419" t="b">
        <v>1</v>
      </c>
      <c r="N3419" s="1346"/>
    </row>
    <row r="3420" spans="1:14" x14ac:dyDescent="0.35">
      <c r="A3420" t="s">
        <v>5928</v>
      </c>
      <c r="B3420" t="s">
        <v>5825</v>
      </c>
      <c r="C3420" t="s">
        <v>5928</v>
      </c>
      <c r="D3420" t="s">
        <v>10688</v>
      </c>
      <c r="E3420">
        <f>sch_sp_se_num_officials_rg</f>
        <v>0</v>
      </c>
      <c r="F3420" t="b">
        <v>1</v>
      </c>
      <c r="N3420" s="1346"/>
    </row>
    <row r="3421" spans="1:14" x14ac:dyDescent="0.35">
      <c r="A3421" t="s">
        <v>5957</v>
      </c>
      <c r="B3421" t="s">
        <v>5825</v>
      </c>
      <c r="C3421" t="s">
        <v>5957</v>
      </c>
      <c r="D3421" t="s">
        <v>10717</v>
      </c>
      <c r="E3421">
        <f>sch_sp_se_num_peteachss_rg</f>
        <v>0</v>
      </c>
      <c r="F3421" t="b">
        <v>1</v>
      </c>
      <c r="N3421" s="1346"/>
    </row>
    <row r="3422" spans="1:14" x14ac:dyDescent="0.35">
      <c r="A3422" t="s">
        <v>5870</v>
      </c>
      <c r="B3422" t="s">
        <v>5825</v>
      </c>
      <c r="C3422" t="s">
        <v>5870</v>
      </c>
      <c r="D3422" t="s">
        <v>10746</v>
      </c>
      <c r="E3422">
        <f>sch_sp_se_num_nonpeteachss_rg</f>
        <v>0</v>
      </c>
      <c r="F3422" t="b">
        <v>1</v>
      </c>
      <c r="N3422" s="1346"/>
    </row>
    <row r="3423" spans="1:14" x14ac:dyDescent="0.35">
      <c r="A3423" t="s">
        <v>5899</v>
      </c>
      <c r="B3423" t="s">
        <v>5825</v>
      </c>
      <c r="C3423" t="s">
        <v>5899</v>
      </c>
      <c r="D3423" t="s">
        <v>10775</v>
      </c>
      <c r="E3423">
        <f>sch_sp_se_num_nonteachpss_rg</f>
        <v>0</v>
      </c>
      <c r="F3423" t="b">
        <v>1</v>
      </c>
      <c r="N3423" s="1346"/>
    </row>
    <row r="3424" spans="1:14" x14ac:dyDescent="0.35">
      <c r="A3424" t="s">
        <v>5842</v>
      </c>
      <c r="B3424" t="s">
        <v>5825</v>
      </c>
      <c r="C3424" t="s">
        <v>5842</v>
      </c>
      <c r="D3424" t="s">
        <v>10660</v>
      </c>
      <c r="E3424">
        <f>sch_sp_se_num_coaches_pencaksilat</f>
        <v>0</v>
      </c>
      <c r="F3424" t="b">
        <v>1</v>
      </c>
      <c r="N3424" s="1346"/>
    </row>
    <row r="3425" spans="1:14" x14ac:dyDescent="0.35">
      <c r="A3425" t="s">
        <v>5929</v>
      </c>
      <c r="B3425" t="s">
        <v>5825</v>
      </c>
      <c r="C3425" t="s">
        <v>5929</v>
      </c>
      <c r="D3425" t="s">
        <v>10689</v>
      </c>
      <c r="E3425">
        <f>sch_sp_se_num_officials_pencaksilat</f>
        <v>0</v>
      </c>
      <c r="F3425" t="b">
        <v>1</v>
      </c>
      <c r="N3425" s="1346"/>
    </row>
    <row r="3426" spans="1:14" x14ac:dyDescent="0.35">
      <c r="A3426" t="s">
        <v>5958</v>
      </c>
      <c r="B3426" t="s">
        <v>5825</v>
      </c>
      <c r="C3426" t="s">
        <v>5958</v>
      </c>
      <c r="D3426" t="s">
        <v>10718</v>
      </c>
      <c r="E3426">
        <f>sch_sp_se_num_peteachss_pencaksilat</f>
        <v>0</v>
      </c>
      <c r="F3426" t="b">
        <v>1</v>
      </c>
      <c r="N3426" s="1346"/>
    </row>
    <row r="3427" spans="1:14" x14ac:dyDescent="0.35">
      <c r="A3427" t="s">
        <v>5871</v>
      </c>
      <c r="B3427" t="s">
        <v>5825</v>
      </c>
      <c r="C3427" t="s">
        <v>5871</v>
      </c>
      <c r="D3427" t="s">
        <v>10747</v>
      </c>
      <c r="E3427">
        <f>sch_sp_se_num_nonpeteachss_pencaksilat</f>
        <v>0</v>
      </c>
      <c r="F3427" t="b">
        <v>1</v>
      </c>
      <c r="N3427" s="1346"/>
    </row>
    <row r="3428" spans="1:14" x14ac:dyDescent="0.35">
      <c r="A3428" t="s">
        <v>5900</v>
      </c>
      <c r="B3428" t="s">
        <v>5825</v>
      </c>
      <c r="C3428" t="s">
        <v>5900</v>
      </c>
      <c r="D3428" t="s">
        <v>10776</v>
      </c>
      <c r="E3428">
        <f>sch_sp_se_num_nonteachpss_pencaksilat</f>
        <v>0</v>
      </c>
      <c r="F3428" t="b">
        <v>1</v>
      </c>
      <c r="N3428" s="1346"/>
    </row>
    <row r="3429" spans="1:14" x14ac:dyDescent="0.35">
      <c r="A3429" t="s">
        <v>5843</v>
      </c>
      <c r="B3429" t="s">
        <v>5825</v>
      </c>
      <c r="C3429" t="s">
        <v>5843</v>
      </c>
      <c r="D3429" t="s">
        <v>10661</v>
      </c>
      <c r="E3429">
        <f>sch_sp_se_num_coaches_sepaktakraw</f>
        <v>0</v>
      </c>
      <c r="F3429" t="b">
        <v>1</v>
      </c>
      <c r="N3429" s="1346"/>
    </row>
    <row r="3430" spans="1:14" x14ac:dyDescent="0.35">
      <c r="A3430" t="s">
        <v>5930</v>
      </c>
      <c r="B3430" t="s">
        <v>5825</v>
      </c>
      <c r="C3430" t="s">
        <v>5930</v>
      </c>
      <c r="D3430" t="s">
        <v>10690</v>
      </c>
      <c r="E3430">
        <f>sch_sp_se_num_officials_sepaktakraw</f>
        <v>0</v>
      </c>
      <c r="F3430" t="b">
        <v>1</v>
      </c>
      <c r="N3430" s="1346"/>
    </row>
    <row r="3431" spans="1:14" x14ac:dyDescent="0.35">
      <c r="A3431" t="s">
        <v>5959</v>
      </c>
      <c r="B3431" t="s">
        <v>5825</v>
      </c>
      <c r="C3431" t="s">
        <v>5959</v>
      </c>
      <c r="D3431" t="s">
        <v>10719</v>
      </c>
      <c r="E3431">
        <f>sch_sp_se_num_peteachss_sepaktakraw</f>
        <v>2</v>
      </c>
      <c r="F3431" t="b">
        <v>1</v>
      </c>
      <c r="N3431" s="1346"/>
    </row>
    <row r="3432" spans="1:14" x14ac:dyDescent="0.35">
      <c r="A3432" t="s">
        <v>5872</v>
      </c>
      <c r="B3432" t="s">
        <v>5825</v>
      </c>
      <c r="C3432" t="s">
        <v>5872</v>
      </c>
      <c r="D3432" t="s">
        <v>10748</v>
      </c>
      <c r="E3432">
        <f>sch_sp_se_num_nonpeteachss_sepaktakraw</f>
        <v>0</v>
      </c>
      <c r="F3432" t="b">
        <v>1</v>
      </c>
      <c r="N3432" s="1346"/>
    </row>
    <row r="3433" spans="1:14" x14ac:dyDescent="0.35">
      <c r="A3433" t="s">
        <v>5901</v>
      </c>
      <c r="B3433" t="s">
        <v>5825</v>
      </c>
      <c r="C3433" t="s">
        <v>5901</v>
      </c>
      <c r="D3433" t="s">
        <v>10777</v>
      </c>
      <c r="E3433">
        <f>sch_sp_se_num_nonteachpss_sepaktakraw</f>
        <v>0</v>
      </c>
      <c r="F3433" t="b">
        <v>1</v>
      </c>
      <c r="N3433" s="1346"/>
    </row>
    <row r="3434" spans="1:14" x14ac:dyDescent="0.35">
      <c r="A3434" t="s">
        <v>5844</v>
      </c>
      <c r="B3434" t="s">
        <v>5825</v>
      </c>
      <c r="C3434" t="s">
        <v>5844</v>
      </c>
      <c r="D3434" t="s">
        <v>10662</v>
      </c>
      <c r="E3434">
        <f>sch_sp_se_num_coaches_softball</f>
        <v>0</v>
      </c>
      <c r="F3434" t="b">
        <v>1</v>
      </c>
      <c r="N3434" s="1346"/>
    </row>
    <row r="3435" spans="1:14" x14ac:dyDescent="0.35">
      <c r="A3435" t="s">
        <v>5931</v>
      </c>
      <c r="B3435" t="s">
        <v>5825</v>
      </c>
      <c r="C3435" t="s">
        <v>5931</v>
      </c>
      <c r="D3435" t="s">
        <v>10691</v>
      </c>
      <c r="E3435">
        <f>sch_sp_se_num_officials_softball</f>
        <v>0</v>
      </c>
      <c r="F3435" t="b">
        <v>1</v>
      </c>
      <c r="N3435" s="1346"/>
    </row>
    <row r="3436" spans="1:14" x14ac:dyDescent="0.35">
      <c r="A3436" t="s">
        <v>5960</v>
      </c>
      <c r="B3436" t="s">
        <v>5825</v>
      </c>
      <c r="C3436" t="s">
        <v>5960</v>
      </c>
      <c r="D3436" t="s">
        <v>10720</v>
      </c>
      <c r="E3436">
        <f>sch_sp_se_num_peteachss_softball</f>
        <v>0</v>
      </c>
      <c r="F3436" t="b">
        <v>1</v>
      </c>
      <c r="N3436" s="1346"/>
    </row>
    <row r="3437" spans="1:14" x14ac:dyDescent="0.35">
      <c r="A3437" t="s">
        <v>5873</v>
      </c>
      <c r="B3437" t="s">
        <v>5825</v>
      </c>
      <c r="C3437" t="s">
        <v>5873</v>
      </c>
      <c r="D3437" t="s">
        <v>10749</v>
      </c>
      <c r="E3437">
        <f>sch_sp_se_num_nonpeteachss_softball</f>
        <v>0</v>
      </c>
      <c r="F3437" t="b">
        <v>1</v>
      </c>
      <c r="N3437" s="1346"/>
    </row>
    <row r="3438" spans="1:14" x14ac:dyDescent="0.35">
      <c r="A3438" t="s">
        <v>5902</v>
      </c>
      <c r="B3438" t="s">
        <v>5825</v>
      </c>
      <c r="C3438" t="s">
        <v>5902</v>
      </c>
      <c r="D3438" t="s">
        <v>10778</v>
      </c>
      <c r="E3438">
        <f>sch_sp_se_num_nonteachpss_softball</f>
        <v>0</v>
      </c>
      <c r="F3438" t="b">
        <v>1</v>
      </c>
      <c r="N3438" s="1346"/>
    </row>
    <row r="3439" spans="1:14" x14ac:dyDescent="0.35">
      <c r="A3439" t="s">
        <v>5845</v>
      </c>
      <c r="B3439" t="s">
        <v>5825</v>
      </c>
      <c r="C3439" t="s">
        <v>5845</v>
      </c>
      <c r="D3439" t="s">
        <v>10663</v>
      </c>
      <c r="E3439">
        <f>sch_sp_se_num_coaches_swimming</f>
        <v>0</v>
      </c>
      <c r="F3439" t="b">
        <v>1</v>
      </c>
      <c r="N3439" s="1346"/>
    </row>
    <row r="3440" spans="1:14" x14ac:dyDescent="0.35">
      <c r="A3440" t="s">
        <v>5932</v>
      </c>
      <c r="B3440" t="s">
        <v>5825</v>
      </c>
      <c r="C3440" t="s">
        <v>5932</v>
      </c>
      <c r="D3440" t="s">
        <v>10692</v>
      </c>
      <c r="E3440">
        <f>sch_sp_se_num_officials_swimming</f>
        <v>0</v>
      </c>
      <c r="F3440" t="b">
        <v>1</v>
      </c>
      <c r="N3440" s="1346"/>
    </row>
    <row r="3441" spans="1:14" x14ac:dyDescent="0.35">
      <c r="A3441" t="s">
        <v>5961</v>
      </c>
      <c r="B3441" t="s">
        <v>5825</v>
      </c>
      <c r="C3441" t="s">
        <v>5961</v>
      </c>
      <c r="D3441" t="s">
        <v>10721</v>
      </c>
      <c r="E3441">
        <f>sch_sp_se_num_peteachss_swimming</f>
        <v>0</v>
      </c>
      <c r="F3441" t="b">
        <v>1</v>
      </c>
      <c r="N3441" s="1346"/>
    </row>
    <row r="3442" spans="1:14" x14ac:dyDescent="0.35">
      <c r="A3442" t="s">
        <v>5874</v>
      </c>
      <c r="B3442" t="s">
        <v>5825</v>
      </c>
      <c r="C3442" t="s">
        <v>5874</v>
      </c>
      <c r="D3442" t="s">
        <v>10750</v>
      </c>
      <c r="E3442">
        <f>sch_sp_se_num_nonpeteachss_swimming</f>
        <v>0</v>
      </c>
      <c r="F3442" t="b">
        <v>1</v>
      </c>
      <c r="N3442" s="1346"/>
    </row>
    <row r="3443" spans="1:14" x14ac:dyDescent="0.35">
      <c r="A3443" t="s">
        <v>5903</v>
      </c>
      <c r="B3443" t="s">
        <v>5825</v>
      </c>
      <c r="C3443" t="s">
        <v>5903</v>
      </c>
      <c r="D3443" t="s">
        <v>10779</v>
      </c>
      <c r="E3443">
        <f>sch_sp_se_num_nonteachpss_swimming</f>
        <v>0</v>
      </c>
      <c r="F3443" t="b">
        <v>1</v>
      </c>
      <c r="N3443" s="1346"/>
    </row>
    <row r="3444" spans="1:14" x14ac:dyDescent="0.35">
      <c r="A3444" t="s">
        <v>5846</v>
      </c>
      <c r="B3444" t="s">
        <v>5825</v>
      </c>
      <c r="C3444" t="s">
        <v>5846</v>
      </c>
      <c r="D3444" t="s">
        <v>10664</v>
      </c>
      <c r="E3444">
        <f>sch_sp_se_num_coaches_tabletennis</f>
        <v>0</v>
      </c>
      <c r="F3444" t="b">
        <v>1</v>
      </c>
      <c r="N3444" s="1346"/>
    </row>
    <row r="3445" spans="1:14" x14ac:dyDescent="0.35">
      <c r="A3445" t="s">
        <v>5933</v>
      </c>
      <c r="B3445" t="s">
        <v>5825</v>
      </c>
      <c r="C3445" t="s">
        <v>5933</v>
      </c>
      <c r="D3445" t="s">
        <v>10693</v>
      </c>
      <c r="E3445">
        <f>sch_sp_se_num_officials_tabletennis</f>
        <v>0</v>
      </c>
      <c r="F3445" t="b">
        <v>1</v>
      </c>
      <c r="N3445" s="1346"/>
    </row>
    <row r="3446" spans="1:14" x14ac:dyDescent="0.35">
      <c r="A3446" t="s">
        <v>5962</v>
      </c>
      <c r="B3446" t="s">
        <v>5825</v>
      </c>
      <c r="C3446" t="s">
        <v>5962</v>
      </c>
      <c r="D3446" t="s">
        <v>10722</v>
      </c>
      <c r="E3446">
        <f>sch_sp_se_num_peteachss_tabletennis</f>
        <v>0</v>
      </c>
      <c r="F3446" t="b">
        <v>1</v>
      </c>
      <c r="N3446" s="1346"/>
    </row>
    <row r="3447" spans="1:14" x14ac:dyDescent="0.35">
      <c r="A3447" t="s">
        <v>5875</v>
      </c>
      <c r="B3447" t="s">
        <v>5825</v>
      </c>
      <c r="C3447" t="s">
        <v>5875</v>
      </c>
      <c r="D3447" t="s">
        <v>10751</v>
      </c>
      <c r="E3447">
        <f>sch_sp_se_num_nonpeteachss_tabletennis</f>
        <v>0</v>
      </c>
      <c r="F3447" t="b">
        <v>1</v>
      </c>
      <c r="N3447" s="1346"/>
    </row>
    <row r="3448" spans="1:14" x14ac:dyDescent="0.35">
      <c r="A3448" t="s">
        <v>5904</v>
      </c>
      <c r="B3448" t="s">
        <v>5825</v>
      </c>
      <c r="C3448" t="s">
        <v>5904</v>
      </c>
      <c r="D3448" t="s">
        <v>10780</v>
      </c>
      <c r="E3448">
        <f>sch_sp_se_num_nonteachpss_tabletennis</f>
        <v>0</v>
      </c>
      <c r="F3448" t="b">
        <v>1</v>
      </c>
      <c r="N3448" s="1346"/>
    </row>
    <row r="3449" spans="1:14" x14ac:dyDescent="0.35">
      <c r="A3449" t="s">
        <v>5847</v>
      </c>
      <c r="B3449" t="s">
        <v>5825</v>
      </c>
      <c r="C3449" t="s">
        <v>5847</v>
      </c>
      <c r="D3449" t="s">
        <v>10665</v>
      </c>
      <c r="E3449">
        <f>sch_sp_se_num_coaches_taekwondo</f>
        <v>0</v>
      </c>
      <c r="F3449" t="b">
        <v>1</v>
      </c>
      <c r="N3449" s="1346"/>
    </row>
    <row r="3450" spans="1:14" x14ac:dyDescent="0.35">
      <c r="A3450" t="s">
        <v>5934</v>
      </c>
      <c r="B3450" t="s">
        <v>5825</v>
      </c>
      <c r="C3450" t="s">
        <v>5934</v>
      </c>
      <c r="D3450" t="s">
        <v>10694</v>
      </c>
      <c r="E3450">
        <f>sch_sp_se_num_officials_taekwondo</f>
        <v>0</v>
      </c>
      <c r="F3450" t="b">
        <v>1</v>
      </c>
      <c r="N3450" s="1346"/>
    </row>
    <row r="3451" spans="1:14" x14ac:dyDescent="0.35">
      <c r="A3451" t="s">
        <v>5963</v>
      </c>
      <c r="B3451" t="s">
        <v>5825</v>
      </c>
      <c r="C3451" t="s">
        <v>5963</v>
      </c>
      <c r="D3451" t="s">
        <v>10723</v>
      </c>
      <c r="E3451">
        <f>sch_sp_se_num_peteachss_taekwondo</f>
        <v>0</v>
      </c>
      <c r="F3451" t="b">
        <v>1</v>
      </c>
      <c r="N3451" s="1346"/>
    </row>
    <row r="3452" spans="1:14" x14ac:dyDescent="0.35">
      <c r="A3452" t="s">
        <v>5876</v>
      </c>
      <c r="B3452" t="s">
        <v>5825</v>
      </c>
      <c r="C3452" t="s">
        <v>5876</v>
      </c>
      <c r="D3452" t="s">
        <v>10752</v>
      </c>
      <c r="E3452">
        <f>sch_sp_se_num_nonpeteachss_taekwondo</f>
        <v>0</v>
      </c>
      <c r="F3452" t="b">
        <v>1</v>
      </c>
      <c r="N3452" s="1346"/>
    </row>
    <row r="3453" spans="1:14" x14ac:dyDescent="0.35">
      <c r="A3453" t="s">
        <v>5905</v>
      </c>
      <c r="B3453" t="s">
        <v>5825</v>
      </c>
      <c r="C3453" t="s">
        <v>5905</v>
      </c>
      <c r="D3453" t="s">
        <v>10781</v>
      </c>
      <c r="E3453">
        <f>sch_sp_se_num_nonteachpss_taekwondo</f>
        <v>0</v>
      </c>
      <c r="F3453" t="b">
        <v>1</v>
      </c>
      <c r="N3453" s="1346"/>
    </row>
    <row r="3454" spans="1:14" x14ac:dyDescent="0.35">
      <c r="A3454" t="s">
        <v>5848</v>
      </c>
      <c r="B3454" t="s">
        <v>5825</v>
      </c>
      <c r="C3454" t="s">
        <v>5848</v>
      </c>
      <c r="D3454" t="s">
        <v>10666</v>
      </c>
      <c r="E3454">
        <f>sch_sp_se_num_coaches_tennis</f>
        <v>0</v>
      </c>
      <c r="F3454" t="b">
        <v>1</v>
      </c>
      <c r="N3454" s="1346"/>
    </row>
    <row r="3455" spans="1:14" x14ac:dyDescent="0.35">
      <c r="A3455" t="s">
        <v>5935</v>
      </c>
      <c r="B3455" t="s">
        <v>5825</v>
      </c>
      <c r="C3455" t="s">
        <v>5935</v>
      </c>
      <c r="D3455" t="s">
        <v>10695</v>
      </c>
      <c r="E3455">
        <f>sch_sp_se_num_officials_tennis</f>
        <v>0</v>
      </c>
      <c r="F3455" t="b">
        <v>1</v>
      </c>
      <c r="N3455" s="1346"/>
    </row>
    <row r="3456" spans="1:14" x14ac:dyDescent="0.35">
      <c r="A3456" t="s">
        <v>5964</v>
      </c>
      <c r="B3456" t="s">
        <v>5825</v>
      </c>
      <c r="C3456" t="s">
        <v>5964</v>
      </c>
      <c r="D3456" t="s">
        <v>10724</v>
      </c>
      <c r="E3456">
        <f>sch_sp_se_num_peteachss_tennis</f>
        <v>0</v>
      </c>
      <c r="F3456" t="b">
        <v>1</v>
      </c>
      <c r="N3456" s="1346"/>
    </row>
    <row r="3457" spans="1:14" x14ac:dyDescent="0.35">
      <c r="A3457" t="s">
        <v>5877</v>
      </c>
      <c r="B3457" t="s">
        <v>5825</v>
      </c>
      <c r="C3457" t="s">
        <v>5877</v>
      </c>
      <c r="D3457" t="s">
        <v>10753</v>
      </c>
      <c r="E3457">
        <f>sch_sp_se_num_nonpeteachss_tennis</f>
        <v>0</v>
      </c>
      <c r="F3457" t="b">
        <v>1</v>
      </c>
      <c r="N3457" s="1346"/>
    </row>
    <row r="3458" spans="1:14" x14ac:dyDescent="0.35">
      <c r="A3458" t="s">
        <v>5906</v>
      </c>
      <c r="B3458" t="s">
        <v>5825</v>
      </c>
      <c r="C3458" t="s">
        <v>5906</v>
      </c>
      <c r="D3458" t="s">
        <v>10782</v>
      </c>
      <c r="E3458">
        <f>sch_sp_se_num_nonteachpss_tennis</f>
        <v>0</v>
      </c>
      <c r="F3458" t="b">
        <v>1</v>
      </c>
      <c r="N3458" s="1346"/>
    </row>
    <row r="3459" spans="1:14" x14ac:dyDescent="0.35">
      <c r="A3459" t="s">
        <v>5849</v>
      </c>
      <c r="B3459" t="s">
        <v>5825</v>
      </c>
      <c r="C3459" t="s">
        <v>5849</v>
      </c>
      <c r="D3459" t="s">
        <v>10667</v>
      </c>
      <c r="E3459">
        <f>sch_sp_se_num_coaches_volleyball</f>
        <v>0</v>
      </c>
      <c r="F3459" t="b">
        <v>1</v>
      </c>
      <c r="N3459" s="1346"/>
    </row>
    <row r="3460" spans="1:14" x14ac:dyDescent="0.35">
      <c r="A3460" t="s">
        <v>5936</v>
      </c>
      <c r="B3460" t="s">
        <v>5825</v>
      </c>
      <c r="C3460" t="s">
        <v>5936</v>
      </c>
      <c r="D3460" t="s">
        <v>10696</v>
      </c>
      <c r="E3460">
        <f>sch_sp_se_num_officials_volleyball</f>
        <v>0</v>
      </c>
      <c r="F3460" t="b">
        <v>1</v>
      </c>
      <c r="N3460" s="1346"/>
    </row>
    <row r="3461" spans="1:14" x14ac:dyDescent="0.35">
      <c r="A3461" t="s">
        <v>5965</v>
      </c>
      <c r="B3461" t="s">
        <v>5825</v>
      </c>
      <c r="C3461" t="s">
        <v>5965</v>
      </c>
      <c r="D3461" t="s">
        <v>10725</v>
      </c>
      <c r="E3461">
        <f>sch_sp_se_num_peteachss_volleyball</f>
        <v>0</v>
      </c>
      <c r="F3461" t="b">
        <v>1</v>
      </c>
      <c r="N3461" s="1346"/>
    </row>
    <row r="3462" spans="1:14" x14ac:dyDescent="0.35">
      <c r="A3462" t="s">
        <v>5878</v>
      </c>
      <c r="B3462" t="s">
        <v>5825</v>
      </c>
      <c r="C3462" t="s">
        <v>5878</v>
      </c>
      <c r="D3462" t="s">
        <v>10754</v>
      </c>
      <c r="E3462">
        <f>sch_sp_se_num_nonpeteachss_volleyball</f>
        <v>0</v>
      </c>
      <c r="F3462" t="b">
        <v>1</v>
      </c>
      <c r="N3462" s="1346"/>
    </row>
    <row r="3463" spans="1:14" x14ac:dyDescent="0.35">
      <c r="A3463" t="s">
        <v>5907</v>
      </c>
      <c r="B3463" t="s">
        <v>5825</v>
      </c>
      <c r="C3463" t="s">
        <v>5907</v>
      </c>
      <c r="D3463" t="s">
        <v>10783</v>
      </c>
      <c r="E3463">
        <f>sch_sp_se_num_nonteachpss_volleyball</f>
        <v>0</v>
      </c>
      <c r="F3463" t="b">
        <v>1</v>
      </c>
      <c r="N3463" s="1346"/>
    </row>
    <row r="3464" spans="1:14" x14ac:dyDescent="0.35">
      <c r="A3464" t="s">
        <v>5850</v>
      </c>
      <c r="B3464" t="s">
        <v>5825</v>
      </c>
      <c r="C3464" t="s">
        <v>5850</v>
      </c>
      <c r="D3464" t="s">
        <v>10668</v>
      </c>
      <c r="E3464">
        <f>sch_sp_se_num_coaches_wrestling</f>
        <v>0</v>
      </c>
      <c r="F3464" t="b">
        <v>1</v>
      </c>
      <c r="N3464" s="1346"/>
    </row>
    <row r="3465" spans="1:14" x14ac:dyDescent="0.35">
      <c r="A3465" t="s">
        <v>5937</v>
      </c>
      <c r="B3465" t="s">
        <v>5825</v>
      </c>
      <c r="C3465" t="s">
        <v>5937</v>
      </c>
      <c r="D3465" t="s">
        <v>10697</v>
      </c>
      <c r="E3465">
        <f>sch_sp_se_num_officials_wrestling</f>
        <v>0</v>
      </c>
      <c r="F3465" t="b">
        <v>1</v>
      </c>
      <c r="N3465" s="1346"/>
    </row>
    <row r="3466" spans="1:14" x14ac:dyDescent="0.35">
      <c r="A3466" t="s">
        <v>5966</v>
      </c>
      <c r="B3466" t="s">
        <v>5825</v>
      </c>
      <c r="C3466" t="s">
        <v>5966</v>
      </c>
      <c r="D3466" t="s">
        <v>10726</v>
      </c>
      <c r="E3466">
        <f>sch_sp_se_num_peteachss_wrestling</f>
        <v>0</v>
      </c>
      <c r="F3466" t="b">
        <v>1</v>
      </c>
      <c r="N3466" s="1346"/>
    </row>
    <row r="3467" spans="1:14" x14ac:dyDescent="0.35">
      <c r="A3467" t="s">
        <v>5879</v>
      </c>
      <c r="B3467" t="s">
        <v>5825</v>
      </c>
      <c r="C3467" t="s">
        <v>5879</v>
      </c>
      <c r="D3467" t="s">
        <v>10755</v>
      </c>
      <c r="E3467">
        <f>sch_sp_se_num_nonpeteachss_wrestling</f>
        <v>0</v>
      </c>
      <c r="F3467" t="b">
        <v>1</v>
      </c>
      <c r="N3467" s="1346"/>
    </row>
    <row r="3468" spans="1:14" x14ac:dyDescent="0.35">
      <c r="A3468" t="s">
        <v>5908</v>
      </c>
      <c r="B3468" t="s">
        <v>5825</v>
      </c>
      <c r="C3468" t="s">
        <v>5908</v>
      </c>
      <c r="D3468" t="s">
        <v>10784</v>
      </c>
      <c r="E3468">
        <f>sch_sp_se_num_nonteachpss_wrestling</f>
        <v>0</v>
      </c>
      <c r="F3468" t="b">
        <v>1</v>
      </c>
      <c r="N3468" s="1346"/>
    </row>
    <row r="3469" spans="1:14" x14ac:dyDescent="0.35">
      <c r="A3469" t="s">
        <v>5851</v>
      </c>
      <c r="B3469" t="s">
        <v>5825</v>
      </c>
      <c r="C3469" t="s">
        <v>5851</v>
      </c>
      <c r="D3469" t="s">
        <v>10669</v>
      </c>
      <c r="E3469">
        <f>sch_sp_se_num_coaches_wushu</f>
        <v>0</v>
      </c>
      <c r="F3469" t="b">
        <v>1</v>
      </c>
      <c r="N3469" s="1346"/>
    </row>
    <row r="3470" spans="1:14" x14ac:dyDescent="0.35">
      <c r="A3470" t="s">
        <v>5938</v>
      </c>
      <c r="B3470" t="s">
        <v>5825</v>
      </c>
      <c r="C3470" t="s">
        <v>5938</v>
      </c>
      <c r="D3470" t="s">
        <v>10698</v>
      </c>
      <c r="E3470">
        <f>sch_sp_se_num_officials_wushu</f>
        <v>0</v>
      </c>
      <c r="F3470" t="b">
        <v>1</v>
      </c>
      <c r="N3470" s="1346"/>
    </row>
    <row r="3471" spans="1:14" x14ac:dyDescent="0.35">
      <c r="A3471" t="s">
        <v>5967</v>
      </c>
      <c r="B3471" t="s">
        <v>5825</v>
      </c>
      <c r="C3471" t="s">
        <v>5967</v>
      </c>
      <c r="D3471" t="s">
        <v>10727</v>
      </c>
      <c r="E3471">
        <f>sch_sp_se_num_peteachss_wushu</f>
        <v>0</v>
      </c>
      <c r="F3471" t="b">
        <v>1</v>
      </c>
      <c r="N3471" s="1346"/>
    </row>
    <row r="3472" spans="1:14" x14ac:dyDescent="0.35">
      <c r="A3472" t="s">
        <v>5880</v>
      </c>
      <c r="B3472" t="s">
        <v>5825</v>
      </c>
      <c r="C3472" t="s">
        <v>5880</v>
      </c>
      <c r="D3472" t="s">
        <v>10756</v>
      </c>
      <c r="E3472">
        <f>sch_sp_se_num_nonpeteachss_wushu</f>
        <v>0</v>
      </c>
      <c r="F3472" t="b">
        <v>1</v>
      </c>
      <c r="N3472" s="1346"/>
    </row>
    <row r="3473" spans="1:14" x14ac:dyDescent="0.35">
      <c r="A3473" t="s">
        <v>5909</v>
      </c>
      <c r="B3473" t="s">
        <v>5825</v>
      </c>
      <c r="C3473" t="s">
        <v>5909</v>
      </c>
      <c r="D3473" t="s">
        <v>10785</v>
      </c>
      <c r="E3473">
        <f>sch_sp_se_num_nonteachpss_wushu</f>
        <v>0</v>
      </c>
      <c r="F3473" t="b">
        <v>1</v>
      </c>
      <c r="N3473" s="1346"/>
    </row>
    <row r="3474" spans="1:14" x14ac:dyDescent="0.35">
      <c r="A3474" t="s">
        <v>5852</v>
      </c>
      <c r="B3474" t="s">
        <v>5825</v>
      </c>
      <c r="C3474" t="s">
        <v>5852</v>
      </c>
      <c r="D3474" t="s">
        <v>10670</v>
      </c>
      <c r="E3474">
        <f>sch_sp_se_num_coaches_bocce</f>
        <v>0</v>
      </c>
      <c r="F3474" t="b">
        <v>1</v>
      </c>
      <c r="N3474" s="1346"/>
    </row>
    <row r="3475" spans="1:14" x14ac:dyDescent="0.35">
      <c r="A3475" t="s">
        <v>5939</v>
      </c>
      <c r="B3475" t="s">
        <v>5825</v>
      </c>
      <c r="C3475" t="s">
        <v>5939</v>
      </c>
      <c r="D3475" t="s">
        <v>10699</v>
      </c>
      <c r="E3475">
        <f>sch_sp_se_num_officials_bocce</f>
        <v>0</v>
      </c>
      <c r="F3475" t="b">
        <v>1</v>
      </c>
      <c r="N3475" s="1346"/>
    </row>
    <row r="3476" spans="1:14" x14ac:dyDescent="0.35">
      <c r="A3476" t="s">
        <v>5968</v>
      </c>
      <c r="B3476" t="s">
        <v>5825</v>
      </c>
      <c r="C3476" t="s">
        <v>5968</v>
      </c>
      <c r="D3476" t="s">
        <v>10728</v>
      </c>
      <c r="E3476">
        <f>sch_sp_se_num_peteachss_bocce</f>
        <v>0</v>
      </c>
      <c r="F3476" t="b">
        <v>1</v>
      </c>
      <c r="N3476" s="1346"/>
    </row>
    <row r="3477" spans="1:14" x14ac:dyDescent="0.35">
      <c r="A3477" t="s">
        <v>5881</v>
      </c>
      <c r="B3477" t="s">
        <v>5825</v>
      </c>
      <c r="C3477" t="s">
        <v>5881</v>
      </c>
      <c r="D3477" t="s">
        <v>10757</v>
      </c>
      <c r="E3477">
        <f>sch_sp_se_num_nonpeteachss_bocce</f>
        <v>0</v>
      </c>
      <c r="F3477" t="b">
        <v>1</v>
      </c>
      <c r="N3477" s="1346"/>
    </row>
    <row r="3478" spans="1:14" x14ac:dyDescent="0.35">
      <c r="A3478" t="s">
        <v>5910</v>
      </c>
      <c r="B3478" t="s">
        <v>5825</v>
      </c>
      <c r="C3478" t="s">
        <v>5910</v>
      </c>
      <c r="D3478" t="s">
        <v>10786</v>
      </c>
      <c r="E3478">
        <f>sch_sp_se_num_nonteachpss_bocce</f>
        <v>0</v>
      </c>
      <c r="F3478" t="b">
        <v>1</v>
      </c>
      <c r="N3478" s="1346"/>
    </row>
    <row r="3479" spans="1:14" x14ac:dyDescent="0.35">
      <c r="A3479" t="s">
        <v>5853</v>
      </c>
      <c r="B3479" t="s">
        <v>5825</v>
      </c>
      <c r="C3479" t="s">
        <v>5853</v>
      </c>
      <c r="D3479" t="s">
        <v>10671</v>
      </c>
      <c r="E3479">
        <f>sch_sp_se_num_coaches_goalball</f>
        <v>0</v>
      </c>
      <c r="F3479" t="b">
        <v>1</v>
      </c>
      <c r="N3479" s="1346"/>
    </row>
    <row r="3480" spans="1:14" x14ac:dyDescent="0.35">
      <c r="A3480" t="s">
        <v>5940</v>
      </c>
      <c r="B3480" t="s">
        <v>5825</v>
      </c>
      <c r="C3480" t="s">
        <v>5940</v>
      </c>
      <c r="D3480" t="s">
        <v>10700</v>
      </c>
      <c r="E3480">
        <f>sch_sp_se_num_officials_goalball</f>
        <v>0</v>
      </c>
      <c r="F3480" t="b">
        <v>1</v>
      </c>
      <c r="N3480" s="1346"/>
    </row>
    <row r="3481" spans="1:14" x14ac:dyDescent="0.35">
      <c r="A3481" t="s">
        <v>5969</v>
      </c>
      <c r="B3481" t="s">
        <v>5825</v>
      </c>
      <c r="C3481" t="s">
        <v>5969</v>
      </c>
      <c r="D3481" t="s">
        <v>10729</v>
      </c>
      <c r="E3481">
        <f>sch_sp_se_num_peteachss_goalball</f>
        <v>0</v>
      </c>
      <c r="F3481" t="b">
        <v>1</v>
      </c>
      <c r="N3481" s="1346"/>
    </row>
    <row r="3482" spans="1:14" x14ac:dyDescent="0.35">
      <c r="A3482" t="s">
        <v>5882</v>
      </c>
      <c r="B3482" t="s">
        <v>5825</v>
      </c>
      <c r="C3482" t="s">
        <v>5882</v>
      </c>
      <c r="D3482" t="s">
        <v>10758</v>
      </c>
      <c r="E3482">
        <f>sch_sp_se_num_nonpeteachss_goalball</f>
        <v>0</v>
      </c>
      <c r="F3482" t="b">
        <v>1</v>
      </c>
      <c r="N3482" s="1346"/>
    </row>
    <row r="3483" spans="1:14" s="1348" customFormat="1" ht="16" thickBot="1" x14ac:dyDescent="0.4">
      <c r="A3483" s="1348" t="s">
        <v>5911</v>
      </c>
      <c r="B3483" s="1348" t="s">
        <v>5825</v>
      </c>
      <c r="C3483" s="1348" t="s">
        <v>5911</v>
      </c>
      <c r="D3483" s="1348" t="s">
        <v>10787</v>
      </c>
      <c r="E3483" s="1348">
        <f>sch_sp_se_num_nonteachpss_goalball</f>
        <v>0</v>
      </c>
      <c r="F3483" s="1348" t="b">
        <v>1</v>
      </c>
      <c r="N3483" s="1366"/>
    </row>
    <row r="3484" spans="1:14" x14ac:dyDescent="0.35">
      <c r="A3484" t="s">
        <v>6025</v>
      </c>
      <c r="B3484" t="s">
        <v>5971</v>
      </c>
      <c r="C3484" t="s">
        <v>6025</v>
      </c>
      <c r="D3484" t="s">
        <v>10788</v>
      </c>
      <c r="E3484">
        <f>disastercalamities_natural_jun_drought</f>
        <v>0</v>
      </c>
      <c r="F3484" t="b">
        <v>1</v>
      </c>
      <c r="N3484" s="1346"/>
    </row>
    <row r="3485" spans="1:14" x14ac:dyDescent="0.35">
      <c r="A3485" t="s">
        <v>6016</v>
      </c>
      <c r="B3485" t="s">
        <v>5971</v>
      </c>
      <c r="C3485" t="s">
        <v>6016</v>
      </c>
      <c r="D3485" t="s">
        <v>10796</v>
      </c>
      <c r="E3485">
        <f>disastercalamities_natural_jul_drought</f>
        <v>0</v>
      </c>
      <c r="F3485" t="b">
        <v>1</v>
      </c>
      <c r="N3485" s="1346"/>
    </row>
    <row r="3486" spans="1:14" x14ac:dyDescent="0.35">
      <c r="A3486" t="s">
        <v>5980</v>
      </c>
      <c r="B3486" t="s">
        <v>5971</v>
      </c>
      <c r="C3486" t="s">
        <v>5980</v>
      </c>
      <c r="D3486" t="s">
        <v>10797</v>
      </c>
      <c r="E3486">
        <f>disastercalamities_natural_aug_drought</f>
        <v>0</v>
      </c>
      <c r="F3486" t="b">
        <v>1</v>
      </c>
      <c r="N3486" s="1346"/>
    </row>
    <row r="3487" spans="1:14" x14ac:dyDescent="0.35">
      <c r="A3487" t="s">
        <v>6070</v>
      </c>
      <c r="B3487" t="s">
        <v>5971</v>
      </c>
      <c r="C3487" t="s">
        <v>6070</v>
      </c>
      <c r="D3487" t="s">
        <v>10798</v>
      </c>
      <c r="E3487">
        <f>disastercalamities_natural_sep_drought</f>
        <v>0</v>
      </c>
      <c r="F3487" t="b">
        <v>1</v>
      </c>
      <c r="N3487" s="1346"/>
    </row>
    <row r="3488" spans="1:14" x14ac:dyDescent="0.35">
      <c r="A3488" t="s">
        <v>6061</v>
      </c>
      <c r="B3488" t="s">
        <v>5971</v>
      </c>
      <c r="C3488" t="s">
        <v>6061</v>
      </c>
      <c r="D3488" t="s">
        <v>10799</v>
      </c>
      <c r="E3488">
        <f>disastercalamities_natural_oct_drought</f>
        <v>0</v>
      </c>
      <c r="F3488" t="b">
        <v>1</v>
      </c>
      <c r="N3488" s="1346"/>
    </row>
    <row r="3489" spans="1:14" x14ac:dyDescent="0.35">
      <c r="A3489" t="s">
        <v>6052</v>
      </c>
      <c r="B3489" t="s">
        <v>5971</v>
      </c>
      <c r="C3489" t="s">
        <v>6052</v>
      </c>
      <c r="D3489" t="s">
        <v>10800</v>
      </c>
      <c r="E3489">
        <f>disastercalamities_natural_nov_drought</f>
        <v>0</v>
      </c>
      <c r="F3489" t="b">
        <v>1</v>
      </c>
      <c r="N3489" s="1346"/>
    </row>
    <row r="3490" spans="1:14" x14ac:dyDescent="0.35">
      <c r="A3490" t="s">
        <v>5989</v>
      </c>
      <c r="B3490" t="s">
        <v>5971</v>
      </c>
      <c r="C3490" t="s">
        <v>5989</v>
      </c>
      <c r="D3490" t="s">
        <v>10801</v>
      </c>
      <c r="E3490">
        <f>disastercalamities_natural_dec_drought</f>
        <v>0</v>
      </c>
      <c r="F3490" t="b">
        <v>1</v>
      </c>
      <c r="N3490" s="1346"/>
    </row>
    <row r="3491" spans="1:14" x14ac:dyDescent="0.35">
      <c r="A3491" t="s">
        <v>6007</v>
      </c>
      <c r="B3491" t="s">
        <v>5971</v>
      </c>
      <c r="C3491" t="s">
        <v>6007</v>
      </c>
      <c r="D3491" t="s">
        <v>10802</v>
      </c>
      <c r="E3491">
        <f>disastercalamities_natural_jan_drought</f>
        <v>0</v>
      </c>
      <c r="F3491" t="b">
        <v>1</v>
      </c>
      <c r="N3491" s="1346"/>
    </row>
    <row r="3492" spans="1:14" x14ac:dyDescent="0.35">
      <c r="A3492" t="s">
        <v>5998</v>
      </c>
      <c r="B3492" t="s">
        <v>5971</v>
      </c>
      <c r="C3492" t="s">
        <v>5998</v>
      </c>
      <c r="D3492" t="s">
        <v>10803</v>
      </c>
      <c r="E3492">
        <f>disastercalamities_natural_feb_drought</f>
        <v>0</v>
      </c>
      <c r="F3492" t="b">
        <v>1</v>
      </c>
      <c r="N3492" s="1346"/>
    </row>
    <row r="3493" spans="1:14" x14ac:dyDescent="0.35">
      <c r="A3493" t="s">
        <v>6034</v>
      </c>
      <c r="B3493" t="s">
        <v>5971</v>
      </c>
      <c r="C3493" t="s">
        <v>6034</v>
      </c>
      <c r="D3493" t="s">
        <v>10804</v>
      </c>
      <c r="E3493">
        <f>disastercalamities_natural_mar_drought</f>
        <v>0</v>
      </c>
      <c r="F3493" t="b">
        <v>1</v>
      </c>
      <c r="N3493" s="1346"/>
    </row>
    <row r="3494" spans="1:14" x14ac:dyDescent="0.35">
      <c r="A3494" t="s">
        <v>5970</v>
      </c>
      <c r="B3494" t="s">
        <v>5971</v>
      </c>
      <c r="C3494" t="s">
        <v>5970</v>
      </c>
      <c r="D3494" t="s">
        <v>10805</v>
      </c>
      <c r="E3494">
        <f>disastercalamities_natural_apr_drought</f>
        <v>0</v>
      </c>
      <c r="F3494" t="b">
        <v>1</v>
      </c>
      <c r="N3494" s="1346"/>
    </row>
    <row r="3495" spans="1:14" x14ac:dyDescent="0.35">
      <c r="A3495" t="s">
        <v>6043</v>
      </c>
      <c r="B3495" t="s">
        <v>5971</v>
      </c>
      <c r="C3495" t="s">
        <v>6043</v>
      </c>
      <c r="D3495" t="s">
        <v>10806</v>
      </c>
      <c r="E3495">
        <f>disastercalamities_natural_may_drought</f>
        <v>0</v>
      </c>
      <c r="F3495" t="b">
        <v>1</v>
      </c>
      <c r="N3495" s="1346"/>
    </row>
    <row r="3496" spans="1:14" x14ac:dyDescent="0.35">
      <c r="A3496" t="s">
        <v>6026</v>
      </c>
      <c r="B3496" t="s">
        <v>5971</v>
      </c>
      <c r="C3496" t="s">
        <v>6026</v>
      </c>
      <c r="D3496" t="s">
        <v>10789</v>
      </c>
      <c r="E3496">
        <f>disastercalamities_natural_jun_earthquake</f>
        <v>0</v>
      </c>
      <c r="F3496" t="b">
        <v>1</v>
      </c>
      <c r="N3496" s="1346"/>
    </row>
    <row r="3497" spans="1:14" x14ac:dyDescent="0.35">
      <c r="A3497" t="s">
        <v>6017</v>
      </c>
      <c r="B3497" t="s">
        <v>5971</v>
      </c>
      <c r="C3497" t="s">
        <v>6017</v>
      </c>
      <c r="D3497" t="s">
        <v>10807</v>
      </c>
      <c r="E3497">
        <f>disastercalamities_natural_jul_earthquake</f>
        <v>0</v>
      </c>
      <c r="F3497" t="b">
        <v>1</v>
      </c>
      <c r="N3497" s="1346"/>
    </row>
    <row r="3498" spans="1:14" x14ac:dyDescent="0.35">
      <c r="A3498" t="s">
        <v>5981</v>
      </c>
      <c r="B3498" t="s">
        <v>5971</v>
      </c>
      <c r="C3498" t="s">
        <v>5981</v>
      </c>
      <c r="D3498" t="s">
        <v>10808</v>
      </c>
      <c r="E3498">
        <f>disastercalamities_natural_aug_earthquake</f>
        <v>0</v>
      </c>
      <c r="F3498" t="b">
        <v>1</v>
      </c>
      <c r="N3498" s="1346"/>
    </row>
    <row r="3499" spans="1:14" x14ac:dyDescent="0.35">
      <c r="A3499" t="s">
        <v>6071</v>
      </c>
      <c r="B3499" t="s">
        <v>5971</v>
      </c>
      <c r="C3499" t="s">
        <v>6071</v>
      </c>
      <c r="D3499" t="s">
        <v>10809</v>
      </c>
      <c r="E3499">
        <f>disastercalamities_natural_sep_earthquake</f>
        <v>0</v>
      </c>
      <c r="F3499" t="b">
        <v>1</v>
      </c>
      <c r="N3499" s="1346"/>
    </row>
    <row r="3500" spans="1:14" x14ac:dyDescent="0.35">
      <c r="A3500" t="s">
        <v>6062</v>
      </c>
      <c r="B3500" t="s">
        <v>5971</v>
      </c>
      <c r="C3500" t="s">
        <v>6062</v>
      </c>
      <c r="D3500" t="s">
        <v>10810</v>
      </c>
      <c r="E3500">
        <f>disastercalamities_natural_oct_earthquake</f>
        <v>0</v>
      </c>
      <c r="F3500" t="b">
        <v>1</v>
      </c>
      <c r="N3500" s="1346"/>
    </row>
    <row r="3501" spans="1:14" x14ac:dyDescent="0.35">
      <c r="A3501" t="s">
        <v>6053</v>
      </c>
      <c r="B3501" t="s">
        <v>5971</v>
      </c>
      <c r="C3501" t="s">
        <v>6053</v>
      </c>
      <c r="D3501" t="s">
        <v>10811</v>
      </c>
      <c r="E3501">
        <f>disastercalamities_natural_nov_earthquake</f>
        <v>0</v>
      </c>
      <c r="F3501" t="b">
        <v>1</v>
      </c>
      <c r="N3501" s="1346"/>
    </row>
    <row r="3502" spans="1:14" x14ac:dyDescent="0.35">
      <c r="A3502" t="s">
        <v>5990</v>
      </c>
      <c r="B3502" t="s">
        <v>5971</v>
      </c>
      <c r="C3502" t="s">
        <v>5990</v>
      </c>
      <c r="D3502" t="s">
        <v>10812</v>
      </c>
      <c r="E3502">
        <f>disastercalamities_natural_dec_earthquake</f>
        <v>0</v>
      </c>
      <c r="F3502" t="b">
        <v>1</v>
      </c>
      <c r="N3502" s="1346"/>
    </row>
    <row r="3503" spans="1:14" x14ac:dyDescent="0.35">
      <c r="A3503" t="s">
        <v>6008</v>
      </c>
      <c r="B3503" t="s">
        <v>5971</v>
      </c>
      <c r="C3503" t="s">
        <v>6008</v>
      </c>
      <c r="D3503" t="s">
        <v>10813</v>
      </c>
      <c r="E3503">
        <f>disastercalamities_natural_jan_earthquake</f>
        <v>0</v>
      </c>
      <c r="F3503" t="b">
        <v>1</v>
      </c>
      <c r="N3503" s="1346"/>
    </row>
    <row r="3504" spans="1:14" x14ac:dyDescent="0.35">
      <c r="A3504" t="s">
        <v>5999</v>
      </c>
      <c r="B3504" t="s">
        <v>5971</v>
      </c>
      <c r="C3504" t="s">
        <v>5999</v>
      </c>
      <c r="D3504" t="s">
        <v>10814</v>
      </c>
      <c r="E3504">
        <f>disastercalamities_natural_feb_earthquake</f>
        <v>0</v>
      </c>
      <c r="F3504" t="b">
        <v>1</v>
      </c>
      <c r="N3504" s="1346"/>
    </row>
    <row r="3505" spans="1:14" x14ac:dyDescent="0.35">
      <c r="A3505" t="s">
        <v>6035</v>
      </c>
      <c r="B3505" t="s">
        <v>5971</v>
      </c>
      <c r="C3505" t="s">
        <v>6035</v>
      </c>
      <c r="D3505" t="s">
        <v>10815</v>
      </c>
      <c r="E3505">
        <f>disastercalamities_natural_mar_earthquake</f>
        <v>0</v>
      </c>
      <c r="F3505" t="b">
        <v>1</v>
      </c>
      <c r="N3505" s="1346"/>
    </row>
    <row r="3506" spans="1:14" x14ac:dyDescent="0.35">
      <c r="A3506" t="s">
        <v>5972</v>
      </c>
      <c r="B3506" t="s">
        <v>5971</v>
      </c>
      <c r="C3506" t="s">
        <v>5972</v>
      </c>
      <c r="D3506" t="s">
        <v>10816</v>
      </c>
      <c r="E3506">
        <f>disastercalamities_natural_apr_earthquake</f>
        <v>0</v>
      </c>
      <c r="F3506" t="b">
        <v>1</v>
      </c>
      <c r="N3506" s="1346"/>
    </row>
    <row r="3507" spans="1:14" x14ac:dyDescent="0.35">
      <c r="A3507" t="s">
        <v>6044</v>
      </c>
      <c r="B3507" t="s">
        <v>5971</v>
      </c>
      <c r="C3507" t="s">
        <v>6044</v>
      </c>
      <c r="D3507" t="s">
        <v>10817</v>
      </c>
      <c r="E3507">
        <f>disastercalamities_natural_may_earthquake</f>
        <v>0</v>
      </c>
      <c r="F3507" t="b">
        <v>1</v>
      </c>
      <c r="N3507" s="1346"/>
    </row>
    <row r="3508" spans="1:14" x14ac:dyDescent="0.35">
      <c r="A3508" t="s">
        <v>6027</v>
      </c>
      <c r="B3508" t="s">
        <v>5971</v>
      </c>
      <c r="C3508" t="s">
        <v>6027</v>
      </c>
      <c r="D3508" t="s">
        <v>10790</v>
      </c>
      <c r="E3508">
        <f>disastercalamities_natural_jun_fire</f>
        <v>0</v>
      </c>
      <c r="F3508" t="b">
        <v>1</v>
      </c>
      <c r="N3508" s="1346"/>
    </row>
    <row r="3509" spans="1:14" x14ac:dyDescent="0.35">
      <c r="A3509" t="s">
        <v>6018</v>
      </c>
      <c r="B3509" t="s">
        <v>5971</v>
      </c>
      <c r="C3509" t="s">
        <v>6018</v>
      </c>
      <c r="D3509" t="s">
        <v>10818</v>
      </c>
      <c r="E3509">
        <f>disastercalamities_natural_jul_fire</f>
        <v>0</v>
      </c>
      <c r="F3509" t="b">
        <v>1</v>
      </c>
      <c r="N3509" s="1346"/>
    </row>
    <row r="3510" spans="1:14" x14ac:dyDescent="0.35">
      <c r="A3510" t="s">
        <v>5982</v>
      </c>
      <c r="B3510" t="s">
        <v>5971</v>
      </c>
      <c r="C3510" t="s">
        <v>5982</v>
      </c>
      <c r="D3510" t="s">
        <v>10819</v>
      </c>
      <c r="E3510">
        <f>disastercalamities_natural_aug_fire</f>
        <v>0</v>
      </c>
      <c r="F3510" t="b">
        <v>1</v>
      </c>
      <c r="N3510" s="1346"/>
    </row>
    <row r="3511" spans="1:14" x14ac:dyDescent="0.35">
      <c r="A3511" t="s">
        <v>6072</v>
      </c>
      <c r="B3511" t="s">
        <v>5971</v>
      </c>
      <c r="C3511" t="s">
        <v>6072</v>
      </c>
      <c r="D3511" t="s">
        <v>10820</v>
      </c>
      <c r="E3511">
        <f>disastercalamities_natural_sep_fire</f>
        <v>0</v>
      </c>
      <c r="F3511" t="b">
        <v>1</v>
      </c>
      <c r="N3511" s="1346"/>
    </row>
    <row r="3512" spans="1:14" x14ac:dyDescent="0.35">
      <c r="A3512" t="s">
        <v>6063</v>
      </c>
      <c r="B3512" t="s">
        <v>5971</v>
      </c>
      <c r="C3512" t="s">
        <v>6063</v>
      </c>
      <c r="D3512" t="s">
        <v>10821</v>
      </c>
      <c r="E3512">
        <f>disastercalamities_natural_oct_fire</f>
        <v>0</v>
      </c>
      <c r="F3512" t="b">
        <v>1</v>
      </c>
      <c r="N3512" s="1346"/>
    </row>
    <row r="3513" spans="1:14" x14ac:dyDescent="0.35">
      <c r="A3513" t="s">
        <v>6054</v>
      </c>
      <c r="B3513" t="s">
        <v>5971</v>
      </c>
      <c r="C3513" t="s">
        <v>6054</v>
      </c>
      <c r="D3513" t="s">
        <v>10822</v>
      </c>
      <c r="E3513">
        <f>disastercalamities_natural_nov_fire</f>
        <v>0</v>
      </c>
      <c r="F3513" t="b">
        <v>1</v>
      </c>
      <c r="N3513" s="1346"/>
    </row>
    <row r="3514" spans="1:14" x14ac:dyDescent="0.35">
      <c r="A3514" t="s">
        <v>5991</v>
      </c>
      <c r="B3514" t="s">
        <v>5971</v>
      </c>
      <c r="C3514" t="s">
        <v>5991</v>
      </c>
      <c r="D3514" t="s">
        <v>10823</v>
      </c>
      <c r="E3514">
        <f>disastercalamities_natural_dec_fire</f>
        <v>0</v>
      </c>
      <c r="F3514" t="b">
        <v>1</v>
      </c>
      <c r="N3514" s="1346"/>
    </row>
    <row r="3515" spans="1:14" x14ac:dyDescent="0.35">
      <c r="A3515" t="s">
        <v>6009</v>
      </c>
      <c r="B3515" t="s">
        <v>5971</v>
      </c>
      <c r="C3515" t="s">
        <v>6009</v>
      </c>
      <c r="D3515" t="s">
        <v>10824</v>
      </c>
      <c r="E3515">
        <f>disastercalamities_natural_jan_fire</f>
        <v>0</v>
      </c>
      <c r="F3515" t="b">
        <v>1</v>
      </c>
      <c r="N3515" s="1346"/>
    </row>
    <row r="3516" spans="1:14" x14ac:dyDescent="0.35">
      <c r="A3516" t="s">
        <v>6000</v>
      </c>
      <c r="B3516" t="s">
        <v>5971</v>
      </c>
      <c r="C3516" t="s">
        <v>6000</v>
      </c>
      <c r="D3516" t="s">
        <v>10825</v>
      </c>
      <c r="E3516">
        <f>disastercalamities_natural_feb_fire</f>
        <v>0</v>
      </c>
      <c r="F3516" t="b">
        <v>1</v>
      </c>
      <c r="N3516" s="1346"/>
    </row>
    <row r="3517" spans="1:14" x14ac:dyDescent="0.35">
      <c r="A3517" t="s">
        <v>6036</v>
      </c>
      <c r="B3517" t="s">
        <v>5971</v>
      </c>
      <c r="C3517" t="s">
        <v>6036</v>
      </c>
      <c r="D3517" t="s">
        <v>10826</v>
      </c>
      <c r="E3517">
        <f>disastercalamities_natural_mar_fire</f>
        <v>0</v>
      </c>
      <c r="F3517" t="b">
        <v>1</v>
      </c>
      <c r="N3517" s="1346"/>
    </row>
    <row r="3518" spans="1:14" x14ac:dyDescent="0.35">
      <c r="A3518" t="s">
        <v>5973</v>
      </c>
      <c r="B3518" t="s">
        <v>5971</v>
      </c>
      <c r="C3518" t="s">
        <v>5973</v>
      </c>
      <c r="D3518" t="s">
        <v>10827</v>
      </c>
      <c r="E3518">
        <f>disastercalamities_natural_apr_fire</f>
        <v>0</v>
      </c>
      <c r="F3518" t="b">
        <v>1</v>
      </c>
      <c r="N3518" s="1346"/>
    </row>
    <row r="3519" spans="1:14" x14ac:dyDescent="0.35">
      <c r="A3519" t="s">
        <v>6045</v>
      </c>
      <c r="B3519" t="s">
        <v>5971</v>
      </c>
      <c r="C3519" t="s">
        <v>6045</v>
      </c>
      <c r="D3519" t="s">
        <v>10828</v>
      </c>
      <c r="E3519">
        <f>disastercalamities_natural_may_fire</f>
        <v>0</v>
      </c>
      <c r="F3519" t="b">
        <v>1</v>
      </c>
      <c r="N3519" s="1346"/>
    </row>
    <row r="3520" spans="1:14" x14ac:dyDescent="0.35">
      <c r="A3520" t="s">
        <v>6028</v>
      </c>
      <c r="B3520" t="s">
        <v>5971</v>
      </c>
      <c r="C3520" t="s">
        <v>6028</v>
      </c>
      <c r="D3520" t="s">
        <v>10791</v>
      </c>
      <c r="E3520">
        <f>disastercalamities_natural_jun_flood</f>
        <v>0</v>
      </c>
      <c r="F3520" t="b">
        <v>1</v>
      </c>
      <c r="N3520" s="1346"/>
    </row>
    <row r="3521" spans="1:14" x14ac:dyDescent="0.35">
      <c r="A3521" t="s">
        <v>6019</v>
      </c>
      <c r="B3521" t="s">
        <v>5971</v>
      </c>
      <c r="C3521" t="s">
        <v>6019</v>
      </c>
      <c r="D3521" t="s">
        <v>10829</v>
      </c>
      <c r="E3521">
        <f>disastercalamities_natural_jul_flood</f>
        <v>0</v>
      </c>
      <c r="F3521" t="b">
        <v>1</v>
      </c>
      <c r="N3521" s="1346"/>
    </row>
    <row r="3522" spans="1:14" x14ac:dyDescent="0.35">
      <c r="A3522" t="s">
        <v>5983</v>
      </c>
      <c r="B3522" t="s">
        <v>5971</v>
      </c>
      <c r="C3522" t="s">
        <v>5983</v>
      </c>
      <c r="D3522" t="s">
        <v>10830</v>
      </c>
      <c r="E3522">
        <f>disastercalamities_natural_aug_flood</f>
        <v>0</v>
      </c>
      <c r="F3522" t="b">
        <v>1</v>
      </c>
      <c r="N3522" s="1346"/>
    </row>
    <row r="3523" spans="1:14" x14ac:dyDescent="0.35">
      <c r="A3523" t="s">
        <v>6073</v>
      </c>
      <c r="B3523" t="s">
        <v>5971</v>
      </c>
      <c r="C3523" t="s">
        <v>6073</v>
      </c>
      <c r="D3523" t="s">
        <v>10831</v>
      </c>
      <c r="E3523">
        <f>disastercalamities_natural_sep_flood</f>
        <v>0</v>
      </c>
      <c r="F3523" t="b">
        <v>1</v>
      </c>
      <c r="N3523" s="1346"/>
    </row>
    <row r="3524" spans="1:14" x14ac:dyDescent="0.35">
      <c r="A3524" t="s">
        <v>6064</v>
      </c>
      <c r="B3524" t="s">
        <v>5971</v>
      </c>
      <c r="C3524" t="s">
        <v>6064</v>
      </c>
      <c r="D3524" t="s">
        <v>10832</v>
      </c>
      <c r="E3524">
        <f>disastercalamities_natural_oct_flood</f>
        <v>1</v>
      </c>
      <c r="F3524" t="b">
        <v>1</v>
      </c>
      <c r="N3524" s="1346"/>
    </row>
    <row r="3525" spans="1:14" x14ac:dyDescent="0.35">
      <c r="A3525" t="s">
        <v>6055</v>
      </c>
      <c r="B3525" t="s">
        <v>5971</v>
      </c>
      <c r="C3525" t="s">
        <v>6055</v>
      </c>
      <c r="D3525" t="s">
        <v>10833</v>
      </c>
      <c r="E3525">
        <f>disastercalamities_natural_nov_flood</f>
        <v>0</v>
      </c>
      <c r="F3525" t="b">
        <v>1</v>
      </c>
      <c r="N3525" s="1346"/>
    </row>
    <row r="3526" spans="1:14" x14ac:dyDescent="0.35">
      <c r="A3526" t="s">
        <v>5992</v>
      </c>
      <c r="B3526" t="s">
        <v>5971</v>
      </c>
      <c r="C3526" t="s">
        <v>5992</v>
      </c>
      <c r="D3526" t="s">
        <v>10834</v>
      </c>
      <c r="E3526">
        <f>disastercalamities_natural_dec_flood</f>
        <v>1</v>
      </c>
      <c r="F3526" t="b">
        <v>1</v>
      </c>
      <c r="N3526" s="1346"/>
    </row>
    <row r="3527" spans="1:14" x14ac:dyDescent="0.35">
      <c r="A3527" t="s">
        <v>6010</v>
      </c>
      <c r="B3527" t="s">
        <v>5971</v>
      </c>
      <c r="C3527" t="s">
        <v>6010</v>
      </c>
      <c r="D3527" t="s">
        <v>10835</v>
      </c>
      <c r="E3527">
        <f>disastercalamities_natural_jan_flood</f>
        <v>0</v>
      </c>
      <c r="F3527" t="b">
        <v>1</v>
      </c>
      <c r="N3527" s="1346"/>
    </row>
    <row r="3528" spans="1:14" x14ac:dyDescent="0.35">
      <c r="A3528" t="s">
        <v>6001</v>
      </c>
      <c r="B3528" t="s">
        <v>5971</v>
      </c>
      <c r="C3528" t="s">
        <v>6001</v>
      </c>
      <c r="D3528" t="s">
        <v>10836</v>
      </c>
      <c r="E3528">
        <f>disastercalamities_natural_feb_flood</f>
        <v>0</v>
      </c>
      <c r="F3528" t="b">
        <v>1</v>
      </c>
      <c r="N3528" s="1346"/>
    </row>
    <row r="3529" spans="1:14" x14ac:dyDescent="0.35">
      <c r="A3529" t="s">
        <v>6037</v>
      </c>
      <c r="B3529" t="s">
        <v>5971</v>
      </c>
      <c r="C3529" t="s">
        <v>6037</v>
      </c>
      <c r="D3529" t="s">
        <v>10837</v>
      </c>
      <c r="E3529">
        <f>disastercalamities_natural_mar_flood</f>
        <v>1</v>
      </c>
      <c r="F3529" t="b">
        <v>1</v>
      </c>
      <c r="N3529" s="1346"/>
    </row>
    <row r="3530" spans="1:14" x14ac:dyDescent="0.35">
      <c r="A3530" t="s">
        <v>5974</v>
      </c>
      <c r="B3530" t="s">
        <v>5971</v>
      </c>
      <c r="C3530" t="s">
        <v>5974</v>
      </c>
      <c r="D3530" t="s">
        <v>10838</v>
      </c>
      <c r="E3530">
        <f>disastercalamities_natural_apr_flood</f>
        <v>0</v>
      </c>
      <c r="F3530" t="b">
        <v>1</v>
      </c>
      <c r="N3530" s="1346"/>
    </row>
    <row r="3531" spans="1:14" x14ac:dyDescent="0.35">
      <c r="A3531" t="s">
        <v>6046</v>
      </c>
      <c r="B3531" t="s">
        <v>5971</v>
      </c>
      <c r="C3531" t="s">
        <v>6046</v>
      </c>
      <c r="D3531" t="s">
        <v>10839</v>
      </c>
      <c r="E3531">
        <f>disastercalamities_natural_may_flood</f>
        <v>0</v>
      </c>
      <c r="F3531" t="b">
        <v>1</v>
      </c>
      <c r="N3531" s="1346"/>
    </row>
    <row r="3532" spans="1:14" x14ac:dyDescent="0.35">
      <c r="A3532" t="s">
        <v>6029</v>
      </c>
      <c r="B3532" t="s">
        <v>5971</v>
      </c>
      <c r="C3532" t="s">
        <v>6029</v>
      </c>
      <c r="D3532" t="s">
        <v>10792</v>
      </c>
      <c r="E3532">
        <f>disastercalamities_natural_jun_landslide</f>
        <v>0</v>
      </c>
      <c r="F3532" t="b">
        <v>1</v>
      </c>
      <c r="N3532" s="1346"/>
    </row>
    <row r="3533" spans="1:14" x14ac:dyDescent="0.35">
      <c r="A3533" t="s">
        <v>6020</v>
      </c>
      <c r="B3533" t="s">
        <v>5971</v>
      </c>
      <c r="C3533" t="s">
        <v>6020</v>
      </c>
      <c r="D3533" t="s">
        <v>10840</v>
      </c>
      <c r="E3533">
        <f>disastercalamities_natural_jul_landslide</f>
        <v>0</v>
      </c>
      <c r="F3533" t="b">
        <v>1</v>
      </c>
      <c r="N3533" s="1346"/>
    </row>
    <row r="3534" spans="1:14" x14ac:dyDescent="0.35">
      <c r="A3534" t="s">
        <v>5984</v>
      </c>
      <c r="B3534" t="s">
        <v>5971</v>
      </c>
      <c r="C3534" t="s">
        <v>5984</v>
      </c>
      <c r="D3534" t="s">
        <v>10841</v>
      </c>
      <c r="E3534">
        <f>disastercalamities_natural_aug_landslide</f>
        <v>0</v>
      </c>
      <c r="F3534" t="b">
        <v>1</v>
      </c>
      <c r="N3534" s="1346"/>
    </row>
    <row r="3535" spans="1:14" x14ac:dyDescent="0.35">
      <c r="A3535" t="s">
        <v>6074</v>
      </c>
      <c r="B3535" t="s">
        <v>5971</v>
      </c>
      <c r="C3535" t="s">
        <v>6074</v>
      </c>
      <c r="D3535" t="s">
        <v>10842</v>
      </c>
      <c r="E3535">
        <f>disastercalamities_natural_sep_landslide</f>
        <v>0</v>
      </c>
      <c r="F3535" t="b">
        <v>1</v>
      </c>
      <c r="N3535" s="1346"/>
    </row>
    <row r="3536" spans="1:14" x14ac:dyDescent="0.35">
      <c r="A3536" t="s">
        <v>6065</v>
      </c>
      <c r="B3536" t="s">
        <v>5971</v>
      </c>
      <c r="C3536" t="s">
        <v>6065</v>
      </c>
      <c r="D3536" t="s">
        <v>10843</v>
      </c>
      <c r="E3536">
        <f>disastercalamities_natural_oct_landslide</f>
        <v>0</v>
      </c>
      <c r="F3536" t="b">
        <v>1</v>
      </c>
      <c r="N3536" s="1346"/>
    </row>
    <row r="3537" spans="1:14" x14ac:dyDescent="0.35">
      <c r="A3537" t="s">
        <v>6056</v>
      </c>
      <c r="B3537" t="s">
        <v>5971</v>
      </c>
      <c r="C3537" t="s">
        <v>6056</v>
      </c>
      <c r="D3537" t="s">
        <v>10844</v>
      </c>
      <c r="E3537">
        <f>disastercalamities_natural_nov_landslide</f>
        <v>0</v>
      </c>
      <c r="F3537" t="b">
        <v>1</v>
      </c>
      <c r="N3537" s="1346"/>
    </row>
    <row r="3538" spans="1:14" x14ac:dyDescent="0.35">
      <c r="A3538" t="s">
        <v>5993</v>
      </c>
      <c r="B3538" t="s">
        <v>5971</v>
      </c>
      <c r="C3538" t="s">
        <v>5993</v>
      </c>
      <c r="D3538" t="s">
        <v>10845</v>
      </c>
      <c r="E3538">
        <f>disastercalamities_natural_dec_landslide</f>
        <v>0</v>
      </c>
      <c r="F3538" t="b">
        <v>1</v>
      </c>
      <c r="N3538" s="1346"/>
    </row>
    <row r="3539" spans="1:14" x14ac:dyDescent="0.35">
      <c r="A3539" t="s">
        <v>6011</v>
      </c>
      <c r="B3539" t="s">
        <v>5971</v>
      </c>
      <c r="C3539" t="s">
        <v>6011</v>
      </c>
      <c r="D3539" t="s">
        <v>10846</v>
      </c>
      <c r="E3539">
        <f>disastercalamities_natural_jan_landslide</f>
        <v>0</v>
      </c>
      <c r="F3539" t="b">
        <v>1</v>
      </c>
      <c r="N3539" s="1346"/>
    </row>
    <row r="3540" spans="1:14" x14ac:dyDescent="0.35">
      <c r="A3540" t="s">
        <v>6002</v>
      </c>
      <c r="B3540" t="s">
        <v>5971</v>
      </c>
      <c r="C3540" t="s">
        <v>6002</v>
      </c>
      <c r="D3540" t="s">
        <v>10847</v>
      </c>
      <c r="E3540">
        <f>disastercalamities_natural_feb_landslide</f>
        <v>0</v>
      </c>
      <c r="F3540" t="b">
        <v>1</v>
      </c>
      <c r="N3540" s="1346"/>
    </row>
    <row r="3541" spans="1:14" x14ac:dyDescent="0.35">
      <c r="A3541" t="s">
        <v>6038</v>
      </c>
      <c r="B3541" t="s">
        <v>5971</v>
      </c>
      <c r="C3541" t="s">
        <v>6038</v>
      </c>
      <c r="D3541" t="s">
        <v>10848</v>
      </c>
      <c r="E3541">
        <f>disastercalamities_natural_mar_landslide</f>
        <v>0</v>
      </c>
      <c r="F3541" t="b">
        <v>1</v>
      </c>
      <c r="N3541" s="1346"/>
    </row>
    <row r="3542" spans="1:14" x14ac:dyDescent="0.35">
      <c r="A3542" t="s">
        <v>5975</v>
      </c>
      <c r="B3542" t="s">
        <v>5971</v>
      </c>
      <c r="C3542" t="s">
        <v>5975</v>
      </c>
      <c r="D3542" t="s">
        <v>10849</v>
      </c>
      <c r="E3542">
        <f>disastercalamities_natural_apr_landslide</f>
        <v>0</v>
      </c>
      <c r="F3542" t="b">
        <v>1</v>
      </c>
      <c r="N3542" s="1346"/>
    </row>
    <row r="3543" spans="1:14" x14ac:dyDescent="0.35">
      <c r="A3543" t="s">
        <v>6047</v>
      </c>
      <c r="B3543" t="s">
        <v>5971</v>
      </c>
      <c r="C3543" t="s">
        <v>6047</v>
      </c>
      <c r="D3543" t="s">
        <v>10850</v>
      </c>
      <c r="E3543">
        <f>disastercalamities_natural_may_landslide</f>
        <v>0</v>
      </c>
      <c r="F3543" t="b">
        <v>1</v>
      </c>
      <c r="N3543" s="1346"/>
    </row>
    <row r="3544" spans="1:14" x14ac:dyDescent="0.35">
      <c r="A3544" t="s">
        <v>6030</v>
      </c>
      <c r="B3544" t="s">
        <v>5971</v>
      </c>
      <c r="C3544" t="s">
        <v>6030</v>
      </c>
      <c r="D3544" t="s">
        <v>10793</v>
      </c>
      <c r="E3544">
        <f>disastercalamities_natural_jun_stormsurge</f>
        <v>0</v>
      </c>
      <c r="F3544" t="b">
        <v>1</v>
      </c>
      <c r="N3544" s="1346"/>
    </row>
    <row r="3545" spans="1:14" x14ac:dyDescent="0.35">
      <c r="A3545" t="s">
        <v>6021</v>
      </c>
      <c r="B3545" t="s">
        <v>5971</v>
      </c>
      <c r="C3545" t="s">
        <v>6021</v>
      </c>
      <c r="D3545" t="s">
        <v>10851</v>
      </c>
      <c r="E3545">
        <f>disastercalamities_natural_jul_stormsurge</f>
        <v>0</v>
      </c>
      <c r="F3545" t="b">
        <v>1</v>
      </c>
      <c r="N3545" s="1346"/>
    </row>
    <row r="3546" spans="1:14" x14ac:dyDescent="0.35">
      <c r="A3546" t="s">
        <v>5985</v>
      </c>
      <c r="B3546" t="s">
        <v>5971</v>
      </c>
      <c r="C3546" t="s">
        <v>5985</v>
      </c>
      <c r="D3546" t="s">
        <v>10852</v>
      </c>
      <c r="E3546">
        <f>disastercalamities_natural_aug_stormsurge</f>
        <v>0</v>
      </c>
      <c r="F3546" t="b">
        <v>1</v>
      </c>
      <c r="N3546" s="1346"/>
    </row>
    <row r="3547" spans="1:14" x14ac:dyDescent="0.35">
      <c r="A3547" t="s">
        <v>6075</v>
      </c>
      <c r="B3547" t="s">
        <v>5971</v>
      </c>
      <c r="C3547" t="s">
        <v>6075</v>
      </c>
      <c r="D3547" t="s">
        <v>10853</v>
      </c>
      <c r="E3547">
        <f>disastercalamities_natural_sep_stormsurge</f>
        <v>0</v>
      </c>
      <c r="F3547" t="b">
        <v>1</v>
      </c>
      <c r="N3547" s="1346"/>
    </row>
    <row r="3548" spans="1:14" x14ac:dyDescent="0.35">
      <c r="A3548" t="s">
        <v>6066</v>
      </c>
      <c r="B3548" t="s">
        <v>5971</v>
      </c>
      <c r="C3548" t="s">
        <v>6066</v>
      </c>
      <c r="D3548" t="s">
        <v>10854</v>
      </c>
      <c r="E3548">
        <f>disastercalamities_natural_oct_stormsurge</f>
        <v>0</v>
      </c>
      <c r="F3548" t="b">
        <v>1</v>
      </c>
      <c r="N3548" s="1346"/>
    </row>
    <row r="3549" spans="1:14" x14ac:dyDescent="0.35">
      <c r="A3549" t="s">
        <v>6057</v>
      </c>
      <c r="B3549" t="s">
        <v>5971</v>
      </c>
      <c r="C3549" t="s">
        <v>6057</v>
      </c>
      <c r="D3549" t="s">
        <v>10855</v>
      </c>
      <c r="E3549">
        <f>disastercalamities_natural_nov_stormsurge</f>
        <v>0</v>
      </c>
      <c r="F3549" t="b">
        <v>1</v>
      </c>
      <c r="N3549" s="1346"/>
    </row>
    <row r="3550" spans="1:14" x14ac:dyDescent="0.35">
      <c r="A3550" t="s">
        <v>5994</v>
      </c>
      <c r="B3550" t="s">
        <v>5971</v>
      </c>
      <c r="C3550" t="s">
        <v>5994</v>
      </c>
      <c r="D3550" t="s">
        <v>10856</v>
      </c>
      <c r="E3550">
        <f>disastercalamities_natural_dec_stormsurge</f>
        <v>0</v>
      </c>
      <c r="F3550" t="b">
        <v>1</v>
      </c>
      <c r="N3550" s="1346"/>
    </row>
    <row r="3551" spans="1:14" x14ac:dyDescent="0.35">
      <c r="A3551" t="s">
        <v>6012</v>
      </c>
      <c r="B3551" t="s">
        <v>5971</v>
      </c>
      <c r="C3551" t="s">
        <v>6012</v>
      </c>
      <c r="D3551" t="s">
        <v>10857</v>
      </c>
      <c r="E3551">
        <f>disastercalamities_natural_jan_stormsurge</f>
        <v>0</v>
      </c>
      <c r="F3551" t="b">
        <v>1</v>
      </c>
      <c r="N3551" s="1346"/>
    </row>
    <row r="3552" spans="1:14" x14ac:dyDescent="0.35">
      <c r="A3552" t="s">
        <v>6003</v>
      </c>
      <c r="B3552" t="s">
        <v>5971</v>
      </c>
      <c r="C3552" t="s">
        <v>6003</v>
      </c>
      <c r="D3552" t="s">
        <v>10858</v>
      </c>
      <c r="E3552">
        <f>disastercalamities_natural_feb_stormsurge</f>
        <v>0</v>
      </c>
      <c r="F3552" t="b">
        <v>1</v>
      </c>
      <c r="N3552" s="1346"/>
    </row>
    <row r="3553" spans="1:14" x14ac:dyDescent="0.35">
      <c r="A3553" t="s">
        <v>6039</v>
      </c>
      <c r="B3553" t="s">
        <v>5971</v>
      </c>
      <c r="C3553" t="s">
        <v>6039</v>
      </c>
      <c r="D3553" t="s">
        <v>10859</v>
      </c>
      <c r="E3553">
        <f>disastercalamities_natural_mar_stormsurge</f>
        <v>0</v>
      </c>
      <c r="F3553" t="b">
        <v>1</v>
      </c>
      <c r="N3553" s="1346"/>
    </row>
    <row r="3554" spans="1:14" x14ac:dyDescent="0.35">
      <c r="A3554" t="s">
        <v>5976</v>
      </c>
      <c r="B3554" t="s">
        <v>5971</v>
      </c>
      <c r="C3554" t="s">
        <v>5976</v>
      </c>
      <c r="D3554" t="s">
        <v>10860</v>
      </c>
      <c r="E3554">
        <f>disastercalamities_natural_apr_stormsurge</f>
        <v>0</v>
      </c>
      <c r="F3554" t="b">
        <v>1</v>
      </c>
      <c r="N3554" s="1346"/>
    </row>
    <row r="3555" spans="1:14" x14ac:dyDescent="0.35">
      <c r="A3555" t="s">
        <v>6048</v>
      </c>
      <c r="B3555" t="s">
        <v>5971</v>
      </c>
      <c r="C3555" t="s">
        <v>6048</v>
      </c>
      <c r="D3555" t="s">
        <v>10861</v>
      </c>
      <c r="E3555">
        <f>disastercalamities_natural_may_stormsurge</f>
        <v>0</v>
      </c>
      <c r="F3555" t="b">
        <v>1</v>
      </c>
      <c r="N3555" s="1346"/>
    </row>
    <row r="3556" spans="1:14" x14ac:dyDescent="0.35">
      <c r="A3556" t="s">
        <v>6031</v>
      </c>
      <c r="B3556" t="s">
        <v>5971</v>
      </c>
      <c r="C3556" t="s">
        <v>6031</v>
      </c>
      <c r="D3556" t="s">
        <v>10794</v>
      </c>
      <c r="E3556">
        <f>disastercalamities_natural_jun_tropicyclone</f>
        <v>0</v>
      </c>
      <c r="F3556" t="b">
        <v>1</v>
      </c>
      <c r="N3556" s="1346"/>
    </row>
    <row r="3557" spans="1:14" x14ac:dyDescent="0.35">
      <c r="A3557" t="s">
        <v>6022</v>
      </c>
      <c r="B3557" t="s">
        <v>5971</v>
      </c>
      <c r="C3557" t="s">
        <v>6022</v>
      </c>
      <c r="D3557" t="s">
        <v>10862</v>
      </c>
      <c r="E3557">
        <f>disastercalamities_natural_jul_tropicyclone</f>
        <v>0</v>
      </c>
      <c r="F3557" t="b">
        <v>1</v>
      </c>
      <c r="N3557" s="1346"/>
    </row>
    <row r="3558" spans="1:14" x14ac:dyDescent="0.35">
      <c r="A3558" t="s">
        <v>5986</v>
      </c>
      <c r="B3558" t="s">
        <v>5971</v>
      </c>
      <c r="C3558" t="s">
        <v>5986</v>
      </c>
      <c r="D3558" t="s">
        <v>10863</v>
      </c>
      <c r="E3558">
        <f>disastercalamities_natural_aug_tropicyclone</f>
        <v>0</v>
      </c>
      <c r="F3558" t="b">
        <v>1</v>
      </c>
      <c r="N3558" s="1346"/>
    </row>
    <row r="3559" spans="1:14" x14ac:dyDescent="0.35">
      <c r="A3559" t="s">
        <v>6076</v>
      </c>
      <c r="B3559" t="s">
        <v>5971</v>
      </c>
      <c r="C3559" t="s">
        <v>6076</v>
      </c>
      <c r="D3559" t="s">
        <v>10864</v>
      </c>
      <c r="E3559">
        <f>disastercalamities_natural_sep_tropicyclone</f>
        <v>0</v>
      </c>
      <c r="F3559" t="b">
        <v>1</v>
      </c>
      <c r="N3559" s="1346"/>
    </row>
    <row r="3560" spans="1:14" x14ac:dyDescent="0.35">
      <c r="A3560" t="s">
        <v>6067</v>
      </c>
      <c r="B3560" t="s">
        <v>5971</v>
      </c>
      <c r="C3560" t="s">
        <v>6067</v>
      </c>
      <c r="D3560" t="s">
        <v>10865</v>
      </c>
      <c r="E3560">
        <f>disastercalamities_natural_oct_tropicyclone</f>
        <v>0</v>
      </c>
      <c r="F3560" t="b">
        <v>1</v>
      </c>
      <c r="N3560" s="1346"/>
    </row>
    <row r="3561" spans="1:14" x14ac:dyDescent="0.35">
      <c r="A3561" t="s">
        <v>6058</v>
      </c>
      <c r="B3561" t="s">
        <v>5971</v>
      </c>
      <c r="C3561" t="s">
        <v>6058</v>
      </c>
      <c r="D3561" t="s">
        <v>10866</v>
      </c>
      <c r="E3561">
        <f>disastercalamities_natural_nov_tropicyclone</f>
        <v>0</v>
      </c>
      <c r="F3561" t="b">
        <v>1</v>
      </c>
      <c r="N3561" s="1346"/>
    </row>
    <row r="3562" spans="1:14" x14ac:dyDescent="0.35">
      <c r="A3562" t="s">
        <v>5995</v>
      </c>
      <c r="B3562" t="s">
        <v>5971</v>
      </c>
      <c r="C3562" t="s">
        <v>5995</v>
      </c>
      <c r="D3562" t="s">
        <v>10867</v>
      </c>
      <c r="E3562">
        <f>disastercalamities_natural_dec_tropicyclone</f>
        <v>0</v>
      </c>
      <c r="F3562" t="b">
        <v>1</v>
      </c>
      <c r="N3562" s="1346"/>
    </row>
    <row r="3563" spans="1:14" x14ac:dyDescent="0.35">
      <c r="A3563" t="s">
        <v>6013</v>
      </c>
      <c r="B3563" t="s">
        <v>5971</v>
      </c>
      <c r="C3563" t="s">
        <v>6013</v>
      </c>
      <c r="D3563" t="s">
        <v>10868</v>
      </c>
      <c r="E3563">
        <f>disastercalamities_natural_jan_tropicyclone</f>
        <v>0</v>
      </c>
      <c r="F3563" t="b">
        <v>1</v>
      </c>
      <c r="N3563" s="1346"/>
    </row>
    <row r="3564" spans="1:14" x14ac:dyDescent="0.35">
      <c r="A3564" t="s">
        <v>6004</v>
      </c>
      <c r="B3564" t="s">
        <v>5971</v>
      </c>
      <c r="C3564" t="s">
        <v>6004</v>
      </c>
      <c r="D3564" t="s">
        <v>10869</v>
      </c>
      <c r="E3564">
        <f>disastercalamities_natural_feb_tropicyclone</f>
        <v>0</v>
      </c>
      <c r="F3564" t="b">
        <v>1</v>
      </c>
      <c r="N3564" s="1346"/>
    </row>
    <row r="3565" spans="1:14" x14ac:dyDescent="0.35">
      <c r="A3565" t="s">
        <v>6040</v>
      </c>
      <c r="B3565" t="s">
        <v>5971</v>
      </c>
      <c r="C3565" t="s">
        <v>6040</v>
      </c>
      <c r="D3565" t="s">
        <v>10870</v>
      </c>
      <c r="E3565">
        <f>disastercalamities_natural_mar_tropicyclone</f>
        <v>0</v>
      </c>
      <c r="F3565" t="b">
        <v>1</v>
      </c>
      <c r="N3565" s="1346"/>
    </row>
    <row r="3566" spans="1:14" x14ac:dyDescent="0.35">
      <c r="A3566" t="s">
        <v>5977</v>
      </c>
      <c r="B3566" t="s">
        <v>5971</v>
      </c>
      <c r="C3566" t="s">
        <v>5977</v>
      </c>
      <c r="D3566" t="s">
        <v>10871</v>
      </c>
      <c r="E3566">
        <f>disastercalamities_natural_apr_tropicyclone</f>
        <v>0</v>
      </c>
      <c r="F3566" t="b">
        <v>1</v>
      </c>
      <c r="N3566" s="1346"/>
    </row>
    <row r="3567" spans="1:14" x14ac:dyDescent="0.35">
      <c r="A3567" t="s">
        <v>6049</v>
      </c>
      <c r="B3567" t="s">
        <v>5971</v>
      </c>
      <c r="C3567" t="s">
        <v>6049</v>
      </c>
      <c r="D3567" t="s">
        <v>10872</v>
      </c>
      <c r="E3567">
        <f>disastercalamities_natural_may_tropicyclone</f>
        <v>0</v>
      </c>
      <c r="F3567" t="b">
        <v>1</v>
      </c>
      <c r="N3567" s="1346"/>
    </row>
    <row r="3568" spans="1:14" x14ac:dyDescent="0.35">
      <c r="A3568" t="s">
        <v>6032</v>
      </c>
      <c r="B3568" t="s">
        <v>5971</v>
      </c>
      <c r="C3568" t="s">
        <v>6032</v>
      </c>
      <c r="D3568" t="s">
        <v>10795</v>
      </c>
      <c r="E3568">
        <f>disastercalamities_natural_jun_tsunami</f>
        <v>0</v>
      </c>
      <c r="F3568" t="b">
        <v>1</v>
      </c>
      <c r="N3568" s="1346"/>
    </row>
    <row r="3569" spans="1:14" x14ac:dyDescent="0.35">
      <c r="A3569" t="s">
        <v>6023</v>
      </c>
      <c r="B3569" t="s">
        <v>5971</v>
      </c>
      <c r="C3569" t="s">
        <v>6023</v>
      </c>
      <c r="D3569" t="s">
        <v>10873</v>
      </c>
      <c r="E3569">
        <f>disastercalamities_natural_jul_tsunami</f>
        <v>0</v>
      </c>
      <c r="F3569" t="b">
        <v>1</v>
      </c>
      <c r="N3569" s="1346"/>
    </row>
    <row r="3570" spans="1:14" x14ac:dyDescent="0.35">
      <c r="A3570" t="s">
        <v>5987</v>
      </c>
      <c r="B3570" t="s">
        <v>5971</v>
      </c>
      <c r="C3570" t="s">
        <v>5987</v>
      </c>
      <c r="D3570" t="s">
        <v>10874</v>
      </c>
      <c r="E3570">
        <f>disastercalamities_natural_aug_tsunami</f>
        <v>0</v>
      </c>
      <c r="F3570" t="b">
        <v>1</v>
      </c>
      <c r="N3570" s="1346"/>
    </row>
    <row r="3571" spans="1:14" x14ac:dyDescent="0.35">
      <c r="A3571" t="s">
        <v>6077</v>
      </c>
      <c r="B3571" t="s">
        <v>5971</v>
      </c>
      <c r="C3571" t="s">
        <v>6077</v>
      </c>
      <c r="D3571" t="s">
        <v>10875</v>
      </c>
      <c r="E3571">
        <f>disastercalamities_natural_sep_tsunami</f>
        <v>0</v>
      </c>
      <c r="F3571" t="b">
        <v>1</v>
      </c>
      <c r="N3571" s="1346"/>
    </row>
    <row r="3572" spans="1:14" x14ac:dyDescent="0.35">
      <c r="A3572" t="s">
        <v>6068</v>
      </c>
      <c r="B3572" t="s">
        <v>5971</v>
      </c>
      <c r="C3572" t="s">
        <v>6068</v>
      </c>
      <c r="D3572" t="s">
        <v>10876</v>
      </c>
      <c r="E3572">
        <f>disastercalamities_natural_oct_tsunami</f>
        <v>0</v>
      </c>
      <c r="F3572" t="b">
        <v>1</v>
      </c>
      <c r="N3572" s="1346"/>
    </row>
    <row r="3573" spans="1:14" x14ac:dyDescent="0.35">
      <c r="A3573" t="s">
        <v>6059</v>
      </c>
      <c r="B3573" t="s">
        <v>5971</v>
      </c>
      <c r="C3573" t="s">
        <v>6059</v>
      </c>
      <c r="D3573" t="s">
        <v>10877</v>
      </c>
      <c r="E3573">
        <f>disastercalamities_natural_nov_tsunami</f>
        <v>0</v>
      </c>
      <c r="F3573" t="b">
        <v>1</v>
      </c>
      <c r="N3573" s="1346"/>
    </row>
    <row r="3574" spans="1:14" x14ac:dyDescent="0.35">
      <c r="A3574" t="s">
        <v>5996</v>
      </c>
      <c r="B3574" t="s">
        <v>5971</v>
      </c>
      <c r="C3574" t="s">
        <v>5996</v>
      </c>
      <c r="D3574" t="s">
        <v>10878</v>
      </c>
      <c r="E3574">
        <f>disastercalamities_natural_dec_tsunami</f>
        <v>0</v>
      </c>
      <c r="F3574" t="b">
        <v>1</v>
      </c>
      <c r="N3574" s="1346"/>
    </row>
    <row r="3575" spans="1:14" x14ac:dyDescent="0.35">
      <c r="A3575" t="s">
        <v>6014</v>
      </c>
      <c r="B3575" t="s">
        <v>5971</v>
      </c>
      <c r="C3575" t="s">
        <v>6014</v>
      </c>
      <c r="D3575" t="s">
        <v>10879</v>
      </c>
      <c r="E3575">
        <f>disastercalamities_natural_jan_tsunami</f>
        <v>0</v>
      </c>
      <c r="F3575" t="b">
        <v>1</v>
      </c>
      <c r="N3575" s="1346"/>
    </row>
    <row r="3576" spans="1:14" x14ac:dyDescent="0.35">
      <c r="A3576" t="s">
        <v>6005</v>
      </c>
      <c r="B3576" t="s">
        <v>5971</v>
      </c>
      <c r="C3576" t="s">
        <v>6005</v>
      </c>
      <c r="D3576" t="s">
        <v>10880</v>
      </c>
      <c r="E3576">
        <f>disastercalamities_natural_feb_tsunami</f>
        <v>0</v>
      </c>
      <c r="F3576" t="b">
        <v>1</v>
      </c>
      <c r="N3576" s="1346"/>
    </row>
    <row r="3577" spans="1:14" x14ac:dyDescent="0.35">
      <c r="A3577" t="s">
        <v>6041</v>
      </c>
      <c r="B3577" t="s">
        <v>5971</v>
      </c>
      <c r="C3577" t="s">
        <v>6041</v>
      </c>
      <c r="D3577" t="s">
        <v>10881</v>
      </c>
      <c r="E3577">
        <f>disastercalamities_natural_mar_tsunami</f>
        <v>0</v>
      </c>
      <c r="F3577" t="b">
        <v>1</v>
      </c>
      <c r="N3577" s="1346"/>
    </row>
    <row r="3578" spans="1:14" x14ac:dyDescent="0.35">
      <c r="A3578" t="s">
        <v>5978</v>
      </c>
      <c r="B3578" t="s">
        <v>5971</v>
      </c>
      <c r="C3578" t="s">
        <v>5978</v>
      </c>
      <c r="D3578" t="s">
        <v>10882</v>
      </c>
      <c r="E3578">
        <f>disastercalamities_natural_apr_tsunami</f>
        <v>0</v>
      </c>
      <c r="F3578" t="b">
        <v>1</v>
      </c>
      <c r="N3578" s="1346"/>
    </row>
    <row r="3579" spans="1:14" x14ac:dyDescent="0.35">
      <c r="A3579" t="s">
        <v>6050</v>
      </c>
      <c r="B3579" t="s">
        <v>5971</v>
      </c>
      <c r="C3579" t="s">
        <v>6050</v>
      </c>
      <c r="D3579" t="s">
        <v>10883</v>
      </c>
      <c r="E3579">
        <f>disastercalamities_natural_may_tsunami</f>
        <v>0</v>
      </c>
      <c r="F3579" t="b">
        <v>1</v>
      </c>
      <c r="N3579" s="1346"/>
    </row>
    <row r="3580" spans="1:14" x14ac:dyDescent="0.35">
      <c r="A3580" t="s">
        <v>6033</v>
      </c>
      <c r="B3580" t="s">
        <v>5971</v>
      </c>
      <c r="C3580" t="s">
        <v>6033</v>
      </c>
      <c r="D3580" t="s">
        <v>10884</v>
      </c>
      <c r="E3580">
        <f>disastercalamities_natural_jun_volcanerupt</f>
        <v>0</v>
      </c>
      <c r="F3580" t="b">
        <v>1</v>
      </c>
      <c r="N3580" s="1346"/>
    </row>
    <row r="3581" spans="1:14" x14ac:dyDescent="0.35">
      <c r="A3581" t="s">
        <v>6024</v>
      </c>
      <c r="B3581" t="s">
        <v>5971</v>
      </c>
      <c r="C3581" t="s">
        <v>6024</v>
      </c>
      <c r="D3581" t="s">
        <v>10885</v>
      </c>
      <c r="E3581">
        <f>disastercalamities_natural_jul_volcanerupt</f>
        <v>0</v>
      </c>
      <c r="F3581" t="b">
        <v>1</v>
      </c>
      <c r="N3581" s="1346"/>
    </row>
    <row r="3582" spans="1:14" x14ac:dyDescent="0.35">
      <c r="A3582" t="s">
        <v>5988</v>
      </c>
      <c r="B3582" t="s">
        <v>5971</v>
      </c>
      <c r="C3582" t="s">
        <v>5988</v>
      </c>
      <c r="D3582" t="s">
        <v>10886</v>
      </c>
      <c r="E3582">
        <f>disastercalamities_natural_aug_volcanerupt</f>
        <v>0</v>
      </c>
      <c r="F3582" t="b">
        <v>1</v>
      </c>
      <c r="N3582" s="1346"/>
    </row>
    <row r="3583" spans="1:14" x14ac:dyDescent="0.35">
      <c r="A3583" t="s">
        <v>6078</v>
      </c>
      <c r="B3583" t="s">
        <v>5971</v>
      </c>
      <c r="C3583" t="s">
        <v>6078</v>
      </c>
      <c r="D3583" t="s">
        <v>10887</v>
      </c>
      <c r="E3583">
        <f>disastercalamities_natural_sep_volcanerupt</f>
        <v>0</v>
      </c>
      <c r="F3583" t="b">
        <v>1</v>
      </c>
      <c r="N3583" s="1346"/>
    </row>
    <row r="3584" spans="1:14" x14ac:dyDescent="0.35">
      <c r="A3584" t="s">
        <v>6069</v>
      </c>
      <c r="B3584" t="s">
        <v>5971</v>
      </c>
      <c r="C3584" t="s">
        <v>6069</v>
      </c>
      <c r="D3584" t="s">
        <v>10888</v>
      </c>
      <c r="E3584">
        <f>disastercalamities_natural_oct_volcanerupt</f>
        <v>0</v>
      </c>
      <c r="F3584" t="b">
        <v>1</v>
      </c>
      <c r="N3584" s="1346"/>
    </row>
    <row r="3585" spans="1:14" x14ac:dyDescent="0.35">
      <c r="A3585" t="s">
        <v>6060</v>
      </c>
      <c r="B3585" t="s">
        <v>5971</v>
      </c>
      <c r="C3585" t="s">
        <v>6060</v>
      </c>
      <c r="D3585" t="s">
        <v>10889</v>
      </c>
      <c r="E3585">
        <f>disastercalamities_natural_nov_volcanerupt</f>
        <v>0</v>
      </c>
      <c r="F3585" t="b">
        <v>1</v>
      </c>
      <c r="N3585" s="1346"/>
    </row>
    <row r="3586" spans="1:14" x14ac:dyDescent="0.35">
      <c r="A3586" t="s">
        <v>5997</v>
      </c>
      <c r="B3586" t="s">
        <v>5971</v>
      </c>
      <c r="C3586" t="s">
        <v>5997</v>
      </c>
      <c r="D3586" t="s">
        <v>10890</v>
      </c>
      <c r="E3586">
        <f>disastercalamities_natural_dec_volcanerupt</f>
        <v>0</v>
      </c>
      <c r="F3586" t="b">
        <v>1</v>
      </c>
      <c r="N3586" s="1346"/>
    </row>
    <row r="3587" spans="1:14" x14ac:dyDescent="0.35">
      <c r="A3587" t="s">
        <v>6015</v>
      </c>
      <c r="B3587" t="s">
        <v>5971</v>
      </c>
      <c r="C3587" t="s">
        <v>6015</v>
      </c>
      <c r="D3587" t="s">
        <v>10891</v>
      </c>
      <c r="E3587">
        <f>disastercalamities_natural_jan_volcanerupt</f>
        <v>0</v>
      </c>
      <c r="F3587" t="b">
        <v>1</v>
      </c>
      <c r="N3587" s="1346"/>
    </row>
    <row r="3588" spans="1:14" x14ac:dyDescent="0.35">
      <c r="A3588" t="s">
        <v>6006</v>
      </c>
      <c r="B3588" t="s">
        <v>5971</v>
      </c>
      <c r="C3588" t="s">
        <v>6006</v>
      </c>
      <c r="D3588" t="s">
        <v>10892</v>
      </c>
      <c r="E3588">
        <f>disastercalamities_natural_feb_volcanerupt</f>
        <v>0</v>
      </c>
      <c r="F3588" t="b">
        <v>1</v>
      </c>
      <c r="N3588" s="1346"/>
    </row>
    <row r="3589" spans="1:14" x14ac:dyDescent="0.35">
      <c r="A3589" t="s">
        <v>6042</v>
      </c>
      <c r="B3589" t="s">
        <v>5971</v>
      </c>
      <c r="C3589" t="s">
        <v>6042</v>
      </c>
      <c r="D3589" t="s">
        <v>10893</v>
      </c>
      <c r="E3589">
        <f>disastercalamities_natural_mar_volcanerupt</f>
        <v>0</v>
      </c>
      <c r="F3589" t="b">
        <v>1</v>
      </c>
      <c r="N3589" s="1346"/>
    </row>
    <row r="3590" spans="1:14" x14ac:dyDescent="0.35">
      <c r="A3590" t="s">
        <v>5979</v>
      </c>
      <c r="B3590" t="s">
        <v>5971</v>
      </c>
      <c r="C3590" t="s">
        <v>5979</v>
      </c>
      <c r="D3590" t="s">
        <v>10894</v>
      </c>
      <c r="E3590">
        <f>disastercalamities_natural_apr_volcanerupt</f>
        <v>0</v>
      </c>
      <c r="F3590" t="b">
        <v>1</v>
      </c>
      <c r="N3590" s="1346"/>
    </row>
    <row r="3591" spans="1:14" x14ac:dyDescent="0.35">
      <c r="A3591" t="s">
        <v>6051</v>
      </c>
      <c r="B3591" t="s">
        <v>5971</v>
      </c>
      <c r="C3591" t="s">
        <v>6051</v>
      </c>
      <c r="D3591" t="s">
        <v>10895</v>
      </c>
      <c r="E3591">
        <f>disastercalamities_natural_may_volcanerupt</f>
        <v>0</v>
      </c>
      <c r="F3591" t="b">
        <v>1</v>
      </c>
      <c r="N3591" s="1346"/>
    </row>
    <row r="3592" spans="1:14" x14ac:dyDescent="0.35">
      <c r="A3592" t="s">
        <v>6158</v>
      </c>
      <c r="B3592" t="s">
        <v>5971</v>
      </c>
      <c r="C3592" t="s">
        <v>6158</v>
      </c>
      <c r="D3592" t="s">
        <v>10896</v>
      </c>
      <c r="E3592">
        <f>disastercalamities_human_induced_jun_bombthreat_schprem</f>
        <v>0</v>
      </c>
      <c r="F3592" t="b">
        <v>1</v>
      </c>
      <c r="N3592" s="1346"/>
    </row>
    <row r="3593" spans="1:14" x14ac:dyDescent="0.35">
      <c r="A3593" t="s">
        <v>6145</v>
      </c>
      <c r="B3593" t="s">
        <v>5971</v>
      </c>
      <c r="C3593" t="s">
        <v>6145</v>
      </c>
      <c r="D3593" t="s">
        <v>10897</v>
      </c>
      <c r="E3593">
        <f>disastercalamities_human_induced_jul_bombthreat_schprem</f>
        <v>0</v>
      </c>
      <c r="F3593" t="b">
        <v>1</v>
      </c>
      <c r="N3593" s="1346"/>
    </row>
    <row r="3594" spans="1:14" x14ac:dyDescent="0.35">
      <c r="A3594" t="s">
        <v>6093</v>
      </c>
      <c r="B3594" t="s">
        <v>5971</v>
      </c>
      <c r="C3594" t="s">
        <v>6093</v>
      </c>
      <c r="D3594" t="s">
        <v>10898</v>
      </c>
      <c r="E3594">
        <f>disastercalamities_human_induced_aug_bombthreat_schprem</f>
        <v>0</v>
      </c>
      <c r="F3594" t="b">
        <v>1</v>
      </c>
      <c r="N3594" s="1346"/>
    </row>
    <row r="3595" spans="1:14" x14ac:dyDescent="0.35">
      <c r="A3595" t="s">
        <v>6224</v>
      </c>
      <c r="B3595" t="s">
        <v>5971</v>
      </c>
      <c r="C3595" t="s">
        <v>6224</v>
      </c>
      <c r="D3595" t="s">
        <v>10899</v>
      </c>
      <c r="E3595">
        <f>disastercalamities_human_induced_sep_bombthreat_schprem</f>
        <v>0</v>
      </c>
      <c r="F3595" t="b">
        <v>1</v>
      </c>
      <c r="N3595" s="1346"/>
    </row>
    <row r="3596" spans="1:14" x14ac:dyDescent="0.35">
      <c r="A3596" t="s">
        <v>6210</v>
      </c>
      <c r="B3596" t="s">
        <v>5971</v>
      </c>
      <c r="C3596" t="s">
        <v>6210</v>
      </c>
      <c r="D3596" t="s">
        <v>10900</v>
      </c>
      <c r="E3596">
        <f>disastercalamities_human_induced_oct_bombthreat_schprem</f>
        <v>0</v>
      </c>
      <c r="F3596" t="b">
        <v>1</v>
      </c>
      <c r="N3596" s="1346"/>
    </row>
    <row r="3597" spans="1:14" x14ac:dyDescent="0.35">
      <c r="A3597" t="s">
        <v>6197</v>
      </c>
      <c r="B3597" t="s">
        <v>5971</v>
      </c>
      <c r="C3597" t="s">
        <v>6197</v>
      </c>
      <c r="D3597" t="s">
        <v>10901</v>
      </c>
      <c r="E3597">
        <f>disastercalamities_human_induced_nov_bombthreat_schprem</f>
        <v>0</v>
      </c>
      <c r="F3597" t="b">
        <v>1</v>
      </c>
      <c r="N3597" s="1346"/>
    </row>
    <row r="3598" spans="1:14" x14ac:dyDescent="0.35">
      <c r="A3598" t="s">
        <v>6106</v>
      </c>
      <c r="B3598" t="s">
        <v>5971</v>
      </c>
      <c r="C3598" t="s">
        <v>6106</v>
      </c>
      <c r="D3598" t="s">
        <v>10902</v>
      </c>
      <c r="E3598">
        <f>disastercalamities_human_induced_dec_bombthreat_schprem</f>
        <v>0</v>
      </c>
      <c r="F3598" t="b">
        <v>1</v>
      </c>
      <c r="N3598" s="1346"/>
    </row>
    <row r="3599" spans="1:14" x14ac:dyDescent="0.35">
      <c r="A3599" t="s">
        <v>6132</v>
      </c>
      <c r="B3599" t="s">
        <v>5971</v>
      </c>
      <c r="C3599" t="s">
        <v>6132</v>
      </c>
      <c r="D3599" t="s">
        <v>10903</v>
      </c>
      <c r="E3599">
        <f>disastercalamities_human_induced_jan_bombthreat_schprem</f>
        <v>0</v>
      </c>
      <c r="F3599" t="b">
        <v>1</v>
      </c>
      <c r="N3599" s="1346"/>
    </row>
    <row r="3600" spans="1:14" x14ac:dyDescent="0.35">
      <c r="A3600" t="s">
        <v>6119</v>
      </c>
      <c r="B3600" t="s">
        <v>5971</v>
      </c>
      <c r="C3600" t="s">
        <v>6119</v>
      </c>
      <c r="D3600" t="s">
        <v>10904</v>
      </c>
      <c r="E3600">
        <f>disastercalamities_human_induced_feb_bombthreat_schprem</f>
        <v>0</v>
      </c>
      <c r="F3600" t="b">
        <v>1</v>
      </c>
      <c r="N3600" s="1346"/>
    </row>
    <row r="3601" spans="1:14" x14ac:dyDescent="0.35">
      <c r="A3601" t="s">
        <v>6171</v>
      </c>
      <c r="B3601" t="s">
        <v>5971</v>
      </c>
      <c r="C3601" t="s">
        <v>6171</v>
      </c>
      <c r="D3601" t="s">
        <v>10905</v>
      </c>
      <c r="E3601">
        <f>disastercalamities_human_induced_mar_bombthreat_schprem</f>
        <v>0</v>
      </c>
      <c r="F3601" t="b">
        <v>1</v>
      </c>
      <c r="N3601" s="1346"/>
    </row>
    <row r="3602" spans="1:14" x14ac:dyDescent="0.35">
      <c r="A3602" t="s">
        <v>6080</v>
      </c>
      <c r="B3602" t="s">
        <v>5971</v>
      </c>
      <c r="C3602" t="s">
        <v>6080</v>
      </c>
      <c r="D3602" t="s">
        <v>10906</v>
      </c>
      <c r="E3602">
        <f>disastercalamities_human_induced_apr_bombthreat_schprem</f>
        <v>0</v>
      </c>
      <c r="F3602" t="b">
        <v>1</v>
      </c>
      <c r="N3602" s="1346"/>
    </row>
    <row r="3603" spans="1:14" x14ac:dyDescent="0.35">
      <c r="A3603" t="s">
        <v>6184</v>
      </c>
      <c r="B3603" t="s">
        <v>5971</v>
      </c>
      <c r="C3603" t="s">
        <v>6184</v>
      </c>
      <c r="D3603" t="s">
        <v>10907</v>
      </c>
      <c r="E3603">
        <f>disastercalamities_human_induced_may_bombthreat_schprem</f>
        <v>0</v>
      </c>
      <c r="F3603" t="b">
        <v>1</v>
      </c>
      <c r="N3603" s="1346"/>
    </row>
    <row r="3604" spans="1:14" x14ac:dyDescent="0.35">
      <c r="A3604" t="s">
        <v>6157</v>
      </c>
      <c r="B3604" t="s">
        <v>5971</v>
      </c>
      <c r="C3604" t="s">
        <v>6157</v>
      </c>
      <c r="D3604" t="s">
        <v>10908</v>
      </c>
      <c r="E3604">
        <f>disastercalamities_human_induced_jun_bomb_schprem</f>
        <v>0</v>
      </c>
      <c r="F3604" t="b">
        <v>1</v>
      </c>
      <c r="N3604" s="1346"/>
    </row>
    <row r="3605" spans="1:14" x14ac:dyDescent="0.35">
      <c r="A3605" t="s">
        <v>6144</v>
      </c>
      <c r="B3605" t="s">
        <v>5971</v>
      </c>
      <c r="C3605" t="s">
        <v>6144</v>
      </c>
      <c r="D3605" t="s">
        <v>10909</v>
      </c>
      <c r="E3605">
        <f>disastercalamities_human_induced_jul_bomb_schprem</f>
        <v>0</v>
      </c>
      <c r="F3605" t="b">
        <v>1</v>
      </c>
      <c r="N3605" s="1346"/>
    </row>
    <row r="3606" spans="1:14" x14ac:dyDescent="0.35">
      <c r="A3606" t="s">
        <v>6092</v>
      </c>
      <c r="B3606" t="s">
        <v>5971</v>
      </c>
      <c r="C3606" t="s">
        <v>6092</v>
      </c>
      <c r="D3606" t="s">
        <v>10910</v>
      </c>
      <c r="E3606">
        <f>disastercalamities_human_induced_aug_bomb_schprem</f>
        <v>0</v>
      </c>
      <c r="F3606" t="b">
        <v>1</v>
      </c>
      <c r="N3606" s="1346"/>
    </row>
    <row r="3607" spans="1:14" x14ac:dyDescent="0.35">
      <c r="A3607" t="s">
        <v>6223</v>
      </c>
      <c r="B3607" t="s">
        <v>5971</v>
      </c>
      <c r="C3607" t="s">
        <v>6223</v>
      </c>
      <c r="D3607" t="s">
        <v>10911</v>
      </c>
      <c r="E3607">
        <f>disastercalamities_human_induced_sep_bomb_schprem</f>
        <v>0</v>
      </c>
      <c r="F3607" t="b">
        <v>1</v>
      </c>
      <c r="N3607" s="1346"/>
    </row>
    <row r="3608" spans="1:14" x14ac:dyDescent="0.35">
      <c r="A3608" t="s">
        <v>6209</v>
      </c>
      <c r="B3608" t="s">
        <v>5971</v>
      </c>
      <c r="C3608" t="s">
        <v>6209</v>
      </c>
      <c r="D3608" t="s">
        <v>10912</v>
      </c>
      <c r="E3608">
        <f>disastercalamities_human_induced_oct_bomb_schprem</f>
        <v>0</v>
      </c>
      <c r="F3608" t="b">
        <v>1</v>
      </c>
      <c r="N3608" s="1346"/>
    </row>
    <row r="3609" spans="1:14" x14ac:dyDescent="0.35">
      <c r="A3609" t="s">
        <v>6196</v>
      </c>
      <c r="B3609" t="s">
        <v>5971</v>
      </c>
      <c r="C3609" t="s">
        <v>6196</v>
      </c>
      <c r="D3609" t="s">
        <v>10913</v>
      </c>
      <c r="E3609">
        <f>disastercalamities_human_induced_nov_bomb_schprem</f>
        <v>0</v>
      </c>
      <c r="F3609" t="b">
        <v>1</v>
      </c>
      <c r="N3609" s="1346"/>
    </row>
    <row r="3610" spans="1:14" x14ac:dyDescent="0.35">
      <c r="A3610" t="s">
        <v>6105</v>
      </c>
      <c r="B3610" t="s">
        <v>5971</v>
      </c>
      <c r="C3610" t="s">
        <v>6105</v>
      </c>
      <c r="D3610" t="s">
        <v>10914</v>
      </c>
      <c r="E3610">
        <f>disastercalamities_human_induced_dec_bomb_schprem</f>
        <v>0</v>
      </c>
      <c r="F3610" t="b">
        <v>1</v>
      </c>
      <c r="N3610" s="1346"/>
    </row>
    <row r="3611" spans="1:14" x14ac:dyDescent="0.35">
      <c r="A3611" t="s">
        <v>6131</v>
      </c>
      <c r="B3611" t="s">
        <v>5971</v>
      </c>
      <c r="C3611" t="s">
        <v>6131</v>
      </c>
      <c r="D3611" t="s">
        <v>10915</v>
      </c>
      <c r="E3611">
        <f>disastercalamities_human_induced_jan_bomb_schprem</f>
        <v>0</v>
      </c>
      <c r="F3611" t="b">
        <v>1</v>
      </c>
      <c r="N3611" s="1346"/>
    </row>
    <row r="3612" spans="1:14" x14ac:dyDescent="0.35">
      <c r="A3612" t="s">
        <v>6118</v>
      </c>
      <c r="B3612" t="s">
        <v>5971</v>
      </c>
      <c r="C3612" t="s">
        <v>6118</v>
      </c>
      <c r="D3612" t="s">
        <v>10916</v>
      </c>
      <c r="E3612">
        <f>disastercalamities_human_induced_feb_bomb_schprem</f>
        <v>0</v>
      </c>
      <c r="F3612" t="b">
        <v>1</v>
      </c>
      <c r="N3612" s="1346"/>
    </row>
    <row r="3613" spans="1:14" x14ac:dyDescent="0.35">
      <c r="A3613" t="s">
        <v>6170</v>
      </c>
      <c r="B3613" t="s">
        <v>5971</v>
      </c>
      <c r="C3613" t="s">
        <v>6170</v>
      </c>
      <c r="D3613" t="s">
        <v>10917</v>
      </c>
      <c r="E3613">
        <f>disastercalamities_human_induced_mar_bomb_schprem</f>
        <v>0</v>
      </c>
      <c r="F3613" t="b">
        <v>1</v>
      </c>
      <c r="N3613" s="1346"/>
    </row>
    <row r="3614" spans="1:14" x14ac:dyDescent="0.35">
      <c r="A3614" t="s">
        <v>6079</v>
      </c>
      <c r="B3614" t="s">
        <v>5971</v>
      </c>
      <c r="C3614" t="s">
        <v>6079</v>
      </c>
      <c r="D3614" t="s">
        <v>10918</v>
      </c>
      <c r="E3614">
        <f>disastercalamities_human_induced_apr_bomb_schprem</f>
        <v>0</v>
      </c>
      <c r="F3614" t="b">
        <v>1</v>
      </c>
      <c r="N3614" s="1346"/>
    </row>
    <row r="3615" spans="1:14" x14ac:dyDescent="0.35">
      <c r="A3615" t="s">
        <v>6183</v>
      </c>
      <c r="B3615" t="s">
        <v>5971</v>
      </c>
      <c r="C3615" t="s">
        <v>6183</v>
      </c>
      <c r="D3615" t="s">
        <v>10919</v>
      </c>
      <c r="E3615">
        <f>disastercalamities_human_induced_may_bomb_schprem</f>
        <v>0</v>
      </c>
      <c r="F3615" t="b">
        <v>1</v>
      </c>
      <c r="N3615" s="1346"/>
    </row>
    <row r="3616" spans="1:14" x14ac:dyDescent="0.35">
      <c r="A3616" t="s">
        <v>6159</v>
      </c>
      <c r="B3616" t="s">
        <v>5971</v>
      </c>
      <c r="C3616" t="s">
        <v>6159</v>
      </c>
      <c r="D3616" t="s">
        <v>10920</v>
      </c>
      <c r="E3616">
        <f>disastercalamities_human_induced_jun_crime_learners</f>
        <v>0</v>
      </c>
      <c r="F3616" t="b">
        <v>1</v>
      </c>
      <c r="N3616" s="1346"/>
    </row>
    <row r="3617" spans="1:14" x14ac:dyDescent="0.35">
      <c r="A3617" t="s">
        <v>6146</v>
      </c>
      <c r="B3617" t="s">
        <v>5971</v>
      </c>
      <c r="C3617" t="s">
        <v>6146</v>
      </c>
      <c r="D3617" t="s">
        <v>10921</v>
      </c>
      <c r="E3617">
        <f>disastercalamities_human_induced_jul_crime_learners</f>
        <v>0</v>
      </c>
      <c r="F3617" t="b">
        <v>1</v>
      </c>
      <c r="N3617" s="1346"/>
    </row>
    <row r="3618" spans="1:14" x14ac:dyDescent="0.35">
      <c r="A3618" t="s">
        <v>6094</v>
      </c>
      <c r="B3618" t="s">
        <v>5971</v>
      </c>
      <c r="C3618" t="s">
        <v>6094</v>
      </c>
      <c r="D3618" t="s">
        <v>10922</v>
      </c>
      <c r="E3618">
        <f>disastercalamities_human_induced_aug_crime_learners</f>
        <v>0</v>
      </c>
      <c r="F3618" t="b">
        <v>1</v>
      </c>
      <c r="N3618" s="1346"/>
    </row>
    <row r="3619" spans="1:14" x14ac:dyDescent="0.35">
      <c r="A3619" t="s">
        <v>6225</v>
      </c>
      <c r="B3619" t="s">
        <v>5971</v>
      </c>
      <c r="C3619" t="s">
        <v>6225</v>
      </c>
      <c r="D3619" t="s">
        <v>10923</v>
      </c>
      <c r="E3619">
        <f>disastercalamities_human_induced_sep_crime_learners</f>
        <v>0</v>
      </c>
      <c r="F3619" t="b">
        <v>1</v>
      </c>
      <c r="N3619" s="1346"/>
    </row>
    <row r="3620" spans="1:14" x14ac:dyDescent="0.35">
      <c r="A3620" t="s">
        <v>6211</v>
      </c>
      <c r="B3620" t="s">
        <v>5971</v>
      </c>
      <c r="C3620" t="s">
        <v>6211</v>
      </c>
      <c r="D3620" t="s">
        <v>10924</v>
      </c>
      <c r="E3620">
        <f>disastercalamities_human_induced_oct_crime_learners</f>
        <v>0</v>
      </c>
      <c r="F3620" t="b">
        <v>1</v>
      </c>
      <c r="N3620" s="1346"/>
    </row>
    <row r="3621" spans="1:14" x14ac:dyDescent="0.35">
      <c r="A3621" t="s">
        <v>6198</v>
      </c>
      <c r="B3621" t="s">
        <v>5971</v>
      </c>
      <c r="C3621" t="s">
        <v>6198</v>
      </c>
      <c r="D3621" t="s">
        <v>10925</v>
      </c>
      <c r="E3621">
        <f>disastercalamities_human_induced_nov_crime_learners</f>
        <v>0</v>
      </c>
      <c r="F3621" t="b">
        <v>1</v>
      </c>
      <c r="N3621" s="1346"/>
    </row>
    <row r="3622" spans="1:14" x14ac:dyDescent="0.35">
      <c r="A3622" t="s">
        <v>6107</v>
      </c>
      <c r="B3622" t="s">
        <v>5971</v>
      </c>
      <c r="C3622" t="s">
        <v>6107</v>
      </c>
      <c r="D3622" t="s">
        <v>10926</v>
      </c>
      <c r="E3622">
        <f>disastercalamities_human_induced_dec_crime_learners</f>
        <v>0</v>
      </c>
      <c r="F3622" t="b">
        <v>1</v>
      </c>
      <c r="N3622" s="1346"/>
    </row>
    <row r="3623" spans="1:14" x14ac:dyDescent="0.35">
      <c r="A3623" t="s">
        <v>6133</v>
      </c>
      <c r="B3623" t="s">
        <v>5971</v>
      </c>
      <c r="C3623" t="s">
        <v>6133</v>
      </c>
      <c r="D3623" t="s">
        <v>10927</v>
      </c>
      <c r="E3623">
        <f>disastercalamities_human_induced_jan_crime_learners</f>
        <v>0</v>
      </c>
      <c r="F3623" t="b">
        <v>1</v>
      </c>
      <c r="N3623" s="1346"/>
    </row>
    <row r="3624" spans="1:14" x14ac:dyDescent="0.35">
      <c r="A3624" t="s">
        <v>6120</v>
      </c>
      <c r="B3624" t="s">
        <v>5971</v>
      </c>
      <c r="C3624" t="s">
        <v>6120</v>
      </c>
      <c r="D3624" t="s">
        <v>10928</v>
      </c>
      <c r="E3624">
        <f>disastercalamities_human_induced_feb_crime_learners</f>
        <v>0</v>
      </c>
      <c r="F3624" t="b">
        <v>1</v>
      </c>
      <c r="N3624" s="1346"/>
    </row>
    <row r="3625" spans="1:14" x14ac:dyDescent="0.35">
      <c r="A3625" t="s">
        <v>6172</v>
      </c>
      <c r="B3625" t="s">
        <v>5971</v>
      </c>
      <c r="C3625" t="s">
        <v>6172</v>
      </c>
      <c r="D3625" t="s">
        <v>10929</v>
      </c>
      <c r="E3625">
        <f>disastercalamities_human_induced_mar_crime_learners</f>
        <v>0</v>
      </c>
      <c r="F3625" t="b">
        <v>1</v>
      </c>
      <c r="N3625" s="1346"/>
    </row>
    <row r="3626" spans="1:14" x14ac:dyDescent="0.35">
      <c r="A3626" t="s">
        <v>6081</v>
      </c>
      <c r="B3626" t="s">
        <v>5971</v>
      </c>
      <c r="C3626" t="s">
        <v>6081</v>
      </c>
      <c r="D3626" t="s">
        <v>10930</v>
      </c>
      <c r="E3626">
        <f>disastercalamities_human_induced_apr_crime_learners</f>
        <v>0</v>
      </c>
      <c r="F3626" t="b">
        <v>1</v>
      </c>
      <c r="N3626" s="1346"/>
    </row>
    <row r="3627" spans="1:14" x14ac:dyDescent="0.35">
      <c r="A3627" t="s">
        <v>6185</v>
      </c>
      <c r="B3627" t="s">
        <v>5971</v>
      </c>
      <c r="C3627" t="s">
        <v>6185</v>
      </c>
      <c r="D3627" t="s">
        <v>10931</v>
      </c>
      <c r="E3627">
        <f>disastercalamities_human_induced_may_crime_learners</f>
        <v>0</v>
      </c>
      <c r="F3627" t="b">
        <v>1</v>
      </c>
      <c r="N3627" s="1346"/>
    </row>
    <row r="3628" spans="1:14" x14ac:dyDescent="0.35">
      <c r="A3628" t="s">
        <v>6160</v>
      </c>
      <c r="B3628" t="s">
        <v>5971</v>
      </c>
      <c r="C3628" t="s">
        <v>6160</v>
      </c>
      <c r="D3628" t="s">
        <v>10932</v>
      </c>
      <c r="E3628">
        <f>disastercalamities_human_induced_jun_crime_non_teachers</f>
        <v>0</v>
      </c>
      <c r="F3628" t="b">
        <v>1</v>
      </c>
      <c r="N3628" s="1346"/>
    </row>
    <row r="3629" spans="1:14" x14ac:dyDescent="0.35">
      <c r="A3629" t="s">
        <v>6147</v>
      </c>
      <c r="B3629" t="s">
        <v>5971</v>
      </c>
      <c r="C3629" t="s">
        <v>6147</v>
      </c>
      <c r="D3629" t="s">
        <v>10933</v>
      </c>
      <c r="E3629">
        <f>disastercalamities_human_induced_jul_crime_non_teachers</f>
        <v>0</v>
      </c>
      <c r="F3629" t="b">
        <v>1</v>
      </c>
      <c r="N3629" s="1346"/>
    </row>
    <row r="3630" spans="1:14" x14ac:dyDescent="0.35">
      <c r="A3630" t="s">
        <v>6095</v>
      </c>
      <c r="B3630" t="s">
        <v>5971</v>
      </c>
      <c r="C3630" t="s">
        <v>6095</v>
      </c>
      <c r="D3630" t="s">
        <v>10934</v>
      </c>
      <c r="E3630">
        <f>disastercalamities_human_induced_aug_crime_non_teachers</f>
        <v>0</v>
      </c>
      <c r="F3630" t="b">
        <v>1</v>
      </c>
      <c r="N3630" s="1346"/>
    </row>
    <row r="3631" spans="1:14" x14ac:dyDescent="0.35">
      <c r="A3631" t="s">
        <v>6226</v>
      </c>
      <c r="B3631" t="s">
        <v>5971</v>
      </c>
      <c r="C3631" t="s">
        <v>6226</v>
      </c>
      <c r="D3631" t="s">
        <v>10935</v>
      </c>
      <c r="E3631">
        <f>disastercalamities_human_induced_sep_crime_non_teachers</f>
        <v>0</v>
      </c>
      <c r="F3631" t="b">
        <v>1</v>
      </c>
      <c r="N3631" s="1346"/>
    </row>
    <row r="3632" spans="1:14" x14ac:dyDescent="0.35">
      <c r="A3632" t="s">
        <v>6212</v>
      </c>
      <c r="B3632" t="s">
        <v>5971</v>
      </c>
      <c r="C3632" t="s">
        <v>6212</v>
      </c>
      <c r="D3632" t="s">
        <v>10936</v>
      </c>
      <c r="E3632">
        <f>disastercalamities_human_induced_oct_crime_non_teachers</f>
        <v>0</v>
      </c>
      <c r="F3632" t="b">
        <v>1</v>
      </c>
      <c r="N3632" s="1346"/>
    </row>
    <row r="3633" spans="1:14" x14ac:dyDescent="0.35">
      <c r="A3633" t="s">
        <v>6199</v>
      </c>
      <c r="B3633" t="s">
        <v>5971</v>
      </c>
      <c r="C3633" t="s">
        <v>6199</v>
      </c>
      <c r="D3633" t="s">
        <v>10937</v>
      </c>
      <c r="E3633">
        <f>disastercalamities_human_induced_nov_crime_non_teachers</f>
        <v>0</v>
      </c>
      <c r="F3633" t="b">
        <v>1</v>
      </c>
      <c r="N3633" s="1346"/>
    </row>
    <row r="3634" spans="1:14" x14ac:dyDescent="0.35">
      <c r="A3634" t="s">
        <v>6108</v>
      </c>
      <c r="B3634" t="s">
        <v>5971</v>
      </c>
      <c r="C3634" t="s">
        <v>6108</v>
      </c>
      <c r="D3634" t="s">
        <v>10938</v>
      </c>
      <c r="E3634">
        <f>disastercalamities_human_induced_dec_crime_non_teachers</f>
        <v>0</v>
      </c>
      <c r="F3634" t="b">
        <v>1</v>
      </c>
      <c r="N3634" s="1346"/>
    </row>
    <row r="3635" spans="1:14" x14ac:dyDescent="0.35">
      <c r="A3635" t="s">
        <v>6134</v>
      </c>
      <c r="B3635" t="s">
        <v>5971</v>
      </c>
      <c r="C3635" t="s">
        <v>6134</v>
      </c>
      <c r="D3635" t="s">
        <v>10939</v>
      </c>
      <c r="E3635">
        <f>disastercalamities_human_induced_jan_crime_non_teachers</f>
        <v>0</v>
      </c>
      <c r="F3635" t="b">
        <v>1</v>
      </c>
      <c r="N3635" s="1346"/>
    </row>
    <row r="3636" spans="1:14" x14ac:dyDescent="0.35">
      <c r="A3636" t="s">
        <v>6121</v>
      </c>
      <c r="B3636" t="s">
        <v>5971</v>
      </c>
      <c r="C3636" t="s">
        <v>6121</v>
      </c>
      <c r="D3636" t="s">
        <v>10940</v>
      </c>
      <c r="E3636">
        <f>disastercalamities_human_induced_feb_crime_non_teachers</f>
        <v>0</v>
      </c>
      <c r="F3636" t="b">
        <v>1</v>
      </c>
      <c r="N3636" s="1346"/>
    </row>
    <row r="3637" spans="1:14" x14ac:dyDescent="0.35">
      <c r="A3637" t="s">
        <v>6173</v>
      </c>
      <c r="B3637" t="s">
        <v>5971</v>
      </c>
      <c r="C3637" t="s">
        <v>6173</v>
      </c>
      <c r="D3637" t="s">
        <v>10941</v>
      </c>
      <c r="E3637">
        <f>disastercalamities_human_induced_mar_crime_non_teachers</f>
        <v>0</v>
      </c>
      <c r="F3637" t="b">
        <v>1</v>
      </c>
      <c r="N3637" s="1346"/>
    </row>
    <row r="3638" spans="1:14" x14ac:dyDescent="0.35">
      <c r="A3638" t="s">
        <v>6082</v>
      </c>
      <c r="B3638" t="s">
        <v>5971</v>
      </c>
      <c r="C3638" t="s">
        <v>6082</v>
      </c>
      <c r="D3638" t="s">
        <v>10942</v>
      </c>
      <c r="E3638">
        <f>disastercalamities_human_induced_apr_crime_non_teachers</f>
        <v>0</v>
      </c>
      <c r="F3638" t="b">
        <v>1</v>
      </c>
      <c r="N3638" s="1346"/>
    </row>
    <row r="3639" spans="1:14" x14ac:dyDescent="0.35">
      <c r="A3639" t="s">
        <v>6186</v>
      </c>
      <c r="B3639" t="s">
        <v>5971</v>
      </c>
      <c r="C3639" t="s">
        <v>6186</v>
      </c>
      <c r="D3639" t="s">
        <v>10943</v>
      </c>
      <c r="E3639">
        <f>disastercalamities_human_induced_may_crime_non_teachers</f>
        <v>0</v>
      </c>
      <c r="F3639" t="b">
        <v>1</v>
      </c>
      <c r="N3639" s="1346"/>
    </row>
    <row r="3640" spans="1:14" x14ac:dyDescent="0.35">
      <c r="A3640" t="s">
        <v>6161</v>
      </c>
      <c r="B3640" t="s">
        <v>5971</v>
      </c>
      <c r="C3640" t="s">
        <v>6161</v>
      </c>
      <c r="D3640" t="s">
        <v>10944</v>
      </c>
      <c r="E3640">
        <f>disastercalamities_human_induced_jun_crime_schhead</f>
        <v>0</v>
      </c>
      <c r="F3640" t="b">
        <v>1</v>
      </c>
      <c r="N3640" s="1346"/>
    </row>
    <row r="3641" spans="1:14" x14ac:dyDescent="0.35">
      <c r="A3641" t="s">
        <v>6148</v>
      </c>
      <c r="B3641" t="s">
        <v>5971</v>
      </c>
      <c r="C3641" t="s">
        <v>6148</v>
      </c>
      <c r="D3641" t="s">
        <v>10945</v>
      </c>
      <c r="E3641">
        <f>disastercalamities_human_induced_jul_crime_schhead</f>
        <v>0</v>
      </c>
      <c r="F3641" t="b">
        <v>1</v>
      </c>
      <c r="N3641" s="1346"/>
    </row>
    <row r="3642" spans="1:14" x14ac:dyDescent="0.35">
      <c r="A3642" t="s">
        <v>6096</v>
      </c>
      <c r="B3642" t="s">
        <v>5971</v>
      </c>
      <c r="C3642" t="s">
        <v>6096</v>
      </c>
      <c r="D3642" t="s">
        <v>10946</v>
      </c>
      <c r="E3642">
        <f>disastercalamities_human_induced_aug_crime_schhead</f>
        <v>0</v>
      </c>
      <c r="F3642" t="b">
        <v>1</v>
      </c>
      <c r="N3642" s="1346"/>
    </row>
    <row r="3643" spans="1:14" x14ac:dyDescent="0.35">
      <c r="A3643" t="s">
        <v>6227</v>
      </c>
      <c r="B3643" t="s">
        <v>5971</v>
      </c>
      <c r="C3643" t="s">
        <v>6227</v>
      </c>
      <c r="D3643" t="s">
        <v>10947</v>
      </c>
      <c r="E3643">
        <f>disastercalamities_human_induced_sep_crime_schhead</f>
        <v>0</v>
      </c>
      <c r="F3643" t="b">
        <v>1</v>
      </c>
      <c r="N3643" s="1346"/>
    </row>
    <row r="3644" spans="1:14" x14ac:dyDescent="0.35">
      <c r="A3644" t="s">
        <v>6213</v>
      </c>
      <c r="B3644" t="s">
        <v>5971</v>
      </c>
      <c r="C3644" t="s">
        <v>6213</v>
      </c>
      <c r="D3644" t="s">
        <v>10948</v>
      </c>
      <c r="E3644">
        <f>disastercalamities_human_induced_oct_crime_schhead</f>
        <v>0</v>
      </c>
      <c r="F3644" t="b">
        <v>1</v>
      </c>
      <c r="N3644" s="1346"/>
    </row>
    <row r="3645" spans="1:14" x14ac:dyDescent="0.35">
      <c r="A3645" t="s">
        <v>6200</v>
      </c>
      <c r="B3645" t="s">
        <v>5971</v>
      </c>
      <c r="C3645" t="s">
        <v>6200</v>
      </c>
      <c r="D3645" t="s">
        <v>10949</v>
      </c>
      <c r="E3645">
        <f>disastercalamities_human_induced_nov_crime_schhead</f>
        <v>0</v>
      </c>
      <c r="F3645" t="b">
        <v>1</v>
      </c>
      <c r="N3645" s="1346"/>
    </row>
    <row r="3646" spans="1:14" x14ac:dyDescent="0.35">
      <c r="A3646" t="s">
        <v>6109</v>
      </c>
      <c r="B3646" t="s">
        <v>5971</v>
      </c>
      <c r="C3646" t="s">
        <v>6109</v>
      </c>
      <c r="D3646" t="s">
        <v>10950</v>
      </c>
      <c r="E3646">
        <f>disastercalamities_human_induced_dec_crime_schhead</f>
        <v>0</v>
      </c>
      <c r="F3646" t="b">
        <v>1</v>
      </c>
      <c r="N3646" s="1346"/>
    </row>
    <row r="3647" spans="1:14" x14ac:dyDescent="0.35">
      <c r="A3647" t="s">
        <v>6135</v>
      </c>
      <c r="B3647" t="s">
        <v>5971</v>
      </c>
      <c r="C3647" t="s">
        <v>6135</v>
      </c>
      <c r="D3647" t="s">
        <v>10951</v>
      </c>
      <c r="E3647">
        <f>disastercalamities_human_induced_jan_crime_schhead</f>
        <v>0</v>
      </c>
      <c r="F3647" t="b">
        <v>1</v>
      </c>
      <c r="N3647" s="1346"/>
    </row>
    <row r="3648" spans="1:14" x14ac:dyDescent="0.35">
      <c r="A3648" t="s">
        <v>6122</v>
      </c>
      <c r="B3648" t="s">
        <v>5971</v>
      </c>
      <c r="C3648" t="s">
        <v>6122</v>
      </c>
      <c r="D3648" t="s">
        <v>10952</v>
      </c>
      <c r="E3648">
        <f>disastercalamities_human_induced_feb_crime_schhead</f>
        <v>0</v>
      </c>
      <c r="F3648" t="b">
        <v>1</v>
      </c>
      <c r="N3648" s="1346"/>
    </row>
    <row r="3649" spans="1:14" x14ac:dyDescent="0.35">
      <c r="A3649" t="s">
        <v>6174</v>
      </c>
      <c r="B3649" t="s">
        <v>5971</v>
      </c>
      <c r="C3649" t="s">
        <v>6174</v>
      </c>
      <c r="D3649" t="s">
        <v>10953</v>
      </c>
      <c r="E3649">
        <f>disastercalamities_human_induced_mar_crime_schhead</f>
        <v>0</v>
      </c>
      <c r="F3649" t="b">
        <v>1</v>
      </c>
      <c r="N3649" s="1346"/>
    </row>
    <row r="3650" spans="1:14" x14ac:dyDescent="0.35">
      <c r="A3650" t="s">
        <v>6083</v>
      </c>
      <c r="B3650" t="s">
        <v>5971</v>
      </c>
      <c r="C3650" t="s">
        <v>6083</v>
      </c>
      <c r="D3650" t="s">
        <v>10954</v>
      </c>
      <c r="E3650">
        <f>disastercalamities_human_induced_apr_crime_schhead</f>
        <v>0</v>
      </c>
      <c r="F3650" t="b">
        <v>1</v>
      </c>
      <c r="N3650" s="1346"/>
    </row>
    <row r="3651" spans="1:14" x14ac:dyDescent="0.35">
      <c r="A3651" t="s">
        <v>6187</v>
      </c>
      <c r="B3651" t="s">
        <v>5971</v>
      </c>
      <c r="C3651" t="s">
        <v>6187</v>
      </c>
      <c r="D3651" t="s">
        <v>10955</v>
      </c>
      <c r="E3651">
        <f>disastercalamities_human_induced_may_crime_schhead</f>
        <v>0</v>
      </c>
      <c r="F3651" t="b">
        <v>1</v>
      </c>
      <c r="N3651" s="1346"/>
    </row>
    <row r="3652" spans="1:14" x14ac:dyDescent="0.35">
      <c r="A3652" t="s">
        <v>6162</v>
      </c>
      <c r="B3652" t="s">
        <v>5971</v>
      </c>
      <c r="C3652" t="s">
        <v>6162</v>
      </c>
      <c r="D3652" t="s">
        <v>10956</v>
      </c>
      <c r="E3652">
        <f>disastercalamities_human_induced_jun_crime_schproperty</f>
        <v>0</v>
      </c>
      <c r="F3652" t="b">
        <v>1</v>
      </c>
      <c r="N3652" s="1346"/>
    </row>
    <row r="3653" spans="1:14" x14ac:dyDescent="0.35">
      <c r="A3653" t="s">
        <v>6149</v>
      </c>
      <c r="B3653" t="s">
        <v>5971</v>
      </c>
      <c r="C3653" t="s">
        <v>6149</v>
      </c>
      <c r="D3653" t="s">
        <v>10957</v>
      </c>
      <c r="E3653">
        <f>disastercalamities_human_induced_jul_crime_schproperty</f>
        <v>0</v>
      </c>
      <c r="F3653" t="b">
        <v>1</v>
      </c>
      <c r="N3653" s="1346"/>
    </row>
    <row r="3654" spans="1:14" x14ac:dyDescent="0.35">
      <c r="A3654" t="s">
        <v>6097</v>
      </c>
      <c r="B3654" t="s">
        <v>5971</v>
      </c>
      <c r="C3654" t="s">
        <v>6097</v>
      </c>
      <c r="D3654" t="s">
        <v>10958</v>
      </c>
      <c r="E3654">
        <f>disastercalamities_human_induced_aug_crime_schproperty</f>
        <v>0</v>
      </c>
      <c r="F3654" t="b">
        <v>1</v>
      </c>
      <c r="N3654" s="1346"/>
    </row>
    <row r="3655" spans="1:14" x14ac:dyDescent="0.35">
      <c r="A3655" t="s">
        <v>6228</v>
      </c>
      <c r="B3655" t="s">
        <v>5971</v>
      </c>
      <c r="C3655" t="s">
        <v>6228</v>
      </c>
      <c r="D3655" t="s">
        <v>10959</v>
      </c>
      <c r="E3655">
        <f>disastercalamities_human_induced_sep_crime_schproperty</f>
        <v>0</v>
      </c>
      <c r="F3655" t="b">
        <v>1</v>
      </c>
      <c r="N3655" s="1346"/>
    </row>
    <row r="3656" spans="1:14" x14ac:dyDescent="0.35">
      <c r="A3656" t="s">
        <v>6214</v>
      </c>
      <c r="B3656" t="s">
        <v>5971</v>
      </c>
      <c r="C3656" t="s">
        <v>6214</v>
      </c>
      <c r="D3656" t="s">
        <v>10960</v>
      </c>
      <c r="E3656">
        <f>disastercalamities_human_induced_oct_crime_schproperty</f>
        <v>0</v>
      </c>
      <c r="F3656" t="b">
        <v>1</v>
      </c>
      <c r="N3656" s="1346"/>
    </row>
    <row r="3657" spans="1:14" x14ac:dyDescent="0.35">
      <c r="A3657" t="s">
        <v>6201</v>
      </c>
      <c r="B3657" t="s">
        <v>5971</v>
      </c>
      <c r="C3657" t="s">
        <v>6201</v>
      </c>
      <c r="D3657" t="s">
        <v>10961</v>
      </c>
      <c r="E3657">
        <f>disastercalamities_human_induced_nov_crime_schproperty</f>
        <v>0</v>
      </c>
      <c r="F3657" t="b">
        <v>1</v>
      </c>
      <c r="N3657" s="1346"/>
    </row>
    <row r="3658" spans="1:14" x14ac:dyDescent="0.35">
      <c r="A3658" t="s">
        <v>6110</v>
      </c>
      <c r="B3658" t="s">
        <v>5971</v>
      </c>
      <c r="C3658" t="s">
        <v>6110</v>
      </c>
      <c r="D3658" t="s">
        <v>10962</v>
      </c>
      <c r="E3658">
        <f>disastercalamities_human_induced_dec_crime_schproperty</f>
        <v>0</v>
      </c>
      <c r="F3658" t="b">
        <v>1</v>
      </c>
      <c r="N3658" s="1346"/>
    </row>
    <row r="3659" spans="1:14" x14ac:dyDescent="0.35">
      <c r="A3659" t="s">
        <v>6136</v>
      </c>
      <c r="B3659" t="s">
        <v>5971</v>
      </c>
      <c r="C3659" t="s">
        <v>6136</v>
      </c>
      <c r="D3659" t="s">
        <v>10963</v>
      </c>
      <c r="E3659">
        <f>disastercalamities_human_induced_jan_crime_schproperty</f>
        <v>0</v>
      </c>
      <c r="F3659" t="b">
        <v>1</v>
      </c>
      <c r="N3659" s="1346"/>
    </row>
    <row r="3660" spans="1:14" x14ac:dyDescent="0.35">
      <c r="A3660" t="s">
        <v>6123</v>
      </c>
      <c r="B3660" t="s">
        <v>5971</v>
      </c>
      <c r="C3660" t="s">
        <v>6123</v>
      </c>
      <c r="D3660" t="s">
        <v>10964</v>
      </c>
      <c r="E3660">
        <f>disastercalamities_human_induced_feb_crime_schproperty</f>
        <v>0</v>
      </c>
      <c r="F3660" t="b">
        <v>1</v>
      </c>
      <c r="N3660" s="1346"/>
    </row>
    <row r="3661" spans="1:14" x14ac:dyDescent="0.35">
      <c r="A3661" t="s">
        <v>6175</v>
      </c>
      <c r="B3661" t="s">
        <v>5971</v>
      </c>
      <c r="C3661" t="s">
        <v>6175</v>
      </c>
      <c r="D3661" t="s">
        <v>10965</v>
      </c>
      <c r="E3661">
        <f>disastercalamities_human_induced_mar_crime_schproperty</f>
        <v>0</v>
      </c>
      <c r="F3661" t="b">
        <v>1</v>
      </c>
      <c r="N3661" s="1346"/>
    </row>
    <row r="3662" spans="1:14" x14ac:dyDescent="0.35">
      <c r="A3662" t="s">
        <v>6084</v>
      </c>
      <c r="B3662" t="s">
        <v>5971</v>
      </c>
      <c r="C3662" t="s">
        <v>6084</v>
      </c>
      <c r="D3662" t="s">
        <v>10966</v>
      </c>
      <c r="E3662">
        <f>disastercalamities_human_induced_apr_crime_schproperty</f>
        <v>0</v>
      </c>
      <c r="F3662" t="b">
        <v>1</v>
      </c>
      <c r="N3662" s="1346"/>
    </row>
    <row r="3663" spans="1:14" x14ac:dyDescent="0.35">
      <c r="A3663" t="s">
        <v>6188</v>
      </c>
      <c r="B3663" t="s">
        <v>5971</v>
      </c>
      <c r="C3663" t="s">
        <v>6188</v>
      </c>
      <c r="D3663" t="s">
        <v>10967</v>
      </c>
      <c r="E3663">
        <f>disastercalamities_human_induced_may_crime_schproperty</f>
        <v>0</v>
      </c>
      <c r="F3663" t="b">
        <v>1</v>
      </c>
      <c r="N3663" s="1346"/>
    </row>
    <row r="3664" spans="1:14" x14ac:dyDescent="0.35">
      <c r="A3664" t="s">
        <v>6163</v>
      </c>
      <c r="B3664" t="s">
        <v>5971</v>
      </c>
      <c r="C3664" t="s">
        <v>6163</v>
      </c>
      <c r="D3664" t="s">
        <v>10968</v>
      </c>
      <c r="E3664">
        <f>disastercalamities_human_induced_jun_crime_teachers</f>
        <v>0</v>
      </c>
      <c r="F3664" t="b">
        <v>1</v>
      </c>
      <c r="N3664" s="1346"/>
    </row>
    <row r="3665" spans="1:14" x14ac:dyDescent="0.35">
      <c r="A3665" t="s">
        <v>6150</v>
      </c>
      <c r="B3665" t="s">
        <v>5971</v>
      </c>
      <c r="C3665" t="s">
        <v>6150</v>
      </c>
      <c r="D3665" t="s">
        <v>10969</v>
      </c>
      <c r="E3665">
        <f>disastercalamities_human_induced_jul_crime_teachers</f>
        <v>0</v>
      </c>
      <c r="F3665" t="b">
        <v>1</v>
      </c>
      <c r="N3665" s="1346"/>
    </row>
    <row r="3666" spans="1:14" x14ac:dyDescent="0.35">
      <c r="A3666" t="s">
        <v>6098</v>
      </c>
      <c r="B3666" t="s">
        <v>5971</v>
      </c>
      <c r="C3666" t="s">
        <v>6098</v>
      </c>
      <c r="D3666" t="s">
        <v>10970</v>
      </c>
      <c r="E3666">
        <f>disastercalamities_human_induced_aug_crime_teachers</f>
        <v>0</v>
      </c>
      <c r="F3666" t="b">
        <v>1</v>
      </c>
      <c r="N3666" s="1346"/>
    </row>
    <row r="3667" spans="1:14" x14ac:dyDescent="0.35">
      <c r="A3667" t="s">
        <v>6229</v>
      </c>
      <c r="B3667" t="s">
        <v>5971</v>
      </c>
      <c r="C3667" t="s">
        <v>6229</v>
      </c>
      <c r="D3667" t="s">
        <v>10971</v>
      </c>
      <c r="E3667">
        <f>disastercalamities_human_induced_sep_crime_teachers</f>
        <v>0</v>
      </c>
      <c r="F3667" t="b">
        <v>1</v>
      </c>
      <c r="N3667" s="1346"/>
    </row>
    <row r="3668" spans="1:14" x14ac:dyDescent="0.35">
      <c r="A3668" t="s">
        <v>6215</v>
      </c>
      <c r="B3668" t="s">
        <v>5971</v>
      </c>
      <c r="C3668" t="s">
        <v>6215</v>
      </c>
      <c r="D3668" t="s">
        <v>10972</v>
      </c>
      <c r="E3668">
        <f>disastercalamities_human_induced_oct_crime_teachers</f>
        <v>0</v>
      </c>
      <c r="F3668" t="b">
        <v>1</v>
      </c>
      <c r="N3668" s="1346"/>
    </row>
    <row r="3669" spans="1:14" x14ac:dyDescent="0.35">
      <c r="A3669" t="s">
        <v>6202</v>
      </c>
      <c r="B3669" t="s">
        <v>5971</v>
      </c>
      <c r="C3669" t="s">
        <v>6202</v>
      </c>
      <c r="D3669" t="s">
        <v>10973</v>
      </c>
      <c r="E3669">
        <f>disastercalamities_human_induced_nov_crime_teachers</f>
        <v>0</v>
      </c>
      <c r="F3669" t="b">
        <v>1</v>
      </c>
      <c r="N3669" s="1346"/>
    </row>
    <row r="3670" spans="1:14" x14ac:dyDescent="0.35">
      <c r="A3670" t="s">
        <v>6111</v>
      </c>
      <c r="B3670" t="s">
        <v>5971</v>
      </c>
      <c r="C3670" t="s">
        <v>6111</v>
      </c>
      <c r="D3670" t="s">
        <v>10974</v>
      </c>
      <c r="E3670">
        <f>disastercalamities_human_induced_dec_crime_teachers</f>
        <v>0</v>
      </c>
      <c r="F3670" t="b">
        <v>1</v>
      </c>
      <c r="N3670" s="1346"/>
    </row>
    <row r="3671" spans="1:14" x14ac:dyDescent="0.35">
      <c r="A3671" t="s">
        <v>6137</v>
      </c>
      <c r="B3671" t="s">
        <v>5971</v>
      </c>
      <c r="C3671" t="s">
        <v>6137</v>
      </c>
      <c r="D3671" t="s">
        <v>10975</v>
      </c>
      <c r="E3671">
        <f>disastercalamities_human_induced_jan_crime_teachers</f>
        <v>0</v>
      </c>
      <c r="F3671" t="b">
        <v>1</v>
      </c>
      <c r="N3671" s="1346"/>
    </row>
    <row r="3672" spans="1:14" x14ac:dyDescent="0.35">
      <c r="A3672" t="s">
        <v>6124</v>
      </c>
      <c r="B3672" t="s">
        <v>5971</v>
      </c>
      <c r="C3672" t="s">
        <v>6124</v>
      </c>
      <c r="D3672" t="s">
        <v>10976</v>
      </c>
      <c r="E3672">
        <f>disastercalamities_human_induced_feb_crime_teachers</f>
        <v>0</v>
      </c>
      <c r="F3672" t="b">
        <v>1</v>
      </c>
      <c r="N3672" s="1346"/>
    </row>
    <row r="3673" spans="1:14" x14ac:dyDescent="0.35">
      <c r="A3673" t="s">
        <v>6176</v>
      </c>
      <c r="B3673" t="s">
        <v>5971</v>
      </c>
      <c r="C3673" t="s">
        <v>6176</v>
      </c>
      <c r="D3673" t="s">
        <v>10977</v>
      </c>
      <c r="E3673">
        <f>disastercalamities_human_induced_mar_crime_teachers</f>
        <v>0</v>
      </c>
      <c r="F3673" t="b">
        <v>1</v>
      </c>
      <c r="N3673" s="1346"/>
    </row>
    <row r="3674" spans="1:14" x14ac:dyDescent="0.35">
      <c r="A3674" t="s">
        <v>6085</v>
      </c>
      <c r="B3674" t="s">
        <v>5971</v>
      </c>
      <c r="C3674" t="s">
        <v>6085</v>
      </c>
      <c r="D3674" t="s">
        <v>10978</v>
      </c>
      <c r="E3674">
        <f>disastercalamities_human_induced_apr_crime_teachers</f>
        <v>0</v>
      </c>
      <c r="F3674" t="b">
        <v>1</v>
      </c>
      <c r="N3674" s="1346"/>
    </row>
    <row r="3675" spans="1:14" x14ac:dyDescent="0.35">
      <c r="A3675" t="s">
        <v>6189</v>
      </c>
      <c r="B3675" t="s">
        <v>5971</v>
      </c>
      <c r="C3675" t="s">
        <v>6189</v>
      </c>
      <c r="D3675" t="s">
        <v>10979</v>
      </c>
      <c r="E3675">
        <f>disastercalamities_human_induced_may_crime_teachers</f>
        <v>0</v>
      </c>
      <c r="F3675" t="b">
        <v>1</v>
      </c>
      <c r="N3675" s="1346"/>
    </row>
    <row r="3676" spans="1:14" x14ac:dyDescent="0.35">
      <c r="A3676" t="s">
        <v>6164</v>
      </c>
      <c r="B3676" t="s">
        <v>5971</v>
      </c>
      <c r="C3676" t="s">
        <v>6164</v>
      </c>
      <c r="D3676" t="s">
        <v>10980</v>
      </c>
      <c r="E3676">
        <f>disastercalamities_human_induced_jun_fire</f>
        <v>0</v>
      </c>
      <c r="F3676" t="b">
        <v>1</v>
      </c>
      <c r="N3676" s="1346"/>
    </row>
    <row r="3677" spans="1:14" x14ac:dyDescent="0.35">
      <c r="A3677" t="s">
        <v>6151</v>
      </c>
      <c r="B3677" t="s">
        <v>5971</v>
      </c>
      <c r="C3677" t="s">
        <v>6151</v>
      </c>
      <c r="D3677" t="s">
        <v>10981</v>
      </c>
      <c r="E3677">
        <f>disastercalamities_human_induced_jul_fire</f>
        <v>0</v>
      </c>
      <c r="F3677" t="b">
        <v>1</v>
      </c>
      <c r="N3677" s="1346"/>
    </row>
    <row r="3678" spans="1:14" x14ac:dyDescent="0.35">
      <c r="A3678" t="s">
        <v>6099</v>
      </c>
      <c r="B3678" t="s">
        <v>5971</v>
      </c>
      <c r="C3678" t="s">
        <v>6099</v>
      </c>
      <c r="D3678" t="s">
        <v>10982</v>
      </c>
      <c r="E3678">
        <f>disastercalamities_human_induced_aug_fire</f>
        <v>0</v>
      </c>
      <c r="F3678" t="b">
        <v>1</v>
      </c>
      <c r="N3678" s="1346"/>
    </row>
    <row r="3679" spans="1:14" x14ac:dyDescent="0.35">
      <c r="A3679" t="s">
        <v>6230</v>
      </c>
      <c r="B3679" t="s">
        <v>5971</v>
      </c>
      <c r="C3679" t="s">
        <v>6230</v>
      </c>
      <c r="D3679" t="s">
        <v>10983</v>
      </c>
      <c r="E3679">
        <f>disastercalamities_human_induced_sep_fire</f>
        <v>0</v>
      </c>
      <c r="F3679" t="b">
        <v>1</v>
      </c>
      <c r="N3679" s="1346"/>
    </row>
    <row r="3680" spans="1:14" x14ac:dyDescent="0.35">
      <c r="A3680" t="s">
        <v>6216</v>
      </c>
      <c r="B3680" t="s">
        <v>5971</v>
      </c>
      <c r="C3680" t="s">
        <v>6216</v>
      </c>
      <c r="D3680" t="s">
        <v>10984</v>
      </c>
      <c r="E3680">
        <f>disastercalamities_human_induced_oct_fire</f>
        <v>0</v>
      </c>
      <c r="F3680" t="b">
        <v>1</v>
      </c>
      <c r="N3680" s="1346"/>
    </row>
    <row r="3681" spans="1:14" x14ac:dyDescent="0.35">
      <c r="A3681" t="s">
        <v>6203</v>
      </c>
      <c r="B3681" t="s">
        <v>5971</v>
      </c>
      <c r="C3681" t="s">
        <v>6203</v>
      </c>
      <c r="D3681" t="s">
        <v>10985</v>
      </c>
      <c r="E3681">
        <f>disastercalamities_human_induced_nov_fire</f>
        <v>0</v>
      </c>
      <c r="F3681" t="b">
        <v>1</v>
      </c>
      <c r="N3681" s="1346"/>
    </row>
    <row r="3682" spans="1:14" x14ac:dyDescent="0.35">
      <c r="A3682" t="s">
        <v>6112</v>
      </c>
      <c r="B3682" t="s">
        <v>5971</v>
      </c>
      <c r="C3682" t="s">
        <v>6112</v>
      </c>
      <c r="D3682" t="s">
        <v>10986</v>
      </c>
      <c r="E3682">
        <f>disastercalamities_human_induced_dec_fire</f>
        <v>0</v>
      </c>
      <c r="F3682" t="b">
        <v>1</v>
      </c>
      <c r="N3682" s="1346"/>
    </row>
    <row r="3683" spans="1:14" x14ac:dyDescent="0.35">
      <c r="A3683" t="s">
        <v>6138</v>
      </c>
      <c r="B3683" t="s">
        <v>5971</v>
      </c>
      <c r="C3683" t="s">
        <v>6138</v>
      </c>
      <c r="D3683" t="s">
        <v>10987</v>
      </c>
      <c r="E3683">
        <f>disastercalamities_human_induced_jan_fire</f>
        <v>0</v>
      </c>
      <c r="F3683" t="b">
        <v>1</v>
      </c>
      <c r="N3683" s="1346"/>
    </row>
    <row r="3684" spans="1:14" x14ac:dyDescent="0.35">
      <c r="A3684" t="s">
        <v>6125</v>
      </c>
      <c r="B3684" t="s">
        <v>5971</v>
      </c>
      <c r="C3684" t="s">
        <v>6125</v>
      </c>
      <c r="D3684" t="s">
        <v>10988</v>
      </c>
      <c r="E3684">
        <f>disastercalamities_human_induced_feb_fire</f>
        <v>0</v>
      </c>
      <c r="F3684" t="b">
        <v>1</v>
      </c>
      <c r="N3684" s="1346"/>
    </row>
    <row r="3685" spans="1:14" x14ac:dyDescent="0.35">
      <c r="A3685" t="s">
        <v>6177</v>
      </c>
      <c r="B3685" t="s">
        <v>5971</v>
      </c>
      <c r="C3685" t="s">
        <v>6177</v>
      </c>
      <c r="D3685" t="s">
        <v>10989</v>
      </c>
      <c r="E3685">
        <f>disastercalamities_human_induced_mar_fire</f>
        <v>0</v>
      </c>
      <c r="F3685" t="b">
        <v>1</v>
      </c>
      <c r="N3685" s="1346"/>
    </row>
    <row r="3686" spans="1:14" x14ac:dyDescent="0.35">
      <c r="A3686" t="s">
        <v>6086</v>
      </c>
      <c r="B3686" t="s">
        <v>5971</v>
      </c>
      <c r="C3686" t="s">
        <v>6086</v>
      </c>
      <c r="D3686" t="s">
        <v>10990</v>
      </c>
      <c r="E3686">
        <f>disastercalamities_human_induced_apr_fire</f>
        <v>0</v>
      </c>
      <c r="F3686" t="b">
        <v>1</v>
      </c>
      <c r="N3686" s="1346"/>
    </row>
    <row r="3687" spans="1:14" x14ac:dyDescent="0.35">
      <c r="A3687" t="s">
        <v>6190</v>
      </c>
      <c r="B3687" t="s">
        <v>5971</v>
      </c>
      <c r="C3687" t="s">
        <v>6190</v>
      </c>
      <c r="D3687" t="s">
        <v>10991</v>
      </c>
      <c r="E3687">
        <f>disastercalamities_human_induced_may_fire</f>
        <v>0</v>
      </c>
      <c r="F3687" t="b">
        <v>1</v>
      </c>
      <c r="N3687" s="1346"/>
    </row>
    <row r="3688" spans="1:14" x14ac:dyDescent="0.35">
      <c r="A3688" t="s">
        <v>6165</v>
      </c>
      <c r="B3688" t="s">
        <v>5971</v>
      </c>
      <c r="C3688" t="s">
        <v>6165</v>
      </c>
      <c r="D3688" t="s">
        <v>10992</v>
      </c>
      <c r="E3688">
        <f>disastercalamities_human_induced_jun_hazardous_materials</f>
        <v>0</v>
      </c>
      <c r="F3688" t="b">
        <v>1</v>
      </c>
      <c r="N3688" s="1346"/>
    </row>
    <row r="3689" spans="1:14" x14ac:dyDescent="0.35">
      <c r="A3689" t="s">
        <v>6152</v>
      </c>
      <c r="B3689" t="s">
        <v>5971</v>
      </c>
      <c r="C3689" t="s">
        <v>6152</v>
      </c>
      <c r="D3689" t="s">
        <v>10993</v>
      </c>
      <c r="E3689">
        <f>disastercalamities_human_induced_jul_hazarous_materials</f>
        <v>0</v>
      </c>
      <c r="F3689" t="b">
        <v>1</v>
      </c>
      <c r="N3689" s="1346"/>
    </row>
    <row r="3690" spans="1:14" x14ac:dyDescent="0.35">
      <c r="A3690" t="s">
        <v>6100</v>
      </c>
      <c r="B3690" t="s">
        <v>5971</v>
      </c>
      <c r="C3690" t="s">
        <v>6100</v>
      </c>
      <c r="D3690" t="s">
        <v>10994</v>
      </c>
      <c r="E3690">
        <f>disastercalamities_human_induced_aug_hazarous_materials</f>
        <v>0</v>
      </c>
      <c r="F3690" t="b">
        <v>1</v>
      </c>
      <c r="N3690" s="1346"/>
    </row>
    <row r="3691" spans="1:14" x14ac:dyDescent="0.35">
      <c r="A3691" t="s">
        <v>6231</v>
      </c>
      <c r="B3691" t="s">
        <v>5971</v>
      </c>
      <c r="C3691" t="s">
        <v>6231</v>
      </c>
      <c r="D3691" t="s">
        <v>10995</v>
      </c>
      <c r="E3691">
        <f>disastercalamities_human_induced_sep_hazarous_materials</f>
        <v>0</v>
      </c>
      <c r="F3691" t="b">
        <v>1</v>
      </c>
      <c r="N3691" s="1346"/>
    </row>
    <row r="3692" spans="1:14" x14ac:dyDescent="0.35">
      <c r="A3692" t="s">
        <v>6217</v>
      </c>
      <c r="B3692" t="s">
        <v>5971</v>
      </c>
      <c r="C3692" t="s">
        <v>6217</v>
      </c>
      <c r="D3692" t="s">
        <v>10996</v>
      </c>
      <c r="E3692">
        <f>disastercalamities_human_induced_oct_hazarous_materials</f>
        <v>0</v>
      </c>
      <c r="F3692" t="b">
        <v>1</v>
      </c>
      <c r="N3692" s="1346"/>
    </row>
    <row r="3693" spans="1:14" x14ac:dyDescent="0.35">
      <c r="A3693" t="s">
        <v>6204</v>
      </c>
      <c r="B3693" t="s">
        <v>5971</v>
      </c>
      <c r="C3693" t="s">
        <v>6204</v>
      </c>
      <c r="D3693" t="s">
        <v>10997</v>
      </c>
      <c r="E3693">
        <f>disastercalamities_human_induced_nov_hazarous_materials</f>
        <v>0</v>
      </c>
      <c r="F3693" t="b">
        <v>1</v>
      </c>
      <c r="N3693" s="1346"/>
    </row>
    <row r="3694" spans="1:14" x14ac:dyDescent="0.35">
      <c r="A3694" t="s">
        <v>6113</v>
      </c>
      <c r="B3694" t="s">
        <v>5971</v>
      </c>
      <c r="C3694" t="s">
        <v>6113</v>
      </c>
      <c r="D3694" t="s">
        <v>10998</v>
      </c>
      <c r="E3694">
        <f>disastercalamities_human_induced_dec_hazarous_materials</f>
        <v>0</v>
      </c>
      <c r="F3694" t="b">
        <v>1</v>
      </c>
      <c r="N3694" s="1346"/>
    </row>
    <row r="3695" spans="1:14" x14ac:dyDescent="0.35">
      <c r="A3695" t="s">
        <v>6139</v>
      </c>
      <c r="B3695" t="s">
        <v>5971</v>
      </c>
      <c r="C3695" t="s">
        <v>6139</v>
      </c>
      <c r="D3695" t="s">
        <v>10999</v>
      </c>
      <c r="E3695">
        <f>disastercalamities_human_induced_jan_hazarous_materials</f>
        <v>0</v>
      </c>
      <c r="F3695" t="b">
        <v>1</v>
      </c>
      <c r="N3695" s="1346"/>
    </row>
    <row r="3696" spans="1:14" x14ac:dyDescent="0.35">
      <c r="A3696" t="s">
        <v>6126</v>
      </c>
      <c r="B3696" t="s">
        <v>5971</v>
      </c>
      <c r="C3696" t="s">
        <v>6126</v>
      </c>
      <c r="D3696" t="s">
        <v>11000</v>
      </c>
      <c r="E3696">
        <f>disastercalamities_human_induced_feb_hazarous_materials</f>
        <v>0</v>
      </c>
      <c r="F3696" t="b">
        <v>1</v>
      </c>
      <c r="N3696" s="1346"/>
    </row>
    <row r="3697" spans="1:14" x14ac:dyDescent="0.35">
      <c r="A3697" t="s">
        <v>6178</v>
      </c>
      <c r="B3697" t="s">
        <v>5971</v>
      </c>
      <c r="C3697" t="s">
        <v>6178</v>
      </c>
      <c r="D3697" t="s">
        <v>11001</v>
      </c>
      <c r="E3697">
        <f>disastercalamities_human_induced_mar_hazarous_materials</f>
        <v>0</v>
      </c>
      <c r="F3697" t="b">
        <v>1</v>
      </c>
      <c r="N3697" s="1346"/>
    </row>
    <row r="3698" spans="1:14" x14ac:dyDescent="0.35">
      <c r="A3698" t="s">
        <v>6087</v>
      </c>
      <c r="B3698" t="s">
        <v>5971</v>
      </c>
      <c r="C3698" t="s">
        <v>6087</v>
      </c>
      <c r="D3698" t="s">
        <v>11002</v>
      </c>
      <c r="E3698">
        <f>disastercalamities_human_induced_apr_hazarous_materials</f>
        <v>0</v>
      </c>
      <c r="F3698" t="b">
        <v>1</v>
      </c>
      <c r="N3698" s="1346"/>
    </row>
    <row r="3699" spans="1:14" x14ac:dyDescent="0.35">
      <c r="A3699" t="s">
        <v>6191</v>
      </c>
      <c r="B3699" t="s">
        <v>5971</v>
      </c>
      <c r="C3699" t="s">
        <v>6191</v>
      </c>
      <c r="D3699" t="s">
        <v>11003</v>
      </c>
      <c r="E3699">
        <f>disastercalamities_human_induced_may_hazarous_materials</f>
        <v>0</v>
      </c>
      <c r="F3699" t="b">
        <v>1</v>
      </c>
      <c r="N3699" s="1346"/>
    </row>
    <row r="3700" spans="1:14" x14ac:dyDescent="0.35">
      <c r="A3700" t="s">
        <v>6166</v>
      </c>
      <c r="B3700" t="s">
        <v>5971</v>
      </c>
      <c r="C3700" t="s">
        <v>6166</v>
      </c>
      <c r="D3700" t="s">
        <v>11004</v>
      </c>
      <c r="E3700">
        <f>disastercalamities_human_induced_jun_healththreat</f>
        <v>0</v>
      </c>
      <c r="F3700" t="b">
        <v>1</v>
      </c>
      <c r="N3700" s="1346"/>
    </row>
    <row r="3701" spans="1:14" x14ac:dyDescent="0.35">
      <c r="A3701" t="s">
        <v>6153</v>
      </c>
      <c r="B3701" t="s">
        <v>5971</v>
      </c>
      <c r="C3701" t="s">
        <v>6153</v>
      </c>
      <c r="D3701" t="s">
        <v>11005</v>
      </c>
      <c r="E3701">
        <f>disastercalamities_human_induced_jul_healththreat</f>
        <v>0</v>
      </c>
      <c r="F3701" t="b">
        <v>1</v>
      </c>
      <c r="N3701" s="1346"/>
    </row>
    <row r="3702" spans="1:14" x14ac:dyDescent="0.35">
      <c r="A3702" t="s">
        <v>6101</v>
      </c>
      <c r="B3702" t="s">
        <v>5971</v>
      </c>
      <c r="C3702" t="s">
        <v>6101</v>
      </c>
      <c r="D3702" t="s">
        <v>11006</v>
      </c>
      <c r="E3702">
        <f>disastercalamities_human_induced_aug_healththreat</f>
        <v>0</v>
      </c>
      <c r="F3702" t="b">
        <v>1</v>
      </c>
      <c r="N3702" s="1346"/>
    </row>
    <row r="3703" spans="1:14" x14ac:dyDescent="0.35">
      <c r="A3703" t="s">
        <v>6232</v>
      </c>
      <c r="B3703" t="s">
        <v>5971</v>
      </c>
      <c r="C3703" t="s">
        <v>6232</v>
      </c>
      <c r="D3703" t="s">
        <v>11007</v>
      </c>
      <c r="E3703">
        <f>disastercalamities_human_induced_sep_healththreat</f>
        <v>0</v>
      </c>
      <c r="F3703" t="b">
        <v>1</v>
      </c>
      <c r="N3703" s="1346"/>
    </row>
    <row r="3704" spans="1:14" x14ac:dyDescent="0.35">
      <c r="A3704" t="s">
        <v>6218</v>
      </c>
      <c r="B3704" t="s">
        <v>5971</v>
      </c>
      <c r="C3704" t="s">
        <v>6218</v>
      </c>
      <c r="D3704" t="s">
        <v>11008</v>
      </c>
      <c r="E3704">
        <f>disastercalamities_human_induced_oct_healththreat</f>
        <v>0</v>
      </c>
      <c r="F3704" t="b">
        <v>1</v>
      </c>
      <c r="N3704" s="1346"/>
    </row>
    <row r="3705" spans="1:14" x14ac:dyDescent="0.35">
      <c r="A3705" t="s">
        <v>6205</v>
      </c>
      <c r="B3705" t="s">
        <v>5971</v>
      </c>
      <c r="C3705" t="s">
        <v>6205</v>
      </c>
      <c r="D3705" t="s">
        <v>11009</v>
      </c>
      <c r="E3705">
        <f>disastercalamities_human_induced_nov_healththreat</f>
        <v>0</v>
      </c>
      <c r="F3705" t="b">
        <v>1</v>
      </c>
      <c r="N3705" s="1346"/>
    </row>
    <row r="3706" spans="1:14" x14ac:dyDescent="0.35">
      <c r="A3706" t="s">
        <v>6114</v>
      </c>
      <c r="B3706" t="s">
        <v>5971</v>
      </c>
      <c r="C3706" t="s">
        <v>6114</v>
      </c>
      <c r="D3706" t="s">
        <v>11010</v>
      </c>
      <c r="E3706">
        <f>disastercalamities_human_induced_dec_healththreat</f>
        <v>0</v>
      </c>
      <c r="F3706" t="b">
        <v>1</v>
      </c>
      <c r="N3706" s="1346"/>
    </row>
    <row r="3707" spans="1:14" x14ac:dyDescent="0.35">
      <c r="A3707" t="s">
        <v>6140</v>
      </c>
      <c r="B3707" t="s">
        <v>5971</v>
      </c>
      <c r="C3707" t="s">
        <v>6140</v>
      </c>
      <c r="D3707" t="s">
        <v>11011</v>
      </c>
      <c r="E3707">
        <f>disastercalamities_human_induced_jan_healththreat</f>
        <v>0</v>
      </c>
      <c r="F3707" t="b">
        <v>1</v>
      </c>
      <c r="N3707" s="1346"/>
    </row>
    <row r="3708" spans="1:14" x14ac:dyDescent="0.35">
      <c r="A3708" t="s">
        <v>6127</v>
      </c>
      <c r="B3708" t="s">
        <v>5971</v>
      </c>
      <c r="C3708" t="s">
        <v>6127</v>
      </c>
      <c r="D3708" t="s">
        <v>11012</v>
      </c>
      <c r="E3708">
        <f>disastercalamities_human_induced_feb_healththreat</f>
        <v>0</v>
      </c>
      <c r="F3708" t="b">
        <v>1</v>
      </c>
      <c r="N3708" s="1346"/>
    </row>
    <row r="3709" spans="1:14" x14ac:dyDescent="0.35">
      <c r="A3709" t="s">
        <v>6179</v>
      </c>
      <c r="B3709" t="s">
        <v>5971</v>
      </c>
      <c r="C3709" t="s">
        <v>6179</v>
      </c>
      <c r="D3709" t="s">
        <v>11013</v>
      </c>
      <c r="E3709">
        <f>disastercalamities_human_induced_mar_healththreat</f>
        <v>0</v>
      </c>
      <c r="F3709" t="b">
        <v>1</v>
      </c>
      <c r="N3709" s="1346"/>
    </row>
    <row r="3710" spans="1:14" x14ac:dyDescent="0.35">
      <c r="A3710" t="s">
        <v>6088</v>
      </c>
      <c r="B3710" t="s">
        <v>5971</v>
      </c>
      <c r="C3710" t="s">
        <v>6088</v>
      </c>
      <c r="D3710" t="s">
        <v>11014</v>
      </c>
      <c r="E3710">
        <f>disastercalamities_human_induced_apr_healththreat</f>
        <v>0</v>
      </c>
      <c r="F3710" t="b">
        <v>1</v>
      </c>
      <c r="N3710" s="1346"/>
    </row>
    <row r="3711" spans="1:14" x14ac:dyDescent="0.35">
      <c r="A3711" t="s">
        <v>6192</v>
      </c>
      <c r="B3711" t="s">
        <v>5971</v>
      </c>
      <c r="C3711" t="s">
        <v>6192</v>
      </c>
      <c r="D3711" t="s">
        <v>11015</v>
      </c>
      <c r="E3711">
        <f>disastercalamities_human_induced_may_healththreat</f>
        <v>0</v>
      </c>
      <c r="F3711" t="b">
        <v>1</v>
      </c>
      <c r="N3711" s="1346"/>
    </row>
    <row r="3712" spans="1:14" x14ac:dyDescent="0.35">
      <c r="A3712" t="s">
        <v>6167</v>
      </c>
      <c r="B3712" t="s">
        <v>5971</v>
      </c>
      <c r="C3712" t="s">
        <v>6167</v>
      </c>
      <c r="D3712" t="s">
        <v>11016</v>
      </c>
      <c r="E3712">
        <f>disastercalamities_human_induced_jun_hostage_insch</f>
        <v>0</v>
      </c>
      <c r="F3712" t="b">
        <v>1</v>
      </c>
      <c r="N3712" s="1346"/>
    </row>
    <row r="3713" spans="1:14" x14ac:dyDescent="0.35">
      <c r="A3713" t="s">
        <v>6154</v>
      </c>
      <c r="B3713" t="s">
        <v>5971</v>
      </c>
      <c r="C3713" t="s">
        <v>6154</v>
      </c>
      <c r="D3713" t="s">
        <v>11017</v>
      </c>
      <c r="E3713">
        <f>disastercalamities_human_induced_jul_hostage_insch</f>
        <v>0</v>
      </c>
      <c r="F3713" t="b">
        <v>1</v>
      </c>
      <c r="N3713" s="1346"/>
    </row>
    <row r="3714" spans="1:14" x14ac:dyDescent="0.35">
      <c r="A3714" t="s">
        <v>6102</v>
      </c>
      <c r="B3714" t="s">
        <v>5971</v>
      </c>
      <c r="C3714" t="s">
        <v>6102</v>
      </c>
      <c r="D3714" t="s">
        <v>11018</v>
      </c>
      <c r="E3714">
        <f>disastercalamities_human_induced_aug_hostage_insch</f>
        <v>0</v>
      </c>
      <c r="F3714" t="b">
        <v>1</v>
      </c>
      <c r="N3714" s="1346"/>
    </row>
    <row r="3715" spans="1:14" x14ac:dyDescent="0.35">
      <c r="A3715" t="s">
        <v>6233</v>
      </c>
      <c r="B3715" t="s">
        <v>5971</v>
      </c>
      <c r="C3715" t="s">
        <v>6233</v>
      </c>
      <c r="D3715" t="s">
        <v>11019</v>
      </c>
      <c r="E3715">
        <f>disastercalamities_human_induced_sep_hostage_insch</f>
        <v>0</v>
      </c>
      <c r="F3715" t="b">
        <v>1</v>
      </c>
      <c r="N3715" s="1346"/>
    </row>
    <row r="3716" spans="1:14" x14ac:dyDescent="0.35">
      <c r="A3716" t="s">
        <v>6219</v>
      </c>
      <c r="B3716" t="s">
        <v>5971</v>
      </c>
      <c r="C3716" t="s">
        <v>6219</v>
      </c>
      <c r="D3716" t="s">
        <v>11020</v>
      </c>
      <c r="E3716">
        <f>disastercalamities_human_induced_oct_hostage_insch</f>
        <v>0</v>
      </c>
      <c r="F3716" t="b">
        <v>1</v>
      </c>
      <c r="N3716" s="1346"/>
    </row>
    <row r="3717" spans="1:14" x14ac:dyDescent="0.35">
      <c r="A3717" t="s">
        <v>6206</v>
      </c>
      <c r="B3717" t="s">
        <v>5971</v>
      </c>
      <c r="C3717" t="s">
        <v>6206</v>
      </c>
      <c r="D3717" t="s">
        <v>11021</v>
      </c>
      <c r="E3717">
        <f>disastercalamities_human_induced_nov_hostage_insch</f>
        <v>0</v>
      </c>
      <c r="F3717" t="b">
        <v>1</v>
      </c>
      <c r="N3717" s="1346"/>
    </row>
    <row r="3718" spans="1:14" x14ac:dyDescent="0.35">
      <c r="A3718" t="s">
        <v>6115</v>
      </c>
      <c r="B3718" t="s">
        <v>5971</v>
      </c>
      <c r="C3718" t="s">
        <v>6115</v>
      </c>
      <c r="D3718" t="s">
        <v>11022</v>
      </c>
      <c r="E3718">
        <f>disastercalamities_human_induced_dec_hostage_insch</f>
        <v>0</v>
      </c>
      <c r="F3718" t="b">
        <v>1</v>
      </c>
      <c r="N3718" s="1346"/>
    </row>
    <row r="3719" spans="1:14" x14ac:dyDescent="0.35">
      <c r="A3719" t="s">
        <v>6141</v>
      </c>
      <c r="B3719" t="s">
        <v>5971</v>
      </c>
      <c r="C3719" t="s">
        <v>6141</v>
      </c>
      <c r="D3719" t="s">
        <v>11023</v>
      </c>
      <c r="E3719">
        <f>disastercalamities_human_induced_jan_hostage_insch</f>
        <v>0</v>
      </c>
      <c r="F3719" t="b">
        <v>1</v>
      </c>
      <c r="N3719" s="1346"/>
    </row>
    <row r="3720" spans="1:14" x14ac:dyDescent="0.35">
      <c r="A3720" t="s">
        <v>6128</v>
      </c>
      <c r="B3720" t="s">
        <v>5971</v>
      </c>
      <c r="C3720" t="s">
        <v>6128</v>
      </c>
      <c r="D3720" t="s">
        <v>11024</v>
      </c>
      <c r="E3720">
        <f>disastercalamities_human_induced_feb_hostage_insch</f>
        <v>0</v>
      </c>
      <c r="F3720" t="b">
        <v>1</v>
      </c>
      <c r="N3720" s="1346"/>
    </row>
    <row r="3721" spans="1:14" x14ac:dyDescent="0.35">
      <c r="A3721" t="s">
        <v>6180</v>
      </c>
      <c r="B3721" t="s">
        <v>5971</v>
      </c>
      <c r="C3721" t="s">
        <v>6180</v>
      </c>
      <c r="D3721" t="s">
        <v>11025</v>
      </c>
      <c r="E3721">
        <f>disastercalamities_human_induced_mar_hostage_insch</f>
        <v>0</v>
      </c>
      <c r="F3721" t="b">
        <v>1</v>
      </c>
      <c r="N3721" s="1346"/>
    </row>
    <row r="3722" spans="1:14" x14ac:dyDescent="0.35">
      <c r="A3722" t="s">
        <v>6089</v>
      </c>
      <c r="B3722" t="s">
        <v>5971</v>
      </c>
      <c r="C3722" t="s">
        <v>6089</v>
      </c>
      <c r="D3722" t="s">
        <v>11026</v>
      </c>
      <c r="E3722">
        <f>disastercalamities_human_induced_apr_hostage_insch</f>
        <v>0</v>
      </c>
      <c r="F3722" t="b">
        <v>1</v>
      </c>
      <c r="N3722" s="1346"/>
    </row>
    <row r="3723" spans="1:14" x14ac:dyDescent="0.35">
      <c r="A3723" t="s">
        <v>6193</v>
      </c>
      <c r="B3723" t="s">
        <v>5971</v>
      </c>
      <c r="C3723" t="s">
        <v>6193</v>
      </c>
      <c r="D3723" t="s">
        <v>11027</v>
      </c>
      <c r="E3723">
        <f>disastercalamities_human_induced_may_hostage_insch</f>
        <v>0</v>
      </c>
      <c r="F3723" t="b">
        <v>1</v>
      </c>
      <c r="N3723" s="1346"/>
    </row>
    <row r="3724" spans="1:14" x14ac:dyDescent="0.35">
      <c r="A3724" t="s">
        <v>12539</v>
      </c>
      <c r="B3724" t="s">
        <v>5971</v>
      </c>
      <c r="C3724" t="s">
        <v>12539</v>
      </c>
      <c r="D3724" t="s">
        <v>11028</v>
      </c>
      <c r="E3724">
        <f>disastercalamities_human_induced_jun_shooting_insch</f>
        <v>0</v>
      </c>
      <c r="F3724" t="b">
        <v>1</v>
      </c>
      <c r="N3724" s="1346"/>
    </row>
    <row r="3725" spans="1:14" x14ac:dyDescent="0.35">
      <c r="A3725" t="s">
        <v>12540</v>
      </c>
      <c r="B3725" t="s">
        <v>5971</v>
      </c>
      <c r="C3725" t="s">
        <v>12540</v>
      </c>
      <c r="D3725" t="s">
        <v>11029</v>
      </c>
      <c r="E3725">
        <f>disastercalamities_human_induced_jul_schooting_insch</f>
        <v>0</v>
      </c>
      <c r="F3725" t="b">
        <v>1</v>
      </c>
      <c r="N3725" s="1346"/>
    </row>
    <row r="3726" spans="1:14" x14ac:dyDescent="0.35">
      <c r="A3726" t="s">
        <v>12541</v>
      </c>
      <c r="B3726" t="s">
        <v>5971</v>
      </c>
      <c r="C3726" t="s">
        <v>12541</v>
      </c>
      <c r="D3726" t="s">
        <v>11030</v>
      </c>
      <c r="E3726">
        <f>disastercalamities_human_induced_aug_schooting_insch</f>
        <v>0</v>
      </c>
      <c r="F3726" t="b">
        <v>1</v>
      </c>
      <c r="N3726" s="1346"/>
    </row>
    <row r="3727" spans="1:14" x14ac:dyDescent="0.35">
      <c r="A3727" t="s">
        <v>12542</v>
      </c>
      <c r="B3727" t="s">
        <v>5971</v>
      </c>
      <c r="C3727" t="s">
        <v>12542</v>
      </c>
      <c r="D3727" t="s">
        <v>11031</v>
      </c>
      <c r="E3727">
        <f>disastercalamities_human_induced_sep_schooting_insch</f>
        <v>0</v>
      </c>
      <c r="F3727" t="b">
        <v>1</v>
      </c>
      <c r="N3727" s="1346"/>
    </row>
    <row r="3728" spans="1:14" x14ac:dyDescent="0.35">
      <c r="A3728" t="s">
        <v>12543</v>
      </c>
      <c r="B3728" t="s">
        <v>5971</v>
      </c>
      <c r="C3728" t="s">
        <v>12543</v>
      </c>
      <c r="D3728" t="s">
        <v>11032</v>
      </c>
      <c r="E3728">
        <f>disastercalamities_human_induced_oct_schooting_insch</f>
        <v>0</v>
      </c>
      <c r="F3728" t="b">
        <v>1</v>
      </c>
      <c r="N3728" s="1346"/>
    </row>
    <row r="3729" spans="1:14" x14ac:dyDescent="0.35">
      <c r="A3729" t="s">
        <v>12544</v>
      </c>
      <c r="B3729" t="s">
        <v>5971</v>
      </c>
      <c r="C3729" t="s">
        <v>12544</v>
      </c>
      <c r="D3729" t="s">
        <v>11033</v>
      </c>
      <c r="E3729">
        <f>disastercalamities_human_induced_nov_schooting_insch</f>
        <v>0</v>
      </c>
      <c r="F3729" t="b">
        <v>1</v>
      </c>
      <c r="N3729" s="1346"/>
    </row>
    <row r="3730" spans="1:14" x14ac:dyDescent="0.35">
      <c r="A3730" t="s">
        <v>12545</v>
      </c>
      <c r="B3730" t="s">
        <v>5971</v>
      </c>
      <c r="C3730" t="s">
        <v>12545</v>
      </c>
      <c r="D3730" t="s">
        <v>11034</v>
      </c>
      <c r="E3730">
        <f>disastercalamities_human_induced_dec_schooting_insch</f>
        <v>0</v>
      </c>
      <c r="F3730" t="b">
        <v>1</v>
      </c>
      <c r="N3730" s="1346"/>
    </row>
    <row r="3731" spans="1:14" x14ac:dyDescent="0.35">
      <c r="A3731" t="s">
        <v>12546</v>
      </c>
      <c r="B3731" t="s">
        <v>5971</v>
      </c>
      <c r="C3731" t="s">
        <v>12546</v>
      </c>
      <c r="D3731" t="s">
        <v>11035</v>
      </c>
      <c r="E3731">
        <f>disastercalamities_human_induced_jan_schooting_insch</f>
        <v>0</v>
      </c>
      <c r="F3731" t="b">
        <v>1</v>
      </c>
      <c r="N3731" s="1346"/>
    </row>
    <row r="3732" spans="1:14" x14ac:dyDescent="0.35">
      <c r="A3732" t="s">
        <v>12547</v>
      </c>
      <c r="B3732" t="s">
        <v>5971</v>
      </c>
      <c r="C3732" t="s">
        <v>12547</v>
      </c>
      <c r="D3732" t="s">
        <v>11036</v>
      </c>
      <c r="E3732">
        <f>disastercalamities_human_induced_feb_schooting_insch</f>
        <v>0</v>
      </c>
      <c r="F3732" t="b">
        <v>1</v>
      </c>
      <c r="N3732" s="1346"/>
    </row>
    <row r="3733" spans="1:14" x14ac:dyDescent="0.35">
      <c r="A3733" t="s">
        <v>12548</v>
      </c>
      <c r="B3733" t="s">
        <v>5971</v>
      </c>
      <c r="C3733" t="s">
        <v>12548</v>
      </c>
      <c r="D3733" t="s">
        <v>11037</v>
      </c>
      <c r="E3733">
        <f>disastercalamities_human_induced_mar_schooting_insch</f>
        <v>0</v>
      </c>
      <c r="F3733" t="b">
        <v>1</v>
      </c>
      <c r="N3733" s="1346"/>
    </row>
    <row r="3734" spans="1:14" x14ac:dyDescent="0.35">
      <c r="A3734" t="s">
        <v>12549</v>
      </c>
      <c r="B3734" t="s">
        <v>5971</v>
      </c>
      <c r="C3734" t="s">
        <v>12549</v>
      </c>
      <c r="D3734" t="s">
        <v>11038</v>
      </c>
      <c r="E3734">
        <f>disastercalamities_human_induced_apr_schooting_insch</f>
        <v>0</v>
      </c>
      <c r="F3734" t="b">
        <v>1</v>
      </c>
      <c r="N3734" s="1346"/>
    </row>
    <row r="3735" spans="1:14" x14ac:dyDescent="0.35">
      <c r="A3735" t="s">
        <v>12550</v>
      </c>
      <c r="B3735" t="s">
        <v>5971</v>
      </c>
      <c r="C3735" t="s">
        <v>12550</v>
      </c>
      <c r="D3735" t="s">
        <v>11039</v>
      </c>
      <c r="E3735">
        <f>disastercalamities_human_induced_may_schooting_insch</f>
        <v>0</v>
      </c>
      <c r="F3735" t="b">
        <v>1</v>
      </c>
      <c r="N3735" s="1346"/>
    </row>
    <row r="3736" spans="1:14" x14ac:dyDescent="0.35">
      <c r="A3736" t="s">
        <v>6169</v>
      </c>
      <c r="B3736" t="s">
        <v>5971</v>
      </c>
      <c r="C3736" t="s">
        <v>6169</v>
      </c>
      <c r="D3736" t="s">
        <v>11040</v>
      </c>
      <c r="E3736">
        <f>disastercalamities_human_induced_jun_structural_collapse</f>
        <v>0</v>
      </c>
      <c r="F3736" t="b">
        <v>1</v>
      </c>
      <c r="N3736" s="1346"/>
    </row>
    <row r="3737" spans="1:14" x14ac:dyDescent="0.35">
      <c r="A3737" t="s">
        <v>6156</v>
      </c>
      <c r="B3737" t="s">
        <v>5971</v>
      </c>
      <c r="C3737" t="s">
        <v>6156</v>
      </c>
      <c r="D3737" t="s">
        <v>12551</v>
      </c>
      <c r="E3737">
        <f>disastercalamities_human_induced_jul_structural_collapse</f>
        <v>0</v>
      </c>
      <c r="F3737" t="b">
        <v>1</v>
      </c>
      <c r="N3737" s="1346"/>
    </row>
    <row r="3738" spans="1:14" x14ac:dyDescent="0.35">
      <c r="A3738" t="s">
        <v>6104</v>
      </c>
      <c r="B3738" t="s">
        <v>5971</v>
      </c>
      <c r="C3738" t="s">
        <v>6104</v>
      </c>
      <c r="D3738" t="s">
        <v>12552</v>
      </c>
      <c r="E3738">
        <f>disastercalamities_human_induced_aug_structural_collapse</f>
        <v>0</v>
      </c>
      <c r="F3738" t="b">
        <v>1</v>
      </c>
      <c r="N3738" s="1346"/>
    </row>
    <row r="3739" spans="1:14" x14ac:dyDescent="0.35">
      <c r="A3739" t="s">
        <v>6235</v>
      </c>
      <c r="B3739" t="s">
        <v>5971</v>
      </c>
      <c r="C3739" t="s">
        <v>6235</v>
      </c>
      <c r="D3739" t="s">
        <v>12553</v>
      </c>
      <c r="E3739">
        <f>disastercalamities_human_induced_sep_structural_collapse</f>
        <v>0</v>
      </c>
      <c r="F3739" t="b">
        <v>1</v>
      </c>
      <c r="N3739" s="1346"/>
    </row>
    <row r="3740" spans="1:14" x14ac:dyDescent="0.35">
      <c r="A3740" t="s">
        <v>6221</v>
      </c>
      <c r="B3740" t="s">
        <v>5971</v>
      </c>
      <c r="C3740" t="s">
        <v>6221</v>
      </c>
      <c r="D3740" t="s">
        <v>12554</v>
      </c>
      <c r="E3740">
        <f>disastercalamities_human_induced_oct_structural_collapse</f>
        <v>0</v>
      </c>
      <c r="F3740" t="b">
        <v>1</v>
      </c>
      <c r="N3740" s="1346"/>
    </row>
    <row r="3741" spans="1:14" x14ac:dyDescent="0.35">
      <c r="A3741" t="s">
        <v>6208</v>
      </c>
      <c r="B3741" t="s">
        <v>5971</v>
      </c>
      <c r="C3741" t="s">
        <v>6208</v>
      </c>
      <c r="D3741" t="s">
        <v>12555</v>
      </c>
      <c r="E3741">
        <f>disastercalamities_human_induced_nov_structural_collapse</f>
        <v>0</v>
      </c>
      <c r="F3741" t="b">
        <v>1</v>
      </c>
      <c r="N3741" s="1346"/>
    </row>
    <row r="3742" spans="1:14" x14ac:dyDescent="0.35">
      <c r="A3742" t="s">
        <v>6117</v>
      </c>
      <c r="B3742" t="s">
        <v>5971</v>
      </c>
      <c r="C3742" t="s">
        <v>6117</v>
      </c>
      <c r="D3742" t="s">
        <v>12556</v>
      </c>
      <c r="E3742">
        <f>disastercalamities_human_induced_dec_structural_collapse</f>
        <v>0</v>
      </c>
      <c r="F3742" t="b">
        <v>1</v>
      </c>
      <c r="N3742" s="1346"/>
    </row>
    <row r="3743" spans="1:14" x14ac:dyDescent="0.35">
      <c r="A3743" t="s">
        <v>6143</v>
      </c>
      <c r="B3743" t="s">
        <v>5971</v>
      </c>
      <c r="C3743" t="s">
        <v>6143</v>
      </c>
      <c r="D3743" t="s">
        <v>12557</v>
      </c>
      <c r="E3743">
        <f>disastercalamities_human_induced_jan_structural_collapse</f>
        <v>0</v>
      </c>
      <c r="F3743" t="b">
        <v>1</v>
      </c>
      <c r="N3743" s="1346"/>
    </row>
    <row r="3744" spans="1:14" x14ac:dyDescent="0.35">
      <c r="A3744" t="s">
        <v>6130</v>
      </c>
      <c r="B3744" t="s">
        <v>5971</v>
      </c>
      <c r="C3744" t="s">
        <v>6130</v>
      </c>
      <c r="D3744" t="s">
        <v>12558</v>
      </c>
      <c r="E3744">
        <f>disastercalamities_human_induced_feb_structural_collapse</f>
        <v>0</v>
      </c>
      <c r="F3744" t="b">
        <v>1</v>
      </c>
      <c r="N3744" s="1346"/>
    </row>
    <row r="3745" spans="1:14" x14ac:dyDescent="0.35">
      <c r="A3745" t="s">
        <v>6182</v>
      </c>
      <c r="B3745" t="s">
        <v>5971</v>
      </c>
      <c r="C3745" t="s">
        <v>6182</v>
      </c>
      <c r="D3745" t="s">
        <v>12559</v>
      </c>
      <c r="E3745">
        <f>disastercalamities_human_induced_mar_structural_collapse</f>
        <v>0</v>
      </c>
      <c r="F3745" t="b">
        <v>1</v>
      </c>
      <c r="N3745" s="1346"/>
    </row>
    <row r="3746" spans="1:14" x14ac:dyDescent="0.35">
      <c r="A3746" t="s">
        <v>6091</v>
      </c>
      <c r="B3746" t="s">
        <v>5971</v>
      </c>
      <c r="C3746" t="s">
        <v>6091</v>
      </c>
      <c r="D3746" t="s">
        <v>12560</v>
      </c>
      <c r="E3746">
        <f>disastercalamities_human_induced_apr_structural_collapse</f>
        <v>0</v>
      </c>
      <c r="F3746" t="b">
        <v>1</v>
      </c>
      <c r="N3746" s="1346"/>
    </row>
    <row r="3747" spans="1:14" x14ac:dyDescent="0.35">
      <c r="A3747" t="s">
        <v>6195</v>
      </c>
      <c r="B3747" t="s">
        <v>5971</v>
      </c>
      <c r="C3747" t="s">
        <v>6195</v>
      </c>
      <c r="D3747" t="s">
        <v>12561</v>
      </c>
      <c r="E3747">
        <f>disastercalamities_human_induced_may_structural_collapse</f>
        <v>0</v>
      </c>
      <c r="F3747" t="b">
        <v>1</v>
      </c>
      <c r="N3747" s="1346"/>
    </row>
    <row r="3748" spans="1:14" x14ac:dyDescent="0.35">
      <c r="A3748" t="s">
        <v>6222</v>
      </c>
      <c r="B3748" t="s">
        <v>5971</v>
      </c>
      <c r="C3748" t="s">
        <v>6222</v>
      </c>
      <c r="D3748" t="s">
        <v>12562</v>
      </c>
      <c r="E3748">
        <f>disastercalamities_human_induced_others_specify</f>
        <v>0</v>
      </c>
      <c r="F3748" t="b">
        <v>1</v>
      </c>
      <c r="N3748" s="1346"/>
    </row>
    <row r="3749" spans="1:14" x14ac:dyDescent="0.35">
      <c r="A3749" t="s">
        <v>6168</v>
      </c>
      <c r="B3749" t="s">
        <v>5971</v>
      </c>
      <c r="C3749" t="s">
        <v>6168</v>
      </c>
      <c r="D3749" t="s">
        <v>12563</v>
      </c>
      <c r="E3749">
        <f>disastercalamities_human_induced_jun_others_specify</f>
        <v>0</v>
      </c>
      <c r="F3749" t="b">
        <v>1</v>
      </c>
      <c r="N3749" s="1346"/>
    </row>
    <row r="3750" spans="1:14" x14ac:dyDescent="0.35">
      <c r="A3750" t="s">
        <v>6155</v>
      </c>
      <c r="B3750" t="s">
        <v>5971</v>
      </c>
      <c r="C3750" t="s">
        <v>6155</v>
      </c>
      <c r="D3750" t="s">
        <v>12564</v>
      </c>
      <c r="E3750">
        <f>disastercalamities_human_induced_jul_others_specify</f>
        <v>0</v>
      </c>
      <c r="F3750" t="b">
        <v>1</v>
      </c>
      <c r="N3750" s="1346"/>
    </row>
    <row r="3751" spans="1:14" x14ac:dyDescent="0.35">
      <c r="A3751" t="s">
        <v>6103</v>
      </c>
      <c r="B3751" t="s">
        <v>5971</v>
      </c>
      <c r="C3751" t="s">
        <v>6103</v>
      </c>
      <c r="D3751" t="s">
        <v>12565</v>
      </c>
      <c r="E3751">
        <f>disastercalamities_human_induced_aug_others_specify</f>
        <v>0</v>
      </c>
      <c r="F3751" t="b">
        <v>1</v>
      </c>
      <c r="N3751" s="1346"/>
    </row>
    <row r="3752" spans="1:14" x14ac:dyDescent="0.35">
      <c r="A3752" t="s">
        <v>6234</v>
      </c>
      <c r="B3752" t="s">
        <v>5971</v>
      </c>
      <c r="C3752" t="s">
        <v>6234</v>
      </c>
      <c r="D3752" t="s">
        <v>12566</v>
      </c>
      <c r="E3752">
        <f>disastercalamities_human_induced_sep_others_specify</f>
        <v>0</v>
      </c>
      <c r="F3752" t="b">
        <v>1</v>
      </c>
      <c r="N3752" s="1346"/>
    </row>
    <row r="3753" spans="1:14" x14ac:dyDescent="0.35">
      <c r="A3753" t="s">
        <v>6220</v>
      </c>
      <c r="B3753" t="s">
        <v>5971</v>
      </c>
      <c r="C3753" t="s">
        <v>6220</v>
      </c>
      <c r="D3753" t="s">
        <v>12567</v>
      </c>
      <c r="E3753">
        <f>disastercalamities_human_induced_oct_others_specify</f>
        <v>0</v>
      </c>
      <c r="F3753" t="b">
        <v>1</v>
      </c>
      <c r="N3753" s="1346"/>
    </row>
    <row r="3754" spans="1:14" x14ac:dyDescent="0.35">
      <c r="A3754" t="s">
        <v>6207</v>
      </c>
      <c r="B3754" t="s">
        <v>5971</v>
      </c>
      <c r="C3754" t="s">
        <v>6207</v>
      </c>
      <c r="D3754" t="s">
        <v>12568</v>
      </c>
      <c r="E3754">
        <f>disastercalamities_human_induced_nov_others_specify</f>
        <v>0</v>
      </c>
      <c r="F3754" t="b">
        <v>1</v>
      </c>
      <c r="N3754" s="1346"/>
    </row>
    <row r="3755" spans="1:14" x14ac:dyDescent="0.35">
      <c r="A3755" t="s">
        <v>6116</v>
      </c>
      <c r="B3755" t="s">
        <v>5971</v>
      </c>
      <c r="C3755" t="s">
        <v>6116</v>
      </c>
      <c r="D3755" t="s">
        <v>12569</v>
      </c>
      <c r="E3755">
        <f>disastercalamities_human_induced_dec_others_specify</f>
        <v>0</v>
      </c>
      <c r="F3755" t="b">
        <v>1</v>
      </c>
      <c r="N3755" s="1346"/>
    </row>
    <row r="3756" spans="1:14" x14ac:dyDescent="0.35">
      <c r="A3756" t="s">
        <v>6142</v>
      </c>
      <c r="B3756" t="s">
        <v>5971</v>
      </c>
      <c r="C3756" t="s">
        <v>6142</v>
      </c>
      <c r="D3756" t="s">
        <v>12570</v>
      </c>
      <c r="E3756">
        <f>disastercalamities_human_induced_jan_others_specify</f>
        <v>0</v>
      </c>
      <c r="F3756" t="b">
        <v>1</v>
      </c>
      <c r="N3756" s="1346"/>
    </row>
    <row r="3757" spans="1:14" x14ac:dyDescent="0.35">
      <c r="A3757" t="s">
        <v>6129</v>
      </c>
      <c r="B3757" t="s">
        <v>5971</v>
      </c>
      <c r="C3757" t="s">
        <v>6129</v>
      </c>
      <c r="D3757" t="s">
        <v>12571</v>
      </c>
      <c r="E3757">
        <f>disastercalamities_human_induced_feb_others_specify</f>
        <v>0</v>
      </c>
      <c r="F3757" t="b">
        <v>1</v>
      </c>
      <c r="N3757" s="1346"/>
    </row>
    <row r="3758" spans="1:14" x14ac:dyDescent="0.35">
      <c r="A3758" t="s">
        <v>6181</v>
      </c>
      <c r="B3758" t="s">
        <v>5971</v>
      </c>
      <c r="C3758" t="s">
        <v>6181</v>
      </c>
      <c r="D3758" t="s">
        <v>12572</v>
      </c>
      <c r="E3758">
        <f>disastercalamities_human_induced_mar_others_specify</f>
        <v>0</v>
      </c>
      <c r="F3758" t="b">
        <v>1</v>
      </c>
      <c r="N3758" s="1346"/>
    </row>
    <row r="3759" spans="1:14" x14ac:dyDescent="0.35">
      <c r="A3759" t="s">
        <v>6090</v>
      </c>
      <c r="B3759" t="s">
        <v>5971</v>
      </c>
      <c r="C3759" t="s">
        <v>6090</v>
      </c>
      <c r="D3759" t="s">
        <v>12573</v>
      </c>
      <c r="E3759">
        <f>disastercalamities_human_induced_apr_others_specify</f>
        <v>0</v>
      </c>
      <c r="F3759" t="b">
        <v>1</v>
      </c>
      <c r="N3759" s="1346"/>
    </row>
    <row r="3760" spans="1:14" x14ac:dyDescent="0.35">
      <c r="A3760" t="s">
        <v>6194</v>
      </c>
      <c r="B3760" t="s">
        <v>5971</v>
      </c>
      <c r="C3760" t="s">
        <v>6194</v>
      </c>
      <c r="D3760" t="s">
        <v>12574</v>
      </c>
      <c r="E3760">
        <f>disastercalamities_human_induced_may_others_specify</f>
        <v>0</v>
      </c>
      <c r="F3760" t="b">
        <v>1</v>
      </c>
      <c r="N3760" s="1346"/>
    </row>
    <row r="3761" spans="1:14" x14ac:dyDescent="0.35">
      <c r="A3761" t="s">
        <v>6236</v>
      </c>
      <c r="B3761" t="s">
        <v>5971</v>
      </c>
      <c r="C3761" t="s">
        <v>6236</v>
      </c>
      <c r="D3761" t="s">
        <v>11041</v>
      </c>
      <c r="E3761" t="str">
        <f>drrm_coor_name</f>
        <v>ELYN KENDRA D. DELA CRUZ  /  March 17, 2023</v>
      </c>
      <c r="F3761" t="b">
        <v>1</v>
      </c>
      <c r="N3761" s="1346"/>
    </row>
    <row r="3762" spans="1:14" s="1348" customFormat="1" ht="16" thickBot="1" x14ac:dyDescent="0.4">
      <c r="A3762" s="1348" t="s">
        <v>6237</v>
      </c>
      <c r="B3762" s="1348" t="s">
        <v>5971</v>
      </c>
      <c r="C3762" s="1348" t="s">
        <v>6237</v>
      </c>
      <c r="D3762" s="1348" t="s">
        <v>11042</v>
      </c>
      <c r="E3762" s="1348" t="str">
        <f>drrm_coor_post</f>
        <v>Project Development Officer III</v>
      </c>
      <c r="F3762" s="1348" t="b">
        <v>1</v>
      </c>
      <c r="N3762" s="1366"/>
    </row>
    <row r="3763" spans="1:14" s="1350" customFormat="1" x14ac:dyDescent="0.35">
      <c r="A3763" s="1350" t="s">
        <v>6248</v>
      </c>
      <c r="B3763" s="1350" t="s">
        <v>6239</v>
      </c>
      <c r="C3763" s="1350" t="s">
        <v>6248</v>
      </c>
      <c r="D3763" s="1350" t="s">
        <v>11043</v>
      </c>
      <c r="E3763" s="1350">
        <f>disaster_armeconflictexp_jun</f>
        <v>0</v>
      </c>
      <c r="F3763" s="1350" t="b">
        <v>1</v>
      </c>
      <c r="N3763" s="1367"/>
    </row>
    <row r="3764" spans="1:14" x14ac:dyDescent="0.35">
      <c r="A3764" t="s">
        <v>6249</v>
      </c>
      <c r="B3764" t="s">
        <v>6239</v>
      </c>
      <c r="C3764" t="s">
        <v>6249</v>
      </c>
      <c r="D3764" t="s">
        <v>11056</v>
      </c>
      <c r="E3764">
        <f>disaster_armeconflictexp_july</f>
        <v>0</v>
      </c>
      <c r="F3764" t="b">
        <v>1</v>
      </c>
      <c r="N3764" s="1346"/>
    </row>
    <row r="3765" spans="1:14" x14ac:dyDescent="0.35">
      <c r="A3765" t="s">
        <v>6250</v>
      </c>
      <c r="B3765" t="s">
        <v>6239</v>
      </c>
      <c r="C3765" t="s">
        <v>6250</v>
      </c>
      <c r="D3765" t="s">
        <v>11069</v>
      </c>
      <c r="E3765">
        <f>disaster_armeconflictexp_aug</f>
        <v>0</v>
      </c>
      <c r="F3765" t="b">
        <v>1</v>
      </c>
      <c r="N3765" s="1346"/>
    </row>
    <row r="3766" spans="1:14" x14ac:dyDescent="0.35">
      <c r="A3766" t="s">
        <v>6238</v>
      </c>
      <c r="B3766" t="s">
        <v>6239</v>
      </c>
      <c r="C3766" t="s">
        <v>6238</v>
      </c>
      <c r="D3766" t="s">
        <v>11070</v>
      </c>
      <c r="E3766">
        <f>disaster_armeconflictexp_sep</f>
        <v>0</v>
      </c>
      <c r="F3766" t="b">
        <v>1</v>
      </c>
      <c r="N3766" s="1346"/>
    </row>
    <row r="3767" spans="1:14" x14ac:dyDescent="0.35">
      <c r="A3767" t="s">
        <v>6240</v>
      </c>
      <c r="B3767" t="s">
        <v>6239</v>
      </c>
      <c r="C3767" t="s">
        <v>6240</v>
      </c>
      <c r="D3767" t="s">
        <v>11071</v>
      </c>
      <c r="E3767">
        <f>disaster_armeconflictexp_oct</f>
        <v>0</v>
      </c>
      <c r="F3767" t="b">
        <v>1</v>
      </c>
      <c r="N3767" s="1346"/>
    </row>
    <row r="3768" spans="1:14" x14ac:dyDescent="0.35">
      <c r="A3768" t="s">
        <v>6241</v>
      </c>
      <c r="B3768" t="s">
        <v>6239</v>
      </c>
      <c r="C3768" t="s">
        <v>6241</v>
      </c>
      <c r="D3768" t="s">
        <v>11072</v>
      </c>
      <c r="E3768">
        <f>disaster_armeconflictexp_nov</f>
        <v>0</v>
      </c>
      <c r="F3768" t="b">
        <v>1</v>
      </c>
      <c r="N3768" s="1346"/>
    </row>
    <row r="3769" spans="1:14" x14ac:dyDescent="0.35">
      <c r="A3769" t="s">
        <v>6242</v>
      </c>
      <c r="B3769" t="s">
        <v>6239</v>
      </c>
      <c r="C3769" t="s">
        <v>6242</v>
      </c>
      <c r="D3769" t="s">
        <v>11073</v>
      </c>
      <c r="E3769">
        <f>disaster_armeconflictexp_dec</f>
        <v>0</v>
      </c>
      <c r="F3769" t="b">
        <v>1</v>
      </c>
      <c r="N3769" s="1346"/>
    </row>
    <row r="3770" spans="1:14" x14ac:dyDescent="0.35">
      <c r="A3770" t="s">
        <v>6243</v>
      </c>
      <c r="B3770" t="s">
        <v>6239</v>
      </c>
      <c r="C3770" t="s">
        <v>6243</v>
      </c>
      <c r="D3770" t="s">
        <v>11074</v>
      </c>
      <c r="E3770">
        <f>disaster_armeconflictexp_jan</f>
        <v>0</v>
      </c>
      <c r="F3770" t="b">
        <v>1</v>
      </c>
      <c r="N3770" s="1346"/>
    </row>
    <row r="3771" spans="1:14" x14ac:dyDescent="0.35">
      <c r="A3771" t="s">
        <v>6244</v>
      </c>
      <c r="B3771" t="s">
        <v>6239</v>
      </c>
      <c r="C3771" t="s">
        <v>6244</v>
      </c>
      <c r="D3771" t="s">
        <v>11075</v>
      </c>
      <c r="E3771">
        <f>disaster_armeconflictexp_feb</f>
        <v>0</v>
      </c>
      <c r="F3771" t="b">
        <v>1</v>
      </c>
      <c r="N3771" s="1346"/>
    </row>
    <row r="3772" spans="1:14" x14ac:dyDescent="0.35">
      <c r="A3772" t="s">
        <v>6245</v>
      </c>
      <c r="B3772" t="s">
        <v>6239</v>
      </c>
      <c r="C3772" t="s">
        <v>6245</v>
      </c>
      <c r="D3772" t="s">
        <v>11076</v>
      </c>
      <c r="E3772">
        <f>disaster_armeconflictexp_mar</f>
        <v>0</v>
      </c>
      <c r="F3772" t="b">
        <v>1</v>
      </c>
      <c r="N3772" s="1346"/>
    </row>
    <row r="3773" spans="1:14" x14ac:dyDescent="0.35">
      <c r="A3773" t="s">
        <v>6246</v>
      </c>
      <c r="B3773" t="s">
        <v>6239</v>
      </c>
      <c r="C3773" t="s">
        <v>6246</v>
      </c>
      <c r="D3773" t="s">
        <v>11077</v>
      </c>
      <c r="E3773">
        <f>disaster_armeconflictexp_apr</f>
        <v>0</v>
      </c>
      <c r="F3773" t="b">
        <v>1</v>
      </c>
      <c r="N3773" s="1346"/>
    </row>
    <row r="3774" spans="1:14" x14ac:dyDescent="0.35">
      <c r="A3774" t="s">
        <v>6247</v>
      </c>
      <c r="B3774" t="s">
        <v>6239</v>
      </c>
      <c r="C3774" t="s">
        <v>6247</v>
      </c>
      <c r="D3774" t="s">
        <v>11078</v>
      </c>
      <c r="E3774">
        <f>disaster_armeconflictexp_may</f>
        <v>0</v>
      </c>
      <c r="F3774" t="b">
        <v>1</v>
      </c>
      <c r="N3774" s="1346"/>
    </row>
    <row r="3775" spans="1:14" x14ac:dyDescent="0.35">
      <c r="A3775" t="s">
        <v>6386</v>
      </c>
      <c r="B3775" t="s">
        <v>6239</v>
      </c>
      <c r="C3775" t="s">
        <v>6386</v>
      </c>
      <c r="D3775" t="s">
        <v>11044</v>
      </c>
      <c r="E3775">
        <f>disaster_armedconflict_jun_stateactors_afp</f>
        <v>0</v>
      </c>
      <c r="F3775" t="b">
        <v>1</v>
      </c>
      <c r="N3775" s="1346"/>
    </row>
    <row r="3776" spans="1:14" x14ac:dyDescent="0.35">
      <c r="A3776" t="s">
        <v>6401</v>
      </c>
      <c r="B3776" t="s">
        <v>6239</v>
      </c>
      <c r="C3776" t="s">
        <v>6401</v>
      </c>
      <c r="D3776" t="s">
        <v>11057</v>
      </c>
      <c r="E3776">
        <f>disaster_armedconflict_jul_stateactors_afp</f>
        <v>0</v>
      </c>
      <c r="F3776" t="b">
        <v>1</v>
      </c>
      <c r="N3776" s="1346"/>
    </row>
    <row r="3777" spans="1:14" x14ac:dyDescent="0.35">
      <c r="A3777" t="s">
        <v>6416</v>
      </c>
      <c r="B3777" t="s">
        <v>6239</v>
      </c>
      <c r="C3777" t="s">
        <v>6416</v>
      </c>
      <c r="D3777" t="s">
        <v>11079</v>
      </c>
      <c r="E3777">
        <f>disaster_armedconflict_aug_stateactors_afp</f>
        <v>0</v>
      </c>
      <c r="F3777" t="b">
        <v>1</v>
      </c>
      <c r="N3777" s="1346"/>
    </row>
    <row r="3778" spans="1:14" x14ac:dyDescent="0.35">
      <c r="A3778" t="s">
        <v>6251</v>
      </c>
      <c r="B3778" t="s">
        <v>6239</v>
      </c>
      <c r="C3778" t="s">
        <v>6251</v>
      </c>
      <c r="D3778" t="s">
        <v>11080</v>
      </c>
      <c r="E3778">
        <f>disaster_armedconflict_sep_stateactors_afp</f>
        <v>0</v>
      </c>
      <c r="F3778" t="b">
        <v>1</v>
      </c>
      <c r="N3778" s="1346"/>
    </row>
    <row r="3779" spans="1:14" x14ac:dyDescent="0.35">
      <c r="A3779" t="s">
        <v>6266</v>
      </c>
      <c r="B3779" t="s">
        <v>6239</v>
      </c>
      <c r="C3779" t="s">
        <v>6266</v>
      </c>
      <c r="D3779" t="s">
        <v>11081</v>
      </c>
      <c r="E3779">
        <f>disaster_armedconflict_oct_stateactors_afp</f>
        <v>0</v>
      </c>
      <c r="F3779" t="b">
        <v>1</v>
      </c>
      <c r="N3779" s="1346"/>
    </row>
    <row r="3780" spans="1:14" x14ac:dyDescent="0.35">
      <c r="A3780" t="s">
        <v>6281</v>
      </c>
      <c r="B3780" t="s">
        <v>6239</v>
      </c>
      <c r="C3780" t="s">
        <v>6281</v>
      </c>
      <c r="D3780" t="s">
        <v>11082</v>
      </c>
      <c r="E3780">
        <f>disaster_armedconflict_nov_stateactors_afp</f>
        <v>0</v>
      </c>
      <c r="F3780" t="b">
        <v>1</v>
      </c>
      <c r="N3780" s="1346"/>
    </row>
    <row r="3781" spans="1:14" x14ac:dyDescent="0.35">
      <c r="A3781" t="s">
        <v>6296</v>
      </c>
      <c r="B3781" t="s">
        <v>6239</v>
      </c>
      <c r="C3781" t="s">
        <v>6296</v>
      </c>
      <c r="D3781" t="s">
        <v>11083</v>
      </c>
      <c r="E3781">
        <f>disaster_armedconflict_dec_stateactors_afp</f>
        <v>0</v>
      </c>
      <c r="F3781" t="b">
        <v>1</v>
      </c>
      <c r="N3781" s="1346"/>
    </row>
    <row r="3782" spans="1:14" x14ac:dyDescent="0.35">
      <c r="A3782" t="s">
        <v>6311</v>
      </c>
      <c r="B3782" t="s">
        <v>6239</v>
      </c>
      <c r="C3782" t="s">
        <v>6311</v>
      </c>
      <c r="D3782" t="s">
        <v>11084</v>
      </c>
      <c r="E3782">
        <f>disaster_armedconflict_jan_stateactors_afp</f>
        <v>0</v>
      </c>
      <c r="F3782" t="b">
        <v>1</v>
      </c>
      <c r="N3782" s="1346"/>
    </row>
    <row r="3783" spans="1:14" x14ac:dyDescent="0.35">
      <c r="A3783" t="s">
        <v>6326</v>
      </c>
      <c r="B3783" t="s">
        <v>6239</v>
      </c>
      <c r="C3783" t="s">
        <v>6326</v>
      </c>
      <c r="D3783" t="s">
        <v>11085</v>
      </c>
      <c r="E3783">
        <f>disaster_armedconflict_feb_stateactors_afp</f>
        <v>0</v>
      </c>
      <c r="F3783" t="b">
        <v>1</v>
      </c>
      <c r="N3783" s="1346"/>
    </row>
    <row r="3784" spans="1:14" x14ac:dyDescent="0.35">
      <c r="A3784" t="s">
        <v>6341</v>
      </c>
      <c r="B3784" t="s">
        <v>6239</v>
      </c>
      <c r="C3784" t="s">
        <v>6341</v>
      </c>
      <c r="D3784" t="s">
        <v>11086</v>
      </c>
      <c r="E3784">
        <f>disaster_armedconflict_mar_stateactors_afp</f>
        <v>0</v>
      </c>
      <c r="F3784" t="b">
        <v>1</v>
      </c>
      <c r="N3784" s="1346"/>
    </row>
    <row r="3785" spans="1:14" x14ac:dyDescent="0.35">
      <c r="A3785" t="s">
        <v>6356</v>
      </c>
      <c r="B3785" t="s">
        <v>6239</v>
      </c>
      <c r="C3785" t="s">
        <v>6356</v>
      </c>
      <c r="D3785" t="s">
        <v>11087</v>
      </c>
      <c r="E3785">
        <f>disaster_armedconflict_apr_stateactors_afp</f>
        <v>0</v>
      </c>
      <c r="F3785" t="b">
        <v>1</v>
      </c>
      <c r="N3785" s="1346"/>
    </row>
    <row r="3786" spans="1:14" x14ac:dyDescent="0.35">
      <c r="A3786" t="s">
        <v>6371</v>
      </c>
      <c r="B3786" t="s">
        <v>6239</v>
      </c>
      <c r="C3786" t="s">
        <v>6371</v>
      </c>
      <c r="D3786" t="s">
        <v>11088</v>
      </c>
      <c r="E3786">
        <f>disaster_armedconflict_may_stateactors_afp</f>
        <v>0</v>
      </c>
      <c r="F3786" t="b">
        <v>1</v>
      </c>
      <c r="N3786" s="1346"/>
    </row>
    <row r="3787" spans="1:14" x14ac:dyDescent="0.35">
      <c r="A3787" t="s">
        <v>6387</v>
      </c>
      <c r="B3787" t="s">
        <v>6239</v>
      </c>
      <c r="C3787" t="s">
        <v>6387</v>
      </c>
      <c r="D3787" t="s">
        <v>11045</v>
      </c>
      <c r="E3787">
        <f>disaster_armedconflict_jun_stateactors_pnp</f>
        <v>0</v>
      </c>
      <c r="F3787" t="b">
        <v>1</v>
      </c>
      <c r="N3787" s="1346"/>
    </row>
    <row r="3788" spans="1:14" x14ac:dyDescent="0.35">
      <c r="A3788" t="s">
        <v>6402</v>
      </c>
      <c r="B3788" t="s">
        <v>6239</v>
      </c>
      <c r="C3788" t="s">
        <v>6402</v>
      </c>
      <c r="D3788" t="s">
        <v>11058</v>
      </c>
      <c r="E3788">
        <f>disaster_armedconflict_jul_stateactors_pnp</f>
        <v>0</v>
      </c>
      <c r="F3788" t="b">
        <v>1</v>
      </c>
      <c r="N3788" s="1346"/>
    </row>
    <row r="3789" spans="1:14" x14ac:dyDescent="0.35">
      <c r="A3789" t="s">
        <v>6417</v>
      </c>
      <c r="B3789" t="s">
        <v>6239</v>
      </c>
      <c r="C3789" t="s">
        <v>6417</v>
      </c>
      <c r="D3789" t="s">
        <v>11089</v>
      </c>
      <c r="E3789">
        <f>disaster_armedconflict_aug_stateactors_pnp</f>
        <v>0</v>
      </c>
      <c r="F3789" t="b">
        <v>1</v>
      </c>
      <c r="N3789" s="1346"/>
    </row>
    <row r="3790" spans="1:14" x14ac:dyDescent="0.35">
      <c r="A3790" t="s">
        <v>6252</v>
      </c>
      <c r="B3790" t="s">
        <v>6239</v>
      </c>
      <c r="C3790" t="s">
        <v>6252</v>
      </c>
      <c r="D3790" t="s">
        <v>11090</v>
      </c>
      <c r="E3790">
        <f>disaster_armedconflict_sep_stateactors_pnp</f>
        <v>0</v>
      </c>
      <c r="F3790" t="b">
        <v>1</v>
      </c>
      <c r="N3790" s="1346"/>
    </row>
    <row r="3791" spans="1:14" x14ac:dyDescent="0.35">
      <c r="A3791" t="s">
        <v>6267</v>
      </c>
      <c r="B3791" t="s">
        <v>6239</v>
      </c>
      <c r="C3791" t="s">
        <v>6267</v>
      </c>
      <c r="D3791" t="s">
        <v>11091</v>
      </c>
      <c r="E3791">
        <f>disaster_armedconflict_oct_stateactors_pnp</f>
        <v>0</v>
      </c>
      <c r="F3791" t="b">
        <v>1</v>
      </c>
      <c r="N3791" s="1346"/>
    </row>
    <row r="3792" spans="1:14" x14ac:dyDescent="0.35">
      <c r="A3792" t="s">
        <v>6282</v>
      </c>
      <c r="B3792" t="s">
        <v>6239</v>
      </c>
      <c r="C3792" t="s">
        <v>6282</v>
      </c>
      <c r="D3792" t="s">
        <v>11092</v>
      </c>
      <c r="E3792">
        <f>disaster_armedconflict_nov_stateactors_pnp</f>
        <v>0</v>
      </c>
      <c r="F3792" t="b">
        <v>1</v>
      </c>
      <c r="N3792" s="1346"/>
    </row>
    <row r="3793" spans="1:14" x14ac:dyDescent="0.35">
      <c r="A3793" t="s">
        <v>6297</v>
      </c>
      <c r="B3793" t="s">
        <v>6239</v>
      </c>
      <c r="C3793" t="s">
        <v>6297</v>
      </c>
      <c r="D3793" t="s">
        <v>11093</v>
      </c>
      <c r="E3793">
        <f>disaster_armedconflict_dec_stateactors_pnp</f>
        <v>0</v>
      </c>
      <c r="F3793" t="b">
        <v>1</v>
      </c>
      <c r="N3793" s="1346"/>
    </row>
    <row r="3794" spans="1:14" x14ac:dyDescent="0.35">
      <c r="A3794" t="s">
        <v>6312</v>
      </c>
      <c r="B3794" t="s">
        <v>6239</v>
      </c>
      <c r="C3794" t="s">
        <v>6312</v>
      </c>
      <c r="D3794" t="s">
        <v>11094</v>
      </c>
      <c r="E3794">
        <f>disaster_armedconflict_jan_stateactors_pnp</f>
        <v>0</v>
      </c>
      <c r="F3794" t="b">
        <v>1</v>
      </c>
      <c r="N3794" s="1346"/>
    </row>
    <row r="3795" spans="1:14" x14ac:dyDescent="0.35">
      <c r="A3795" t="s">
        <v>6327</v>
      </c>
      <c r="B3795" t="s">
        <v>6239</v>
      </c>
      <c r="C3795" t="s">
        <v>6327</v>
      </c>
      <c r="D3795" t="s">
        <v>11095</v>
      </c>
      <c r="E3795">
        <f>disaster_armedconflict_feb_stateactors_pnp</f>
        <v>0</v>
      </c>
      <c r="F3795" t="b">
        <v>1</v>
      </c>
      <c r="N3795" s="1346"/>
    </row>
    <row r="3796" spans="1:14" x14ac:dyDescent="0.35">
      <c r="A3796" t="s">
        <v>6342</v>
      </c>
      <c r="B3796" t="s">
        <v>6239</v>
      </c>
      <c r="C3796" t="s">
        <v>6342</v>
      </c>
      <c r="D3796" t="s">
        <v>11096</v>
      </c>
      <c r="E3796">
        <f>disaster_armedconflict_mar_stateactors_pnp</f>
        <v>0</v>
      </c>
      <c r="F3796" t="b">
        <v>1</v>
      </c>
      <c r="N3796" s="1346"/>
    </row>
    <row r="3797" spans="1:14" x14ac:dyDescent="0.35">
      <c r="A3797" t="s">
        <v>6357</v>
      </c>
      <c r="B3797" t="s">
        <v>6239</v>
      </c>
      <c r="C3797" t="s">
        <v>6357</v>
      </c>
      <c r="D3797" t="s">
        <v>11097</v>
      </c>
      <c r="E3797">
        <f>disaster_armedconflict_apr_stateactors_pnp</f>
        <v>0</v>
      </c>
      <c r="F3797" t="b">
        <v>1</v>
      </c>
      <c r="N3797" s="1346"/>
    </row>
    <row r="3798" spans="1:14" x14ac:dyDescent="0.35">
      <c r="A3798" t="s">
        <v>6372</v>
      </c>
      <c r="B3798" t="s">
        <v>6239</v>
      </c>
      <c r="C3798" t="s">
        <v>6372</v>
      </c>
      <c r="D3798" t="s">
        <v>11098</v>
      </c>
      <c r="E3798">
        <f>disaster_armedconflict_may_stateactors_pnp</f>
        <v>0</v>
      </c>
      <c r="F3798" t="b">
        <v>1</v>
      </c>
      <c r="N3798" s="1346"/>
    </row>
    <row r="3799" spans="1:14" x14ac:dyDescent="0.35">
      <c r="A3799" t="s">
        <v>6845</v>
      </c>
      <c r="B3799" t="s">
        <v>6239</v>
      </c>
      <c r="C3799" t="s">
        <v>6845</v>
      </c>
      <c r="D3799" t="s">
        <v>11099</v>
      </c>
      <c r="E3799">
        <f>disastercalamities_armedconfIct_stateactors_others_specify</f>
        <v>0</v>
      </c>
      <c r="F3799" t="b">
        <v>1</v>
      </c>
      <c r="N3799" s="1346"/>
    </row>
    <row r="3800" spans="1:14" x14ac:dyDescent="0.35">
      <c r="A3800" t="s">
        <v>6388</v>
      </c>
      <c r="B3800" t="s">
        <v>6239</v>
      </c>
      <c r="C3800" t="s">
        <v>6388</v>
      </c>
      <c r="D3800" t="s">
        <v>11100</v>
      </c>
      <c r="E3800">
        <f>disaster_armedconflict_jun_stateactors_others_specify</f>
        <v>0</v>
      </c>
      <c r="F3800" t="b">
        <v>1</v>
      </c>
      <c r="N3800" s="1346"/>
    </row>
    <row r="3801" spans="1:14" x14ac:dyDescent="0.35">
      <c r="A3801" t="s">
        <v>6403</v>
      </c>
      <c r="B3801" t="s">
        <v>6239</v>
      </c>
      <c r="C3801" t="s">
        <v>6403</v>
      </c>
      <c r="D3801" t="s">
        <v>11101</v>
      </c>
      <c r="E3801">
        <f>disaster_armedconflict_jul_stateactors_others_specify</f>
        <v>0</v>
      </c>
      <c r="F3801" t="b">
        <v>1</v>
      </c>
      <c r="N3801" s="1346"/>
    </row>
    <row r="3802" spans="1:14" x14ac:dyDescent="0.35">
      <c r="A3802" t="s">
        <v>6418</v>
      </c>
      <c r="B3802" t="s">
        <v>6239</v>
      </c>
      <c r="C3802" t="s">
        <v>6418</v>
      </c>
      <c r="D3802" t="s">
        <v>11102</v>
      </c>
      <c r="E3802">
        <f>disaster_armedconflict_aug_stateactors_others_specify</f>
        <v>0</v>
      </c>
      <c r="F3802" t="b">
        <v>1</v>
      </c>
      <c r="N3802" s="1346"/>
    </row>
    <row r="3803" spans="1:14" x14ac:dyDescent="0.35">
      <c r="A3803" t="s">
        <v>6253</v>
      </c>
      <c r="B3803" t="s">
        <v>6239</v>
      </c>
      <c r="C3803" t="s">
        <v>6253</v>
      </c>
      <c r="D3803" t="s">
        <v>11103</v>
      </c>
      <c r="E3803">
        <f>disaster_armedconflict_sep_stateactors_others_specify</f>
        <v>0</v>
      </c>
      <c r="F3803" t="b">
        <v>1</v>
      </c>
      <c r="N3803" s="1346"/>
    </row>
    <row r="3804" spans="1:14" x14ac:dyDescent="0.35">
      <c r="A3804" t="s">
        <v>6268</v>
      </c>
      <c r="B3804" t="s">
        <v>6239</v>
      </c>
      <c r="C3804" t="s">
        <v>6268</v>
      </c>
      <c r="D3804" t="s">
        <v>11104</v>
      </c>
      <c r="E3804">
        <f>disaster_armedconflict_oct_stateactors_others_specify</f>
        <v>0</v>
      </c>
      <c r="F3804" t="b">
        <v>1</v>
      </c>
      <c r="N3804" s="1346"/>
    </row>
    <row r="3805" spans="1:14" x14ac:dyDescent="0.35">
      <c r="A3805" t="s">
        <v>6283</v>
      </c>
      <c r="B3805" t="s">
        <v>6239</v>
      </c>
      <c r="C3805" t="s">
        <v>6283</v>
      </c>
      <c r="D3805" t="s">
        <v>11105</v>
      </c>
      <c r="E3805">
        <f>disaster_armedconflict_nov_stateactors_others_specify</f>
        <v>0</v>
      </c>
      <c r="F3805" t="b">
        <v>1</v>
      </c>
      <c r="N3805" s="1346"/>
    </row>
    <row r="3806" spans="1:14" x14ac:dyDescent="0.35">
      <c r="A3806" t="s">
        <v>6298</v>
      </c>
      <c r="B3806" t="s">
        <v>6239</v>
      </c>
      <c r="C3806" t="s">
        <v>6298</v>
      </c>
      <c r="D3806" t="s">
        <v>11106</v>
      </c>
      <c r="E3806">
        <f>disaster_armedconflict_dec_stateactors_others_specify</f>
        <v>0</v>
      </c>
      <c r="F3806" t="b">
        <v>1</v>
      </c>
      <c r="N3806" s="1346"/>
    </row>
    <row r="3807" spans="1:14" x14ac:dyDescent="0.35">
      <c r="A3807" t="s">
        <v>6313</v>
      </c>
      <c r="B3807" t="s">
        <v>6239</v>
      </c>
      <c r="C3807" t="s">
        <v>6313</v>
      </c>
      <c r="D3807" t="s">
        <v>11107</v>
      </c>
      <c r="E3807">
        <f>disaster_armedconflict_jan_stateactors_others_specify</f>
        <v>0</v>
      </c>
      <c r="F3807" t="b">
        <v>1</v>
      </c>
      <c r="N3807" s="1346"/>
    </row>
    <row r="3808" spans="1:14" x14ac:dyDescent="0.35">
      <c r="A3808" t="s">
        <v>6328</v>
      </c>
      <c r="B3808" t="s">
        <v>6239</v>
      </c>
      <c r="C3808" t="s">
        <v>6328</v>
      </c>
      <c r="D3808" t="s">
        <v>11108</v>
      </c>
      <c r="E3808">
        <f>disaster_armedconflict_feb_stateactors_others_specify</f>
        <v>0</v>
      </c>
      <c r="F3808" t="b">
        <v>1</v>
      </c>
      <c r="N3808" s="1346"/>
    </row>
    <row r="3809" spans="1:14" x14ac:dyDescent="0.35">
      <c r="A3809" t="s">
        <v>6343</v>
      </c>
      <c r="B3809" t="s">
        <v>6239</v>
      </c>
      <c r="C3809" t="s">
        <v>6343</v>
      </c>
      <c r="D3809" t="s">
        <v>11109</v>
      </c>
      <c r="E3809">
        <f>disaster_armedconflict_mar_stateactors_others_specify</f>
        <v>0</v>
      </c>
      <c r="F3809" t="b">
        <v>1</v>
      </c>
      <c r="N3809" s="1346"/>
    </row>
    <row r="3810" spans="1:14" x14ac:dyDescent="0.35">
      <c r="A3810" t="s">
        <v>6358</v>
      </c>
      <c r="B3810" t="s">
        <v>6239</v>
      </c>
      <c r="C3810" t="s">
        <v>6358</v>
      </c>
      <c r="D3810" t="s">
        <v>11110</v>
      </c>
      <c r="E3810">
        <f>disaster_armedconflict_apr_stateactors_others_specify</f>
        <v>0</v>
      </c>
      <c r="F3810" t="b">
        <v>1</v>
      </c>
      <c r="N3810" s="1346"/>
    </row>
    <row r="3811" spans="1:14" x14ac:dyDescent="0.35">
      <c r="A3811" t="s">
        <v>6373</v>
      </c>
      <c r="B3811" t="s">
        <v>6239</v>
      </c>
      <c r="C3811" t="s">
        <v>6373</v>
      </c>
      <c r="D3811" t="s">
        <v>11111</v>
      </c>
      <c r="E3811">
        <f>disaster_armedconflict_may_stateactors_others_specify</f>
        <v>0</v>
      </c>
      <c r="F3811" t="b">
        <v>1</v>
      </c>
      <c r="N3811" s="1346"/>
    </row>
    <row r="3812" spans="1:14" x14ac:dyDescent="0.35">
      <c r="A3812" t="s">
        <v>6389</v>
      </c>
      <c r="B3812" t="s">
        <v>6239</v>
      </c>
      <c r="C3812" t="s">
        <v>6389</v>
      </c>
      <c r="D3812" t="s">
        <v>11046</v>
      </c>
      <c r="E3812">
        <f>disaster_armedconflict_jun_nonstateactors_asg</f>
        <v>0</v>
      </c>
      <c r="F3812" t="b">
        <v>1</v>
      </c>
      <c r="N3812" s="1346"/>
    </row>
    <row r="3813" spans="1:14" x14ac:dyDescent="0.35">
      <c r="A3813" t="s">
        <v>6404</v>
      </c>
      <c r="B3813" t="s">
        <v>6239</v>
      </c>
      <c r="C3813" t="s">
        <v>6404</v>
      </c>
      <c r="D3813" t="s">
        <v>11059</v>
      </c>
      <c r="E3813">
        <f>disaster_armedconflict_jul_nonstateactors_asg</f>
        <v>0</v>
      </c>
      <c r="F3813" t="b">
        <v>1</v>
      </c>
      <c r="N3813" s="1346"/>
    </row>
    <row r="3814" spans="1:14" x14ac:dyDescent="0.35">
      <c r="A3814" t="s">
        <v>6419</v>
      </c>
      <c r="B3814" t="s">
        <v>6239</v>
      </c>
      <c r="C3814" t="s">
        <v>6419</v>
      </c>
      <c r="D3814" t="s">
        <v>11112</v>
      </c>
      <c r="E3814">
        <f>disaster_armedconflict_aug_nonstateactors_asg</f>
        <v>0</v>
      </c>
      <c r="F3814" t="b">
        <v>1</v>
      </c>
      <c r="N3814" s="1346"/>
    </row>
    <row r="3815" spans="1:14" x14ac:dyDescent="0.35">
      <c r="A3815" t="s">
        <v>6254</v>
      </c>
      <c r="B3815" t="s">
        <v>6239</v>
      </c>
      <c r="C3815" t="s">
        <v>6254</v>
      </c>
      <c r="D3815" t="s">
        <v>11113</v>
      </c>
      <c r="E3815">
        <f>disaster_armedconflict_sep_nonstateactors_asg</f>
        <v>0</v>
      </c>
      <c r="F3815" t="b">
        <v>1</v>
      </c>
      <c r="N3815" s="1346"/>
    </row>
    <row r="3816" spans="1:14" x14ac:dyDescent="0.35">
      <c r="A3816" t="s">
        <v>6269</v>
      </c>
      <c r="B3816" t="s">
        <v>6239</v>
      </c>
      <c r="C3816" t="s">
        <v>6269</v>
      </c>
      <c r="D3816" t="s">
        <v>11114</v>
      </c>
      <c r="E3816">
        <f>disaster_armedconflict_oct_nonstateactors_asg</f>
        <v>0</v>
      </c>
      <c r="F3816" t="b">
        <v>1</v>
      </c>
      <c r="N3816" s="1346"/>
    </row>
    <row r="3817" spans="1:14" x14ac:dyDescent="0.35">
      <c r="A3817" t="s">
        <v>6284</v>
      </c>
      <c r="B3817" t="s">
        <v>6239</v>
      </c>
      <c r="C3817" t="s">
        <v>6284</v>
      </c>
      <c r="D3817" t="s">
        <v>11115</v>
      </c>
      <c r="E3817">
        <f>disaster_armedconflict_nov_nonstateactors_asg</f>
        <v>0</v>
      </c>
      <c r="F3817" t="b">
        <v>1</v>
      </c>
      <c r="N3817" s="1346"/>
    </row>
    <row r="3818" spans="1:14" x14ac:dyDescent="0.35">
      <c r="A3818" t="s">
        <v>6299</v>
      </c>
      <c r="B3818" t="s">
        <v>6239</v>
      </c>
      <c r="C3818" t="s">
        <v>6299</v>
      </c>
      <c r="D3818" t="s">
        <v>11116</v>
      </c>
      <c r="E3818">
        <f>disaster_armedconflict_dec_nonstateactors_asg</f>
        <v>0</v>
      </c>
      <c r="F3818" t="b">
        <v>1</v>
      </c>
      <c r="N3818" s="1346"/>
    </row>
    <row r="3819" spans="1:14" x14ac:dyDescent="0.35">
      <c r="A3819" t="s">
        <v>6314</v>
      </c>
      <c r="B3819" t="s">
        <v>6239</v>
      </c>
      <c r="C3819" t="s">
        <v>6314</v>
      </c>
      <c r="D3819" t="s">
        <v>11117</v>
      </c>
      <c r="E3819">
        <f>disaster_armedconflict_jan_nonstateactors_asg</f>
        <v>0</v>
      </c>
      <c r="F3819" t="b">
        <v>1</v>
      </c>
      <c r="N3819" s="1346"/>
    </row>
    <row r="3820" spans="1:14" x14ac:dyDescent="0.35">
      <c r="A3820" t="s">
        <v>6329</v>
      </c>
      <c r="B3820" t="s">
        <v>6239</v>
      </c>
      <c r="C3820" t="s">
        <v>6329</v>
      </c>
      <c r="D3820" t="s">
        <v>11118</v>
      </c>
      <c r="E3820">
        <f>disaster_armedconflict_feb_nonstateactors_asg</f>
        <v>0</v>
      </c>
      <c r="F3820" t="b">
        <v>1</v>
      </c>
      <c r="N3820" s="1346"/>
    </row>
    <row r="3821" spans="1:14" x14ac:dyDescent="0.35">
      <c r="A3821" t="s">
        <v>6344</v>
      </c>
      <c r="B3821" t="s">
        <v>6239</v>
      </c>
      <c r="C3821" t="s">
        <v>6344</v>
      </c>
      <c r="D3821" t="s">
        <v>11119</v>
      </c>
      <c r="E3821">
        <f>disaster_armedconflict_mar_nonstateactors_asg</f>
        <v>0</v>
      </c>
      <c r="F3821" t="b">
        <v>1</v>
      </c>
      <c r="N3821" s="1346"/>
    </row>
    <row r="3822" spans="1:14" x14ac:dyDescent="0.35">
      <c r="A3822" t="s">
        <v>6359</v>
      </c>
      <c r="B3822" t="s">
        <v>6239</v>
      </c>
      <c r="C3822" t="s">
        <v>6359</v>
      </c>
      <c r="D3822" t="s">
        <v>11120</v>
      </c>
      <c r="E3822">
        <f>disaster_armedconflict_apr_nonstateactors_asg</f>
        <v>0</v>
      </c>
      <c r="F3822" t="b">
        <v>1</v>
      </c>
      <c r="N3822" s="1346"/>
    </row>
    <row r="3823" spans="1:14" x14ac:dyDescent="0.35">
      <c r="A3823" t="s">
        <v>6374</v>
      </c>
      <c r="B3823" t="s">
        <v>6239</v>
      </c>
      <c r="C3823" t="s">
        <v>6374</v>
      </c>
      <c r="D3823" t="s">
        <v>11121</v>
      </c>
      <c r="E3823">
        <f>disaster_armedconflict_may_nonstateactors_asg</f>
        <v>0</v>
      </c>
      <c r="F3823" t="b">
        <v>1</v>
      </c>
      <c r="N3823" s="1346"/>
    </row>
    <row r="3824" spans="1:14" x14ac:dyDescent="0.35">
      <c r="A3824" t="s">
        <v>6390</v>
      </c>
      <c r="B3824" t="s">
        <v>6239</v>
      </c>
      <c r="C3824" t="s">
        <v>6390</v>
      </c>
      <c r="D3824" t="s">
        <v>11047</v>
      </c>
      <c r="E3824">
        <f>disaster_armedconflict_jun_nonstateactors_biff</f>
        <v>0</v>
      </c>
      <c r="F3824" t="b">
        <v>1</v>
      </c>
      <c r="N3824" s="1346"/>
    </row>
    <row r="3825" spans="1:14" x14ac:dyDescent="0.35">
      <c r="A3825" t="s">
        <v>6405</v>
      </c>
      <c r="B3825" t="s">
        <v>6239</v>
      </c>
      <c r="C3825" t="s">
        <v>6405</v>
      </c>
      <c r="D3825" t="s">
        <v>11060</v>
      </c>
      <c r="E3825">
        <f>disaster_armedconflict_jul_nonstateactors_biff</f>
        <v>0</v>
      </c>
      <c r="F3825" t="b">
        <v>1</v>
      </c>
      <c r="N3825" s="1346"/>
    </row>
    <row r="3826" spans="1:14" x14ac:dyDescent="0.35">
      <c r="A3826" t="s">
        <v>6420</v>
      </c>
      <c r="B3826" t="s">
        <v>6239</v>
      </c>
      <c r="C3826" t="s">
        <v>6420</v>
      </c>
      <c r="D3826" t="s">
        <v>11122</v>
      </c>
      <c r="E3826">
        <f>disaster_armedconflict_aug_nonstateactors_biff</f>
        <v>0</v>
      </c>
      <c r="F3826" t="b">
        <v>1</v>
      </c>
      <c r="N3826" s="1346"/>
    </row>
    <row r="3827" spans="1:14" x14ac:dyDescent="0.35">
      <c r="A3827" t="s">
        <v>6255</v>
      </c>
      <c r="B3827" t="s">
        <v>6239</v>
      </c>
      <c r="C3827" t="s">
        <v>6255</v>
      </c>
      <c r="D3827" t="s">
        <v>11123</v>
      </c>
      <c r="E3827">
        <f>disaster_armedconflict_sep_nonstateactors_biff</f>
        <v>0</v>
      </c>
      <c r="F3827" t="b">
        <v>1</v>
      </c>
      <c r="N3827" s="1346"/>
    </row>
    <row r="3828" spans="1:14" x14ac:dyDescent="0.35">
      <c r="A3828" t="s">
        <v>6270</v>
      </c>
      <c r="B3828" t="s">
        <v>6239</v>
      </c>
      <c r="C3828" t="s">
        <v>6270</v>
      </c>
      <c r="D3828" t="s">
        <v>11124</v>
      </c>
      <c r="E3828">
        <f>disaster_armedconflict_oct_nonstateactors_biff</f>
        <v>0</v>
      </c>
      <c r="F3828" t="b">
        <v>1</v>
      </c>
      <c r="N3828" s="1346"/>
    </row>
    <row r="3829" spans="1:14" x14ac:dyDescent="0.35">
      <c r="A3829" t="s">
        <v>6285</v>
      </c>
      <c r="B3829" t="s">
        <v>6239</v>
      </c>
      <c r="C3829" t="s">
        <v>6285</v>
      </c>
      <c r="D3829" t="s">
        <v>11125</v>
      </c>
      <c r="E3829">
        <f>disaster_armedconflict_nov_nonstateactors_biff</f>
        <v>0</v>
      </c>
      <c r="F3829" t="b">
        <v>1</v>
      </c>
      <c r="N3829" s="1346"/>
    </row>
    <row r="3830" spans="1:14" x14ac:dyDescent="0.35">
      <c r="A3830" t="s">
        <v>6300</v>
      </c>
      <c r="B3830" t="s">
        <v>6239</v>
      </c>
      <c r="C3830" t="s">
        <v>6300</v>
      </c>
      <c r="D3830" t="s">
        <v>11126</v>
      </c>
      <c r="E3830">
        <f>disaster_armedconflict_dec_nonstateactors_biff</f>
        <v>0</v>
      </c>
      <c r="F3830" t="b">
        <v>1</v>
      </c>
      <c r="N3830" s="1346"/>
    </row>
    <row r="3831" spans="1:14" x14ac:dyDescent="0.35">
      <c r="A3831" t="s">
        <v>6315</v>
      </c>
      <c r="B3831" t="s">
        <v>6239</v>
      </c>
      <c r="C3831" t="s">
        <v>6315</v>
      </c>
      <c r="D3831" t="s">
        <v>11127</v>
      </c>
      <c r="E3831">
        <f>disaster_armedconflict_jan_nonstateactors_biff</f>
        <v>0</v>
      </c>
      <c r="F3831" t="b">
        <v>1</v>
      </c>
      <c r="N3831" s="1346"/>
    </row>
    <row r="3832" spans="1:14" x14ac:dyDescent="0.35">
      <c r="A3832" t="s">
        <v>6330</v>
      </c>
      <c r="B3832" t="s">
        <v>6239</v>
      </c>
      <c r="C3832" t="s">
        <v>6330</v>
      </c>
      <c r="D3832" t="s">
        <v>11128</v>
      </c>
      <c r="E3832">
        <f>disaster_armedconflict_feb_nonstateactors_biff</f>
        <v>0</v>
      </c>
      <c r="F3832" t="b">
        <v>1</v>
      </c>
      <c r="N3832" s="1346"/>
    </row>
    <row r="3833" spans="1:14" x14ac:dyDescent="0.35">
      <c r="A3833" t="s">
        <v>6345</v>
      </c>
      <c r="B3833" t="s">
        <v>6239</v>
      </c>
      <c r="C3833" t="s">
        <v>6345</v>
      </c>
      <c r="D3833" t="s">
        <v>11129</v>
      </c>
      <c r="E3833">
        <f>disaster_armedconflict_mar_nonstateactors_biff</f>
        <v>0</v>
      </c>
      <c r="F3833" t="b">
        <v>1</v>
      </c>
      <c r="N3833" s="1346"/>
    </row>
    <row r="3834" spans="1:14" x14ac:dyDescent="0.35">
      <c r="A3834" t="s">
        <v>6360</v>
      </c>
      <c r="B3834" t="s">
        <v>6239</v>
      </c>
      <c r="C3834" t="s">
        <v>6360</v>
      </c>
      <c r="D3834" t="s">
        <v>11130</v>
      </c>
      <c r="E3834">
        <f>disaster_armedconflict_apr_nonstateactors_biff</f>
        <v>0</v>
      </c>
      <c r="F3834" t="b">
        <v>1</v>
      </c>
      <c r="N3834" s="1346"/>
    </row>
    <row r="3835" spans="1:14" x14ac:dyDescent="0.35">
      <c r="A3835" t="s">
        <v>6375</v>
      </c>
      <c r="B3835" t="s">
        <v>6239</v>
      </c>
      <c r="C3835" t="s">
        <v>6375</v>
      </c>
      <c r="D3835" t="s">
        <v>11131</v>
      </c>
      <c r="E3835">
        <f>disaster_armedconflict_may_nonstateactors_biff</f>
        <v>0</v>
      </c>
      <c r="F3835" t="b">
        <v>1</v>
      </c>
      <c r="N3835" s="1346"/>
    </row>
    <row r="3836" spans="1:14" x14ac:dyDescent="0.35">
      <c r="A3836" t="s">
        <v>6391</v>
      </c>
      <c r="B3836" t="s">
        <v>6239</v>
      </c>
      <c r="C3836" t="s">
        <v>6391</v>
      </c>
      <c r="D3836" t="s">
        <v>11048</v>
      </c>
      <c r="E3836">
        <f>disaster_armedconflict_jun_nonstateactors_npa</f>
        <v>0</v>
      </c>
      <c r="F3836" t="b">
        <v>1</v>
      </c>
      <c r="N3836" s="1346"/>
    </row>
    <row r="3837" spans="1:14" x14ac:dyDescent="0.35">
      <c r="A3837" t="s">
        <v>6406</v>
      </c>
      <c r="B3837" t="s">
        <v>6239</v>
      </c>
      <c r="C3837" t="s">
        <v>6406</v>
      </c>
      <c r="D3837" t="s">
        <v>11061</v>
      </c>
      <c r="E3837">
        <f>disaster_armedconflict_jul_nonstateactors_npa</f>
        <v>0</v>
      </c>
      <c r="F3837" t="b">
        <v>1</v>
      </c>
      <c r="N3837" s="1346"/>
    </row>
    <row r="3838" spans="1:14" x14ac:dyDescent="0.35">
      <c r="A3838" t="s">
        <v>6421</v>
      </c>
      <c r="B3838" t="s">
        <v>6239</v>
      </c>
      <c r="C3838" t="s">
        <v>6421</v>
      </c>
      <c r="D3838" t="s">
        <v>11132</v>
      </c>
      <c r="E3838">
        <f>disaster_armedconflict_aug_nonstateactors_npa</f>
        <v>0</v>
      </c>
      <c r="F3838" t="b">
        <v>1</v>
      </c>
      <c r="N3838" s="1346"/>
    </row>
    <row r="3839" spans="1:14" x14ac:dyDescent="0.35">
      <c r="A3839" t="s">
        <v>6256</v>
      </c>
      <c r="B3839" t="s">
        <v>6239</v>
      </c>
      <c r="C3839" t="s">
        <v>6256</v>
      </c>
      <c r="D3839" t="s">
        <v>11133</v>
      </c>
      <c r="E3839">
        <f>disaster_armedconflict_sep_nonstateactors_npa</f>
        <v>0</v>
      </c>
      <c r="F3839" t="b">
        <v>1</v>
      </c>
      <c r="N3839" s="1346"/>
    </row>
    <row r="3840" spans="1:14" x14ac:dyDescent="0.35">
      <c r="A3840" t="s">
        <v>6271</v>
      </c>
      <c r="B3840" t="s">
        <v>6239</v>
      </c>
      <c r="C3840" t="s">
        <v>6271</v>
      </c>
      <c r="D3840" t="s">
        <v>11134</v>
      </c>
      <c r="E3840">
        <f>disaster_armedconflict_oct_nonstateactors_npa</f>
        <v>0</v>
      </c>
      <c r="F3840" t="b">
        <v>1</v>
      </c>
      <c r="N3840" s="1346"/>
    </row>
    <row r="3841" spans="1:14" x14ac:dyDescent="0.35">
      <c r="A3841" t="s">
        <v>6286</v>
      </c>
      <c r="B3841" t="s">
        <v>6239</v>
      </c>
      <c r="C3841" t="s">
        <v>6286</v>
      </c>
      <c r="D3841" t="s">
        <v>11135</v>
      </c>
      <c r="E3841">
        <f>disaster_armedconflict_nov_nonstateactors_npa</f>
        <v>0</v>
      </c>
      <c r="F3841" t="b">
        <v>1</v>
      </c>
      <c r="N3841" s="1346"/>
    </row>
    <row r="3842" spans="1:14" x14ac:dyDescent="0.35">
      <c r="A3842" t="s">
        <v>6301</v>
      </c>
      <c r="B3842" t="s">
        <v>6239</v>
      </c>
      <c r="C3842" t="s">
        <v>6301</v>
      </c>
      <c r="D3842" t="s">
        <v>11136</v>
      </c>
      <c r="E3842">
        <f>disaster_armedconflict_dec_nonstateactors_npa</f>
        <v>0</v>
      </c>
      <c r="F3842" t="b">
        <v>1</v>
      </c>
      <c r="N3842" s="1346"/>
    </row>
    <row r="3843" spans="1:14" x14ac:dyDescent="0.35">
      <c r="A3843" t="s">
        <v>6316</v>
      </c>
      <c r="B3843" t="s">
        <v>6239</v>
      </c>
      <c r="C3843" t="s">
        <v>6316</v>
      </c>
      <c r="D3843" t="s">
        <v>11137</v>
      </c>
      <c r="E3843">
        <f>disaster_armedconflict_jan_nonstateactors_npa</f>
        <v>0</v>
      </c>
      <c r="F3843" t="b">
        <v>1</v>
      </c>
      <c r="N3843" s="1346"/>
    </row>
    <row r="3844" spans="1:14" x14ac:dyDescent="0.35">
      <c r="A3844" t="s">
        <v>6331</v>
      </c>
      <c r="B3844" t="s">
        <v>6239</v>
      </c>
      <c r="C3844" t="s">
        <v>6331</v>
      </c>
      <c r="D3844" t="s">
        <v>11138</v>
      </c>
      <c r="E3844">
        <f>disaster_armedconflict_feb_nonstateactors_npa</f>
        <v>0</v>
      </c>
      <c r="F3844" t="b">
        <v>1</v>
      </c>
      <c r="N3844" s="1346"/>
    </row>
    <row r="3845" spans="1:14" x14ac:dyDescent="0.35">
      <c r="A3845" t="s">
        <v>6346</v>
      </c>
      <c r="B3845" t="s">
        <v>6239</v>
      </c>
      <c r="C3845" t="s">
        <v>6346</v>
      </c>
      <c r="D3845" t="s">
        <v>11139</v>
      </c>
      <c r="E3845">
        <f>disaster_armedconflict_mar_nonstateactors_npa</f>
        <v>0</v>
      </c>
      <c r="F3845" t="b">
        <v>1</v>
      </c>
      <c r="N3845" s="1346"/>
    </row>
    <row r="3846" spans="1:14" x14ac:dyDescent="0.35">
      <c r="A3846" t="s">
        <v>6361</v>
      </c>
      <c r="B3846" t="s">
        <v>6239</v>
      </c>
      <c r="C3846" t="s">
        <v>6361</v>
      </c>
      <c r="D3846" t="s">
        <v>11140</v>
      </c>
      <c r="E3846">
        <f>disaster_armedconflict_apr_nonstateactors_npa</f>
        <v>0</v>
      </c>
      <c r="F3846" t="b">
        <v>1</v>
      </c>
      <c r="N3846" s="1346"/>
    </row>
    <row r="3847" spans="1:14" x14ac:dyDescent="0.35">
      <c r="A3847" t="s">
        <v>6376</v>
      </c>
      <c r="B3847" t="s">
        <v>6239</v>
      </c>
      <c r="C3847" t="s">
        <v>6376</v>
      </c>
      <c r="D3847" t="s">
        <v>11141</v>
      </c>
      <c r="E3847">
        <f>disaster_armedconflict_may_nonstateactors_npa</f>
        <v>0</v>
      </c>
      <c r="F3847" t="b">
        <v>1</v>
      </c>
      <c r="N3847" s="1346"/>
    </row>
    <row r="3848" spans="1:14" x14ac:dyDescent="0.35">
      <c r="A3848" t="s">
        <v>6392</v>
      </c>
      <c r="B3848" t="s">
        <v>6239</v>
      </c>
      <c r="C3848" t="s">
        <v>6392</v>
      </c>
      <c r="D3848" t="s">
        <v>11049</v>
      </c>
      <c r="E3848">
        <f>disaster_armedconflict_jun_nonstateactors_maute</f>
        <v>0</v>
      </c>
      <c r="F3848" t="b">
        <v>1</v>
      </c>
      <c r="N3848" s="1346"/>
    </row>
    <row r="3849" spans="1:14" x14ac:dyDescent="0.35">
      <c r="A3849" t="s">
        <v>6407</v>
      </c>
      <c r="B3849" t="s">
        <v>6239</v>
      </c>
      <c r="C3849" t="s">
        <v>6407</v>
      </c>
      <c r="D3849" t="s">
        <v>11062</v>
      </c>
      <c r="E3849">
        <f>disaster_armedconflict_jul_nonstateactors_maute</f>
        <v>0</v>
      </c>
      <c r="F3849" t="b">
        <v>1</v>
      </c>
      <c r="N3849" s="1346"/>
    </row>
    <row r="3850" spans="1:14" x14ac:dyDescent="0.35">
      <c r="A3850" t="s">
        <v>6422</v>
      </c>
      <c r="B3850" t="s">
        <v>6239</v>
      </c>
      <c r="C3850" t="s">
        <v>6422</v>
      </c>
      <c r="D3850" t="s">
        <v>11142</v>
      </c>
      <c r="E3850">
        <f>disaster_armedconflict_aug_nonstateactors_maute</f>
        <v>0</v>
      </c>
      <c r="F3850" t="b">
        <v>1</v>
      </c>
      <c r="N3850" s="1346"/>
    </row>
    <row r="3851" spans="1:14" x14ac:dyDescent="0.35">
      <c r="A3851" t="s">
        <v>6257</v>
      </c>
      <c r="B3851" t="s">
        <v>6239</v>
      </c>
      <c r="C3851" t="s">
        <v>6257</v>
      </c>
      <c r="D3851" t="s">
        <v>11143</v>
      </c>
      <c r="E3851">
        <f>disaster_armedconflict_sep_nonstateactors_maute</f>
        <v>0</v>
      </c>
      <c r="F3851" t="b">
        <v>1</v>
      </c>
      <c r="N3851" s="1346"/>
    </row>
    <row r="3852" spans="1:14" x14ac:dyDescent="0.35">
      <c r="A3852" t="s">
        <v>6272</v>
      </c>
      <c r="B3852" t="s">
        <v>6239</v>
      </c>
      <c r="C3852" t="s">
        <v>6272</v>
      </c>
      <c r="D3852" t="s">
        <v>11144</v>
      </c>
      <c r="E3852">
        <f>disaster_armedconflict_oct_nonstateactors_maute</f>
        <v>0</v>
      </c>
      <c r="F3852" t="b">
        <v>1</v>
      </c>
      <c r="N3852" s="1346"/>
    </row>
    <row r="3853" spans="1:14" x14ac:dyDescent="0.35">
      <c r="A3853" t="s">
        <v>6287</v>
      </c>
      <c r="B3853" t="s">
        <v>6239</v>
      </c>
      <c r="C3853" t="s">
        <v>6287</v>
      </c>
      <c r="D3853" t="s">
        <v>11145</v>
      </c>
      <c r="E3853">
        <f>disaster_armedconflict_nov_nonstateactors_maute</f>
        <v>0</v>
      </c>
      <c r="F3853" t="b">
        <v>1</v>
      </c>
      <c r="N3853" s="1346"/>
    </row>
    <row r="3854" spans="1:14" x14ac:dyDescent="0.35">
      <c r="A3854" t="s">
        <v>6302</v>
      </c>
      <c r="B3854" t="s">
        <v>6239</v>
      </c>
      <c r="C3854" t="s">
        <v>6302</v>
      </c>
      <c r="D3854" t="s">
        <v>11146</v>
      </c>
      <c r="E3854">
        <f>disaster_armedconflict_dec_nonstateactors_maute</f>
        <v>0</v>
      </c>
      <c r="F3854" t="b">
        <v>1</v>
      </c>
      <c r="N3854" s="1346"/>
    </row>
    <row r="3855" spans="1:14" x14ac:dyDescent="0.35">
      <c r="A3855" t="s">
        <v>6317</v>
      </c>
      <c r="B3855" t="s">
        <v>6239</v>
      </c>
      <c r="C3855" t="s">
        <v>6317</v>
      </c>
      <c r="D3855" t="s">
        <v>11147</v>
      </c>
      <c r="E3855">
        <f>disaster_armedconflict_jan_nonstateactors_maute</f>
        <v>0</v>
      </c>
      <c r="F3855" t="b">
        <v>1</v>
      </c>
      <c r="N3855" s="1346"/>
    </row>
    <row r="3856" spans="1:14" x14ac:dyDescent="0.35">
      <c r="A3856" t="s">
        <v>6332</v>
      </c>
      <c r="B3856" t="s">
        <v>6239</v>
      </c>
      <c r="C3856" t="s">
        <v>6332</v>
      </c>
      <c r="D3856" t="s">
        <v>11148</v>
      </c>
      <c r="E3856">
        <f>disaster_armedconflict_feb_nonstateactors_maute</f>
        <v>0</v>
      </c>
      <c r="F3856" t="b">
        <v>1</v>
      </c>
      <c r="N3856" s="1346"/>
    </row>
    <row r="3857" spans="1:14" x14ac:dyDescent="0.35">
      <c r="A3857" t="s">
        <v>6347</v>
      </c>
      <c r="B3857" t="s">
        <v>6239</v>
      </c>
      <c r="C3857" t="s">
        <v>6347</v>
      </c>
      <c r="D3857" t="s">
        <v>11149</v>
      </c>
      <c r="E3857">
        <f>disaster_armedconflict_mar_nonstateactors_maute</f>
        <v>0</v>
      </c>
      <c r="F3857" t="b">
        <v>1</v>
      </c>
      <c r="N3857" s="1346"/>
    </row>
    <row r="3858" spans="1:14" x14ac:dyDescent="0.35">
      <c r="A3858" t="s">
        <v>6362</v>
      </c>
      <c r="B3858" t="s">
        <v>6239</v>
      </c>
      <c r="C3858" t="s">
        <v>6362</v>
      </c>
      <c r="D3858" t="s">
        <v>11150</v>
      </c>
      <c r="E3858">
        <f>disaster_armedconflict_apr_nonstateactors_maute</f>
        <v>0</v>
      </c>
      <c r="F3858" t="b">
        <v>1</v>
      </c>
      <c r="N3858" s="1346"/>
    </row>
    <row r="3859" spans="1:14" x14ac:dyDescent="0.35">
      <c r="A3859" t="s">
        <v>6377</v>
      </c>
      <c r="B3859" t="s">
        <v>6239</v>
      </c>
      <c r="C3859" t="s">
        <v>6377</v>
      </c>
      <c r="D3859" t="s">
        <v>11151</v>
      </c>
      <c r="E3859">
        <f>disaster_armedconflict_may_nonstateactors_maute</f>
        <v>0</v>
      </c>
      <c r="F3859" t="b">
        <v>1</v>
      </c>
      <c r="N3859" s="1346"/>
    </row>
    <row r="3860" spans="1:14" x14ac:dyDescent="0.35">
      <c r="A3860" t="s">
        <v>6393</v>
      </c>
      <c r="B3860" t="s">
        <v>6239</v>
      </c>
      <c r="C3860" t="s">
        <v>6393</v>
      </c>
      <c r="D3860" t="s">
        <v>11050</v>
      </c>
      <c r="E3860">
        <f>disaster_armedconflict_jun_nonstateactors_mnlf</f>
        <v>0</v>
      </c>
      <c r="F3860" t="b">
        <v>1</v>
      </c>
      <c r="N3860" s="1346"/>
    </row>
    <row r="3861" spans="1:14" x14ac:dyDescent="0.35">
      <c r="A3861" t="s">
        <v>6408</v>
      </c>
      <c r="B3861" t="s">
        <v>6239</v>
      </c>
      <c r="C3861" t="s">
        <v>6408</v>
      </c>
      <c r="D3861" t="s">
        <v>11063</v>
      </c>
      <c r="E3861">
        <f>disaster_armedconflict_jul_nonstateactors_mnlf</f>
        <v>0</v>
      </c>
      <c r="F3861" t="b">
        <v>1</v>
      </c>
      <c r="N3861" s="1346"/>
    </row>
    <row r="3862" spans="1:14" x14ac:dyDescent="0.35">
      <c r="A3862" t="s">
        <v>6423</v>
      </c>
      <c r="B3862" t="s">
        <v>6239</v>
      </c>
      <c r="C3862" t="s">
        <v>6423</v>
      </c>
      <c r="D3862" t="s">
        <v>11152</v>
      </c>
      <c r="E3862">
        <f>disaster_armedconflict_aug_nonstateactors_mnlf</f>
        <v>0</v>
      </c>
      <c r="F3862" t="b">
        <v>1</v>
      </c>
      <c r="N3862" s="1346"/>
    </row>
    <row r="3863" spans="1:14" x14ac:dyDescent="0.35">
      <c r="A3863" t="s">
        <v>6258</v>
      </c>
      <c r="B3863" t="s">
        <v>6239</v>
      </c>
      <c r="C3863" t="s">
        <v>6258</v>
      </c>
      <c r="D3863" t="s">
        <v>11153</v>
      </c>
      <c r="E3863">
        <f>disaster_armedconflict_sep_nonstateactors_mnlf</f>
        <v>0</v>
      </c>
      <c r="F3863" t="b">
        <v>1</v>
      </c>
      <c r="N3863" s="1346"/>
    </row>
    <row r="3864" spans="1:14" x14ac:dyDescent="0.35">
      <c r="A3864" t="s">
        <v>6273</v>
      </c>
      <c r="B3864" t="s">
        <v>6239</v>
      </c>
      <c r="C3864" t="s">
        <v>6273</v>
      </c>
      <c r="D3864" t="s">
        <v>11154</v>
      </c>
      <c r="E3864">
        <f>disaster_armedconflict_oct_nonstateactors_mnlf</f>
        <v>0</v>
      </c>
      <c r="F3864" t="b">
        <v>1</v>
      </c>
      <c r="N3864" s="1346"/>
    </row>
    <row r="3865" spans="1:14" x14ac:dyDescent="0.35">
      <c r="A3865" t="s">
        <v>6288</v>
      </c>
      <c r="B3865" t="s">
        <v>6239</v>
      </c>
      <c r="C3865" t="s">
        <v>6288</v>
      </c>
      <c r="D3865" t="s">
        <v>11155</v>
      </c>
      <c r="E3865">
        <f>disaster_armedconflict_nov_nonstateactors_mnlf</f>
        <v>0</v>
      </c>
      <c r="F3865" t="b">
        <v>1</v>
      </c>
      <c r="N3865" s="1346"/>
    </row>
    <row r="3866" spans="1:14" x14ac:dyDescent="0.35">
      <c r="A3866" t="s">
        <v>6303</v>
      </c>
      <c r="B3866" t="s">
        <v>6239</v>
      </c>
      <c r="C3866" t="s">
        <v>6303</v>
      </c>
      <c r="D3866" t="s">
        <v>11156</v>
      </c>
      <c r="E3866">
        <f>disaster_armedconflict_dec_nonstateactors_mnlf</f>
        <v>0</v>
      </c>
      <c r="F3866" t="b">
        <v>1</v>
      </c>
      <c r="N3866" s="1346"/>
    </row>
    <row r="3867" spans="1:14" x14ac:dyDescent="0.35">
      <c r="A3867" t="s">
        <v>6318</v>
      </c>
      <c r="B3867" t="s">
        <v>6239</v>
      </c>
      <c r="C3867" t="s">
        <v>6318</v>
      </c>
      <c r="D3867" t="s">
        <v>11157</v>
      </c>
      <c r="E3867">
        <f>disaster_armedconflict_jan_nonstateactors_mnlf</f>
        <v>0</v>
      </c>
      <c r="F3867" t="b">
        <v>1</v>
      </c>
      <c r="N3867" s="1346"/>
    </row>
    <row r="3868" spans="1:14" x14ac:dyDescent="0.35">
      <c r="A3868" t="s">
        <v>6333</v>
      </c>
      <c r="B3868" t="s">
        <v>6239</v>
      </c>
      <c r="C3868" t="s">
        <v>6333</v>
      </c>
      <c r="D3868" t="s">
        <v>11158</v>
      </c>
      <c r="E3868">
        <f>disaster_armedconflict_feb_nonstateactors_mnlf</f>
        <v>0</v>
      </c>
      <c r="F3868" t="b">
        <v>1</v>
      </c>
      <c r="N3868" s="1346"/>
    </row>
    <row r="3869" spans="1:14" x14ac:dyDescent="0.35">
      <c r="A3869" t="s">
        <v>6348</v>
      </c>
      <c r="B3869" t="s">
        <v>6239</v>
      </c>
      <c r="C3869" t="s">
        <v>6348</v>
      </c>
      <c r="D3869" t="s">
        <v>11159</v>
      </c>
      <c r="E3869">
        <f>disaster_armedconflict_mar_nonstateactors_mnlf</f>
        <v>0</v>
      </c>
      <c r="F3869" t="b">
        <v>1</v>
      </c>
      <c r="N3869" s="1346"/>
    </row>
    <row r="3870" spans="1:14" x14ac:dyDescent="0.35">
      <c r="A3870" t="s">
        <v>6363</v>
      </c>
      <c r="B3870" t="s">
        <v>6239</v>
      </c>
      <c r="C3870" t="s">
        <v>6363</v>
      </c>
      <c r="D3870" t="s">
        <v>11160</v>
      </c>
      <c r="E3870">
        <f>disaster_armedconflict_apr_nonstateactors_mnlf</f>
        <v>0</v>
      </c>
      <c r="F3870" t="b">
        <v>1</v>
      </c>
      <c r="N3870" s="1346"/>
    </row>
    <row r="3871" spans="1:14" x14ac:dyDescent="0.35">
      <c r="A3871" t="s">
        <v>6378</v>
      </c>
      <c r="B3871" t="s">
        <v>6239</v>
      </c>
      <c r="C3871" t="s">
        <v>6378</v>
      </c>
      <c r="D3871" t="s">
        <v>11161</v>
      </c>
      <c r="E3871">
        <f>disaster_armedconflict_may_nonstateactors_mnlf</f>
        <v>0</v>
      </c>
      <c r="F3871" t="b">
        <v>1</v>
      </c>
      <c r="N3871" s="1346"/>
    </row>
    <row r="3872" spans="1:14" x14ac:dyDescent="0.35">
      <c r="A3872" t="s">
        <v>6846</v>
      </c>
      <c r="B3872" t="s">
        <v>6239</v>
      </c>
      <c r="C3872" t="s">
        <v>6846</v>
      </c>
      <c r="D3872" t="s">
        <v>11162</v>
      </c>
      <c r="E3872">
        <f>disastercalamities_armedconfIct_nonstateactors_others_specify</f>
        <v>0</v>
      </c>
      <c r="F3872" t="b">
        <v>1</v>
      </c>
      <c r="N3872" s="1346"/>
    </row>
    <row r="3873" spans="1:14" x14ac:dyDescent="0.35">
      <c r="A3873" t="s">
        <v>6394</v>
      </c>
      <c r="B3873" t="s">
        <v>6239</v>
      </c>
      <c r="C3873" t="s">
        <v>6394</v>
      </c>
      <c r="D3873" t="s">
        <v>11163</v>
      </c>
      <c r="E3873">
        <f>disaster_armedconflict_jun_nonstateactors_others_specify</f>
        <v>0</v>
      </c>
      <c r="F3873" t="b">
        <v>1</v>
      </c>
      <c r="N3873" s="1346"/>
    </row>
    <row r="3874" spans="1:14" x14ac:dyDescent="0.35">
      <c r="A3874" t="s">
        <v>6409</v>
      </c>
      <c r="B3874" t="s">
        <v>6239</v>
      </c>
      <c r="C3874" t="s">
        <v>6409</v>
      </c>
      <c r="D3874" t="s">
        <v>11164</v>
      </c>
      <c r="E3874">
        <f>disaster_armedconflict_jul_nonstateactors_others_specify</f>
        <v>0</v>
      </c>
      <c r="F3874" t="b">
        <v>1</v>
      </c>
      <c r="N3874" s="1346"/>
    </row>
    <row r="3875" spans="1:14" x14ac:dyDescent="0.35">
      <c r="A3875" t="s">
        <v>6424</v>
      </c>
      <c r="B3875" t="s">
        <v>6239</v>
      </c>
      <c r="C3875" t="s">
        <v>6424</v>
      </c>
      <c r="D3875" t="s">
        <v>11165</v>
      </c>
      <c r="E3875">
        <f>disaster_armedconflict_aug_nonstateactors_others_specify</f>
        <v>0</v>
      </c>
      <c r="F3875" t="b">
        <v>1</v>
      </c>
      <c r="N3875" s="1346"/>
    </row>
    <row r="3876" spans="1:14" x14ac:dyDescent="0.35">
      <c r="A3876" t="s">
        <v>6259</v>
      </c>
      <c r="B3876" t="s">
        <v>6239</v>
      </c>
      <c r="C3876" t="s">
        <v>6259</v>
      </c>
      <c r="D3876" t="s">
        <v>11166</v>
      </c>
      <c r="E3876">
        <f>disaster_armedconflict_sep_nonstateactors_others_specify</f>
        <v>0</v>
      </c>
      <c r="F3876" t="b">
        <v>1</v>
      </c>
      <c r="N3876" s="1346"/>
    </row>
    <row r="3877" spans="1:14" x14ac:dyDescent="0.35">
      <c r="A3877" t="s">
        <v>6274</v>
      </c>
      <c r="B3877" t="s">
        <v>6239</v>
      </c>
      <c r="C3877" t="s">
        <v>6274</v>
      </c>
      <c r="D3877" t="s">
        <v>11167</v>
      </c>
      <c r="E3877">
        <f>disaster_armedconflict_oct_nonstateactors_others_specify</f>
        <v>0</v>
      </c>
      <c r="F3877" t="b">
        <v>1</v>
      </c>
      <c r="N3877" s="1346"/>
    </row>
    <row r="3878" spans="1:14" x14ac:dyDescent="0.35">
      <c r="A3878" t="s">
        <v>6289</v>
      </c>
      <c r="B3878" t="s">
        <v>6239</v>
      </c>
      <c r="C3878" t="s">
        <v>6289</v>
      </c>
      <c r="D3878" t="s">
        <v>11168</v>
      </c>
      <c r="E3878">
        <f>disaster_armedconflict_nov_nonstateactors_others_specify</f>
        <v>0</v>
      </c>
      <c r="F3878" t="b">
        <v>1</v>
      </c>
      <c r="N3878" s="1346"/>
    </row>
    <row r="3879" spans="1:14" x14ac:dyDescent="0.35">
      <c r="A3879" t="s">
        <v>6304</v>
      </c>
      <c r="B3879" t="s">
        <v>6239</v>
      </c>
      <c r="C3879" t="s">
        <v>6304</v>
      </c>
      <c r="D3879" t="s">
        <v>11169</v>
      </c>
      <c r="E3879">
        <f>disaster_armedconflict_dec_nonstateactors_others_specify</f>
        <v>0</v>
      </c>
      <c r="F3879" t="b">
        <v>1</v>
      </c>
      <c r="N3879" s="1346"/>
    </row>
    <row r="3880" spans="1:14" x14ac:dyDescent="0.35">
      <c r="A3880" t="s">
        <v>6319</v>
      </c>
      <c r="B3880" t="s">
        <v>6239</v>
      </c>
      <c r="C3880" t="s">
        <v>6319</v>
      </c>
      <c r="D3880" t="s">
        <v>11170</v>
      </c>
      <c r="E3880">
        <f>disaster_armedconflict_jan_nonstateactors_others_specify</f>
        <v>0</v>
      </c>
      <c r="F3880" t="b">
        <v>1</v>
      </c>
      <c r="N3880" s="1346"/>
    </row>
    <row r="3881" spans="1:14" x14ac:dyDescent="0.35">
      <c r="A3881" t="s">
        <v>6334</v>
      </c>
      <c r="B3881" t="s">
        <v>6239</v>
      </c>
      <c r="C3881" t="s">
        <v>6334</v>
      </c>
      <c r="D3881" t="s">
        <v>11171</v>
      </c>
      <c r="E3881">
        <f>disaster_armedconflict_feb_nonstateactors_others_specify</f>
        <v>0</v>
      </c>
      <c r="F3881" t="b">
        <v>1</v>
      </c>
      <c r="N3881" s="1346"/>
    </row>
    <row r="3882" spans="1:14" x14ac:dyDescent="0.35">
      <c r="A3882" t="s">
        <v>6349</v>
      </c>
      <c r="B3882" t="s">
        <v>6239</v>
      </c>
      <c r="C3882" t="s">
        <v>6349</v>
      </c>
      <c r="D3882" t="s">
        <v>11172</v>
      </c>
      <c r="E3882">
        <f>disaster_armedconflict_mar_nonstateactors_others_specify</f>
        <v>0</v>
      </c>
      <c r="F3882" t="b">
        <v>1</v>
      </c>
      <c r="N3882" s="1346"/>
    </row>
    <row r="3883" spans="1:14" x14ac:dyDescent="0.35">
      <c r="A3883" t="s">
        <v>6364</v>
      </c>
      <c r="B3883" t="s">
        <v>6239</v>
      </c>
      <c r="C3883" t="s">
        <v>6364</v>
      </c>
      <c r="D3883" t="s">
        <v>11173</v>
      </c>
      <c r="E3883">
        <f>disaster_armedconflict_apr_nonstateactors_others_specify</f>
        <v>0</v>
      </c>
      <c r="F3883" t="b">
        <v>1</v>
      </c>
      <c r="N3883" s="1346"/>
    </row>
    <row r="3884" spans="1:14" x14ac:dyDescent="0.35">
      <c r="A3884" t="s">
        <v>6379</v>
      </c>
      <c r="B3884" t="s">
        <v>6239</v>
      </c>
      <c r="C3884" t="s">
        <v>6379</v>
      </c>
      <c r="D3884" t="s">
        <v>11174</v>
      </c>
      <c r="E3884">
        <f>disaster_armedconflict_may_nonstateactors_others_specify</f>
        <v>0</v>
      </c>
      <c r="F3884" t="b">
        <v>1</v>
      </c>
      <c r="N3884" s="1346"/>
    </row>
    <row r="3885" spans="1:14" x14ac:dyDescent="0.35">
      <c r="A3885" t="s">
        <v>6395</v>
      </c>
      <c r="B3885" t="s">
        <v>6239</v>
      </c>
      <c r="C3885" t="s">
        <v>6395</v>
      </c>
      <c r="D3885" t="s">
        <v>11051</v>
      </c>
      <c r="E3885">
        <f>disaster_childrightviolations_jun_killing</f>
        <v>0</v>
      </c>
      <c r="F3885" t="b">
        <v>1</v>
      </c>
      <c r="N3885" s="1346"/>
    </row>
    <row r="3886" spans="1:14" x14ac:dyDescent="0.35">
      <c r="A3886" t="s">
        <v>6410</v>
      </c>
      <c r="B3886" t="s">
        <v>6239</v>
      </c>
      <c r="C3886" t="s">
        <v>6410</v>
      </c>
      <c r="D3886" t="s">
        <v>11064</v>
      </c>
      <c r="E3886">
        <f>disaster_childrightviolations_jul_killing</f>
        <v>0</v>
      </c>
      <c r="F3886" t="b">
        <v>1</v>
      </c>
      <c r="N3886" s="1346"/>
    </row>
    <row r="3887" spans="1:14" x14ac:dyDescent="0.35">
      <c r="A3887" t="s">
        <v>6425</v>
      </c>
      <c r="B3887" t="s">
        <v>6239</v>
      </c>
      <c r="C3887" t="s">
        <v>6425</v>
      </c>
      <c r="D3887" t="s">
        <v>11175</v>
      </c>
      <c r="E3887">
        <f>disaster_childrightviolations_aug_killing</f>
        <v>0</v>
      </c>
      <c r="F3887" t="b">
        <v>1</v>
      </c>
      <c r="N3887" s="1346"/>
    </row>
    <row r="3888" spans="1:14" x14ac:dyDescent="0.35">
      <c r="A3888" t="s">
        <v>6260</v>
      </c>
      <c r="B3888" t="s">
        <v>6239</v>
      </c>
      <c r="C3888" t="s">
        <v>6260</v>
      </c>
      <c r="D3888" t="s">
        <v>11176</v>
      </c>
      <c r="E3888">
        <f>disaster_childrightviolations_sep_killing</f>
        <v>0</v>
      </c>
      <c r="F3888" t="b">
        <v>1</v>
      </c>
      <c r="N3888" s="1346"/>
    </row>
    <row r="3889" spans="1:14" x14ac:dyDescent="0.35">
      <c r="A3889" t="s">
        <v>6275</v>
      </c>
      <c r="B3889" t="s">
        <v>6239</v>
      </c>
      <c r="C3889" t="s">
        <v>6275</v>
      </c>
      <c r="D3889" t="s">
        <v>11177</v>
      </c>
      <c r="E3889">
        <f>disaster_childrightviolations_oct_killing</f>
        <v>0</v>
      </c>
      <c r="F3889" t="b">
        <v>1</v>
      </c>
      <c r="N3889" s="1346"/>
    </row>
    <row r="3890" spans="1:14" x14ac:dyDescent="0.35">
      <c r="A3890" t="s">
        <v>6290</v>
      </c>
      <c r="B3890" t="s">
        <v>6239</v>
      </c>
      <c r="C3890" t="s">
        <v>6290</v>
      </c>
      <c r="D3890" t="s">
        <v>11178</v>
      </c>
      <c r="E3890">
        <f>disaster_childrightviolations_nov_killing</f>
        <v>0</v>
      </c>
      <c r="F3890" t="b">
        <v>1</v>
      </c>
      <c r="N3890" s="1346"/>
    </row>
    <row r="3891" spans="1:14" x14ac:dyDescent="0.35">
      <c r="A3891" t="s">
        <v>6305</v>
      </c>
      <c r="B3891" t="s">
        <v>6239</v>
      </c>
      <c r="C3891" t="s">
        <v>6305</v>
      </c>
      <c r="D3891" t="s">
        <v>11179</v>
      </c>
      <c r="E3891">
        <f>disaster_childrightviolations_dec_killing</f>
        <v>0</v>
      </c>
      <c r="F3891" t="b">
        <v>1</v>
      </c>
      <c r="N3891" s="1346"/>
    </row>
    <row r="3892" spans="1:14" x14ac:dyDescent="0.35">
      <c r="A3892" t="s">
        <v>6320</v>
      </c>
      <c r="B3892" t="s">
        <v>6239</v>
      </c>
      <c r="C3892" t="s">
        <v>6320</v>
      </c>
      <c r="D3892" t="s">
        <v>11180</v>
      </c>
      <c r="E3892">
        <f>disaster_childrightviolations_jan_killing</f>
        <v>0</v>
      </c>
      <c r="F3892" t="b">
        <v>1</v>
      </c>
      <c r="N3892" s="1346"/>
    </row>
    <row r="3893" spans="1:14" x14ac:dyDescent="0.35">
      <c r="A3893" t="s">
        <v>6335</v>
      </c>
      <c r="B3893" t="s">
        <v>6239</v>
      </c>
      <c r="C3893" t="s">
        <v>6335</v>
      </c>
      <c r="D3893" t="s">
        <v>11181</v>
      </c>
      <c r="E3893">
        <f>disaster_childrightviolations_feb_killing</f>
        <v>0</v>
      </c>
      <c r="F3893" t="b">
        <v>1</v>
      </c>
      <c r="N3893" s="1346"/>
    </row>
    <row r="3894" spans="1:14" x14ac:dyDescent="0.35">
      <c r="A3894" t="s">
        <v>6350</v>
      </c>
      <c r="B3894" t="s">
        <v>6239</v>
      </c>
      <c r="C3894" t="s">
        <v>6350</v>
      </c>
      <c r="D3894" t="s">
        <v>11182</v>
      </c>
      <c r="E3894">
        <f>disaster_childrightviolations_mar_killing</f>
        <v>0</v>
      </c>
      <c r="F3894" t="b">
        <v>1</v>
      </c>
      <c r="N3894" s="1346"/>
    </row>
    <row r="3895" spans="1:14" x14ac:dyDescent="0.35">
      <c r="A3895" t="s">
        <v>6365</v>
      </c>
      <c r="B3895" t="s">
        <v>6239</v>
      </c>
      <c r="C3895" t="s">
        <v>6365</v>
      </c>
      <c r="D3895" t="s">
        <v>11183</v>
      </c>
      <c r="E3895">
        <f>disaster_childrightviolations_apr_killing</f>
        <v>0</v>
      </c>
      <c r="F3895" t="b">
        <v>1</v>
      </c>
      <c r="N3895" s="1346"/>
    </row>
    <row r="3896" spans="1:14" x14ac:dyDescent="0.35">
      <c r="A3896" t="s">
        <v>6380</v>
      </c>
      <c r="B3896" t="s">
        <v>6239</v>
      </c>
      <c r="C3896" t="s">
        <v>6380</v>
      </c>
      <c r="D3896" t="s">
        <v>11184</v>
      </c>
      <c r="E3896">
        <f>disaster_childrightviolations_may_killing</f>
        <v>0</v>
      </c>
      <c r="F3896" t="b">
        <v>1</v>
      </c>
      <c r="N3896" s="1346"/>
    </row>
    <row r="3897" spans="1:14" x14ac:dyDescent="0.35">
      <c r="A3897" t="s">
        <v>6396</v>
      </c>
      <c r="B3897" t="s">
        <v>6239</v>
      </c>
      <c r="C3897" t="s">
        <v>6396</v>
      </c>
      <c r="D3897" t="s">
        <v>11052</v>
      </c>
      <c r="E3897">
        <f>disaster_childrightviolations_jun_abduction</f>
        <v>0</v>
      </c>
      <c r="F3897" t="b">
        <v>1</v>
      </c>
      <c r="N3897" s="1346"/>
    </row>
    <row r="3898" spans="1:14" x14ac:dyDescent="0.35">
      <c r="A3898" t="s">
        <v>6411</v>
      </c>
      <c r="B3898" t="s">
        <v>6239</v>
      </c>
      <c r="C3898" t="s">
        <v>6411</v>
      </c>
      <c r="D3898" t="s">
        <v>11065</v>
      </c>
      <c r="E3898">
        <f>disaster_childrightviolations_jul_abduction</f>
        <v>0</v>
      </c>
      <c r="F3898" t="b">
        <v>1</v>
      </c>
      <c r="N3898" s="1346"/>
    </row>
    <row r="3899" spans="1:14" x14ac:dyDescent="0.35">
      <c r="A3899" t="s">
        <v>6426</v>
      </c>
      <c r="B3899" t="s">
        <v>6239</v>
      </c>
      <c r="C3899" t="s">
        <v>6426</v>
      </c>
      <c r="D3899" t="s">
        <v>11185</v>
      </c>
      <c r="E3899">
        <f>disaster_childrightviolations_aug_abduction</f>
        <v>0</v>
      </c>
      <c r="F3899" t="b">
        <v>1</v>
      </c>
      <c r="N3899" s="1346"/>
    </row>
    <row r="3900" spans="1:14" x14ac:dyDescent="0.35">
      <c r="A3900" t="s">
        <v>6261</v>
      </c>
      <c r="B3900" t="s">
        <v>6239</v>
      </c>
      <c r="C3900" t="s">
        <v>6261</v>
      </c>
      <c r="D3900" t="s">
        <v>11186</v>
      </c>
      <c r="E3900">
        <f>disaster_childrightviolations_sep_abduction</f>
        <v>0</v>
      </c>
      <c r="F3900" t="b">
        <v>1</v>
      </c>
      <c r="N3900" s="1346"/>
    </row>
    <row r="3901" spans="1:14" x14ac:dyDescent="0.35">
      <c r="A3901" t="s">
        <v>6276</v>
      </c>
      <c r="B3901" t="s">
        <v>6239</v>
      </c>
      <c r="C3901" t="s">
        <v>6276</v>
      </c>
      <c r="D3901" t="s">
        <v>11187</v>
      </c>
      <c r="E3901">
        <f>disaster_childrightviolations_oct_abduction</f>
        <v>0</v>
      </c>
      <c r="F3901" t="b">
        <v>1</v>
      </c>
      <c r="N3901" s="1346"/>
    </row>
    <row r="3902" spans="1:14" x14ac:dyDescent="0.35">
      <c r="A3902" t="s">
        <v>6291</v>
      </c>
      <c r="B3902" t="s">
        <v>6239</v>
      </c>
      <c r="C3902" t="s">
        <v>6291</v>
      </c>
      <c r="D3902" t="s">
        <v>11188</v>
      </c>
      <c r="E3902">
        <f>disaster_childrightviolations_nov_abduction</f>
        <v>0</v>
      </c>
      <c r="F3902" t="b">
        <v>1</v>
      </c>
      <c r="N3902" s="1346"/>
    </row>
    <row r="3903" spans="1:14" x14ac:dyDescent="0.35">
      <c r="A3903" t="s">
        <v>6306</v>
      </c>
      <c r="B3903" t="s">
        <v>6239</v>
      </c>
      <c r="C3903" t="s">
        <v>6306</v>
      </c>
      <c r="D3903" t="s">
        <v>11189</v>
      </c>
      <c r="E3903">
        <f>disaster_childrightviolations_dec_abduction</f>
        <v>0</v>
      </c>
      <c r="F3903" t="b">
        <v>1</v>
      </c>
      <c r="N3903" s="1346"/>
    </row>
    <row r="3904" spans="1:14" x14ac:dyDescent="0.35">
      <c r="A3904" t="s">
        <v>6321</v>
      </c>
      <c r="B3904" t="s">
        <v>6239</v>
      </c>
      <c r="C3904" t="s">
        <v>6321</v>
      </c>
      <c r="D3904" t="s">
        <v>11190</v>
      </c>
      <c r="E3904">
        <f>disaster_childrightviolations_jan_abduction</f>
        <v>0</v>
      </c>
      <c r="F3904" t="b">
        <v>1</v>
      </c>
      <c r="N3904" s="1346"/>
    </row>
    <row r="3905" spans="1:14" x14ac:dyDescent="0.35">
      <c r="A3905" t="s">
        <v>6336</v>
      </c>
      <c r="B3905" t="s">
        <v>6239</v>
      </c>
      <c r="C3905" t="s">
        <v>6336</v>
      </c>
      <c r="D3905" t="s">
        <v>11191</v>
      </c>
      <c r="E3905">
        <f>disaster_childrightviolations_feb_abduction</f>
        <v>0</v>
      </c>
      <c r="F3905" t="b">
        <v>1</v>
      </c>
      <c r="N3905" s="1346"/>
    </row>
    <row r="3906" spans="1:14" x14ac:dyDescent="0.35">
      <c r="A3906" t="s">
        <v>6351</v>
      </c>
      <c r="B3906" t="s">
        <v>6239</v>
      </c>
      <c r="C3906" t="s">
        <v>6351</v>
      </c>
      <c r="D3906" t="s">
        <v>11192</v>
      </c>
      <c r="E3906">
        <f>disaster_childrightviolations_mar_abduction</f>
        <v>0</v>
      </c>
      <c r="F3906" t="b">
        <v>1</v>
      </c>
      <c r="N3906" s="1346"/>
    </row>
    <row r="3907" spans="1:14" x14ac:dyDescent="0.35">
      <c r="A3907" t="s">
        <v>6366</v>
      </c>
      <c r="B3907" t="s">
        <v>6239</v>
      </c>
      <c r="C3907" t="s">
        <v>6366</v>
      </c>
      <c r="D3907" t="s">
        <v>11193</v>
      </c>
      <c r="E3907">
        <f>disaster_childrightviolations_apr_abduction</f>
        <v>0</v>
      </c>
      <c r="F3907" t="b">
        <v>1</v>
      </c>
      <c r="N3907" s="1346"/>
    </row>
    <row r="3908" spans="1:14" x14ac:dyDescent="0.35">
      <c r="A3908" t="s">
        <v>6381</v>
      </c>
      <c r="B3908" t="s">
        <v>6239</v>
      </c>
      <c r="C3908" t="s">
        <v>6381</v>
      </c>
      <c r="D3908" t="s">
        <v>11194</v>
      </c>
      <c r="E3908">
        <f>disaster_childrightviolations_may_abduction</f>
        <v>0</v>
      </c>
      <c r="F3908" t="b">
        <v>1</v>
      </c>
      <c r="N3908" s="1346"/>
    </row>
    <row r="3909" spans="1:14" x14ac:dyDescent="0.35">
      <c r="A3909" t="s">
        <v>6397</v>
      </c>
      <c r="B3909" t="s">
        <v>6239</v>
      </c>
      <c r="C3909" t="s">
        <v>6397</v>
      </c>
      <c r="D3909" t="s">
        <v>11053</v>
      </c>
      <c r="E3909">
        <f>disaster_childrightviolations_jun_attacks</f>
        <v>0</v>
      </c>
      <c r="F3909" t="b">
        <v>1</v>
      </c>
      <c r="N3909" s="1346"/>
    </row>
    <row r="3910" spans="1:14" x14ac:dyDescent="0.35">
      <c r="A3910" t="s">
        <v>6412</v>
      </c>
      <c r="B3910" t="s">
        <v>6239</v>
      </c>
      <c r="C3910" t="s">
        <v>6412</v>
      </c>
      <c r="D3910" t="s">
        <v>11066</v>
      </c>
      <c r="E3910">
        <f>disaster_childrightviolations_jul_attacks</f>
        <v>0</v>
      </c>
      <c r="F3910" t="b">
        <v>1</v>
      </c>
      <c r="N3910" s="1346"/>
    </row>
    <row r="3911" spans="1:14" x14ac:dyDescent="0.35">
      <c r="A3911" t="s">
        <v>6427</v>
      </c>
      <c r="B3911" t="s">
        <v>6239</v>
      </c>
      <c r="C3911" t="s">
        <v>6427</v>
      </c>
      <c r="D3911" t="s">
        <v>11195</v>
      </c>
      <c r="E3911">
        <f>disaster_childrightviolations_aug_attacks</f>
        <v>0</v>
      </c>
      <c r="F3911" t="b">
        <v>1</v>
      </c>
      <c r="N3911" s="1346"/>
    </row>
    <row r="3912" spans="1:14" x14ac:dyDescent="0.35">
      <c r="A3912" t="s">
        <v>6262</v>
      </c>
      <c r="B3912" t="s">
        <v>6239</v>
      </c>
      <c r="C3912" t="s">
        <v>6262</v>
      </c>
      <c r="D3912" t="s">
        <v>11196</v>
      </c>
      <c r="E3912">
        <f>disaster_childrightviolations_sep_attacks</f>
        <v>0</v>
      </c>
      <c r="F3912" t="b">
        <v>1</v>
      </c>
      <c r="N3912" s="1346"/>
    </row>
    <row r="3913" spans="1:14" x14ac:dyDescent="0.35">
      <c r="A3913" t="s">
        <v>6277</v>
      </c>
      <c r="B3913" t="s">
        <v>6239</v>
      </c>
      <c r="C3913" t="s">
        <v>6277</v>
      </c>
      <c r="D3913" t="s">
        <v>11197</v>
      </c>
      <c r="E3913">
        <f>disaster_childrightviolations_oct_attacks</f>
        <v>0</v>
      </c>
      <c r="F3913" t="b">
        <v>1</v>
      </c>
      <c r="N3913" s="1346"/>
    </row>
    <row r="3914" spans="1:14" x14ac:dyDescent="0.35">
      <c r="A3914" t="s">
        <v>6292</v>
      </c>
      <c r="B3914" t="s">
        <v>6239</v>
      </c>
      <c r="C3914" t="s">
        <v>6292</v>
      </c>
      <c r="D3914" t="s">
        <v>11198</v>
      </c>
      <c r="E3914">
        <f>disaster_childrightviolations_nov_attacks</f>
        <v>0</v>
      </c>
      <c r="F3914" t="b">
        <v>1</v>
      </c>
      <c r="N3914" s="1346"/>
    </row>
    <row r="3915" spans="1:14" x14ac:dyDescent="0.35">
      <c r="A3915" t="s">
        <v>6307</v>
      </c>
      <c r="B3915" t="s">
        <v>6239</v>
      </c>
      <c r="C3915" t="s">
        <v>6307</v>
      </c>
      <c r="D3915" t="s">
        <v>11199</v>
      </c>
      <c r="E3915">
        <f>disaster_childrightviolations_dec_attacks</f>
        <v>0</v>
      </c>
      <c r="F3915" t="b">
        <v>1</v>
      </c>
      <c r="N3915" s="1346"/>
    </row>
    <row r="3916" spans="1:14" x14ac:dyDescent="0.35">
      <c r="A3916" t="s">
        <v>6322</v>
      </c>
      <c r="B3916" t="s">
        <v>6239</v>
      </c>
      <c r="C3916" t="s">
        <v>6322</v>
      </c>
      <c r="D3916" t="s">
        <v>11200</v>
      </c>
      <c r="E3916">
        <f>disaster_childrightviolations_jan_attacks</f>
        <v>0</v>
      </c>
      <c r="F3916" t="b">
        <v>1</v>
      </c>
      <c r="N3916" s="1346"/>
    </row>
    <row r="3917" spans="1:14" x14ac:dyDescent="0.35">
      <c r="A3917" t="s">
        <v>6337</v>
      </c>
      <c r="B3917" t="s">
        <v>6239</v>
      </c>
      <c r="C3917" t="s">
        <v>6337</v>
      </c>
      <c r="D3917" t="s">
        <v>11201</v>
      </c>
      <c r="E3917">
        <f>disaster_childrightviolations_feb_attacks</f>
        <v>0</v>
      </c>
      <c r="F3917" t="b">
        <v>1</v>
      </c>
      <c r="N3917" s="1346"/>
    </row>
    <row r="3918" spans="1:14" x14ac:dyDescent="0.35">
      <c r="A3918" t="s">
        <v>6352</v>
      </c>
      <c r="B3918" t="s">
        <v>6239</v>
      </c>
      <c r="C3918" t="s">
        <v>6352</v>
      </c>
      <c r="D3918" t="s">
        <v>11202</v>
      </c>
      <c r="E3918">
        <f>disaster_childrightviolations_mar_attacks</f>
        <v>0</v>
      </c>
      <c r="F3918" t="b">
        <v>1</v>
      </c>
      <c r="N3918" s="1346"/>
    </row>
    <row r="3919" spans="1:14" x14ac:dyDescent="0.35">
      <c r="A3919" t="s">
        <v>6367</v>
      </c>
      <c r="B3919" t="s">
        <v>6239</v>
      </c>
      <c r="C3919" t="s">
        <v>6367</v>
      </c>
      <c r="D3919" t="s">
        <v>11203</v>
      </c>
      <c r="E3919">
        <f>disaster_childrightviolations_apr_attacks</f>
        <v>0</v>
      </c>
      <c r="F3919" t="b">
        <v>1</v>
      </c>
      <c r="N3919" s="1346"/>
    </row>
    <row r="3920" spans="1:14" x14ac:dyDescent="0.35">
      <c r="A3920" t="s">
        <v>6382</v>
      </c>
      <c r="B3920" t="s">
        <v>6239</v>
      </c>
      <c r="C3920" t="s">
        <v>6382</v>
      </c>
      <c r="D3920" t="s">
        <v>11204</v>
      </c>
      <c r="E3920">
        <f>disaster_childrightviolations_may_attacks</f>
        <v>0</v>
      </c>
      <c r="F3920" t="b">
        <v>1</v>
      </c>
      <c r="N3920" s="1346"/>
    </row>
    <row r="3921" spans="1:14" x14ac:dyDescent="0.35">
      <c r="A3921" t="s">
        <v>6398</v>
      </c>
      <c r="B3921" t="s">
        <v>6239</v>
      </c>
      <c r="C3921" t="s">
        <v>6398</v>
      </c>
      <c r="D3921" t="s">
        <v>11054</v>
      </c>
      <c r="E3921">
        <f>disaster_childrightviolations_jun_denial</f>
        <v>0</v>
      </c>
      <c r="F3921" t="b">
        <v>1</v>
      </c>
      <c r="N3921" s="1346"/>
    </row>
    <row r="3922" spans="1:14" x14ac:dyDescent="0.35">
      <c r="A3922" t="s">
        <v>6413</v>
      </c>
      <c r="B3922" t="s">
        <v>6239</v>
      </c>
      <c r="C3922" t="s">
        <v>6413</v>
      </c>
      <c r="D3922" t="s">
        <v>11067</v>
      </c>
      <c r="E3922">
        <f>disaster_childrightviolations_jul_denial</f>
        <v>0</v>
      </c>
      <c r="F3922" t="b">
        <v>1</v>
      </c>
      <c r="N3922" s="1346"/>
    </row>
    <row r="3923" spans="1:14" x14ac:dyDescent="0.35">
      <c r="A3923" t="s">
        <v>6428</v>
      </c>
      <c r="B3923" t="s">
        <v>6239</v>
      </c>
      <c r="C3923" t="s">
        <v>6428</v>
      </c>
      <c r="D3923" t="s">
        <v>11205</v>
      </c>
      <c r="E3923">
        <f>disaster_childrightviolations_aug_denial</f>
        <v>0</v>
      </c>
      <c r="F3923" t="b">
        <v>1</v>
      </c>
      <c r="N3923" s="1346"/>
    </row>
    <row r="3924" spans="1:14" x14ac:dyDescent="0.35">
      <c r="A3924" t="s">
        <v>6263</v>
      </c>
      <c r="B3924" t="s">
        <v>6239</v>
      </c>
      <c r="C3924" t="s">
        <v>6263</v>
      </c>
      <c r="D3924" t="s">
        <v>11206</v>
      </c>
      <c r="E3924">
        <f>disaster_childrightviolations_sep_denial</f>
        <v>0</v>
      </c>
      <c r="F3924" t="b">
        <v>1</v>
      </c>
      <c r="N3924" s="1346"/>
    </row>
    <row r="3925" spans="1:14" x14ac:dyDescent="0.35">
      <c r="A3925" t="s">
        <v>6278</v>
      </c>
      <c r="B3925" t="s">
        <v>6239</v>
      </c>
      <c r="C3925" t="s">
        <v>6278</v>
      </c>
      <c r="D3925" t="s">
        <v>11207</v>
      </c>
      <c r="E3925">
        <f>disaster_childrightviolations_oct_denial</f>
        <v>0</v>
      </c>
      <c r="F3925" t="b">
        <v>1</v>
      </c>
      <c r="N3925" s="1346"/>
    </row>
    <row r="3926" spans="1:14" x14ac:dyDescent="0.35">
      <c r="A3926" t="s">
        <v>6293</v>
      </c>
      <c r="B3926" t="s">
        <v>6239</v>
      </c>
      <c r="C3926" t="s">
        <v>6293</v>
      </c>
      <c r="D3926" t="s">
        <v>11208</v>
      </c>
      <c r="E3926">
        <f>disaster_childrightviolations_nov_denial</f>
        <v>0</v>
      </c>
      <c r="F3926" t="b">
        <v>1</v>
      </c>
      <c r="N3926" s="1346"/>
    </row>
    <row r="3927" spans="1:14" x14ac:dyDescent="0.35">
      <c r="A3927" t="s">
        <v>6308</v>
      </c>
      <c r="B3927" t="s">
        <v>6239</v>
      </c>
      <c r="C3927" t="s">
        <v>6308</v>
      </c>
      <c r="D3927" t="s">
        <v>11209</v>
      </c>
      <c r="E3927">
        <f>disaster_childrightviolations_dec_denial</f>
        <v>0</v>
      </c>
      <c r="F3927" t="b">
        <v>1</v>
      </c>
      <c r="N3927" s="1346"/>
    </row>
    <row r="3928" spans="1:14" x14ac:dyDescent="0.35">
      <c r="A3928" t="s">
        <v>6323</v>
      </c>
      <c r="B3928" t="s">
        <v>6239</v>
      </c>
      <c r="C3928" t="s">
        <v>6323</v>
      </c>
      <c r="D3928" t="s">
        <v>11210</v>
      </c>
      <c r="E3928">
        <f>disaster_childrightviolations_jan_denial</f>
        <v>0</v>
      </c>
      <c r="F3928" t="b">
        <v>1</v>
      </c>
      <c r="N3928" s="1346"/>
    </row>
    <row r="3929" spans="1:14" x14ac:dyDescent="0.35">
      <c r="A3929" t="s">
        <v>6338</v>
      </c>
      <c r="B3929" t="s">
        <v>6239</v>
      </c>
      <c r="C3929" t="s">
        <v>6338</v>
      </c>
      <c r="D3929" t="s">
        <v>11211</v>
      </c>
      <c r="E3929">
        <f>disaster_childrightviolations_feb_denial</f>
        <v>0</v>
      </c>
      <c r="F3929" t="b">
        <v>1</v>
      </c>
      <c r="N3929" s="1346"/>
    </row>
    <row r="3930" spans="1:14" x14ac:dyDescent="0.35">
      <c r="A3930" t="s">
        <v>6353</v>
      </c>
      <c r="B3930" t="s">
        <v>6239</v>
      </c>
      <c r="C3930" t="s">
        <v>6353</v>
      </c>
      <c r="D3930" t="s">
        <v>11212</v>
      </c>
      <c r="E3930">
        <f>disaster_childrightviolations_mar_denial</f>
        <v>0</v>
      </c>
      <c r="F3930" t="b">
        <v>1</v>
      </c>
      <c r="N3930" s="1346"/>
    </row>
    <row r="3931" spans="1:14" x14ac:dyDescent="0.35">
      <c r="A3931" t="s">
        <v>6368</v>
      </c>
      <c r="B3931" t="s">
        <v>6239</v>
      </c>
      <c r="C3931" t="s">
        <v>6368</v>
      </c>
      <c r="D3931" t="s">
        <v>11213</v>
      </c>
      <c r="E3931">
        <f>disaster_childrightviolations_apr_denial</f>
        <v>0</v>
      </c>
      <c r="F3931" t="b">
        <v>1</v>
      </c>
      <c r="N3931" s="1346"/>
    </row>
    <row r="3932" spans="1:14" x14ac:dyDescent="0.35">
      <c r="A3932" t="s">
        <v>6383</v>
      </c>
      <c r="B3932" t="s">
        <v>6239</v>
      </c>
      <c r="C3932" t="s">
        <v>6383</v>
      </c>
      <c r="D3932" t="s">
        <v>11214</v>
      </c>
      <c r="E3932">
        <f>disaster_childrightviolations_may_denial</f>
        <v>0</v>
      </c>
      <c r="F3932" t="b">
        <v>1</v>
      </c>
      <c r="N3932" s="1346"/>
    </row>
    <row r="3933" spans="1:14" x14ac:dyDescent="0.35">
      <c r="A3933" t="s">
        <v>6399</v>
      </c>
      <c r="B3933" t="s">
        <v>6239</v>
      </c>
      <c r="C3933" t="s">
        <v>6399</v>
      </c>
      <c r="D3933" t="s">
        <v>11055</v>
      </c>
      <c r="E3933">
        <f>disaster_childrightviolations_jun_recruit</f>
        <v>0</v>
      </c>
      <c r="F3933" t="b">
        <v>1</v>
      </c>
      <c r="N3933" s="1346"/>
    </row>
    <row r="3934" spans="1:14" x14ac:dyDescent="0.35">
      <c r="A3934" t="s">
        <v>6414</v>
      </c>
      <c r="B3934" t="s">
        <v>6239</v>
      </c>
      <c r="C3934" t="s">
        <v>6414</v>
      </c>
      <c r="D3934" t="s">
        <v>11068</v>
      </c>
      <c r="E3934">
        <f>disaster_childrightviolations_jul_recruit</f>
        <v>0</v>
      </c>
      <c r="F3934" t="b">
        <v>1</v>
      </c>
      <c r="N3934" s="1346"/>
    </row>
    <row r="3935" spans="1:14" x14ac:dyDescent="0.35">
      <c r="A3935" t="s">
        <v>6429</v>
      </c>
      <c r="B3935" t="s">
        <v>6239</v>
      </c>
      <c r="C3935" t="s">
        <v>6429</v>
      </c>
      <c r="D3935" t="s">
        <v>11215</v>
      </c>
      <c r="E3935">
        <f>disaster_childrightviolations_aug_recruit</f>
        <v>0</v>
      </c>
      <c r="F3935" t="b">
        <v>1</v>
      </c>
      <c r="N3935" s="1346"/>
    </row>
    <row r="3936" spans="1:14" x14ac:dyDescent="0.35">
      <c r="A3936" t="s">
        <v>6264</v>
      </c>
      <c r="B3936" t="s">
        <v>6239</v>
      </c>
      <c r="C3936" t="s">
        <v>6264</v>
      </c>
      <c r="D3936" t="s">
        <v>11216</v>
      </c>
      <c r="E3936">
        <f>disaster_childrightviolations_sep_recruit</f>
        <v>0</v>
      </c>
      <c r="F3936" t="b">
        <v>1</v>
      </c>
      <c r="N3936" s="1346"/>
    </row>
    <row r="3937" spans="1:14" x14ac:dyDescent="0.35">
      <c r="A3937" t="s">
        <v>6279</v>
      </c>
      <c r="B3937" t="s">
        <v>6239</v>
      </c>
      <c r="C3937" t="s">
        <v>6279</v>
      </c>
      <c r="D3937" t="s">
        <v>11217</v>
      </c>
      <c r="E3937">
        <f>disaster_childrightviolations_oct_recruit</f>
        <v>0</v>
      </c>
      <c r="F3937" t="b">
        <v>1</v>
      </c>
      <c r="N3937" s="1346"/>
    </row>
    <row r="3938" spans="1:14" x14ac:dyDescent="0.35">
      <c r="A3938" t="s">
        <v>6294</v>
      </c>
      <c r="B3938" t="s">
        <v>6239</v>
      </c>
      <c r="C3938" t="s">
        <v>6294</v>
      </c>
      <c r="D3938" t="s">
        <v>11218</v>
      </c>
      <c r="E3938">
        <f>disaster_childrightviolations_nov_recruit</f>
        <v>0</v>
      </c>
      <c r="F3938" t="b">
        <v>1</v>
      </c>
      <c r="N3938" s="1346"/>
    </row>
    <row r="3939" spans="1:14" x14ac:dyDescent="0.35">
      <c r="A3939" t="s">
        <v>6309</v>
      </c>
      <c r="B3939" t="s">
        <v>6239</v>
      </c>
      <c r="C3939" t="s">
        <v>6309</v>
      </c>
      <c r="D3939" t="s">
        <v>11219</v>
      </c>
      <c r="E3939">
        <f>disaster_childrightviolations_dec_recruit</f>
        <v>0</v>
      </c>
      <c r="F3939" t="b">
        <v>1</v>
      </c>
      <c r="N3939" s="1346"/>
    </row>
    <row r="3940" spans="1:14" x14ac:dyDescent="0.35">
      <c r="A3940" t="s">
        <v>6324</v>
      </c>
      <c r="B3940" t="s">
        <v>6239</v>
      </c>
      <c r="C3940" t="s">
        <v>6324</v>
      </c>
      <c r="D3940" t="s">
        <v>11220</v>
      </c>
      <c r="E3940">
        <f>disaster_childrightviolations_jan_recruit</f>
        <v>0</v>
      </c>
      <c r="F3940" t="b">
        <v>1</v>
      </c>
      <c r="N3940" s="1346"/>
    </row>
    <row r="3941" spans="1:14" x14ac:dyDescent="0.35">
      <c r="A3941" t="s">
        <v>6339</v>
      </c>
      <c r="B3941" t="s">
        <v>6239</v>
      </c>
      <c r="C3941" t="s">
        <v>6339</v>
      </c>
      <c r="D3941" t="s">
        <v>11221</v>
      </c>
      <c r="E3941">
        <f>disaster_childrightviolations_feb_recruit</f>
        <v>0</v>
      </c>
      <c r="F3941" t="b">
        <v>1</v>
      </c>
      <c r="N3941" s="1346"/>
    </row>
    <row r="3942" spans="1:14" x14ac:dyDescent="0.35">
      <c r="A3942" t="s">
        <v>6354</v>
      </c>
      <c r="B3942" t="s">
        <v>6239</v>
      </c>
      <c r="C3942" t="s">
        <v>6354</v>
      </c>
      <c r="D3942" t="s">
        <v>11222</v>
      </c>
      <c r="E3942">
        <f>disaster_childrightviolations_mar_recruit</f>
        <v>0</v>
      </c>
      <c r="F3942" t="b">
        <v>1</v>
      </c>
      <c r="N3942" s="1346"/>
    </row>
    <row r="3943" spans="1:14" x14ac:dyDescent="0.35">
      <c r="A3943" t="s">
        <v>6369</v>
      </c>
      <c r="B3943" t="s">
        <v>6239</v>
      </c>
      <c r="C3943" t="s">
        <v>6369</v>
      </c>
      <c r="D3943" t="s">
        <v>11223</v>
      </c>
      <c r="E3943">
        <f>disaster_childrightviolations_apr_recruit</f>
        <v>0</v>
      </c>
      <c r="F3943" t="b">
        <v>1</v>
      </c>
      <c r="N3943" s="1346"/>
    </row>
    <row r="3944" spans="1:14" x14ac:dyDescent="0.35">
      <c r="A3944" t="s">
        <v>6384</v>
      </c>
      <c r="B3944" t="s">
        <v>6239</v>
      </c>
      <c r="C3944" t="s">
        <v>6384</v>
      </c>
      <c r="D3944" t="s">
        <v>11224</v>
      </c>
      <c r="E3944">
        <f>disaster_childrightviolations_may_recruit</f>
        <v>0</v>
      </c>
      <c r="F3944" t="b">
        <v>1</v>
      </c>
      <c r="N3944" s="1346"/>
    </row>
    <row r="3945" spans="1:14" x14ac:dyDescent="0.35">
      <c r="A3945" t="s">
        <v>6400</v>
      </c>
      <c r="B3945" t="s">
        <v>6239</v>
      </c>
      <c r="C3945" t="s">
        <v>6400</v>
      </c>
      <c r="D3945" t="s">
        <v>11225</v>
      </c>
      <c r="E3945">
        <f>disaster_childrightviolations_jun_sexual</f>
        <v>0</v>
      </c>
      <c r="F3945" t="b">
        <v>1</v>
      </c>
      <c r="N3945" s="1346"/>
    </row>
    <row r="3946" spans="1:14" x14ac:dyDescent="0.35">
      <c r="A3946" t="s">
        <v>6415</v>
      </c>
      <c r="B3946" t="s">
        <v>6239</v>
      </c>
      <c r="C3946" t="s">
        <v>6415</v>
      </c>
      <c r="D3946" t="s">
        <v>11226</v>
      </c>
      <c r="E3946">
        <f>disaster_childrightviolations_jul_sexual</f>
        <v>0</v>
      </c>
      <c r="F3946" t="b">
        <v>1</v>
      </c>
      <c r="N3946" s="1346"/>
    </row>
    <row r="3947" spans="1:14" x14ac:dyDescent="0.35">
      <c r="A3947" t="s">
        <v>6430</v>
      </c>
      <c r="B3947" t="s">
        <v>6239</v>
      </c>
      <c r="C3947" t="s">
        <v>6430</v>
      </c>
      <c r="D3947" t="s">
        <v>11227</v>
      </c>
      <c r="E3947">
        <f>disaster_childrightviolations_aug_sexual</f>
        <v>0</v>
      </c>
      <c r="F3947" t="b">
        <v>1</v>
      </c>
      <c r="N3947" s="1346"/>
    </row>
    <row r="3948" spans="1:14" x14ac:dyDescent="0.35">
      <c r="A3948" t="s">
        <v>6265</v>
      </c>
      <c r="B3948" t="s">
        <v>6239</v>
      </c>
      <c r="C3948" t="s">
        <v>6265</v>
      </c>
      <c r="D3948" t="s">
        <v>11228</v>
      </c>
      <c r="E3948">
        <f>disaster_childrightviolations_sep_sexual</f>
        <v>0</v>
      </c>
      <c r="F3948" t="b">
        <v>1</v>
      </c>
      <c r="N3948" s="1346"/>
    </row>
    <row r="3949" spans="1:14" x14ac:dyDescent="0.35">
      <c r="A3949" t="s">
        <v>6280</v>
      </c>
      <c r="B3949" t="s">
        <v>6239</v>
      </c>
      <c r="C3949" t="s">
        <v>6280</v>
      </c>
      <c r="D3949" t="s">
        <v>11229</v>
      </c>
      <c r="E3949">
        <f>disaster_childrightviolations_oct_sexual</f>
        <v>0</v>
      </c>
      <c r="F3949" t="b">
        <v>1</v>
      </c>
      <c r="N3949" s="1346"/>
    </row>
    <row r="3950" spans="1:14" x14ac:dyDescent="0.35">
      <c r="A3950" t="s">
        <v>6295</v>
      </c>
      <c r="B3950" t="s">
        <v>6239</v>
      </c>
      <c r="C3950" t="s">
        <v>6295</v>
      </c>
      <c r="D3950" t="s">
        <v>11230</v>
      </c>
      <c r="E3950">
        <f>disaster_childrightviolations_nov_sexual</f>
        <v>0</v>
      </c>
      <c r="F3950" t="b">
        <v>1</v>
      </c>
      <c r="N3950" s="1346"/>
    </row>
    <row r="3951" spans="1:14" x14ac:dyDescent="0.35">
      <c r="A3951" t="s">
        <v>6310</v>
      </c>
      <c r="B3951" t="s">
        <v>6239</v>
      </c>
      <c r="C3951" t="s">
        <v>6310</v>
      </c>
      <c r="D3951" t="s">
        <v>11231</v>
      </c>
      <c r="E3951">
        <f>disaster_childrightviolations_dec_sexual</f>
        <v>0</v>
      </c>
      <c r="F3951" t="b">
        <v>1</v>
      </c>
      <c r="N3951" s="1346"/>
    </row>
    <row r="3952" spans="1:14" x14ac:dyDescent="0.35">
      <c r="A3952" t="s">
        <v>6325</v>
      </c>
      <c r="B3952" t="s">
        <v>6239</v>
      </c>
      <c r="C3952" t="s">
        <v>6325</v>
      </c>
      <c r="D3952" t="s">
        <v>11232</v>
      </c>
      <c r="E3952">
        <f>disaster_childrightviolations_jan_sexual</f>
        <v>0</v>
      </c>
      <c r="F3952" t="b">
        <v>1</v>
      </c>
      <c r="N3952" s="1346"/>
    </row>
    <row r="3953" spans="1:14" x14ac:dyDescent="0.35">
      <c r="A3953" t="s">
        <v>6340</v>
      </c>
      <c r="B3953" t="s">
        <v>6239</v>
      </c>
      <c r="C3953" t="s">
        <v>6340</v>
      </c>
      <c r="D3953" t="s">
        <v>11233</v>
      </c>
      <c r="E3953">
        <f>disaster_childrightviolations_feb_sexual</f>
        <v>0</v>
      </c>
      <c r="F3953" t="b">
        <v>1</v>
      </c>
      <c r="N3953" s="1346"/>
    </row>
    <row r="3954" spans="1:14" x14ac:dyDescent="0.35">
      <c r="A3954" t="s">
        <v>6355</v>
      </c>
      <c r="B3954" t="s">
        <v>6239</v>
      </c>
      <c r="C3954" t="s">
        <v>6355</v>
      </c>
      <c r="D3954" t="s">
        <v>11234</v>
      </c>
      <c r="E3954">
        <f>disaster_childrightviolations_mar_sexual</f>
        <v>0</v>
      </c>
      <c r="F3954" t="b">
        <v>1</v>
      </c>
      <c r="N3954" s="1346"/>
    </row>
    <row r="3955" spans="1:14" x14ac:dyDescent="0.35">
      <c r="A3955" t="s">
        <v>6370</v>
      </c>
      <c r="B3955" t="s">
        <v>6239</v>
      </c>
      <c r="C3955" t="s">
        <v>6370</v>
      </c>
      <c r="D3955" t="s">
        <v>11235</v>
      </c>
      <c r="E3955">
        <f>disaster_childrightviolations_apr_sexual</f>
        <v>0</v>
      </c>
      <c r="F3955" t="b">
        <v>1</v>
      </c>
      <c r="N3955" s="1346"/>
    </row>
    <row r="3956" spans="1:14" s="1348" customFormat="1" ht="16" thickBot="1" x14ac:dyDescent="0.4">
      <c r="A3956" s="1348" t="s">
        <v>6385</v>
      </c>
      <c r="B3956" s="1348" t="s">
        <v>6239</v>
      </c>
      <c r="C3956" s="1348" t="s">
        <v>6385</v>
      </c>
      <c r="D3956" s="1348" t="s">
        <v>11236</v>
      </c>
      <c r="E3956" s="1348">
        <f>disaster_childrightviolations_may_sexual</f>
        <v>0</v>
      </c>
      <c r="F3956" s="1348" t="b">
        <v>1</v>
      </c>
      <c r="N3956" s="1358"/>
    </row>
    <row r="3957" spans="1:14" x14ac:dyDescent="0.35">
      <c r="A3957" t="s">
        <v>6481</v>
      </c>
      <c r="B3957" t="s">
        <v>6432</v>
      </c>
      <c r="C3957" t="s">
        <v>6481</v>
      </c>
      <c r="D3957" s="1350" t="s">
        <v>11237</v>
      </c>
      <c r="E3957">
        <f>result_disaster_jun_cls_evactr</f>
        <v>0</v>
      </c>
      <c r="F3957" t="b">
        <v>1</v>
      </c>
      <c r="N3957" s="1346"/>
    </row>
    <row r="3958" spans="1:14" x14ac:dyDescent="0.35">
      <c r="A3958" t="s">
        <v>6486</v>
      </c>
      <c r="B3958" t="s">
        <v>6432</v>
      </c>
      <c r="C3958" t="s">
        <v>6486</v>
      </c>
      <c r="D3958" t="s">
        <v>11238</v>
      </c>
      <c r="E3958">
        <f>result_disaster_jul_cls_evactr</f>
        <v>0</v>
      </c>
      <c r="F3958" t="b">
        <v>1</v>
      </c>
      <c r="N3958" s="1346"/>
    </row>
    <row r="3959" spans="1:14" x14ac:dyDescent="0.35">
      <c r="A3959" t="s">
        <v>6491</v>
      </c>
      <c r="B3959" t="s">
        <v>6432</v>
      </c>
      <c r="C3959" t="s">
        <v>6491</v>
      </c>
      <c r="D3959" t="s">
        <v>11239</v>
      </c>
      <c r="E3959">
        <f>result_disaster_aug_cls_evactr</f>
        <v>0</v>
      </c>
      <c r="F3959" t="b">
        <v>1</v>
      </c>
      <c r="N3959" s="1346"/>
    </row>
    <row r="3960" spans="1:14" x14ac:dyDescent="0.35">
      <c r="A3960" t="s">
        <v>6436</v>
      </c>
      <c r="B3960" t="s">
        <v>6432</v>
      </c>
      <c r="C3960" t="s">
        <v>6436</v>
      </c>
      <c r="D3960" t="s">
        <v>11240</v>
      </c>
      <c r="E3960">
        <f>result_disaster_sep_cls_evactr</f>
        <v>0</v>
      </c>
      <c r="F3960" t="b">
        <v>1</v>
      </c>
      <c r="N3960" s="1346"/>
    </row>
    <row r="3961" spans="1:14" x14ac:dyDescent="0.35">
      <c r="A3961" t="s">
        <v>6441</v>
      </c>
      <c r="B3961" t="s">
        <v>6432</v>
      </c>
      <c r="C3961" t="s">
        <v>6441</v>
      </c>
      <c r="D3961" t="s">
        <v>11241</v>
      </c>
      <c r="E3961">
        <f>result_disaster_oct_cls_evactr</f>
        <v>0</v>
      </c>
      <c r="F3961" t="b">
        <v>1</v>
      </c>
      <c r="N3961" s="1346"/>
    </row>
    <row r="3962" spans="1:14" x14ac:dyDescent="0.35">
      <c r="A3962" t="s">
        <v>6446</v>
      </c>
      <c r="B3962" t="s">
        <v>6432</v>
      </c>
      <c r="C3962" t="s">
        <v>6446</v>
      </c>
      <c r="D3962" t="s">
        <v>11242</v>
      </c>
      <c r="E3962">
        <f>result_disaster_nov_cls_evactr</f>
        <v>0</v>
      </c>
      <c r="F3962" t="b">
        <v>1</v>
      </c>
      <c r="N3962" s="1346"/>
    </row>
    <row r="3963" spans="1:14" x14ac:dyDescent="0.35">
      <c r="A3963" t="s">
        <v>6451</v>
      </c>
      <c r="B3963" t="s">
        <v>6432</v>
      </c>
      <c r="C3963" t="s">
        <v>6451</v>
      </c>
      <c r="D3963" t="s">
        <v>11243</v>
      </c>
      <c r="E3963">
        <f>result_disaster_dec_cls_evactr</f>
        <v>0</v>
      </c>
      <c r="F3963" t="b">
        <v>1</v>
      </c>
      <c r="N3963" s="1346"/>
    </row>
    <row r="3964" spans="1:14" x14ac:dyDescent="0.35">
      <c r="A3964" t="s">
        <v>6456</v>
      </c>
      <c r="B3964" t="s">
        <v>6432</v>
      </c>
      <c r="C3964" t="s">
        <v>6456</v>
      </c>
      <c r="D3964" t="s">
        <v>11244</v>
      </c>
      <c r="E3964">
        <f>result_disaster_jan_cls_evactr</f>
        <v>0</v>
      </c>
      <c r="F3964" t="b">
        <v>1</v>
      </c>
      <c r="N3964" s="1346"/>
    </row>
    <row r="3965" spans="1:14" x14ac:dyDescent="0.35">
      <c r="A3965" t="s">
        <v>6461</v>
      </c>
      <c r="B3965" t="s">
        <v>6432</v>
      </c>
      <c r="C3965" t="s">
        <v>6461</v>
      </c>
      <c r="D3965" t="s">
        <v>11245</v>
      </c>
      <c r="E3965">
        <f>result_disaster_feb_cls_evactr</f>
        <v>0</v>
      </c>
      <c r="F3965" t="b">
        <v>1</v>
      </c>
      <c r="N3965" s="1346"/>
    </row>
    <row r="3966" spans="1:14" x14ac:dyDescent="0.35">
      <c r="A3966" t="s">
        <v>6466</v>
      </c>
      <c r="B3966" t="s">
        <v>6432</v>
      </c>
      <c r="C3966" t="s">
        <v>6466</v>
      </c>
      <c r="D3966" t="s">
        <v>11246</v>
      </c>
      <c r="E3966">
        <f>result_disaster_mar_cls_evactr</f>
        <v>0</v>
      </c>
      <c r="F3966" t="b">
        <v>1</v>
      </c>
      <c r="N3966" s="1346"/>
    </row>
    <row r="3967" spans="1:14" x14ac:dyDescent="0.35">
      <c r="A3967" t="s">
        <v>6471</v>
      </c>
      <c r="B3967" t="s">
        <v>6432</v>
      </c>
      <c r="C3967" t="s">
        <v>6471</v>
      </c>
      <c r="D3967" t="s">
        <v>11247</v>
      </c>
      <c r="E3967">
        <f>result_disaster_apr_cls_evactr</f>
        <v>0</v>
      </c>
      <c r="F3967" t="b">
        <v>1</v>
      </c>
      <c r="N3967" s="1346"/>
    </row>
    <row r="3968" spans="1:14" x14ac:dyDescent="0.35">
      <c r="A3968" t="s">
        <v>6476</v>
      </c>
      <c r="B3968" t="s">
        <v>6432</v>
      </c>
      <c r="C3968" t="s">
        <v>6476</v>
      </c>
      <c r="D3968" t="s">
        <v>11248</v>
      </c>
      <c r="E3968">
        <f>result_disaster_may_cls_evactr</f>
        <v>0</v>
      </c>
      <c r="F3968" t="b">
        <v>1</v>
      </c>
      <c r="N3968" s="1346"/>
    </row>
    <row r="3969" spans="1:14" x14ac:dyDescent="0.35">
      <c r="A3969" t="s">
        <v>6477</v>
      </c>
      <c r="B3969" t="s">
        <v>6432</v>
      </c>
      <c r="C3969" t="s">
        <v>6477</v>
      </c>
      <c r="D3969" t="s">
        <v>11249</v>
      </c>
      <c r="E3969">
        <f>result_disaster_jun_days_evactr</f>
        <v>0</v>
      </c>
      <c r="F3969" t="b">
        <v>1</v>
      </c>
      <c r="N3969" s="1346"/>
    </row>
    <row r="3970" spans="1:14" x14ac:dyDescent="0.35">
      <c r="A3970" t="s">
        <v>6482</v>
      </c>
      <c r="B3970" t="s">
        <v>6432</v>
      </c>
      <c r="C3970" t="s">
        <v>6482</v>
      </c>
      <c r="D3970" t="s">
        <v>11250</v>
      </c>
      <c r="E3970">
        <f>result_disaster_jul_days_evactr</f>
        <v>0</v>
      </c>
      <c r="F3970" t="b">
        <v>1</v>
      </c>
      <c r="N3970" s="1346"/>
    </row>
    <row r="3971" spans="1:14" x14ac:dyDescent="0.35">
      <c r="A3971" t="s">
        <v>6487</v>
      </c>
      <c r="B3971" t="s">
        <v>6432</v>
      </c>
      <c r="C3971" t="s">
        <v>6487</v>
      </c>
      <c r="D3971" t="s">
        <v>11251</v>
      </c>
      <c r="E3971">
        <f>result_disaster_aug_days_evactr</f>
        <v>0</v>
      </c>
      <c r="F3971" t="b">
        <v>1</v>
      </c>
      <c r="N3971" s="1346"/>
    </row>
    <row r="3972" spans="1:14" x14ac:dyDescent="0.35">
      <c r="A3972" t="s">
        <v>6431</v>
      </c>
      <c r="B3972" t="s">
        <v>6432</v>
      </c>
      <c r="C3972" t="s">
        <v>6431</v>
      </c>
      <c r="D3972" t="s">
        <v>11252</v>
      </c>
      <c r="E3972">
        <f>result_disaster_sep_days_evactr</f>
        <v>0</v>
      </c>
      <c r="F3972" t="b">
        <v>1</v>
      </c>
      <c r="N3972" s="1346"/>
    </row>
    <row r="3973" spans="1:14" x14ac:dyDescent="0.35">
      <c r="A3973" t="s">
        <v>6437</v>
      </c>
      <c r="B3973" t="s">
        <v>6432</v>
      </c>
      <c r="C3973" t="s">
        <v>6437</v>
      </c>
      <c r="D3973" t="s">
        <v>11253</v>
      </c>
      <c r="E3973">
        <f>result_disaster_oct_days_evactr</f>
        <v>0</v>
      </c>
      <c r="F3973" t="b">
        <v>1</v>
      </c>
      <c r="N3973" s="1346"/>
    </row>
    <row r="3974" spans="1:14" x14ac:dyDescent="0.35">
      <c r="A3974" t="s">
        <v>6442</v>
      </c>
      <c r="B3974" t="s">
        <v>6432</v>
      </c>
      <c r="C3974" t="s">
        <v>6442</v>
      </c>
      <c r="D3974" t="s">
        <v>11254</v>
      </c>
      <c r="E3974">
        <f>result_disaster_nov_days_evactr</f>
        <v>0</v>
      </c>
      <c r="F3974" t="b">
        <v>1</v>
      </c>
      <c r="N3974" s="1346"/>
    </row>
    <row r="3975" spans="1:14" x14ac:dyDescent="0.35">
      <c r="A3975" t="s">
        <v>6447</v>
      </c>
      <c r="B3975" t="s">
        <v>6432</v>
      </c>
      <c r="C3975" t="s">
        <v>6447</v>
      </c>
      <c r="D3975" t="s">
        <v>11255</v>
      </c>
      <c r="E3975">
        <f>result_disaster_dec_days_evactr</f>
        <v>0</v>
      </c>
      <c r="F3975" t="b">
        <v>1</v>
      </c>
      <c r="N3975" s="1346"/>
    </row>
    <row r="3976" spans="1:14" x14ac:dyDescent="0.35">
      <c r="A3976" t="s">
        <v>6452</v>
      </c>
      <c r="B3976" t="s">
        <v>6432</v>
      </c>
      <c r="C3976" t="s">
        <v>6452</v>
      </c>
      <c r="D3976" t="s">
        <v>11256</v>
      </c>
      <c r="E3976">
        <f>result_disaster_jan_days_evactr</f>
        <v>0</v>
      </c>
      <c r="F3976" t="b">
        <v>1</v>
      </c>
      <c r="N3976" s="1346"/>
    </row>
    <row r="3977" spans="1:14" x14ac:dyDescent="0.35">
      <c r="A3977" t="s">
        <v>6457</v>
      </c>
      <c r="B3977" t="s">
        <v>6432</v>
      </c>
      <c r="C3977" t="s">
        <v>6457</v>
      </c>
      <c r="D3977" t="s">
        <v>11257</v>
      </c>
      <c r="E3977">
        <f>result_disaster_feb_days_evactr</f>
        <v>0</v>
      </c>
      <c r="F3977" t="b">
        <v>1</v>
      </c>
      <c r="N3977" s="1346"/>
    </row>
    <row r="3978" spans="1:14" x14ac:dyDescent="0.35">
      <c r="A3978" t="s">
        <v>6462</v>
      </c>
      <c r="B3978" t="s">
        <v>6432</v>
      </c>
      <c r="C3978" t="s">
        <v>6462</v>
      </c>
      <c r="D3978" t="s">
        <v>11258</v>
      </c>
      <c r="E3978">
        <f>result_disaster_mar_days_evactr</f>
        <v>0</v>
      </c>
      <c r="F3978" t="b">
        <v>1</v>
      </c>
      <c r="N3978" s="1346"/>
    </row>
    <row r="3979" spans="1:14" x14ac:dyDescent="0.35">
      <c r="A3979" t="s">
        <v>6467</v>
      </c>
      <c r="B3979" t="s">
        <v>6432</v>
      </c>
      <c r="C3979" t="s">
        <v>6467</v>
      </c>
      <c r="D3979" t="s">
        <v>11259</v>
      </c>
      <c r="E3979">
        <f>result_disaster_apr_days_evactr</f>
        <v>0</v>
      </c>
      <c r="F3979" t="b">
        <v>1</v>
      </c>
      <c r="N3979" s="1346"/>
    </row>
    <row r="3980" spans="1:14" x14ac:dyDescent="0.35">
      <c r="A3980" t="s">
        <v>6472</v>
      </c>
      <c r="B3980" t="s">
        <v>6432</v>
      </c>
      <c r="C3980" t="s">
        <v>6472</v>
      </c>
      <c r="D3980" t="s">
        <v>11260</v>
      </c>
      <c r="E3980">
        <f>result_disaster_may_days_evactr</f>
        <v>0</v>
      </c>
      <c r="F3980" t="b">
        <v>1</v>
      </c>
      <c r="N3980" s="1346"/>
    </row>
    <row r="3981" spans="1:14" x14ac:dyDescent="0.35">
      <c r="A3981" t="s">
        <v>6478</v>
      </c>
      <c r="B3981" t="s">
        <v>6432</v>
      </c>
      <c r="C3981" t="s">
        <v>6478</v>
      </c>
      <c r="D3981" t="s">
        <v>11261</v>
      </c>
      <c r="E3981">
        <f>result_disaster_jun_days_cls_suspend</f>
        <v>0</v>
      </c>
      <c r="F3981" t="b">
        <v>1</v>
      </c>
      <c r="N3981" s="1346"/>
    </row>
    <row r="3982" spans="1:14" x14ac:dyDescent="0.35">
      <c r="A3982" t="s">
        <v>6483</v>
      </c>
      <c r="B3982" t="s">
        <v>6432</v>
      </c>
      <c r="C3982" t="s">
        <v>6483</v>
      </c>
      <c r="D3982" t="s">
        <v>11262</v>
      </c>
      <c r="E3982">
        <f>result_disaster_jul_days_cls_suspend</f>
        <v>0</v>
      </c>
      <c r="F3982" t="b">
        <v>1</v>
      </c>
      <c r="N3982" s="1346"/>
    </row>
    <row r="3983" spans="1:14" x14ac:dyDescent="0.35">
      <c r="A3983" t="s">
        <v>6488</v>
      </c>
      <c r="B3983" t="s">
        <v>6432</v>
      </c>
      <c r="C3983" t="s">
        <v>6488</v>
      </c>
      <c r="D3983" t="s">
        <v>11263</v>
      </c>
      <c r="E3983">
        <f>result_disaster_aug_days_cls_suspend</f>
        <v>0</v>
      </c>
      <c r="F3983" t="b">
        <v>1</v>
      </c>
      <c r="N3983" s="1346"/>
    </row>
    <row r="3984" spans="1:14" x14ac:dyDescent="0.35">
      <c r="A3984" t="s">
        <v>6433</v>
      </c>
      <c r="B3984" t="s">
        <v>6432</v>
      </c>
      <c r="C3984" t="s">
        <v>6433</v>
      </c>
      <c r="D3984" t="s">
        <v>11264</v>
      </c>
      <c r="E3984">
        <f>result_disaster_sep_days_cls_suspend</f>
        <v>0</v>
      </c>
      <c r="F3984" t="b">
        <v>1</v>
      </c>
      <c r="N3984" s="1346"/>
    </row>
    <row r="3985" spans="1:14" x14ac:dyDescent="0.35">
      <c r="A3985" t="s">
        <v>6438</v>
      </c>
      <c r="B3985" t="s">
        <v>6432</v>
      </c>
      <c r="C3985" t="s">
        <v>6438</v>
      </c>
      <c r="D3985" t="s">
        <v>11265</v>
      </c>
      <c r="E3985">
        <f>result_disaster_oct_days_cls_suspend</f>
        <v>0</v>
      </c>
      <c r="F3985" t="b">
        <v>1</v>
      </c>
      <c r="N3985" s="1346"/>
    </row>
    <row r="3986" spans="1:14" x14ac:dyDescent="0.35">
      <c r="A3986" t="s">
        <v>6443</v>
      </c>
      <c r="B3986" t="s">
        <v>6432</v>
      </c>
      <c r="C3986" t="s">
        <v>6443</v>
      </c>
      <c r="D3986" t="s">
        <v>11266</v>
      </c>
      <c r="E3986">
        <f>result_disaster_nov_days_cls_suspend</f>
        <v>0</v>
      </c>
      <c r="F3986" t="b">
        <v>1</v>
      </c>
      <c r="N3986" s="1346"/>
    </row>
    <row r="3987" spans="1:14" x14ac:dyDescent="0.35">
      <c r="A3987" t="s">
        <v>6448</v>
      </c>
      <c r="B3987" t="s">
        <v>6432</v>
      </c>
      <c r="C3987" t="s">
        <v>6448</v>
      </c>
      <c r="D3987" t="s">
        <v>11267</v>
      </c>
      <c r="E3987">
        <f>result_disaster_dec_days_cls_suspend</f>
        <v>1</v>
      </c>
      <c r="F3987" t="b">
        <v>1</v>
      </c>
      <c r="N3987" s="1346"/>
    </row>
    <row r="3988" spans="1:14" x14ac:dyDescent="0.35">
      <c r="A3988" t="s">
        <v>6453</v>
      </c>
      <c r="B3988" t="s">
        <v>6432</v>
      </c>
      <c r="C3988" t="s">
        <v>6453</v>
      </c>
      <c r="D3988" t="s">
        <v>11268</v>
      </c>
      <c r="E3988">
        <f>result_disaster_jan_days_cls_suspend</f>
        <v>0</v>
      </c>
      <c r="F3988" t="b">
        <v>1</v>
      </c>
      <c r="N3988" s="1346"/>
    </row>
    <row r="3989" spans="1:14" x14ac:dyDescent="0.35">
      <c r="A3989" t="s">
        <v>6458</v>
      </c>
      <c r="B3989" t="s">
        <v>6432</v>
      </c>
      <c r="C3989" t="s">
        <v>6458</v>
      </c>
      <c r="D3989" t="s">
        <v>11269</v>
      </c>
      <c r="E3989">
        <f>result_disaster_feb_days_cls_suspend</f>
        <v>0</v>
      </c>
      <c r="F3989" t="b">
        <v>1</v>
      </c>
      <c r="N3989" s="1346"/>
    </row>
    <row r="3990" spans="1:14" x14ac:dyDescent="0.35">
      <c r="A3990" t="s">
        <v>6463</v>
      </c>
      <c r="B3990" t="s">
        <v>6432</v>
      </c>
      <c r="C3990" t="s">
        <v>6463</v>
      </c>
      <c r="D3990" t="s">
        <v>11270</v>
      </c>
      <c r="E3990">
        <f>result_disaster_mar_days_cls_suspend</f>
        <v>0</v>
      </c>
      <c r="F3990" t="b">
        <v>1</v>
      </c>
      <c r="N3990" s="1346"/>
    </row>
    <row r="3991" spans="1:14" x14ac:dyDescent="0.35">
      <c r="A3991" t="s">
        <v>6468</v>
      </c>
      <c r="B3991" t="s">
        <v>6432</v>
      </c>
      <c r="C3991" t="s">
        <v>6468</v>
      </c>
      <c r="D3991" t="s">
        <v>11271</v>
      </c>
      <c r="E3991">
        <f>result_disaster_apr_days_cls_suspend</f>
        <v>0</v>
      </c>
      <c r="F3991" t="b">
        <v>1</v>
      </c>
      <c r="N3991" s="1346"/>
    </row>
    <row r="3992" spans="1:14" x14ac:dyDescent="0.35">
      <c r="A3992" t="s">
        <v>6473</v>
      </c>
      <c r="B3992" t="s">
        <v>6432</v>
      </c>
      <c r="C3992" t="s">
        <v>6473</v>
      </c>
      <c r="D3992" t="s">
        <v>11272</v>
      </c>
      <c r="E3992">
        <f>result_disaster_may_days_cls_suspend</f>
        <v>0</v>
      </c>
      <c r="F3992" t="b">
        <v>1</v>
      </c>
      <c r="N3992" s="1346"/>
    </row>
    <row r="3993" spans="1:14" x14ac:dyDescent="0.35">
      <c r="A3993" t="s">
        <v>6479</v>
      </c>
      <c r="B3993" t="s">
        <v>6432</v>
      </c>
      <c r="C3993" t="s">
        <v>6479</v>
      </c>
      <c r="D3993" t="s">
        <v>11273</v>
      </c>
      <c r="E3993">
        <f>result_disaster_jun_days_cls_suspend_humaninduced</f>
        <v>0</v>
      </c>
      <c r="F3993" t="b">
        <v>1</v>
      </c>
      <c r="N3993" s="1346"/>
    </row>
    <row r="3994" spans="1:14" x14ac:dyDescent="0.35">
      <c r="A3994" t="s">
        <v>6484</v>
      </c>
      <c r="B3994" t="s">
        <v>6432</v>
      </c>
      <c r="C3994" t="s">
        <v>6484</v>
      </c>
      <c r="D3994" t="s">
        <v>11274</v>
      </c>
      <c r="E3994">
        <f>result_disaster_july_days_cls_suspend_humaninduced</f>
        <v>0</v>
      </c>
      <c r="F3994" t="b">
        <v>1</v>
      </c>
      <c r="N3994" s="1346"/>
    </row>
    <row r="3995" spans="1:14" x14ac:dyDescent="0.35">
      <c r="A3995" t="s">
        <v>6489</v>
      </c>
      <c r="B3995" t="s">
        <v>6432</v>
      </c>
      <c r="C3995" t="s">
        <v>6489</v>
      </c>
      <c r="D3995" t="s">
        <v>11275</v>
      </c>
      <c r="E3995">
        <f>result_disaster_aug_days_cls_suspend_humaninduced</f>
        <v>0</v>
      </c>
      <c r="F3995" t="b">
        <v>1</v>
      </c>
      <c r="N3995" s="1346"/>
    </row>
    <row r="3996" spans="1:14" x14ac:dyDescent="0.35">
      <c r="A3996" t="s">
        <v>6434</v>
      </c>
      <c r="B3996" t="s">
        <v>6432</v>
      </c>
      <c r="C3996" t="s">
        <v>6434</v>
      </c>
      <c r="D3996" t="s">
        <v>11276</v>
      </c>
      <c r="E3996">
        <f>result_disaster_sep_days_cls_suspend_humaninduced</f>
        <v>0</v>
      </c>
      <c r="F3996" t="b">
        <v>1</v>
      </c>
      <c r="N3996" s="1346"/>
    </row>
    <row r="3997" spans="1:14" x14ac:dyDescent="0.35">
      <c r="A3997" t="s">
        <v>6439</v>
      </c>
      <c r="B3997" t="s">
        <v>6432</v>
      </c>
      <c r="C3997" t="s">
        <v>6439</v>
      </c>
      <c r="D3997" t="s">
        <v>11277</v>
      </c>
      <c r="E3997">
        <f>result_disaster_oct_days_cls_suspend_humaninduced</f>
        <v>0</v>
      </c>
      <c r="F3997" t="b">
        <v>1</v>
      </c>
      <c r="N3997" s="1346"/>
    </row>
    <row r="3998" spans="1:14" x14ac:dyDescent="0.35">
      <c r="A3998" t="s">
        <v>6444</v>
      </c>
      <c r="B3998" t="s">
        <v>6432</v>
      </c>
      <c r="C3998" t="s">
        <v>6444</v>
      </c>
      <c r="D3998" t="s">
        <v>11278</v>
      </c>
      <c r="E3998">
        <f>result_disaster_nov_days_cls_suspend_humaninduced</f>
        <v>0</v>
      </c>
      <c r="F3998" t="b">
        <v>1</v>
      </c>
      <c r="N3998" s="1346"/>
    </row>
    <row r="3999" spans="1:14" x14ac:dyDescent="0.35">
      <c r="A3999" t="s">
        <v>6449</v>
      </c>
      <c r="B3999" t="s">
        <v>6432</v>
      </c>
      <c r="C3999" t="s">
        <v>6449</v>
      </c>
      <c r="D3999" t="s">
        <v>11279</v>
      </c>
      <c r="E3999">
        <f>result_disaster_dec_days_cls_suspend_humaninduced</f>
        <v>0</v>
      </c>
      <c r="F3999" t="b">
        <v>1</v>
      </c>
      <c r="N3999" s="1346"/>
    </row>
    <row r="4000" spans="1:14" x14ac:dyDescent="0.35">
      <c r="A4000" t="s">
        <v>6454</v>
      </c>
      <c r="B4000" t="s">
        <v>6432</v>
      </c>
      <c r="C4000" t="s">
        <v>6454</v>
      </c>
      <c r="D4000" t="s">
        <v>11280</v>
      </c>
      <c r="E4000">
        <f>result_disaster_jan_days_cls_suspend_humaninduced</f>
        <v>0</v>
      </c>
      <c r="F4000" t="b">
        <v>1</v>
      </c>
      <c r="N4000" s="1346"/>
    </row>
    <row r="4001" spans="1:14" x14ac:dyDescent="0.35">
      <c r="A4001" t="s">
        <v>6459</v>
      </c>
      <c r="B4001" t="s">
        <v>6432</v>
      </c>
      <c r="C4001" t="s">
        <v>6459</v>
      </c>
      <c r="D4001" t="s">
        <v>11281</v>
      </c>
      <c r="E4001">
        <f>result_disaster_feb_days_cls_suspend_humaninduced</f>
        <v>0</v>
      </c>
      <c r="F4001" t="b">
        <v>1</v>
      </c>
      <c r="N4001" s="1346"/>
    </row>
    <row r="4002" spans="1:14" x14ac:dyDescent="0.35">
      <c r="A4002" t="s">
        <v>6464</v>
      </c>
      <c r="B4002" t="s">
        <v>6432</v>
      </c>
      <c r="C4002" t="s">
        <v>6464</v>
      </c>
      <c r="D4002" t="s">
        <v>11282</v>
      </c>
      <c r="E4002">
        <f>result_disaster_mar_days_cls_suspend_humaninduced</f>
        <v>0</v>
      </c>
      <c r="F4002" t="b">
        <v>1</v>
      </c>
      <c r="N4002" s="1346"/>
    </row>
    <row r="4003" spans="1:14" x14ac:dyDescent="0.35">
      <c r="A4003" t="s">
        <v>6469</v>
      </c>
      <c r="B4003" t="s">
        <v>6432</v>
      </c>
      <c r="C4003" t="s">
        <v>6469</v>
      </c>
      <c r="D4003" t="s">
        <v>11283</v>
      </c>
      <c r="E4003">
        <f>result_disaster_apr_days_cls_suspend_humaninduced</f>
        <v>0</v>
      </c>
      <c r="F4003" t="b">
        <v>1</v>
      </c>
      <c r="N4003" s="1346"/>
    </row>
    <row r="4004" spans="1:14" x14ac:dyDescent="0.35">
      <c r="A4004" t="s">
        <v>6474</v>
      </c>
      <c r="B4004" t="s">
        <v>6432</v>
      </c>
      <c r="C4004" t="s">
        <v>6474</v>
      </c>
      <c r="D4004" t="s">
        <v>11284</v>
      </c>
      <c r="E4004">
        <f>result_disaster_may_days_cls_suspend_humaninduced</f>
        <v>0</v>
      </c>
      <c r="F4004" t="b">
        <v>1</v>
      </c>
      <c r="N4004" s="1346"/>
    </row>
    <row r="4005" spans="1:14" x14ac:dyDescent="0.35">
      <c r="A4005" t="s">
        <v>6480</v>
      </c>
      <c r="B4005" t="s">
        <v>6432</v>
      </c>
      <c r="C4005" t="s">
        <v>6480</v>
      </c>
      <c r="D4005" t="s">
        <v>11285</v>
      </c>
      <c r="E4005">
        <f>result_disaster_jun_days_cls_armed_conflict</f>
        <v>0</v>
      </c>
      <c r="F4005" t="b">
        <v>1</v>
      </c>
      <c r="N4005" s="1346"/>
    </row>
    <row r="4006" spans="1:14" x14ac:dyDescent="0.35">
      <c r="A4006" t="s">
        <v>6485</v>
      </c>
      <c r="B4006" t="s">
        <v>6432</v>
      </c>
      <c r="C4006" t="s">
        <v>6485</v>
      </c>
      <c r="D4006" t="s">
        <v>11286</v>
      </c>
      <c r="E4006">
        <f>result_disaster_jul_days_cls_armed_conflict</f>
        <v>0</v>
      </c>
      <c r="F4006" t="b">
        <v>1</v>
      </c>
      <c r="N4006" s="1346"/>
    </row>
    <row r="4007" spans="1:14" x14ac:dyDescent="0.35">
      <c r="A4007" t="s">
        <v>6490</v>
      </c>
      <c r="B4007" t="s">
        <v>6432</v>
      </c>
      <c r="C4007" t="s">
        <v>6490</v>
      </c>
      <c r="D4007" t="s">
        <v>11287</v>
      </c>
      <c r="E4007">
        <f>result_disaster_aug_days_cls_armed_conflict</f>
        <v>0</v>
      </c>
      <c r="F4007" t="b">
        <v>1</v>
      </c>
      <c r="N4007" s="1346"/>
    </row>
    <row r="4008" spans="1:14" x14ac:dyDescent="0.35">
      <c r="A4008" t="s">
        <v>6435</v>
      </c>
      <c r="B4008" t="s">
        <v>6432</v>
      </c>
      <c r="C4008" t="s">
        <v>6435</v>
      </c>
      <c r="D4008" t="s">
        <v>11288</v>
      </c>
      <c r="E4008">
        <f>result_disaster_sep_days_cls_armed_conflict</f>
        <v>0</v>
      </c>
      <c r="F4008" t="b">
        <v>1</v>
      </c>
      <c r="N4008" s="1346"/>
    </row>
    <row r="4009" spans="1:14" x14ac:dyDescent="0.35">
      <c r="A4009" t="s">
        <v>6440</v>
      </c>
      <c r="B4009" t="s">
        <v>6432</v>
      </c>
      <c r="C4009" t="s">
        <v>6440</v>
      </c>
      <c r="D4009" t="s">
        <v>11289</v>
      </c>
      <c r="E4009">
        <f>result_disaster_oct_days_cls_armed_conflict</f>
        <v>0</v>
      </c>
      <c r="F4009" t="b">
        <v>1</v>
      </c>
      <c r="N4009" s="1346"/>
    </row>
    <row r="4010" spans="1:14" x14ac:dyDescent="0.35">
      <c r="A4010" t="s">
        <v>6445</v>
      </c>
      <c r="B4010" t="s">
        <v>6432</v>
      </c>
      <c r="C4010" t="s">
        <v>6445</v>
      </c>
      <c r="D4010" t="s">
        <v>11290</v>
      </c>
      <c r="E4010">
        <f>result_disaster_nov_days_cls_armed_conflict</f>
        <v>0</v>
      </c>
      <c r="F4010" t="b">
        <v>1</v>
      </c>
      <c r="N4010" s="1346"/>
    </row>
    <row r="4011" spans="1:14" x14ac:dyDescent="0.35">
      <c r="A4011" t="s">
        <v>6450</v>
      </c>
      <c r="B4011" t="s">
        <v>6432</v>
      </c>
      <c r="C4011" t="s">
        <v>6450</v>
      </c>
      <c r="D4011" t="s">
        <v>11291</v>
      </c>
      <c r="E4011">
        <f>result_disaster_dec_days_cls_armed_conflict</f>
        <v>0</v>
      </c>
      <c r="F4011" t="b">
        <v>1</v>
      </c>
      <c r="N4011" s="1346"/>
    </row>
    <row r="4012" spans="1:14" x14ac:dyDescent="0.35">
      <c r="A4012" t="s">
        <v>6455</v>
      </c>
      <c r="B4012" t="s">
        <v>6432</v>
      </c>
      <c r="C4012" t="s">
        <v>6455</v>
      </c>
      <c r="D4012" t="s">
        <v>11292</v>
      </c>
      <c r="E4012">
        <f>result_disaster_jan_days_cls_armed_conflict</f>
        <v>0</v>
      </c>
      <c r="F4012" t="b">
        <v>1</v>
      </c>
      <c r="N4012" s="1346"/>
    </row>
    <row r="4013" spans="1:14" x14ac:dyDescent="0.35">
      <c r="A4013" t="s">
        <v>6460</v>
      </c>
      <c r="B4013" t="s">
        <v>6432</v>
      </c>
      <c r="C4013" t="s">
        <v>6460</v>
      </c>
      <c r="D4013" t="s">
        <v>11293</v>
      </c>
      <c r="E4013">
        <f>result_disaster_feb_days_cls_armed_conflict</f>
        <v>0</v>
      </c>
      <c r="F4013" t="b">
        <v>1</v>
      </c>
      <c r="N4013" s="1346"/>
    </row>
    <row r="4014" spans="1:14" x14ac:dyDescent="0.35">
      <c r="A4014" t="s">
        <v>6465</v>
      </c>
      <c r="B4014" t="s">
        <v>6432</v>
      </c>
      <c r="C4014" t="s">
        <v>6465</v>
      </c>
      <c r="D4014" t="s">
        <v>11294</v>
      </c>
      <c r="E4014">
        <f>result_disaster_mar_days_cls_armed_conflict</f>
        <v>0</v>
      </c>
      <c r="F4014" t="b">
        <v>1</v>
      </c>
      <c r="N4014" s="1346"/>
    </row>
    <row r="4015" spans="1:14" x14ac:dyDescent="0.35">
      <c r="A4015" t="s">
        <v>6470</v>
      </c>
      <c r="B4015" t="s">
        <v>6432</v>
      </c>
      <c r="C4015" t="s">
        <v>6470</v>
      </c>
      <c r="D4015" t="s">
        <v>11295</v>
      </c>
      <c r="E4015">
        <f>result_disaster_apr_days_cls_armed_conflict</f>
        <v>0</v>
      </c>
      <c r="F4015" t="b">
        <v>1</v>
      </c>
      <c r="N4015" s="1346"/>
    </row>
    <row r="4016" spans="1:14" s="1348" customFormat="1" ht="16" thickBot="1" x14ac:dyDescent="0.4">
      <c r="A4016" s="1348" t="s">
        <v>6475</v>
      </c>
      <c r="B4016" s="1348" t="s">
        <v>6432</v>
      </c>
      <c r="C4016" s="1348" t="s">
        <v>6475</v>
      </c>
      <c r="D4016" s="1348" t="s">
        <v>11296</v>
      </c>
      <c r="E4016" s="1348">
        <f>result_disaster_may_days_cls_armed_conflict</f>
        <v>0</v>
      </c>
      <c r="F4016" s="1348" t="b">
        <v>1</v>
      </c>
      <c r="N4016" s="1366"/>
    </row>
    <row r="4017" spans="1:14" s="1350" customFormat="1" x14ac:dyDescent="0.35">
      <c r="A4017" s="1350" t="s">
        <v>6515</v>
      </c>
      <c r="B4017" s="1350" t="s">
        <v>6493</v>
      </c>
      <c r="C4017" s="1350" t="s">
        <v>6515</v>
      </c>
      <c r="D4017" s="1351" t="s">
        <v>11308</v>
      </c>
      <c r="E4017" s="1350" t="b">
        <f>jhs_enabling_DO82</f>
        <v>0</v>
      </c>
      <c r="F4017" s="1350" t="b">
        <f t="shared" ref="F4017:F4027" si="18">ISLOGICAL(E4017)</f>
        <v>1</v>
      </c>
      <c r="G4017" s="1350" t="s">
        <v>12516</v>
      </c>
      <c r="N4017" s="1367"/>
    </row>
    <row r="4018" spans="1:14" x14ac:dyDescent="0.35">
      <c r="A4018" t="s">
        <v>6516</v>
      </c>
      <c r="B4018" t="s">
        <v>6493</v>
      </c>
      <c r="C4018" t="s">
        <v>6516</v>
      </c>
      <c r="D4018" s="1353" t="s">
        <v>11309</v>
      </c>
      <c r="E4018" t="b">
        <f>jhs_enabling_DO83</f>
        <v>1</v>
      </c>
      <c r="F4018" t="b">
        <f t="shared" si="18"/>
        <v>1</v>
      </c>
      <c r="G4018" t="s">
        <v>12516</v>
      </c>
      <c r="N4018" s="1346"/>
    </row>
    <row r="4019" spans="1:14" x14ac:dyDescent="0.35">
      <c r="A4019" t="s">
        <v>6505</v>
      </c>
      <c r="B4019" t="s">
        <v>6493</v>
      </c>
      <c r="C4019" t="s">
        <v>6505</v>
      </c>
      <c r="D4019" s="1353" t="s">
        <v>11310</v>
      </c>
      <c r="E4019" t="b">
        <f>jhs_enabling_DO43</f>
        <v>1</v>
      </c>
      <c r="F4019" t="b">
        <f t="shared" si="18"/>
        <v>1</v>
      </c>
      <c r="G4019" t="s">
        <v>12516</v>
      </c>
      <c r="N4019" s="1346"/>
    </row>
    <row r="4020" spans="1:14" x14ac:dyDescent="0.35">
      <c r="A4020" t="s">
        <v>6506</v>
      </c>
      <c r="B4020" t="s">
        <v>6493</v>
      </c>
      <c r="C4020" t="s">
        <v>6506</v>
      </c>
      <c r="D4020" s="1353" t="s">
        <v>11311</v>
      </c>
      <c r="E4020" t="b">
        <f>jhs_enabling_DO21</f>
        <v>0</v>
      </c>
      <c r="F4020" t="b">
        <f t="shared" si="18"/>
        <v>1</v>
      </c>
      <c r="G4020" t="s">
        <v>12516</v>
      </c>
      <c r="N4020" s="1346"/>
    </row>
    <row r="4021" spans="1:14" x14ac:dyDescent="0.35">
      <c r="A4021" t="s">
        <v>6507</v>
      </c>
      <c r="B4021" t="s">
        <v>6493</v>
      </c>
      <c r="C4021" t="s">
        <v>6507</v>
      </c>
      <c r="D4021" s="1353" t="s">
        <v>11312</v>
      </c>
      <c r="E4021" t="b">
        <f>jhs_enabling_DO23</f>
        <v>0</v>
      </c>
      <c r="F4021" t="b">
        <f t="shared" si="18"/>
        <v>1</v>
      </c>
      <c r="G4021" t="s">
        <v>12516</v>
      </c>
      <c r="N4021" s="1346"/>
    </row>
    <row r="4022" spans="1:14" x14ac:dyDescent="0.35">
      <c r="A4022" t="s">
        <v>6508</v>
      </c>
      <c r="B4022" t="s">
        <v>6493</v>
      </c>
      <c r="C4022" t="s">
        <v>6508</v>
      </c>
      <c r="D4022" s="1353" t="s">
        <v>11313</v>
      </c>
      <c r="E4022" t="b">
        <f>jhs_enabling_DO27</f>
        <v>0</v>
      </c>
      <c r="F4022" t="b">
        <f t="shared" si="18"/>
        <v>1</v>
      </c>
      <c r="G4022" t="s">
        <v>12516</v>
      </c>
      <c r="N4022" s="1346"/>
    </row>
    <row r="4023" spans="1:14" x14ac:dyDescent="0.35">
      <c r="A4023" t="s">
        <v>6509</v>
      </c>
      <c r="B4023" t="s">
        <v>6493</v>
      </c>
      <c r="C4023" t="s">
        <v>6509</v>
      </c>
      <c r="D4023" s="1353" t="s">
        <v>11314</v>
      </c>
      <c r="E4023" t="b">
        <f>jhs_enabling_DO37</f>
        <v>0</v>
      </c>
      <c r="F4023" t="b">
        <f t="shared" si="18"/>
        <v>1</v>
      </c>
      <c r="G4023" t="s">
        <v>12516</v>
      </c>
      <c r="N4023" s="1346"/>
    </row>
    <row r="4024" spans="1:14" x14ac:dyDescent="0.35">
      <c r="A4024" t="s">
        <v>6510</v>
      </c>
      <c r="B4024" t="s">
        <v>6493</v>
      </c>
      <c r="C4024" t="s">
        <v>6510</v>
      </c>
      <c r="D4024" s="1353" t="s">
        <v>11315</v>
      </c>
      <c r="E4024" t="b">
        <f>jhs_enabling_DO28</f>
        <v>0</v>
      </c>
      <c r="F4024" t="b">
        <f t="shared" si="18"/>
        <v>1</v>
      </c>
      <c r="G4024" t="s">
        <v>12516</v>
      </c>
      <c r="N4024" s="1346"/>
    </row>
    <row r="4025" spans="1:14" x14ac:dyDescent="0.35">
      <c r="A4025" t="s">
        <v>8511</v>
      </c>
      <c r="B4025" t="s">
        <v>6493</v>
      </c>
      <c r="C4025" t="s">
        <v>8511</v>
      </c>
      <c r="D4025" s="1353" t="s">
        <v>11316</v>
      </c>
      <c r="E4025" t="b" cm="1">
        <f t="array" ref="E4025">jhs_enabling_DO24</f>
        <v>0</v>
      </c>
      <c r="F4025" t="b">
        <f t="shared" si="18"/>
        <v>1</v>
      </c>
      <c r="G4025" t="s">
        <v>12516</v>
      </c>
      <c r="N4025" s="1346"/>
    </row>
    <row r="4026" spans="1:14" x14ac:dyDescent="0.35">
      <c r="A4026" t="s">
        <v>8512</v>
      </c>
      <c r="B4026" t="s">
        <v>6493</v>
      </c>
      <c r="C4026" t="s">
        <v>8512</v>
      </c>
      <c r="D4026" s="1353" t="s">
        <v>11317</v>
      </c>
      <c r="E4026" t="b" cm="1">
        <f t="array" ref="E4026">jhs_enabling_DO33</f>
        <v>0</v>
      </c>
      <c r="F4026" t="b">
        <f t="shared" si="18"/>
        <v>1</v>
      </c>
      <c r="G4026" t="s">
        <v>12516</v>
      </c>
      <c r="N4026" s="1346"/>
    </row>
    <row r="4027" spans="1:14" x14ac:dyDescent="0.35">
      <c r="A4027" t="s">
        <v>8513</v>
      </c>
      <c r="B4027" t="s">
        <v>6493</v>
      </c>
      <c r="C4027" t="s">
        <v>8513</v>
      </c>
      <c r="D4027" s="1353" t="s">
        <v>11318</v>
      </c>
      <c r="E4027" t="b" cm="1">
        <f t="array" ref="E4027">jhs_enabling_DO84</f>
        <v>1</v>
      </c>
      <c r="F4027" t="b">
        <f t="shared" si="18"/>
        <v>1</v>
      </c>
      <c r="G4027" t="s">
        <v>12516</v>
      </c>
      <c r="N4027" s="1346"/>
    </row>
    <row r="4028" spans="1:14" x14ac:dyDescent="0.35">
      <c r="A4028" t="s">
        <v>6512</v>
      </c>
      <c r="B4028" t="s">
        <v>6493</v>
      </c>
      <c r="C4028" t="s">
        <v>6512</v>
      </c>
      <c r="D4028" s="1353" t="s">
        <v>11319</v>
      </c>
      <c r="E4028" t="b">
        <f>jhs_enabling_DO44</f>
        <v>1</v>
      </c>
      <c r="F4028" t="b">
        <f>ISLOGICAL(E4028)</f>
        <v>1</v>
      </c>
      <c r="G4028" t="s">
        <v>12516</v>
      </c>
      <c r="N4028" s="1346"/>
    </row>
    <row r="4029" spans="1:14" x14ac:dyDescent="0.35">
      <c r="A4029" t="s">
        <v>6514</v>
      </c>
      <c r="B4029" t="s">
        <v>6493</v>
      </c>
      <c r="C4029" t="s">
        <v>6514</v>
      </c>
      <c r="D4029" s="1353" t="s">
        <v>11320</v>
      </c>
      <c r="E4029" t="b">
        <f>jhs_enabling_DO40</f>
        <v>1</v>
      </c>
      <c r="F4029" t="b">
        <f>ISLOGICAL(E4029)</f>
        <v>1</v>
      </c>
      <c r="G4029" t="s">
        <v>12516</v>
      </c>
      <c r="N4029" s="1346"/>
    </row>
    <row r="4030" spans="1:14" x14ac:dyDescent="0.35">
      <c r="A4030" t="s">
        <v>6513</v>
      </c>
      <c r="B4030" t="s">
        <v>6493</v>
      </c>
      <c r="C4030" t="s">
        <v>6513</v>
      </c>
      <c r="D4030" s="1353" t="s">
        <v>11321</v>
      </c>
      <c r="E4030" t="b">
        <f>jhs_enabling_DO57</f>
        <v>0</v>
      </c>
      <c r="F4030" t="b">
        <f>ISLOGICAL(E4030)</f>
        <v>1</v>
      </c>
      <c r="G4030" t="s">
        <v>12516</v>
      </c>
      <c r="N4030" s="1346"/>
    </row>
    <row r="4031" spans="1:14" x14ac:dyDescent="0.35">
      <c r="A4031" t="s">
        <v>6847</v>
      </c>
      <c r="B4031" t="s">
        <v>6493</v>
      </c>
      <c r="C4031" t="s">
        <v>6847</v>
      </c>
      <c r="D4031" t="s">
        <v>11322</v>
      </c>
      <c r="E4031" t="b">
        <f>jhs_enabling_do32</f>
        <v>0</v>
      </c>
      <c r="F4031" t="b">
        <f t="shared" ref="F4031" si="19">ISLOGICAL(E4031)</f>
        <v>1</v>
      </c>
      <c r="G4031" t="s">
        <v>12516</v>
      </c>
      <c r="N4031" s="1346"/>
    </row>
    <row r="4032" spans="1:14" x14ac:dyDescent="0.35">
      <c r="A4032" t="s">
        <v>6511</v>
      </c>
      <c r="B4032" t="s">
        <v>6493</v>
      </c>
      <c r="C4032" t="s">
        <v>6511</v>
      </c>
      <c r="D4032" s="1353" t="s">
        <v>11323</v>
      </c>
      <c r="E4032" t="b">
        <f>jhs_enabling_DM221</f>
        <v>0</v>
      </c>
      <c r="F4032" t="b">
        <f>ISLOGICAL(E4032)</f>
        <v>1</v>
      </c>
      <c r="G4032" t="s">
        <v>12516</v>
      </c>
      <c r="N4032" s="1346"/>
    </row>
    <row r="4033" spans="1:14" x14ac:dyDescent="0.35">
      <c r="A4033" t="s">
        <v>7697</v>
      </c>
      <c r="B4033" t="s">
        <v>6493</v>
      </c>
      <c r="C4033" t="s">
        <v>7697</v>
      </c>
      <c r="D4033" s="1353" t="s">
        <v>11297</v>
      </c>
      <c r="E4033" cm="1">
        <f t="array" ref="E4033">jhs_enabling_males_excluding</f>
        <v>0</v>
      </c>
      <c r="F4033" t="b">
        <v>1</v>
      </c>
      <c r="N4033" s="1346"/>
    </row>
    <row r="4034" spans="1:14" x14ac:dyDescent="0.35">
      <c r="A4034" t="s">
        <v>7698</v>
      </c>
      <c r="B4034" t="s">
        <v>6493</v>
      </c>
      <c r="C4034" t="s">
        <v>7698</v>
      </c>
      <c r="D4034" s="1353" t="s">
        <v>11298</v>
      </c>
      <c r="E4034" cm="1">
        <f t="array" ref="E4034">jhs_enabling_females_excluding</f>
        <v>0</v>
      </c>
      <c r="F4034" t="b">
        <v>1</v>
      </c>
      <c r="N4034" s="1346"/>
    </row>
    <row r="4035" spans="1:14" x14ac:dyDescent="0.35">
      <c r="A4035" t="s">
        <v>7699</v>
      </c>
      <c r="B4035" t="s">
        <v>6493</v>
      </c>
      <c r="C4035" t="s">
        <v>7699</v>
      </c>
      <c r="D4035" s="1353" t="s">
        <v>11324</v>
      </c>
      <c r="E4035" cm="1">
        <f t="array" ref="E4035">jhs_enabling_males_ip</f>
        <v>0</v>
      </c>
      <c r="F4035" t="b">
        <v>1</v>
      </c>
      <c r="N4035" s="1346"/>
    </row>
    <row r="4036" spans="1:14" x14ac:dyDescent="0.35">
      <c r="A4036" t="s">
        <v>7700</v>
      </c>
      <c r="B4036" t="s">
        <v>6493</v>
      </c>
      <c r="C4036" t="s">
        <v>7700</v>
      </c>
      <c r="D4036" s="1353" t="s">
        <v>11299</v>
      </c>
      <c r="E4036" cm="1">
        <f t="array" ref="E4036">jhs_enabling_females_ip</f>
        <v>0</v>
      </c>
      <c r="F4036" t="b">
        <v>1</v>
      </c>
      <c r="N4036" s="1346"/>
    </row>
    <row r="4037" spans="1:14" x14ac:dyDescent="0.35">
      <c r="A4037" t="s">
        <v>7701</v>
      </c>
      <c r="B4037" t="s">
        <v>6493</v>
      </c>
      <c r="C4037" t="s">
        <v>7701</v>
      </c>
      <c r="D4037" s="1353" t="s">
        <v>11300</v>
      </c>
      <c r="E4037" cm="1">
        <f t="array" ref="E4037">jhs_enabling_males_muslim</f>
        <v>0</v>
      </c>
      <c r="F4037" t="b">
        <v>1</v>
      </c>
      <c r="N4037" s="1346"/>
    </row>
    <row r="4038" spans="1:14" x14ac:dyDescent="0.35">
      <c r="A4038" t="s">
        <v>7702</v>
      </c>
      <c r="B4038" t="s">
        <v>6493</v>
      </c>
      <c r="C4038" t="s">
        <v>7702</v>
      </c>
      <c r="D4038" s="1353" t="s">
        <v>11301</v>
      </c>
      <c r="E4038" cm="1">
        <f t="array" ref="E4038">jhs_enabling_females_muslim</f>
        <v>0</v>
      </c>
      <c r="F4038" t="b">
        <v>1</v>
      </c>
      <c r="N4038" s="1346"/>
    </row>
    <row r="4039" spans="1:14" x14ac:dyDescent="0.35">
      <c r="A4039" t="s">
        <v>7703</v>
      </c>
      <c r="B4039" t="s">
        <v>6493</v>
      </c>
      <c r="C4039" t="s">
        <v>7703</v>
      </c>
      <c r="D4039" s="1353" t="s">
        <v>11302</v>
      </c>
      <c r="E4039" cm="1">
        <f t="array" ref="E4039">jhs_enabling_males_wdisability</f>
        <v>0</v>
      </c>
      <c r="F4039" t="b">
        <v>1</v>
      </c>
      <c r="N4039" s="1346"/>
    </row>
    <row r="4040" spans="1:14" x14ac:dyDescent="0.35">
      <c r="A4040" t="s">
        <v>7704</v>
      </c>
      <c r="B4040" t="s">
        <v>6493</v>
      </c>
      <c r="C4040" t="s">
        <v>7704</v>
      </c>
      <c r="D4040" s="1353" t="s">
        <v>11303</v>
      </c>
      <c r="E4040" cm="1">
        <f t="array" ref="E4040">jhs_enabling_females_wdisability</f>
        <v>0</v>
      </c>
      <c r="F4040" t="b">
        <v>1</v>
      </c>
      <c r="N4040" s="1346"/>
    </row>
    <row r="4041" spans="1:14" x14ac:dyDescent="0.35">
      <c r="A4041" t="s">
        <v>7705</v>
      </c>
      <c r="B4041" t="s">
        <v>6493</v>
      </c>
      <c r="C4041" t="s">
        <v>7705</v>
      </c>
      <c r="D4041" s="1353" t="s">
        <v>11304</v>
      </c>
      <c r="E4041" cm="1">
        <f t="array" ref="E4041">jhs_enabling_consult_learners</f>
        <v>0</v>
      </c>
      <c r="F4041" t="b">
        <v>1</v>
      </c>
      <c r="N4041" s="1346"/>
    </row>
    <row r="4042" spans="1:14" x14ac:dyDescent="0.35">
      <c r="A4042" t="s">
        <v>7706</v>
      </c>
      <c r="B4042" t="s">
        <v>6493</v>
      </c>
      <c r="C4042" t="s">
        <v>7706</v>
      </c>
      <c r="D4042" s="1353" t="s">
        <v>11305</v>
      </c>
      <c r="E4042" cm="1">
        <f t="array" ref="E4042">jhs_enabling_consult_personnel</f>
        <v>0</v>
      </c>
      <c r="F4042" t="b">
        <v>1</v>
      </c>
      <c r="N4042" s="1346"/>
    </row>
    <row r="4043" spans="1:14" x14ac:dyDescent="0.35">
      <c r="A4043" t="s">
        <v>7707</v>
      </c>
      <c r="B4043" t="s">
        <v>6493</v>
      </c>
      <c r="C4043" t="s">
        <v>7707</v>
      </c>
      <c r="D4043" s="1353" t="s">
        <v>11306</v>
      </c>
      <c r="E4043" cm="1">
        <f t="array" ref="E4043">jhs_enabling_consult_parents</f>
        <v>0</v>
      </c>
      <c r="F4043" t="b">
        <v>1</v>
      </c>
      <c r="N4043" s="1346"/>
    </row>
    <row r="4044" spans="1:14" x14ac:dyDescent="0.35">
      <c r="A4044" t="s">
        <v>7708</v>
      </c>
      <c r="B4044" t="s">
        <v>6493</v>
      </c>
      <c r="C4044" t="s">
        <v>7708</v>
      </c>
      <c r="D4044" s="1353" t="s">
        <v>11307</v>
      </c>
      <c r="E4044" cm="1">
        <f t="array" ref="E4044">jhs_enabling_consult_lgu</f>
        <v>0</v>
      </c>
      <c r="F4044" t="b">
        <v>1</v>
      </c>
      <c r="N4044" s="1346"/>
    </row>
    <row r="4045" spans="1:14" x14ac:dyDescent="0.35">
      <c r="A4045" t="s">
        <v>7709</v>
      </c>
      <c r="B4045" t="s">
        <v>6493</v>
      </c>
      <c r="C4045" t="s">
        <v>7709</v>
      </c>
      <c r="D4045" s="1353" t="s">
        <v>11326</v>
      </c>
      <c r="E4045" cm="1">
        <f t="array" ref="E4045">jhs_enabling_consult_ngo</f>
        <v>0</v>
      </c>
      <c r="F4045" t="b">
        <v>1</v>
      </c>
      <c r="N4045" s="1346"/>
    </row>
    <row r="4046" spans="1:14" x14ac:dyDescent="0.35">
      <c r="A4046" t="s">
        <v>6495</v>
      </c>
      <c r="B4046" t="s">
        <v>6493</v>
      </c>
      <c r="C4046" t="s">
        <v>6495</v>
      </c>
      <c r="D4046" t="s">
        <v>11332</v>
      </c>
      <c r="E4046" t="b">
        <f>jhs_enabling_comprehensiveDRRMplan</f>
        <v>0</v>
      </c>
      <c r="F4046" t="b">
        <f t="shared" ref="F4046:F4054" si="20">ISLOGICAL(E4046)</f>
        <v>1</v>
      </c>
      <c r="G4046" t="s">
        <v>12516</v>
      </c>
      <c r="N4046" s="1346"/>
    </row>
    <row r="4047" spans="1:14" x14ac:dyDescent="0.35">
      <c r="A4047" t="s">
        <v>8658</v>
      </c>
      <c r="B4047" t="s">
        <v>6493</v>
      </c>
      <c r="C4047" t="s">
        <v>8658</v>
      </c>
      <c r="D4047" t="s">
        <v>11333</v>
      </c>
      <c r="E4047" t="b">
        <f>jhs_developed_drrm_wpersonnel</f>
        <v>1</v>
      </c>
      <c r="F4047" t="b">
        <f t="shared" si="20"/>
        <v>1</v>
      </c>
      <c r="G4047" t="s">
        <v>12516</v>
      </c>
      <c r="N4047" s="1346"/>
    </row>
    <row r="4048" spans="1:14" x14ac:dyDescent="0.35">
      <c r="A4048" t="s">
        <v>8659</v>
      </c>
      <c r="B4048" t="s">
        <v>6493</v>
      </c>
      <c r="C4048" t="s">
        <v>8659</v>
      </c>
      <c r="D4048" t="s">
        <v>11334</v>
      </c>
      <c r="E4048" t="b">
        <f>jhs_developed_drrm_wparents</f>
        <v>1</v>
      </c>
      <c r="F4048" t="b">
        <f t="shared" si="20"/>
        <v>1</v>
      </c>
      <c r="G4048" t="s">
        <v>12516</v>
      </c>
      <c r="N4048" s="1346"/>
    </row>
    <row r="4049" spans="1:14" x14ac:dyDescent="0.35">
      <c r="A4049" t="s">
        <v>8660</v>
      </c>
      <c r="B4049" t="s">
        <v>6493</v>
      </c>
      <c r="C4049" t="s">
        <v>8660</v>
      </c>
      <c r="D4049" t="s">
        <v>11335</v>
      </c>
      <c r="E4049" t="b">
        <f>jhs_developed_drrm_wlgu</f>
        <v>1</v>
      </c>
      <c r="F4049" t="b">
        <f t="shared" si="20"/>
        <v>1</v>
      </c>
      <c r="G4049" t="s">
        <v>12516</v>
      </c>
      <c r="N4049" s="1346"/>
    </row>
    <row r="4050" spans="1:14" x14ac:dyDescent="0.35">
      <c r="A4050" t="s">
        <v>8661</v>
      </c>
      <c r="B4050" t="s">
        <v>6493</v>
      </c>
      <c r="C4050" t="s">
        <v>8661</v>
      </c>
      <c r="D4050" t="s">
        <v>11336</v>
      </c>
      <c r="E4050" t="b">
        <f>jhs_developed_drrm_wpartners</f>
        <v>1</v>
      </c>
      <c r="F4050" t="b">
        <f t="shared" si="20"/>
        <v>1</v>
      </c>
      <c r="G4050" t="s">
        <v>12516</v>
      </c>
      <c r="N4050" s="1346"/>
    </row>
    <row r="4051" spans="1:14" x14ac:dyDescent="0.35">
      <c r="A4051" t="s">
        <v>6496</v>
      </c>
      <c r="B4051" t="s">
        <v>6493</v>
      </c>
      <c r="C4051" t="s">
        <v>6496</v>
      </c>
      <c r="D4051" t="s">
        <v>11337</v>
      </c>
      <c r="E4051" t="b">
        <f>jhs_considers_LWD</f>
        <v>0</v>
      </c>
      <c r="F4051" t="b">
        <f t="shared" si="20"/>
        <v>1</v>
      </c>
      <c r="G4051" t="s">
        <v>12516</v>
      </c>
      <c r="N4051" s="1346"/>
    </row>
    <row r="4052" spans="1:14" x14ac:dyDescent="0.35">
      <c r="A4052" t="s">
        <v>6497</v>
      </c>
      <c r="B4052" t="s">
        <v>6493</v>
      </c>
      <c r="C4052" t="s">
        <v>6497</v>
      </c>
      <c r="D4052" t="s">
        <v>11338</v>
      </c>
      <c r="E4052" t="b">
        <f>jhs_considers_IKSP</f>
        <v>0</v>
      </c>
      <c r="F4052" t="b">
        <f t="shared" si="20"/>
        <v>1</v>
      </c>
      <c r="G4052" t="s">
        <v>12516</v>
      </c>
      <c r="N4052" s="1346"/>
    </row>
    <row r="4053" spans="1:14" x14ac:dyDescent="0.35">
      <c r="A4053" t="s">
        <v>6498</v>
      </c>
      <c r="B4053" t="s">
        <v>6493</v>
      </c>
      <c r="C4053" t="s">
        <v>6498</v>
      </c>
      <c r="D4053" t="s">
        <v>11339</v>
      </c>
      <c r="E4053" t="b">
        <f>jhs_gendersensitive</f>
        <v>1</v>
      </c>
      <c r="F4053" t="b">
        <f t="shared" si="20"/>
        <v>1</v>
      </c>
      <c r="G4053" t="s">
        <v>12516</v>
      </c>
      <c r="N4053" s="1346"/>
    </row>
    <row r="4054" spans="1:14" x14ac:dyDescent="0.35">
      <c r="A4054" t="s">
        <v>11325</v>
      </c>
      <c r="B4054" t="s">
        <v>6493</v>
      </c>
      <c r="C4054" t="s">
        <v>11325</v>
      </c>
      <c r="D4054" t="s">
        <v>11340</v>
      </c>
      <c r="E4054" t="b">
        <f>jhs_enabling_comprehensiveDRRMplan2</f>
        <v>1</v>
      </c>
      <c r="F4054" t="b">
        <f t="shared" si="20"/>
        <v>1</v>
      </c>
      <c r="G4054" t="s">
        <v>12516</v>
      </c>
      <c r="N4054" s="1346"/>
    </row>
    <row r="4055" spans="1:14" x14ac:dyDescent="0.35">
      <c r="A4055" t="s">
        <v>7710</v>
      </c>
      <c r="B4055" t="s">
        <v>6493</v>
      </c>
      <c r="C4055" t="s">
        <v>7710</v>
      </c>
      <c r="D4055" s="1353" t="s">
        <v>11341</v>
      </c>
      <c r="E4055">
        <f>jhs_enabling_males_participated_excluding</f>
        <v>0</v>
      </c>
      <c r="F4055" t="b">
        <v>1</v>
      </c>
      <c r="N4055" s="1346"/>
    </row>
    <row r="4056" spans="1:14" x14ac:dyDescent="0.35">
      <c r="A4056" t="s">
        <v>7711</v>
      </c>
      <c r="B4056" t="s">
        <v>6493</v>
      </c>
      <c r="C4056" t="s">
        <v>7711</v>
      </c>
      <c r="D4056" s="1353" t="s">
        <v>11342</v>
      </c>
      <c r="E4056">
        <f>jhs_enabling_females_participated_excluding</f>
        <v>0</v>
      </c>
      <c r="F4056" t="b">
        <v>1</v>
      </c>
      <c r="N4056" s="1346"/>
    </row>
    <row r="4057" spans="1:14" x14ac:dyDescent="0.35">
      <c r="A4057" t="s">
        <v>7712</v>
      </c>
      <c r="B4057" t="s">
        <v>6493</v>
      </c>
      <c r="C4057" t="s">
        <v>7712</v>
      </c>
      <c r="D4057" s="1353" t="s">
        <v>11343</v>
      </c>
      <c r="E4057">
        <f>jhs_enabling_males_participated_ip</f>
        <v>0</v>
      </c>
      <c r="F4057" t="b">
        <v>1</v>
      </c>
      <c r="N4057" s="1346"/>
    </row>
    <row r="4058" spans="1:14" x14ac:dyDescent="0.35">
      <c r="A4058" t="s">
        <v>7713</v>
      </c>
      <c r="B4058" t="s">
        <v>6493</v>
      </c>
      <c r="C4058" t="s">
        <v>7713</v>
      </c>
      <c r="D4058" s="1353" t="s">
        <v>11344</v>
      </c>
      <c r="E4058">
        <f>jhs_enabling_females_participated_ip</f>
        <v>0</v>
      </c>
      <c r="F4058" t="b">
        <v>1</v>
      </c>
      <c r="N4058" s="1346"/>
    </row>
    <row r="4059" spans="1:14" x14ac:dyDescent="0.35">
      <c r="A4059" t="s">
        <v>7714</v>
      </c>
      <c r="B4059" t="s">
        <v>6493</v>
      </c>
      <c r="C4059" t="s">
        <v>7714</v>
      </c>
      <c r="D4059" s="1353" t="s">
        <v>11345</v>
      </c>
      <c r="E4059">
        <f>jhs_enabling_males_participated_muslim</f>
        <v>0</v>
      </c>
      <c r="F4059" t="b">
        <v>1</v>
      </c>
      <c r="N4059" s="1346"/>
    </row>
    <row r="4060" spans="1:14" x14ac:dyDescent="0.35">
      <c r="A4060" t="s">
        <v>7715</v>
      </c>
      <c r="B4060" t="s">
        <v>6493</v>
      </c>
      <c r="C4060" t="s">
        <v>7715</v>
      </c>
      <c r="D4060" s="1353" t="s">
        <v>11346</v>
      </c>
      <c r="E4060">
        <f>jhs_enabling_females_participated_muslim</f>
        <v>0</v>
      </c>
      <c r="F4060" t="b">
        <v>1</v>
      </c>
      <c r="N4060" s="1346"/>
    </row>
    <row r="4061" spans="1:14" x14ac:dyDescent="0.35">
      <c r="A4061" t="s">
        <v>7716</v>
      </c>
      <c r="B4061" t="s">
        <v>6493</v>
      </c>
      <c r="C4061" t="s">
        <v>7716</v>
      </c>
      <c r="D4061" s="1353" t="s">
        <v>11347</v>
      </c>
      <c r="E4061">
        <f>jhs_enabling_males_participated_wdisability</f>
        <v>0</v>
      </c>
      <c r="F4061" t="b">
        <v>1</v>
      </c>
      <c r="N4061" s="1346"/>
    </row>
    <row r="4062" spans="1:14" x14ac:dyDescent="0.35">
      <c r="A4062" t="s">
        <v>7717</v>
      </c>
      <c r="B4062" t="s">
        <v>6493</v>
      </c>
      <c r="C4062" t="s">
        <v>7717</v>
      </c>
      <c r="D4062" s="1353" t="s">
        <v>11348</v>
      </c>
      <c r="E4062">
        <f>jhs_enabling_females_participated_wdisability</f>
        <v>0</v>
      </c>
      <c r="F4062" t="b">
        <v>1</v>
      </c>
      <c r="N4062" s="1346"/>
    </row>
    <row r="4063" spans="1:14" x14ac:dyDescent="0.35">
      <c r="A4063" t="s">
        <v>6494</v>
      </c>
      <c r="B4063" t="s">
        <v>6493</v>
      </c>
      <c r="C4063" t="s">
        <v>6494</v>
      </c>
      <c r="D4063" t="s">
        <v>11349</v>
      </c>
      <c r="E4063" t="b">
        <f>jhs_enabling_schDRRMteam_roles</f>
        <v>1</v>
      </c>
      <c r="F4063" t="b">
        <f>ISLOGICAL(E4063)</f>
        <v>1</v>
      </c>
      <c r="G4063" t="s">
        <v>12516</v>
      </c>
      <c r="N4063" s="1346"/>
    </row>
    <row r="4064" spans="1:14" x14ac:dyDescent="0.35">
      <c r="A4064" t="s">
        <v>6492</v>
      </c>
      <c r="B4064" t="s">
        <v>6493</v>
      </c>
      <c r="C4064" t="s">
        <v>6492</v>
      </c>
      <c r="D4064" t="s">
        <v>11350</v>
      </c>
      <c r="E4064" t="b">
        <f>jhs_enabling_schDRRM_coor</f>
        <v>1</v>
      </c>
      <c r="F4064" t="b">
        <f>ISLOGICAL(E4064)</f>
        <v>1</v>
      </c>
      <c r="G4064" t="s">
        <v>12516</v>
      </c>
      <c r="N4064" s="1346"/>
    </row>
    <row r="4065" spans="1:14" x14ac:dyDescent="0.35">
      <c r="A4065" t="s">
        <v>7718</v>
      </c>
      <c r="B4065" t="s">
        <v>6493</v>
      </c>
      <c r="C4065" t="s">
        <v>7718</v>
      </c>
      <c r="D4065" s="1353" t="s">
        <v>11351</v>
      </c>
      <c r="E4065">
        <f>jhs_enabling_drrm_noppa</f>
        <v>0</v>
      </c>
      <c r="F4065" t="b">
        <v>1</v>
      </c>
      <c r="N4065" s="1346"/>
    </row>
    <row r="4066" spans="1:14" x14ac:dyDescent="0.35">
      <c r="A4066" t="s">
        <v>7719</v>
      </c>
      <c r="B4066" t="s">
        <v>6493</v>
      </c>
      <c r="C4066" t="s">
        <v>7719</v>
      </c>
      <c r="D4066" s="1353" t="s">
        <v>11352</v>
      </c>
      <c r="E4066">
        <f>jhs_enabling_drrm_costppa</f>
        <v>0</v>
      </c>
      <c r="F4066" t="b">
        <v>1</v>
      </c>
      <c r="N4066" s="1346"/>
    </row>
    <row r="4067" spans="1:14" x14ac:dyDescent="0.35">
      <c r="A4067" t="s">
        <v>7720</v>
      </c>
      <c r="B4067" t="s">
        <v>6493</v>
      </c>
      <c r="C4067" t="s">
        <v>7720</v>
      </c>
      <c r="D4067" s="1353" t="s">
        <v>11353</v>
      </c>
      <c r="E4067" s="1432">
        <f>jhs_enabling_drrm_budget</f>
        <v>0</v>
      </c>
      <c r="F4067" t="b">
        <v>1</v>
      </c>
      <c r="N4067" s="1346"/>
    </row>
    <row r="4068" spans="1:14" x14ac:dyDescent="0.35">
      <c r="A4068" t="s">
        <v>7721</v>
      </c>
      <c r="B4068" t="s">
        <v>6493</v>
      </c>
      <c r="C4068" t="s">
        <v>7721</v>
      </c>
      <c r="D4068" s="1353" t="s">
        <v>11354</v>
      </c>
      <c r="E4068">
        <f>jhs_enabling_ccam_noppa</f>
        <v>0</v>
      </c>
      <c r="F4068" t="b">
        <v>1</v>
      </c>
      <c r="N4068" s="1346"/>
    </row>
    <row r="4069" spans="1:14" x14ac:dyDescent="0.35">
      <c r="A4069" t="s">
        <v>7722</v>
      </c>
      <c r="B4069" t="s">
        <v>6493</v>
      </c>
      <c r="C4069" t="s">
        <v>7722</v>
      </c>
      <c r="D4069" s="1353" t="s">
        <v>11355</v>
      </c>
      <c r="E4069">
        <f>jhs_enabling_ccam_costppa</f>
        <v>0</v>
      </c>
      <c r="F4069" t="b">
        <v>1</v>
      </c>
      <c r="N4069" s="1346"/>
    </row>
    <row r="4070" spans="1:14" x14ac:dyDescent="0.35">
      <c r="A4070" t="s">
        <v>7723</v>
      </c>
      <c r="B4070" t="s">
        <v>6493</v>
      </c>
      <c r="C4070" t="s">
        <v>7723</v>
      </c>
      <c r="D4070" s="1353" t="s">
        <v>11356</v>
      </c>
      <c r="E4070" s="1432">
        <f>jhs_enabling_ccam_budget</f>
        <v>0</v>
      </c>
      <c r="F4070" t="b">
        <v>1</v>
      </c>
      <c r="N4070" s="1346"/>
    </row>
    <row r="4071" spans="1:14" x14ac:dyDescent="0.35">
      <c r="A4071" t="s">
        <v>7724</v>
      </c>
      <c r="B4071" t="s">
        <v>6493</v>
      </c>
      <c r="C4071" t="s">
        <v>7724</v>
      </c>
      <c r="D4071" s="1353" t="s">
        <v>11357</v>
      </c>
      <c r="E4071">
        <f>jhs_enabling_peacebuilding_noppa</f>
        <v>0</v>
      </c>
      <c r="F4071" t="b">
        <v>1</v>
      </c>
      <c r="N4071" s="1346"/>
    </row>
    <row r="4072" spans="1:14" x14ac:dyDescent="0.35">
      <c r="A4072" t="s">
        <v>7725</v>
      </c>
      <c r="B4072" t="s">
        <v>6493</v>
      </c>
      <c r="C4072" t="s">
        <v>7725</v>
      </c>
      <c r="D4072" s="1353" t="s">
        <v>11358</v>
      </c>
      <c r="E4072">
        <f>jhs_enabling_peacebuilding_costppa</f>
        <v>0</v>
      </c>
      <c r="F4072" t="b">
        <v>1</v>
      </c>
      <c r="N4072" s="1346"/>
    </row>
    <row r="4073" spans="1:14" x14ac:dyDescent="0.35">
      <c r="A4073" t="s">
        <v>7726</v>
      </c>
      <c r="B4073" t="s">
        <v>6493</v>
      </c>
      <c r="C4073" t="s">
        <v>7726</v>
      </c>
      <c r="D4073" s="1353" t="s">
        <v>11359</v>
      </c>
      <c r="E4073" s="1432">
        <f>jhs_enabling_peacebuilding_budget</f>
        <v>0</v>
      </c>
      <c r="F4073" t="b">
        <v>1</v>
      </c>
      <c r="N4073" s="1346"/>
    </row>
    <row r="4074" spans="1:14" x14ac:dyDescent="0.35">
      <c r="A4074" t="s">
        <v>7727</v>
      </c>
      <c r="B4074" t="s">
        <v>6493</v>
      </c>
      <c r="C4074" t="s">
        <v>7727</v>
      </c>
      <c r="D4074" s="1353" t="s">
        <v>11360</v>
      </c>
      <c r="E4074">
        <f>jhs_data_teacher_trained_m</f>
        <v>18</v>
      </c>
      <c r="F4074" t="b">
        <v>1</v>
      </c>
      <c r="N4074" s="1346"/>
    </row>
    <row r="4075" spans="1:14" x14ac:dyDescent="0.35">
      <c r="A4075" t="s">
        <v>7728</v>
      </c>
      <c r="B4075" t="s">
        <v>6493</v>
      </c>
      <c r="C4075" t="s">
        <v>7728</v>
      </c>
      <c r="D4075" s="1353" t="s">
        <v>11361</v>
      </c>
      <c r="E4075">
        <f>jhs_data_teacher_trained_f</f>
        <v>54</v>
      </c>
      <c r="F4075" t="b">
        <v>1</v>
      </c>
      <c r="N4075" s="1346"/>
    </row>
    <row r="4076" spans="1:14" x14ac:dyDescent="0.35">
      <c r="A4076" t="s">
        <v>7729</v>
      </c>
      <c r="B4076" t="s">
        <v>6493</v>
      </c>
      <c r="C4076" t="s">
        <v>7729</v>
      </c>
      <c r="D4076" s="1353" t="s">
        <v>11362</v>
      </c>
      <c r="E4076">
        <f>jhs_data_nonteacher_trained_m</f>
        <v>0</v>
      </c>
      <c r="F4076" t="b">
        <v>1</v>
      </c>
      <c r="N4076" s="1346"/>
    </row>
    <row r="4077" spans="1:14" x14ac:dyDescent="0.35">
      <c r="A4077" t="s">
        <v>7730</v>
      </c>
      <c r="B4077" t="s">
        <v>6493</v>
      </c>
      <c r="C4077" t="s">
        <v>7730</v>
      </c>
      <c r="D4077" s="1353" t="s">
        <v>11362</v>
      </c>
      <c r="E4077">
        <f>jhs_data_nonteacher_trained_f</f>
        <v>0</v>
      </c>
      <c r="F4077" t="b">
        <v>1</v>
      </c>
      <c r="N4077" s="1346"/>
    </row>
    <row r="4078" spans="1:14" x14ac:dyDescent="0.35">
      <c r="A4078" t="s">
        <v>7731</v>
      </c>
      <c r="B4078" t="s">
        <v>6493</v>
      </c>
      <c r="C4078" t="s">
        <v>7731</v>
      </c>
      <c r="D4078" s="1353" t="s">
        <v>11363</v>
      </c>
      <c r="E4078">
        <f>jhs_datamanagement_training</f>
        <v>3</v>
      </c>
      <c r="F4078" t="b">
        <v>1</v>
      </c>
      <c r="N4078" s="1346"/>
    </row>
    <row r="4079" spans="1:14" x14ac:dyDescent="0.35">
      <c r="A4079" t="s">
        <v>7732</v>
      </c>
      <c r="B4079" t="s">
        <v>6493</v>
      </c>
      <c r="C4079" t="s">
        <v>7732</v>
      </c>
      <c r="D4079" s="1353" t="s">
        <v>11364</v>
      </c>
      <c r="E4079">
        <f>jhs_evidencebased_training</f>
        <v>0</v>
      </c>
      <c r="F4079" t="b">
        <v>1</v>
      </c>
      <c r="N4079" s="1346"/>
    </row>
    <row r="4080" spans="1:14" x14ac:dyDescent="0.35">
      <c r="A4080" t="s">
        <v>7733</v>
      </c>
      <c r="B4080" t="s">
        <v>6493</v>
      </c>
      <c r="C4080" t="s">
        <v>7733</v>
      </c>
      <c r="D4080" s="1353" t="s">
        <v>11365</v>
      </c>
      <c r="E4080">
        <f>jhs_programs_training</f>
        <v>1</v>
      </c>
      <c r="F4080" t="b">
        <v>1</v>
      </c>
      <c r="N4080" s="1346"/>
    </row>
    <row r="4081" spans="1:14" x14ac:dyDescent="0.35">
      <c r="A4081" t="s">
        <v>6504</v>
      </c>
      <c r="B4081" t="s">
        <v>6493</v>
      </c>
      <c r="C4081" t="s">
        <v>6504</v>
      </c>
      <c r="D4081" s="1353" t="s">
        <v>11366</v>
      </c>
      <c r="E4081" t="b">
        <f>jhs_data_collectionconsollidation</f>
        <v>0</v>
      </c>
      <c r="F4081" t="b">
        <f t="shared" ref="F4081" si="21">ISLOGICAL(E4081)</f>
        <v>1</v>
      </c>
      <c r="G4081" t="s">
        <v>12516</v>
      </c>
      <c r="N4081" s="1346"/>
    </row>
    <row r="4082" spans="1:14" x14ac:dyDescent="0.35">
      <c r="A4082" t="s">
        <v>6503</v>
      </c>
      <c r="B4082" t="s">
        <v>6493</v>
      </c>
      <c r="C4082" t="s">
        <v>6503</v>
      </c>
      <c r="D4082" t="s">
        <v>11327</v>
      </c>
      <c r="E4082" t="b">
        <f>jhs_monitoring_evaluation</f>
        <v>0</v>
      </c>
      <c r="F4082" t="b">
        <f>ISLOGICAL(E4082)</f>
        <v>1</v>
      </c>
      <c r="G4082" t="s">
        <v>12516</v>
      </c>
      <c r="N4082" s="1346"/>
    </row>
    <row r="4083" spans="1:14" x14ac:dyDescent="0.35">
      <c r="A4083" t="s">
        <v>8514</v>
      </c>
      <c r="B4083" t="s">
        <v>6493</v>
      </c>
      <c r="C4083" t="s">
        <v>8514</v>
      </c>
      <c r="D4083" t="s">
        <v>11328</v>
      </c>
      <c r="E4083" t="b">
        <f>jhs_css_monitor</f>
        <v>0</v>
      </c>
      <c r="F4083" t="b">
        <f>ISLOGICAL(E4083)</f>
        <v>1</v>
      </c>
      <c r="G4083" t="s">
        <v>12516</v>
      </c>
      <c r="N4083" s="1346"/>
    </row>
    <row r="4084" spans="1:14" x14ac:dyDescent="0.35">
      <c r="A4084" t="s">
        <v>7734</v>
      </c>
      <c r="B4084" t="s">
        <v>6493</v>
      </c>
      <c r="C4084" t="s">
        <v>7734</v>
      </c>
      <c r="D4084" t="s">
        <v>11329</v>
      </c>
      <c r="E4084" cm="1">
        <f t="array" ref="E4084">jhs_goodpractice_drrm_ccam</f>
        <v>0</v>
      </c>
      <c r="F4084" t="b">
        <v>1</v>
      </c>
      <c r="N4084" s="1346"/>
    </row>
    <row r="4085" spans="1:14" x14ac:dyDescent="0.35">
      <c r="A4085" t="s">
        <v>7735</v>
      </c>
      <c r="B4085" t="s">
        <v>6493</v>
      </c>
      <c r="C4085" t="s">
        <v>7735</v>
      </c>
      <c r="D4085" t="s">
        <v>11330</v>
      </c>
      <c r="E4085" cm="1">
        <f t="array" ref="E4085">jhs_goodpractice_peacebuilding</f>
        <v>0</v>
      </c>
      <c r="F4085" t="b">
        <v>1</v>
      </c>
      <c r="N4085" s="1346"/>
    </row>
    <row r="4086" spans="1:14" s="1348" customFormat="1" ht="16" thickBot="1" x14ac:dyDescent="0.4">
      <c r="A4086" s="1348" t="s">
        <v>7736</v>
      </c>
      <c r="B4086" s="1348" t="s">
        <v>6493</v>
      </c>
      <c r="C4086" s="1348" t="s">
        <v>7736</v>
      </c>
      <c r="D4086" s="1355" t="s">
        <v>11331</v>
      </c>
      <c r="E4086" s="1348" cm="1">
        <f t="array" ref="E4086">jhs_programs_monitoring</f>
        <v>0</v>
      </c>
      <c r="F4086" s="1348" t="b">
        <v>1</v>
      </c>
      <c r="N4086" s="1366"/>
    </row>
    <row r="4087" spans="1:14" s="1350" customFormat="1" x14ac:dyDescent="0.35">
      <c r="A4087" s="1350" t="s">
        <v>12579</v>
      </c>
      <c r="B4087" s="1350" t="s">
        <v>6518</v>
      </c>
      <c r="C4087" s="1350" t="s">
        <v>12579</v>
      </c>
      <c r="D4087" s="1350" t="s">
        <v>11367</v>
      </c>
      <c r="E4087" s="1350" cm="1">
        <f t="array" ref="E4087">safelearn_facilities_instructional_safe</f>
        <v>0</v>
      </c>
      <c r="F4087" s="1350" t="b">
        <v>1</v>
      </c>
      <c r="N4087" s="1367"/>
    </row>
    <row r="4088" spans="1:14" x14ac:dyDescent="0.35">
      <c r="A4088" t="s">
        <v>12580</v>
      </c>
      <c r="B4088" t="s">
        <v>6518</v>
      </c>
      <c r="C4088" t="s">
        <v>12580</v>
      </c>
      <c r="D4088" t="s">
        <v>11368</v>
      </c>
      <c r="E4088" cm="1">
        <f t="array" ref="E4088">safelearn_facilities_instructional_unsafe</f>
        <v>0</v>
      </c>
      <c r="F4088" t="b">
        <v>1</v>
      </c>
      <c r="N4088" s="1346"/>
    </row>
    <row r="4089" spans="1:14" x14ac:dyDescent="0.35">
      <c r="A4089" t="s">
        <v>12581</v>
      </c>
      <c r="B4089" t="s">
        <v>6518</v>
      </c>
      <c r="C4089" t="s">
        <v>12581</v>
      </c>
      <c r="D4089" t="s">
        <v>11369</v>
      </c>
      <c r="E4089" cm="1">
        <f t="array" ref="E4089">safelearn_facilities_noninstructional_safe</f>
        <v>0</v>
      </c>
      <c r="F4089" t="b">
        <v>1</v>
      </c>
      <c r="N4089" s="1346"/>
    </row>
    <row r="4090" spans="1:14" x14ac:dyDescent="0.35">
      <c r="A4090" t="s">
        <v>12582</v>
      </c>
      <c r="B4090" t="s">
        <v>6518</v>
      </c>
      <c r="C4090" t="s">
        <v>12582</v>
      </c>
      <c r="D4090" t="s">
        <v>11370</v>
      </c>
      <c r="E4090" cm="1">
        <f t="array" ref="E4090">safelearn_facilities_noninstructional_unsafe</f>
        <v>0</v>
      </c>
      <c r="F4090" t="b">
        <v>1</v>
      </c>
      <c r="N4090" s="1346"/>
    </row>
    <row r="4091" spans="1:14" x14ac:dyDescent="0.35">
      <c r="A4091" t="s">
        <v>7737</v>
      </c>
      <c r="B4091" t="s">
        <v>6518</v>
      </c>
      <c r="C4091" t="s">
        <v>7737</v>
      </c>
      <c r="D4091" s="1353" t="s">
        <v>11374</v>
      </c>
      <c r="E4091" cm="1">
        <f t="array" ref="E4091">safelearn_retrofit_instructional</f>
        <v>0</v>
      </c>
      <c r="F4091" t="b">
        <v>1</v>
      </c>
      <c r="N4091" s="1346"/>
    </row>
    <row r="4092" spans="1:14" x14ac:dyDescent="0.35">
      <c r="A4092" t="s">
        <v>7738</v>
      </c>
      <c r="B4092" t="s">
        <v>6518</v>
      </c>
      <c r="C4092" t="s">
        <v>7738</v>
      </c>
      <c r="D4092" s="1353" t="s">
        <v>11371</v>
      </c>
      <c r="E4092" cm="1">
        <f t="array" ref="E4092">safelearn_retrofit_noninstructional</f>
        <v>0</v>
      </c>
      <c r="F4092" t="b">
        <v>1</v>
      </c>
      <c r="N4092" s="1346"/>
    </row>
    <row r="4093" spans="1:14" x14ac:dyDescent="0.35">
      <c r="A4093" t="s">
        <v>7739</v>
      </c>
      <c r="B4093" t="s">
        <v>6518</v>
      </c>
      <c r="C4093" t="s">
        <v>7739</v>
      </c>
      <c r="D4093" s="1353" t="s">
        <v>11372</v>
      </c>
      <c r="E4093" cm="1">
        <f t="array" ref="E4093">safelearn_resilient_instructional</f>
        <v>0</v>
      </c>
      <c r="F4093" t="b">
        <v>1</v>
      </c>
      <c r="N4093" s="1346"/>
    </row>
    <row r="4094" spans="1:14" x14ac:dyDescent="0.35">
      <c r="A4094" t="s">
        <v>7740</v>
      </c>
      <c r="B4094" t="s">
        <v>6518</v>
      </c>
      <c r="C4094" t="s">
        <v>7740</v>
      </c>
      <c r="D4094" s="1353" t="s">
        <v>11373</v>
      </c>
      <c r="E4094" cm="1">
        <f t="array" ref="E4094">safelearn_resilient_noninstructional</f>
        <v>0</v>
      </c>
      <c r="F4094" t="b">
        <v>1</v>
      </c>
      <c r="N4094" s="1346"/>
    </row>
    <row r="4095" spans="1:14" x14ac:dyDescent="0.35">
      <c r="A4095" t="s">
        <v>8646</v>
      </c>
      <c r="B4095" t="s">
        <v>6518</v>
      </c>
      <c r="C4095" t="s">
        <v>8646</v>
      </c>
      <c r="D4095" s="1353" t="s">
        <v>11375</v>
      </c>
      <c r="E4095" t="b">
        <f>safelearn_floodwall</f>
        <v>0</v>
      </c>
      <c r="F4095" t="b">
        <f t="shared" ref="F4095:F4120" si="22">ISLOGICAL(E4095)</f>
        <v>1</v>
      </c>
      <c r="G4095" t="s">
        <v>12516</v>
      </c>
      <c r="N4095" s="1346"/>
    </row>
    <row r="4096" spans="1:14" x14ac:dyDescent="0.35">
      <c r="A4096" t="s">
        <v>8647</v>
      </c>
      <c r="B4096" t="s">
        <v>6518</v>
      </c>
      <c r="C4096" t="s">
        <v>8647</v>
      </c>
      <c r="D4096" s="1353" t="s">
        <v>11376</v>
      </c>
      <c r="E4096" t="b">
        <f>safelearn_firewall</f>
        <v>0</v>
      </c>
      <c r="F4096" t="b">
        <f t="shared" si="22"/>
        <v>1</v>
      </c>
      <c r="G4096" t="s">
        <v>12516</v>
      </c>
      <c r="N4096" s="1346"/>
    </row>
    <row r="4097" spans="1:14" x14ac:dyDescent="0.35">
      <c r="A4097" t="s">
        <v>8648</v>
      </c>
      <c r="B4097" t="s">
        <v>6518</v>
      </c>
      <c r="C4097" t="s">
        <v>8648</v>
      </c>
      <c r="D4097" s="1353" t="s">
        <v>11377</v>
      </c>
      <c r="E4097" t="b">
        <f>safelearn_seawall</f>
        <v>0</v>
      </c>
      <c r="F4097" t="b">
        <f t="shared" si="22"/>
        <v>1</v>
      </c>
      <c r="G4097" t="s">
        <v>12516</v>
      </c>
      <c r="N4097" s="1346"/>
    </row>
    <row r="4098" spans="1:14" x14ac:dyDescent="0.35">
      <c r="A4098" t="s">
        <v>8649</v>
      </c>
      <c r="B4098" t="s">
        <v>6518</v>
      </c>
      <c r="C4098" t="s">
        <v>8649</v>
      </c>
      <c r="D4098" s="1353" t="s">
        <v>11378</v>
      </c>
      <c r="E4098" t="b">
        <f>safelearn_slopeprotection</f>
        <v>0</v>
      </c>
      <c r="F4098" t="b">
        <f t="shared" si="22"/>
        <v>1</v>
      </c>
      <c r="G4098" t="s">
        <v>12516</v>
      </c>
      <c r="N4098" s="1346"/>
    </row>
    <row r="4099" spans="1:14" x14ac:dyDescent="0.35">
      <c r="A4099" t="s">
        <v>8650</v>
      </c>
      <c r="B4099" t="s">
        <v>6518</v>
      </c>
      <c r="C4099" t="s">
        <v>8650</v>
      </c>
      <c r="D4099" s="1353" t="s">
        <v>11379</v>
      </c>
      <c r="E4099" t="b">
        <f>safelearn_others</f>
        <v>0</v>
      </c>
      <c r="F4099" t="b">
        <f t="shared" si="22"/>
        <v>1</v>
      </c>
      <c r="G4099" t="s">
        <v>12516</v>
      </c>
      <c r="N4099" s="1346"/>
    </row>
    <row r="4100" spans="1:14" x14ac:dyDescent="0.35">
      <c r="A4100" t="s">
        <v>8651</v>
      </c>
      <c r="B4100" t="s">
        <v>6518</v>
      </c>
      <c r="C4100" t="s">
        <v>8651</v>
      </c>
      <c r="D4100" s="1353" t="s">
        <v>11382</v>
      </c>
      <c r="E4100">
        <f>safelearn_others_specify</f>
        <v>0</v>
      </c>
      <c r="F4100" t="b">
        <v>1</v>
      </c>
      <c r="N4100" s="1346"/>
    </row>
    <row r="4101" spans="1:14" x14ac:dyDescent="0.35">
      <c r="A4101" t="s">
        <v>8652</v>
      </c>
      <c r="B4101" t="s">
        <v>6518</v>
      </c>
      <c r="C4101" t="s">
        <v>8652</v>
      </c>
      <c r="D4101" s="1353" t="s">
        <v>11383</v>
      </c>
      <c r="E4101" t="b">
        <f>safelearn_nonstructural</f>
        <v>0</v>
      </c>
      <c r="F4101" t="b">
        <f t="shared" si="22"/>
        <v>1</v>
      </c>
      <c r="G4101" t="s">
        <v>12516</v>
      </c>
      <c r="N4101" s="1346"/>
    </row>
    <row r="4102" spans="1:14" x14ac:dyDescent="0.35">
      <c r="A4102" t="s">
        <v>8653</v>
      </c>
      <c r="B4102" t="s">
        <v>6518</v>
      </c>
      <c r="C4102" t="s">
        <v>8653</v>
      </c>
      <c r="D4102" s="1353" t="s">
        <v>11384</v>
      </c>
      <c r="E4102" t="b">
        <f>safelearn_vegetation</f>
        <v>0</v>
      </c>
      <c r="F4102" t="b">
        <f t="shared" si="22"/>
        <v>1</v>
      </c>
      <c r="G4102" t="s">
        <v>12516</v>
      </c>
      <c r="N4102" s="1346"/>
    </row>
    <row r="4103" spans="1:14" x14ac:dyDescent="0.35">
      <c r="A4103" t="s">
        <v>8654</v>
      </c>
      <c r="B4103" t="s">
        <v>6518</v>
      </c>
      <c r="C4103" t="s">
        <v>8654</v>
      </c>
      <c r="D4103" s="1353" t="s">
        <v>11385</v>
      </c>
      <c r="E4103" t="b">
        <f>safelearn_porouslandscape</f>
        <v>0</v>
      </c>
      <c r="F4103" t="b">
        <f t="shared" si="22"/>
        <v>1</v>
      </c>
      <c r="G4103" t="s">
        <v>12516</v>
      </c>
      <c r="N4103" s="1346"/>
    </row>
    <row r="4104" spans="1:14" x14ac:dyDescent="0.35">
      <c r="A4104" t="s">
        <v>8655</v>
      </c>
      <c r="B4104" t="s">
        <v>6518</v>
      </c>
      <c r="C4104" t="s">
        <v>8655</v>
      </c>
      <c r="D4104" s="1353" t="s">
        <v>11380</v>
      </c>
      <c r="E4104" t="b">
        <f>safelearn_pruning</f>
        <v>1</v>
      </c>
      <c r="F4104" t="b">
        <f t="shared" si="22"/>
        <v>1</v>
      </c>
      <c r="G4104" t="s">
        <v>12516</v>
      </c>
      <c r="N4104" s="1346"/>
    </row>
    <row r="4105" spans="1:14" x14ac:dyDescent="0.35">
      <c r="A4105" t="s">
        <v>8656</v>
      </c>
      <c r="B4105" t="s">
        <v>6518</v>
      </c>
      <c r="C4105" t="s">
        <v>8656</v>
      </c>
      <c r="D4105" s="1353" t="s">
        <v>11381</v>
      </c>
      <c r="E4105" t="b">
        <f>safelearn_others_nonstructural</f>
        <v>0</v>
      </c>
      <c r="F4105" t="b">
        <f t="shared" si="22"/>
        <v>1</v>
      </c>
      <c r="G4105" t="s">
        <v>12516</v>
      </c>
      <c r="N4105" s="1346"/>
    </row>
    <row r="4106" spans="1:14" x14ac:dyDescent="0.35">
      <c r="A4106" t="s">
        <v>8657</v>
      </c>
      <c r="B4106" t="s">
        <v>6518</v>
      </c>
      <c r="C4106" t="s">
        <v>8657</v>
      </c>
      <c r="D4106" s="1353" t="s">
        <v>11386</v>
      </c>
      <c r="E4106">
        <f>safelearn_others_nonstructural_specify</f>
        <v>0</v>
      </c>
      <c r="F4106" t="b">
        <v>1</v>
      </c>
      <c r="N4106"/>
    </row>
    <row r="4107" spans="1:14" x14ac:dyDescent="0.35">
      <c r="A4107" t="s">
        <v>6519</v>
      </c>
      <c r="B4107" t="s">
        <v>6518</v>
      </c>
      <c r="C4107" t="s">
        <v>6519</v>
      </c>
      <c r="D4107" t="s">
        <v>11387</v>
      </c>
      <c r="E4107" t="b">
        <f>safelearn_regular_facilities_inspection</f>
        <v>1</v>
      </c>
      <c r="F4107" t="b">
        <f t="shared" si="22"/>
        <v>1</v>
      </c>
      <c r="G4107" t="s">
        <v>12516</v>
      </c>
      <c r="N4107" s="1346"/>
    </row>
    <row r="4108" spans="1:14" x14ac:dyDescent="0.35">
      <c r="A4108" t="s">
        <v>6520</v>
      </c>
      <c r="B4108" t="s">
        <v>6518</v>
      </c>
      <c r="C4108" t="s">
        <v>6520</v>
      </c>
      <c r="D4108" t="s">
        <v>11388</v>
      </c>
      <c r="E4108" t="b">
        <f>safelearn_alloted_maintenancebudget</f>
        <v>1</v>
      </c>
      <c r="F4108" t="b">
        <f t="shared" si="22"/>
        <v>1</v>
      </c>
      <c r="G4108" t="s">
        <v>12516</v>
      </c>
      <c r="N4108" s="1346"/>
    </row>
    <row r="4109" spans="1:14" x14ac:dyDescent="0.35">
      <c r="A4109" t="s">
        <v>6521</v>
      </c>
      <c r="B4109" t="s">
        <v>6518</v>
      </c>
      <c r="C4109" t="s">
        <v>6521</v>
      </c>
      <c r="D4109" t="s">
        <v>11389</v>
      </c>
      <c r="E4109" t="b">
        <f>safelearn_undertaken_regular_repair</f>
        <v>1</v>
      </c>
      <c r="F4109" t="b">
        <f t="shared" si="22"/>
        <v>1</v>
      </c>
      <c r="G4109" t="s">
        <v>12516</v>
      </c>
      <c r="N4109" s="1346"/>
    </row>
    <row r="4110" spans="1:14" x14ac:dyDescent="0.35">
      <c r="A4110" t="s">
        <v>6530</v>
      </c>
      <c r="B4110" t="s">
        <v>6518</v>
      </c>
      <c r="C4110" t="s">
        <v>6530</v>
      </c>
      <c r="D4110" t="s">
        <v>11390</v>
      </c>
      <c r="E4110" t="b">
        <f>safelearn_inspection_jan</f>
        <v>0</v>
      </c>
      <c r="F4110" t="b">
        <f t="shared" si="22"/>
        <v>1</v>
      </c>
      <c r="G4110" t="s">
        <v>12516</v>
      </c>
      <c r="N4110" s="1346"/>
    </row>
    <row r="4111" spans="1:14" x14ac:dyDescent="0.35">
      <c r="A4111" t="s">
        <v>6531</v>
      </c>
      <c r="B4111" t="s">
        <v>6518</v>
      </c>
      <c r="C4111" t="s">
        <v>6531</v>
      </c>
      <c r="D4111" t="s">
        <v>11391</v>
      </c>
      <c r="E4111" t="b">
        <f>safelearn_inspection_feb</f>
        <v>0</v>
      </c>
      <c r="F4111" t="b">
        <f t="shared" si="22"/>
        <v>1</v>
      </c>
      <c r="G4111" t="s">
        <v>12516</v>
      </c>
      <c r="N4111" s="1346"/>
    </row>
    <row r="4112" spans="1:14" x14ac:dyDescent="0.35">
      <c r="A4112" t="s">
        <v>6532</v>
      </c>
      <c r="B4112" t="s">
        <v>6518</v>
      </c>
      <c r="C4112" t="s">
        <v>6532</v>
      </c>
      <c r="D4112" t="s">
        <v>11392</v>
      </c>
      <c r="E4112" t="b">
        <f>safelearn_inspection_march</f>
        <v>1</v>
      </c>
      <c r="F4112" t="b">
        <f t="shared" si="22"/>
        <v>1</v>
      </c>
      <c r="G4112" t="s">
        <v>12516</v>
      </c>
      <c r="N4112" s="1346"/>
    </row>
    <row r="4113" spans="1:14" x14ac:dyDescent="0.35">
      <c r="A4113" t="s">
        <v>6533</v>
      </c>
      <c r="B4113" t="s">
        <v>6518</v>
      </c>
      <c r="C4113" t="s">
        <v>6533</v>
      </c>
      <c r="D4113" t="s">
        <v>11393</v>
      </c>
      <c r="E4113" t="b">
        <f>safelearn_inspection_apr</f>
        <v>0</v>
      </c>
      <c r="F4113" t="b">
        <f t="shared" si="22"/>
        <v>1</v>
      </c>
      <c r="G4113" t="s">
        <v>12516</v>
      </c>
      <c r="N4113" s="1346"/>
    </row>
    <row r="4114" spans="1:14" x14ac:dyDescent="0.35">
      <c r="A4114" t="s">
        <v>6523</v>
      </c>
      <c r="B4114" t="s">
        <v>6518</v>
      </c>
      <c r="C4114" t="s">
        <v>6523</v>
      </c>
      <c r="D4114" t="s">
        <v>11395</v>
      </c>
      <c r="E4114" t="b">
        <f>safelearn_inspection_jun</f>
        <v>1</v>
      </c>
      <c r="F4114" t="b">
        <f t="shared" si="22"/>
        <v>1</v>
      </c>
      <c r="G4114" t="s">
        <v>12516</v>
      </c>
      <c r="N4114" s="1346"/>
    </row>
    <row r="4115" spans="1:14" x14ac:dyDescent="0.35">
      <c r="A4115" t="s">
        <v>6524</v>
      </c>
      <c r="B4115" t="s">
        <v>6518</v>
      </c>
      <c r="C4115" t="s">
        <v>6524</v>
      </c>
      <c r="D4115" t="s">
        <v>11395</v>
      </c>
      <c r="E4115" t="b">
        <f>safelearn_inspection_july</f>
        <v>0</v>
      </c>
      <c r="F4115" t="b">
        <f t="shared" si="22"/>
        <v>1</v>
      </c>
      <c r="G4115" t="s">
        <v>12516</v>
      </c>
      <c r="N4115" s="1346"/>
    </row>
    <row r="4116" spans="1:14" x14ac:dyDescent="0.35">
      <c r="A4116" t="s">
        <v>6525</v>
      </c>
      <c r="B4116" t="s">
        <v>6518</v>
      </c>
      <c r="C4116" t="s">
        <v>6525</v>
      </c>
      <c r="D4116" t="s">
        <v>11396</v>
      </c>
      <c r="E4116" t="b">
        <f>safelearn_inspection_aug</f>
        <v>0</v>
      </c>
      <c r="F4116" t="b">
        <f t="shared" si="22"/>
        <v>1</v>
      </c>
      <c r="G4116" t="s">
        <v>12516</v>
      </c>
      <c r="N4116" s="1346"/>
    </row>
    <row r="4117" spans="1:14" x14ac:dyDescent="0.35">
      <c r="A4117" t="s">
        <v>6526</v>
      </c>
      <c r="B4117" t="s">
        <v>6518</v>
      </c>
      <c r="C4117" t="s">
        <v>6526</v>
      </c>
      <c r="D4117" t="s">
        <v>11397</v>
      </c>
      <c r="E4117" t="b">
        <f>safelearn_inspection_sep</f>
        <v>1</v>
      </c>
      <c r="F4117" t="b">
        <f t="shared" si="22"/>
        <v>1</v>
      </c>
      <c r="G4117" t="s">
        <v>12516</v>
      </c>
      <c r="N4117" s="1346"/>
    </row>
    <row r="4118" spans="1:14" x14ac:dyDescent="0.35">
      <c r="A4118" t="s">
        <v>6527</v>
      </c>
      <c r="B4118" t="s">
        <v>6518</v>
      </c>
      <c r="C4118" t="s">
        <v>6527</v>
      </c>
      <c r="D4118" t="s">
        <v>11398</v>
      </c>
      <c r="E4118" t="b">
        <f>safelearn_inspection_oct</f>
        <v>0</v>
      </c>
      <c r="F4118" t="b">
        <f t="shared" si="22"/>
        <v>1</v>
      </c>
      <c r="G4118" t="s">
        <v>12516</v>
      </c>
      <c r="N4118" s="1346"/>
    </row>
    <row r="4119" spans="1:14" x14ac:dyDescent="0.35">
      <c r="A4119" t="s">
        <v>6528</v>
      </c>
      <c r="B4119" t="s">
        <v>6518</v>
      </c>
      <c r="C4119" t="s">
        <v>6528</v>
      </c>
      <c r="D4119" t="s">
        <v>11399</v>
      </c>
      <c r="E4119" t="b">
        <f>safelearn_inspection_nov</f>
        <v>0</v>
      </c>
      <c r="F4119" t="b">
        <f t="shared" si="22"/>
        <v>1</v>
      </c>
      <c r="G4119" t="s">
        <v>12516</v>
      </c>
      <c r="N4119" s="1346"/>
    </row>
    <row r="4120" spans="1:14" x14ac:dyDescent="0.35">
      <c r="A4120" t="s">
        <v>6529</v>
      </c>
      <c r="B4120" t="s">
        <v>6518</v>
      </c>
      <c r="C4120" t="s">
        <v>6529</v>
      </c>
      <c r="D4120" t="s">
        <v>11400</v>
      </c>
      <c r="E4120" t="b">
        <f>safelearn_inspection_dec</f>
        <v>1</v>
      </c>
      <c r="F4120" t="b">
        <f t="shared" si="22"/>
        <v>1</v>
      </c>
      <c r="G4120" t="s">
        <v>12516</v>
      </c>
      <c r="N4120" s="1346"/>
    </row>
    <row r="4121" spans="1:14" x14ac:dyDescent="0.35">
      <c r="A4121" t="s">
        <v>6517</v>
      </c>
      <c r="B4121" t="s">
        <v>6518</v>
      </c>
      <c r="C4121" t="s">
        <v>6517</v>
      </c>
      <c r="D4121" t="s">
        <v>11394</v>
      </c>
      <c r="E4121" t="b">
        <f>safelearn_inspection_may</f>
        <v>0</v>
      </c>
      <c r="F4121" t="b">
        <f t="shared" ref="F4121" si="23">ISLOGICAL(E4121)</f>
        <v>1</v>
      </c>
      <c r="G4121" t="s">
        <v>12516</v>
      </c>
      <c r="N4121" s="1346"/>
    </row>
    <row r="4122" spans="1:14" x14ac:dyDescent="0.35">
      <c r="A4122" t="s">
        <v>6522</v>
      </c>
      <c r="B4122" t="s">
        <v>6518</v>
      </c>
      <c r="C4122" t="s">
        <v>6522</v>
      </c>
      <c r="D4122" s="1353" t="s">
        <v>12651</v>
      </c>
      <c r="E4122" t="b">
        <f>safelearn_safety_precautions</f>
        <v>0</v>
      </c>
      <c r="F4122" t="b">
        <f>ISLOGICAL(E4122)</f>
        <v>1</v>
      </c>
      <c r="G4122" t="s">
        <v>12516</v>
      </c>
      <c r="N4122" s="1346"/>
    </row>
    <row r="4123" spans="1:14" x14ac:dyDescent="0.35">
      <c r="A4123" t="s">
        <v>7741</v>
      </c>
      <c r="B4123" t="s">
        <v>6518</v>
      </c>
      <c r="C4123" t="s">
        <v>7741</v>
      </c>
      <c r="D4123" s="1353" t="s">
        <v>11401</v>
      </c>
      <c r="E4123" cm="1">
        <f t="array" ref="E4123">safelearn_repaired_instruct_basicfund</f>
        <v>0</v>
      </c>
      <c r="F4123" t="b">
        <v>1</v>
      </c>
      <c r="N4123" s="1346"/>
    </row>
    <row r="4124" spans="1:14" x14ac:dyDescent="0.35">
      <c r="A4124" t="s">
        <v>7746</v>
      </c>
      <c r="B4124" t="s">
        <v>6518</v>
      </c>
      <c r="C4124" t="s">
        <v>7746</v>
      </c>
      <c r="D4124" s="1353" t="s">
        <v>11402</v>
      </c>
      <c r="E4124" cm="1">
        <f t="array" ref="E4124">safelearn_repaired_instruct_qr</f>
        <v>0</v>
      </c>
      <c r="F4124" t="b">
        <v>1</v>
      </c>
      <c r="N4124" s="1346"/>
    </row>
    <row r="4125" spans="1:14" x14ac:dyDescent="0.35">
      <c r="A4125" t="s">
        <v>7742</v>
      </c>
      <c r="B4125" t="s">
        <v>6518</v>
      </c>
      <c r="C4125" t="s">
        <v>7742</v>
      </c>
      <c r="D4125" s="1353" t="s">
        <v>11403</v>
      </c>
      <c r="E4125" cm="1">
        <f t="array" ref="E4125">safelearn_repaired_instruct_ndrrm</f>
        <v>0</v>
      </c>
      <c r="F4125" t="b">
        <v>1</v>
      </c>
      <c r="N4125" s="1346"/>
    </row>
    <row r="4126" spans="1:14" x14ac:dyDescent="0.35">
      <c r="A4126" t="s">
        <v>7743</v>
      </c>
      <c r="B4126" t="s">
        <v>6518</v>
      </c>
      <c r="C4126" t="s">
        <v>7743</v>
      </c>
      <c r="D4126" s="1353" t="s">
        <v>11404</v>
      </c>
      <c r="E4126" cm="1">
        <f t="array" ref="E4126">safelearn_repaired_instruct_external</f>
        <v>0</v>
      </c>
      <c r="F4126" t="b">
        <v>1</v>
      </c>
      <c r="N4126" s="1346"/>
    </row>
    <row r="4127" spans="1:14" x14ac:dyDescent="0.35">
      <c r="A4127" t="s">
        <v>7744</v>
      </c>
      <c r="B4127" t="s">
        <v>6518</v>
      </c>
      <c r="C4127" t="s">
        <v>7744</v>
      </c>
      <c r="D4127" s="1353" t="s">
        <v>11405</v>
      </c>
      <c r="E4127" cm="1">
        <f t="array" ref="E4127">safelearn_repaired_noninstruct_basicfund</f>
        <v>0</v>
      </c>
      <c r="F4127" t="b">
        <v>1</v>
      </c>
      <c r="N4127" s="1346"/>
    </row>
    <row r="4128" spans="1:14" x14ac:dyDescent="0.35">
      <c r="A4128" t="s">
        <v>7745</v>
      </c>
      <c r="B4128" t="s">
        <v>6518</v>
      </c>
      <c r="C4128" t="s">
        <v>7745</v>
      </c>
      <c r="D4128" s="1353" t="s">
        <v>11406</v>
      </c>
      <c r="E4128" cm="1">
        <f t="array" ref="E4128">safelearn_repaired_noninstruct_qr</f>
        <v>0</v>
      </c>
      <c r="F4128" t="b">
        <v>1</v>
      </c>
      <c r="N4128" s="1346"/>
    </row>
    <row r="4129" spans="1:14" x14ac:dyDescent="0.35">
      <c r="A4129" t="s">
        <v>7747</v>
      </c>
      <c r="B4129" t="s">
        <v>6518</v>
      </c>
      <c r="C4129" t="s">
        <v>7747</v>
      </c>
      <c r="D4129" s="1353" t="s">
        <v>11407</v>
      </c>
      <c r="E4129" cm="1">
        <f t="array" ref="E4129">safelearn_repaired_noninstruct_ndrrm</f>
        <v>0</v>
      </c>
      <c r="F4129" t="b">
        <v>1</v>
      </c>
      <c r="N4129" s="1346"/>
    </row>
    <row r="4130" spans="1:14" x14ac:dyDescent="0.35">
      <c r="A4130" t="s">
        <v>7756</v>
      </c>
      <c r="B4130" t="s">
        <v>6518</v>
      </c>
      <c r="C4130" t="s">
        <v>7756</v>
      </c>
      <c r="D4130" s="1353" t="s">
        <v>11408</v>
      </c>
      <c r="E4130" cm="1">
        <f t="array" ref="E4130">safelearn_repaired_noninstruct_external</f>
        <v>0</v>
      </c>
      <c r="F4130" t="b">
        <v>1</v>
      </c>
      <c r="N4130" s="1346"/>
    </row>
    <row r="4131" spans="1:14" x14ac:dyDescent="0.35">
      <c r="A4131" t="s">
        <v>7748</v>
      </c>
      <c r="B4131" t="s">
        <v>6518</v>
      </c>
      <c r="C4131" t="s">
        <v>7748</v>
      </c>
      <c r="D4131" s="1353" t="s">
        <v>11409</v>
      </c>
      <c r="E4131" cm="1">
        <f t="array" ref="E4131">safelearn_recons_instruct_basicfund</f>
        <v>0</v>
      </c>
      <c r="F4131" t="b">
        <v>1</v>
      </c>
      <c r="N4131" s="1346"/>
    </row>
    <row r="4132" spans="1:14" x14ac:dyDescent="0.35">
      <c r="A4132" t="s">
        <v>7749</v>
      </c>
      <c r="B4132" t="s">
        <v>6518</v>
      </c>
      <c r="C4132" t="s">
        <v>7749</v>
      </c>
      <c r="D4132" s="1353" t="s">
        <v>11410</v>
      </c>
      <c r="E4132" cm="1">
        <f t="array" ref="E4132">safelearn_recons_instruct_qr</f>
        <v>0</v>
      </c>
      <c r="F4132" t="b">
        <v>1</v>
      </c>
      <c r="N4132" s="1346"/>
    </row>
    <row r="4133" spans="1:14" x14ac:dyDescent="0.35">
      <c r="A4133" t="s">
        <v>7750</v>
      </c>
      <c r="B4133" t="s">
        <v>6518</v>
      </c>
      <c r="C4133" t="s">
        <v>7750</v>
      </c>
      <c r="D4133" s="1353" t="s">
        <v>11411</v>
      </c>
      <c r="E4133" cm="1">
        <f t="array" ref="E4133">safelearn_recons_instruct_ndrrm</f>
        <v>0</v>
      </c>
      <c r="F4133" t="b">
        <v>1</v>
      </c>
      <c r="N4133" s="1346"/>
    </row>
    <row r="4134" spans="1:14" x14ac:dyDescent="0.35">
      <c r="A4134" t="s">
        <v>7751</v>
      </c>
      <c r="B4134" t="s">
        <v>6518</v>
      </c>
      <c r="C4134" t="s">
        <v>7751</v>
      </c>
      <c r="D4134" s="1353" t="s">
        <v>11412</v>
      </c>
      <c r="E4134" cm="1">
        <f t="array" ref="E4134">safelearn_recons_instruct_external</f>
        <v>0</v>
      </c>
      <c r="F4134" t="b">
        <v>1</v>
      </c>
      <c r="N4134" s="1346"/>
    </row>
    <row r="4135" spans="1:14" x14ac:dyDescent="0.35">
      <c r="A4135" t="s">
        <v>7752</v>
      </c>
      <c r="B4135" t="s">
        <v>6518</v>
      </c>
      <c r="C4135" t="s">
        <v>7752</v>
      </c>
      <c r="D4135" s="1353" t="s">
        <v>11413</v>
      </c>
      <c r="E4135" cm="1">
        <f t="array" ref="E4135">safelearn_recons_noninstruct_basicfund</f>
        <v>0</v>
      </c>
      <c r="F4135" t="b">
        <v>1</v>
      </c>
      <c r="N4135" s="1346"/>
    </row>
    <row r="4136" spans="1:14" x14ac:dyDescent="0.35">
      <c r="A4136" t="s">
        <v>7753</v>
      </c>
      <c r="B4136" t="s">
        <v>6518</v>
      </c>
      <c r="C4136" t="s">
        <v>7753</v>
      </c>
      <c r="D4136" s="1353" t="s">
        <v>11414</v>
      </c>
      <c r="E4136" cm="1">
        <f t="array" ref="E4136">safelearn_recons_noninstruct_qr</f>
        <v>0</v>
      </c>
      <c r="F4136" t="b">
        <v>1</v>
      </c>
      <c r="N4136" s="1346"/>
    </row>
    <row r="4137" spans="1:14" x14ac:dyDescent="0.35">
      <c r="A4137" t="s">
        <v>7754</v>
      </c>
      <c r="B4137" t="s">
        <v>6518</v>
      </c>
      <c r="C4137" t="s">
        <v>7754</v>
      </c>
      <c r="D4137" s="1353" t="s">
        <v>11415</v>
      </c>
      <c r="E4137" cm="1">
        <f t="array" ref="E4137">safelearn_recons_noninstruct_ndrrm</f>
        <v>0</v>
      </c>
      <c r="F4137" t="b">
        <v>1</v>
      </c>
      <c r="N4137" s="1346"/>
    </row>
    <row r="4138" spans="1:14" s="1348" customFormat="1" ht="16" thickBot="1" x14ac:dyDescent="0.4">
      <c r="A4138" s="1348" t="s">
        <v>7755</v>
      </c>
      <c r="B4138" s="1348" t="s">
        <v>6518</v>
      </c>
      <c r="C4138" s="1348" t="s">
        <v>7755</v>
      </c>
      <c r="D4138" s="1355" t="s">
        <v>11416</v>
      </c>
      <c r="E4138" s="1348" cm="1">
        <f t="array" ref="E4138">safelearn_recons_noninstruct_external</f>
        <v>0</v>
      </c>
      <c r="F4138" s="1348" t="b">
        <v>1</v>
      </c>
      <c r="N4138" s="1366"/>
    </row>
    <row r="4139" spans="1:14" x14ac:dyDescent="0.35">
      <c r="A4139" t="s">
        <v>6500</v>
      </c>
      <c r="B4139" t="s">
        <v>6534</v>
      </c>
      <c r="C4139" t="s">
        <v>6500</v>
      </c>
      <c r="D4139" t="s">
        <v>11417</v>
      </c>
      <c r="E4139" t="b">
        <f>jhs_studentled_mapping</f>
        <v>1</v>
      </c>
      <c r="F4139" t="b">
        <f>ISLOGICAL(E4139)</f>
        <v>1</v>
      </c>
      <c r="G4139" t="s">
        <v>12516</v>
      </c>
      <c r="N4139" s="1346"/>
    </row>
    <row r="4140" spans="1:14" x14ac:dyDescent="0.35">
      <c r="A4140" t="s">
        <v>6499</v>
      </c>
      <c r="B4140" t="s">
        <v>6534</v>
      </c>
      <c r="C4140" t="s">
        <v>6499</v>
      </c>
      <c r="D4140" t="s">
        <v>11418</v>
      </c>
      <c r="E4140" t="b">
        <f>jhs_implement_studentledmapping</f>
        <v>1</v>
      </c>
      <c r="F4140" t="b">
        <f t="shared" ref="F4140:F4153" si="24">ISLOGICAL(E4140)</f>
        <v>1</v>
      </c>
      <c r="G4140" t="s">
        <v>12516</v>
      </c>
      <c r="N4140" s="1346"/>
    </row>
    <row r="4141" spans="1:14" x14ac:dyDescent="0.35">
      <c r="A4141" t="s">
        <v>8523</v>
      </c>
      <c r="B4141" t="s">
        <v>6534</v>
      </c>
      <c r="C4141" t="s">
        <v>8523</v>
      </c>
      <c r="D4141" t="s">
        <v>11419</v>
      </c>
      <c r="E4141" t="b">
        <f>jhs_avail_hazardmaps</f>
        <v>0</v>
      </c>
      <c r="F4141" t="b">
        <f t="shared" si="24"/>
        <v>1</v>
      </c>
      <c r="G4141" t="s">
        <v>12516</v>
      </c>
      <c r="N4141" s="1346"/>
    </row>
    <row r="4142" spans="1:14" x14ac:dyDescent="0.35">
      <c r="A4142" t="s">
        <v>6501</v>
      </c>
      <c r="B4142" t="s">
        <v>6534</v>
      </c>
      <c r="C4142" t="s">
        <v>6501</v>
      </c>
      <c r="D4142" t="s">
        <v>11420</v>
      </c>
      <c r="E4142" t="b">
        <f>jhs_submit_mapping</f>
        <v>1</v>
      </c>
      <c r="F4142" t="b">
        <f t="shared" si="24"/>
        <v>1</v>
      </c>
      <c r="G4142" t="s">
        <v>12516</v>
      </c>
      <c r="N4142" s="1346"/>
    </row>
    <row r="4143" spans="1:14" x14ac:dyDescent="0.35">
      <c r="A4143" t="s">
        <v>6502</v>
      </c>
      <c r="B4143" t="s">
        <v>6534</v>
      </c>
      <c r="C4143" t="s">
        <v>6502</v>
      </c>
      <c r="D4143" t="s">
        <v>11421</v>
      </c>
      <c r="E4143" t="b">
        <f>jhs_linked_resultsmapping</f>
        <v>0</v>
      </c>
      <c r="F4143" t="b">
        <f t="shared" si="24"/>
        <v>1</v>
      </c>
      <c r="G4143" t="s">
        <v>12516</v>
      </c>
      <c r="N4143" s="1346"/>
    </row>
    <row r="4144" spans="1:14" x14ac:dyDescent="0.35">
      <c r="A4144" t="s">
        <v>6604</v>
      </c>
      <c r="B4144" t="s">
        <v>6534</v>
      </c>
      <c r="C4144" t="s">
        <v>6604</v>
      </c>
      <c r="D4144" t="s">
        <v>11422</v>
      </c>
      <c r="E4144" t="b">
        <f>drm_nathazards_tropicalcyclone</f>
        <v>0</v>
      </c>
      <c r="F4144" t="b">
        <f t="shared" si="24"/>
        <v>1</v>
      </c>
      <c r="G4144" t="s">
        <v>12516</v>
      </c>
      <c r="N4144" s="1346"/>
    </row>
    <row r="4145" spans="1:14" x14ac:dyDescent="0.35">
      <c r="A4145" t="s">
        <v>8522</v>
      </c>
      <c r="B4145" t="s">
        <v>6534</v>
      </c>
      <c r="C4145" t="s">
        <v>8522</v>
      </c>
      <c r="D4145" t="s">
        <v>11423</v>
      </c>
      <c r="E4145" t="b" cm="1">
        <f t="array" ref="E4145">drm_nathazards_stormsurge</f>
        <v>0</v>
      </c>
      <c r="F4145" t="b">
        <f t="shared" si="24"/>
        <v>1</v>
      </c>
      <c r="G4145" t="s">
        <v>12516</v>
      </c>
      <c r="N4145" s="1346"/>
    </row>
    <row r="4146" spans="1:14" x14ac:dyDescent="0.35">
      <c r="A4146" t="s">
        <v>6602</v>
      </c>
      <c r="B4146" t="s">
        <v>6534</v>
      </c>
      <c r="C4146" t="s">
        <v>6602</v>
      </c>
      <c r="D4146" t="s">
        <v>11424</v>
      </c>
      <c r="E4146" t="b">
        <f>drm_nathazards_flood</f>
        <v>1</v>
      </c>
      <c r="F4146" t="b">
        <f t="shared" si="24"/>
        <v>1</v>
      </c>
      <c r="G4146" t="s">
        <v>12516</v>
      </c>
      <c r="N4146" s="1346"/>
    </row>
    <row r="4147" spans="1:14" x14ac:dyDescent="0.35">
      <c r="A4147" t="s">
        <v>6597</v>
      </c>
      <c r="B4147" t="s">
        <v>6534</v>
      </c>
      <c r="C4147" t="s">
        <v>6597</v>
      </c>
      <c r="D4147" t="s">
        <v>11425</v>
      </c>
      <c r="E4147" t="b">
        <f>drm_nathazards_drought</f>
        <v>0</v>
      </c>
      <c r="F4147" t="b">
        <f t="shared" si="24"/>
        <v>1</v>
      </c>
      <c r="G4147" t="s">
        <v>12516</v>
      </c>
      <c r="N4147" s="1346"/>
    </row>
    <row r="4148" spans="1:14" x14ac:dyDescent="0.35">
      <c r="A4148" t="s">
        <v>6603</v>
      </c>
      <c r="B4148" t="s">
        <v>6534</v>
      </c>
      <c r="C4148" t="s">
        <v>6603</v>
      </c>
      <c r="D4148" t="s">
        <v>11426</v>
      </c>
      <c r="E4148" t="b">
        <f>drm_nathazards_landslide</f>
        <v>0</v>
      </c>
      <c r="F4148" t="b">
        <f t="shared" si="24"/>
        <v>1</v>
      </c>
      <c r="G4148" t="s">
        <v>12516</v>
      </c>
      <c r="N4148" s="1346"/>
    </row>
    <row r="4149" spans="1:14" x14ac:dyDescent="0.35">
      <c r="A4149" t="s">
        <v>6598</v>
      </c>
      <c r="B4149" t="s">
        <v>6534</v>
      </c>
      <c r="C4149" t="s">
        <v>6598</v>
      </c>
      <c r="D4149" t="s">
        <v>11427</v>
      </c>
      <c r="E4149" t="b">
        <f>drm_nathazards_earthquake</f>
        <v>1</v>
      </c>
      <c r="F4149" t="b">
        <f t="shared" si="24"/>
        <v>1</v>
      </c>
      <c r="G4149" t="s">
        <v>12516</v>
      </c>
      <c r="N4149" s="1346"/>
    </row>
    <row r="4150" spans="1:14" x14ac:dyDescent="0.35">
      <c r="A4150" t="s">
        <v>6641</v>
      </c>
      <c r="B4150" t="s">
        <v>6534</v>
      </c>
      <c r="C4150" t="s">
        <v>6641</v>
      </c>
      <c r="D4150" t="s">
        <v>11428</v>
      </c>
      <c r="E4150" t="b">
        <f>drm_nathazards_volcaniceruption</f>
        <v>0</v>
      </c>
      <c r="F4150" t="b">
        <f t="shared" si="24"/>
        <v>1</v>
      </c>
      <c r="G4150" t="s">
        <v>12516</v>
      </c>
      <c r="N4150" s="1346"/>
    </row>
    <row r="4151" spans="1:14" x14ac:dyDescent="0.35">
      <c r="A4151" t="s">
        <v>6599</v>
      </c>
      <c r="B4151" t="s">
        <v>6534</v>
      </c>
      <c r="C4151" t="s">
        <v>6599</v>
      </c>
      <c r="D4151" t="s">
        <v>11429</v>
      </c>
      <c r="E4151" t="b">
        <f>drm_nathazards_fire</f>
        <v>1</v>
      </c>
      <c r="F4151" t="b">
        <f t="shared" si="24"/>
        <v>1</v>
      </c>
      <c r="G4151" t="s">
        <v>12516</v>
      </c>
      <c r="N4151" s="1346"/>
    </row>
    <row r="4152" spans="1:14" x14ac:dyDescent="0.35">
      <c r="A4152" t="s">
        <v>6640</v>
      </c>
      <c r="B4152" t="s">
        <v>6534</v>
      </c>
      <c r="C4152" t="s">
        <v>6640</v>
      </c>
      <c r="D4152" t="s">
        <v>11429</v>
      </c>
      <c r="E4152" t="b">
        <f>drm_nathazards_tsunami</f>
        <v>0</v>
      </c>
      <c r="F4152" t="b">
        <f t="shared" si="24"/>
        <v>1</v>
      </c>
      <c r="G4152" t="s">
        <v>12516</v>
      </c>
      <c r="N4152" s="1346"/>
    </row>
    <row r="4153" spans="1:14" x14ac:dyDescent="0.35">
      <c r="A4153" t="s">
        <v>6596</v>
      </c>
      <c r="B4153" t="s">
        <v>6534</v>
      </c>
      <c r="C4153" t="s">
        <v>6596</v>
      </c>
      <c r="D4153" t="s">
        <v>11430</v>
      </c>
      <c r="E4153" t="b">
        <f>sch_implemented_others</f>
        <v>0</v>
      </c>
      <c r="F4153" t="b">
        <f t="shared" si="24"/>
        <v>1</v>
      </c>
      <c r="G4153" t="s">
        <v>12516</v>
      </c>
      <c r="N4153" s="1346"/>
    </row>
    <row r="4154" spans="1:14" x14ac:dyDescent="0.35">
      <c r="A4154" t="s">
        <v>6600</v>
      </c>
      <c r="B4154" t="s">
        <v>6534</v>
      </c>
      <c r="C4154" t="s">
        <v>6600</v>
      </c>
      <c r="D4154" t="s">
        <v>11431</v>
      </c>
      <c r="E4154">
        <f>sch_implemented_others_specify</f>
        <v>0</v>
      </c>
      <c r="F4154" t="b">
        <v>1</v>
      </c>
      <c r="N4154" s="1346"/>
    </row>
    <row r="4155" spans="1:14" x14ac:dyDescent="0.35">
      <c r="A4155" t="s">
        <v>6542</v>
      </c>
      <c r="B4155" t="s">
        <v>6534</v>
      </c>
      <c r="C4155" t="s">
        <v>6542</v>
      </c>
      <c r="D4155" t="s">
        <v>11432</v>
      </c>
      <c r="E4155" t="b">
        <f>drm_humhazards_armedconflict</f>
        <v>0</v>
      </c>
      <c r="F4155" t="b">
        <f>ISLOGICAL(E4155)</f>
        <v>1</v>
      </c>
      <c r="G4155" t="s">
        <v>12516</v>
      </c>
      <c r="N4155" s="1346"/>
    </row>
    <row r="4156" spans="1:14" x14ac:dyDescent="0.35">
      <c r="A4156" t="s">
        <v>6543</v>
      </c>
      <c r="B4156" t="s">
        <v>6534</v>
      </c>
      <c r="C4156" t="s">
        <v>6543</v>
      </c>
      <c r="D4156" t="s">
        <v>11433</v>
      </c>
      <c r="E4156" t="b">
        <f>drm_humhazards_bomb</f>
        <v>0</v>
      </c>
      <c r="F4156" t="b">
        <f>ISLOGICAL(E4156)</f>
        <v>1</v>
      </c>
      <c r="G4156" t="s">
        <v>12516</v>
      </c>
      <c r="N4156" s="1346"/>
    </row>
    <row r="4157" spans="1:14" x14ac:dyDescent="0.35">
      <c r="A4157" t="s">
        <v>6544</v>
      </c>
      <c r="B4157" t="s">
        <v>6534</v>
      </c>
      <c r="C4157" t="s">
        <v>6544</v>
      </c>
      <c r="D4157" t="s">
        <v>11434</v>
      </c>
      <c r="E4157" t="b">
        <f>drm_humhazards_civviolence</f>
        <v>0</v>
      </c>
      <c r="F4157" t="b">
        <f>ISLOGICAL(E4157)</f>
        <v>1</v>
      </c>
      <c r="G4157" t="s">
        <v>12516</v>
      </c>
      <c r="N4157" s="1346"/>
    </row>
    <row r="4158" spans="1:14" x14ac:dyDescent="0.35">
      <c r="A4158" t="s">
        <v>6575</v>
      </c>
      <c r="B4158" t="s">
        <v>6534</v>
      </c>
      <c r="C4158" t="s">
        <v>6575</v>
      </c>
      <c r="D4158" t="s">
        <v>11435</v>
      </c>
      <c r="E4158" t="b">
        <f>drm_humhazards_fire</f>
        <v>0</v>
      </c>
      <c r="F4158" t="b">
        <f>ISLOGICAL(E4158)</f>
        <v>1</v>
      </c>
      <c r="G4158" t="s">
        <v>12516</v>
      </c>
      <c r="N4158" s="1346"/>
    </row>
    <row r="4159" spans="1:14" x14ac:dyDescent="0.35">
      <c r="A4159" t="s">
        <v>6576</v>
      </c>
      <c r="B4159" t="s">
        <v>6534</v>
      </c>
      <c r="C4159" t="s">
        <v>6576</v>
      </c>
      <c r="D4159" t="s">
        <v>11436</v>
      </c>
      <c r="E4159" t="b">
        <f>drm_humhazards_others</f>
        <v>0</v>
      </c>
      <c r="F4159" t="b">
        <f>ISLOGICAL(E4159)</f>
        <v>1</v>
      </c>
      <c r="G4159" t="s">
        <v>12516</v>
      </c>
      <c r="N4159" s="1346"/>
    </row>
    <row r="4160" spans="1:14" x14ac:dyDescent="0.35">
      <c r="A4160" t="s">
        <v>6577</v>
      </c>
      <c r="B4160" t="s">
        <v>6534</v>
      </c>
      <c r="C4160" t="s">
        <v>6577</v>
      </c>
      <c r="D4160" t="s">
        <v>11437</v>
      </c>
      <c r="E4160">
        <f>drm_humhazards_others_specify</f>
        <v>0</v>
      </c>
      <c r="F4160" t="b">
        <v>1</v>
      </c>
      <c r="N4160" s="1346"/>
    </row>
    <row r="4161" spans="1:14" x14ac:dyDescent="0.35">
      <c r="A4161" t="s">
        <v>8524</v>
      </c>
      <c r="B4161" t="s">
        <v>6534</v>
      </c>
      <c r="C4161" t="s">
        <v>8524</v>
      </c>
      <c r="D4161" t="s">
        <v>11438</v>
      </c>
      <c r="E4161" t="b" cm="1">
        <f t="array" ref="E4161">sch_contingency_assesment_wbaseline</f>
        <v>0</v>
      </c>
      <c r="F4161" t="b">
        <f t="shared" ref="F4161:F4196" si="25">ISLOGICAL(E4161)</f>
        <v>1</v>
      </c>
      <c r="G4161" t="s">
        <v>12516</v>
      </c>
      <c r="N4161" s="1346"/>
    </row>
    <row r="4162" spans="1:14" x14ac:dyDescent="0.35">
      <c r="A4162" t="s">
        <v>6590</v>
      </c>
      <c r="B4162" t="s">
        <v>6534</v>
      </c>
      <c r="C4162" t="s">
        <v>6590</v>
      </c>
      <c r="D4162" t="s">
        <v>11439</v>
      </c>
      <c r="E4162" t="b">
        <f>drm_evacuationplan</f>
        <v>1</v>
      </c>
      <c r="F4162" t="b">
        <f t="shared" si="25"/>
        <v>1</v>
      </c>
      <c r="G4162" t="s">
        <v>12516</v>
      </c>
      <c r="N4162" s="1346"/>
    </row>
    <row r="4163" spans="1:14" x14ac:dyDescent="0.35">
      <c r="A4163" t="s">
        <v>6583</v>
      </c>
      <c r="B4163" t="s">
        <v>6534</v>
      </c>
      <c r="C4163" t="s">
        <v>6583</v>
      </c>
      <c r="D4163" t="s">
        <v>11440</v>
      </c>
      <c r="E4163" t="b">
        <f>drm_reunificationplan</f>
        <v>1</v>
      </c>
      <c r="F4163" t="b">
        <f t="shared" si="25"/>
        <v>1</v>
      </c>
      <c r="G4163" t="s">
        <v>12516</v>
      </c>
      <c r="N4163" s="1346"/>
    </row>
    <row r="4164" spans="1:14" x14ac:dyDescent="0.35">
      <c r="A4164" t="s">
        <v>6586</v>
      </c>
      <c r="B4164" t="s">
        <v>6534</v>
      </c>
      <c r="C4164" t="s">
        <v>6586</v>
      </c>
      <c r="D4164" t="s">
        <v>11441</v>
      </c>
      <c r="E4164" t="b">
        <f>sch_established_systemtracking</f>
        <v>0</v>
      </c>
      <c r="F4164" t="b">
        <f t="shared" si="25"/>
        <v>1</v>
      </c>
      <c r="G4164" t="s">
        <v>12516</v>
      </c>
      <c r="N4164" s="1346"/>
    </row>
    <row r="4165" spans="1:14" x14ac:dyDescent="0.35">
      <c r="A4165" t="s">
        <v>8525</v>
      </c>
      <c r="B4165" t="s">
        <v>6534</v>
      </c>
      <c r="C4165" t="s">
        <v>8525</v>
      </c>
      <c r="D4165" t="s">
        <v>11442</v>
      </c>
      <c r="E4165" t="b" cm="1">
        <f t="array" ref="E4165">sch_recovery_measures</f>
        <v>0</v>
      </c>
      <c r="F4165" t="b">
        <f t="shared" si="25"/>
        <v>1</v>
      </c>
      <c r="G4165" t="s">
        <v>12516</v>
      </c>
      <c r="N4165" s="1346"/>
    </row>
    <row r="4166" spans="1:14" x14ac:dyDescent="0.35">
      <c r="A4166" t="s">
        <v>6639</v>
      </c>
      <c r="B4166" t="s">
        <v>6534</v>
      </c>
      <c r="C4166" t="s">
        <v>6639</v>
      </c>
      <c r="D4166" t="s">
        <v>11443</v>
      </c>
      <c r="E4166" t="b">
        <f>sch_washfacilities</f>
        <v>1</v>
      </c>
      <c r="F4166" t="b">
        <f t="shared" si="25"/>
        <v>1</v>
      </c>
      <c r="G4166" t="s">
        <v>12516</v>
      </c>
      <c r="N4166" s="1346"/>
    </row>
    <row r="4167" spans="1:14" x14ac:dyDescent="0.35">
      <c r="A4167" t="s">
        <v>6660</v>
      </c>
      <c r="B4167" t="s">
        <v>6534</v>
      </c>
      <c r="C4167" t="s">
        <v>6660</v>
      </c>
      <c r="D4167" t="s">
        <v>11444</v>
      </c>
      <c r="E4167" t="b">
        <f>sch_identified_evacctr</f>
        <v>1</v>
      </c>
      <c r="F4167" t="b">
        <f t="shared" si="25"/>
        <v>1</v>
      </c>
      <c r="G4167" t="s">
        <v>12516</v>
      </c>
      <c r="N4167" s="1346"/>
    </row>
    <row r="4168" spans="1:14" x14ac:dyDescent="0.35">
      <c r="A4168" t="s">
        <v>6661</v>
      </c>
      <c r="B4168" t="s">
        <v>6534</v>
      </c>
      <c r="C4168" t="s">
        <v>6661</v>
      </c>
      <c r="D4168" t="s">
        <v>11445</v>
      </c>
      <c r="E4168" t="b">
        <f>schhead_identified_sch_evacctr</f>
        <v>1</v>
      </c>
      <c r="F4168" t="b">
        <f t="shared" si="25"/>
        <v>1</v>
      </c>
      <c r="G4168" t="s">
        <v>12516</v>
      </c>
      <c r="N4168" s="1346"/>
    </row>
    <row r="4169" spans="1:14" x14ac:dyDescent="0.35">
      <c r="A4169" t="s">
        <v>8526</v>
      </c>
      <c r="B4169" t="s">
        <v>6534</v>
      </c>
      <c r="C4169" t="s">
        <v>8526</v>
      </c>
      <c r="D4169" t="s">
        <v>11446</v>
      </c>
      <c r="E4169" t="b">
        <f>sch_resumption_strats</f>
        <v>0</v>
      </c>
      <c r="F4169" t="b">
        <f t="shared" si="25"/>
        <v>1</v>
      </c>
      <c r="G4169" t="s">
        <v>12516</v>
      </c>
      <c r="N4169" s="1346"/>
    </row>
    <row r="4170" spans="1:14" x14ac:dyDescent="0.35">
      <c r="A4170" t="s">
        <v>8535</v>
      </c>
      <c r="B4170" t="s">
        <v>6534</v>
      </c>
      <c r="C4170" t="s">
        <v>8535</v>
      </c>
      <c r="D4170" t="s">
        <v>11447</v>
      </c>
      <c r="E4170" t="b" cm="1">
        <f t="array" ref="E4170">sch_list_safetynemrgncy_supp</f>
        <v>0</v>
      </c>
      <c r="F4170" t="b">
        <f t="shared" si="25"/>
        <v>1</v>
      </c>
      <c r="G4170" t="s">
        <v>12516</v>
      </c>
      <c r="N4170" s="1346"/>
    </row>
    <row r="4171" spans="1:14" x14ac:dyDescent="0.35">
      <c r="A4171" t="s">
        <v>8527</v>
      </c>
      <c r="B4171" t="s">
        <v>6534</v>
      </c>
      <c r="C4171" t="s">
        <v>8527</v>
      </c>
      <c r="D4171" t="s">
        <v>11448</v>
      </c>
      <c r="E4171" t="b" cm="1">
        <f t="array" ref="E4171">sch_listofprtnrs_mobilized</f>
        <v>0</v>
      </c>
      <c r="F4171" t="b">
        <f t="shared" si="25"/>
        <v>1</v>
      </c>
      <c r="G4171" t="s">
        <v>12516</v>
      </c>
      <c r="N4171" s="1346"/>
    </row>
    <row r="4172" spans="1:14" x14ac:dyDescent="0.35">
      <c r="A4172" t="s">
        <v>8528</v>
      </c>
      <c r="B4172" t="s">
        <v>6534</v>
      </c>
      <c r="C4172" t="s">
        <v>8528</v>
      </c>
      <c r="D4172" t="s">
        <v>11449</v>
      </c>
      <c r="E4172" t="b">
        <f>sch_drrmteam_wroles</f>
        <v>0</v>
      </c>
      <c r="F4172" t="b">
        <f t="shared" si="25"/>
        <v>1</v>
      </c>
      <c r="G4172" t="s">
        <v>12516</v>
      </c>
      <c r="N4172" s="1346"/>
    </row>
    <row r="4173" spans="1:14" x14ac:dyDescent="0.35">
      <c r="A4173" t="s">
        <v>8529</v>
      </c>
      <c r="B4173" t="s">
        <v>6534</v>
      </c>
      <c r="C4173" t="s">
        <v>8529</v>
      </c>
      <c r="D4173" t="s">
        <v>11450</v>
      </c>
      <c r="E4173" t="b" cm="1">
        <f t="array" ref="E4173">sch_lockdown_protocol</f>
        <v>0</v>
      </c>
      <c r="F4173" t="b">
        <f t="shared" si="25"/>
        <v>1</v>
      </c>
      <c r="G4173" t="s">
        <v>12516</v>
      </c>
      <c r="N4173" s="1346"/>
    </row>
    <row r="4174" spans="1:14" x14ac:dyDescent="0.35">
      <c r="A4174" t="s">
        <v>8530</v>
      </c>
      <c r="B4174" t="s">
        <v>6534</v>
      </c>
      <c r="C4174" t="s">
        <v>8530</v>
      </c>
      <c r="D4174" t="s">
        <v>11451</v>
      </c>
      <c r="E4174" t="b" cm="1">
        <f t="array" ref="E4174">sch_identified_quarantinefacility</f>
        <v>1</v>
      </c>
      <c r="F4174" t="b">
        <f t="shared" si="25"/>
        <v>1</v>
      </c>
      <c r="G4174" t="s">
        <v>12516</v>
      </c>
      <c r="N4174" s="1346"/>
    </row>
    <row r="4175" spans="1:14" x14ac:dyDescent="0.35">
      <c r="A4175" t="s">
        <v>8531</v>
      </c>
      <c r="B4175" t="s">
        <v>6534</v>
      </c>
      <c r="C4175" t="s">
        <v>8531</v>
      </c>
      <c r="D4175" t="s">
        <v>11452</v>
      </c>
      <c r="E4175" t="b" cm="1">
        <f t="array" ref="E4175">sch_healthsafety_protocol</f>
        <v>1</v>
      </c>
      <c r="F4175" t="b">
        <f t="shared" si="25"/>
        <v>1</v>
      </c>
      <c r="G4175" t="s">
        <v>12516</v>
      </c>
      <c r="N4175" s="1346"/>
    </row>
    <row r="4176" spans="1:14" x14ac:dyDescent="0.35">
      <c r="A4176" t="s">
        <v>8532</v>
      </c>
      <c r="B4176" t="s">
        <v>6534</v>
      </c>
      <c r="C4176" t="s">
        <v>8532</v>
      </c>
      <c r="D4176" t="s">
        <v>11453</v>
      </c>
      <c r="E4176" t="b">
        <f>sch_listofPPE</f>
        <v>0</v>
      </c>
      <c r="F4176" t="b">
        <f t="shared" si="25"/>
        <v>1</v>
      </c>
      <c r="G4176" t="s">
        <v>12516</v>
      </c>
      <c r="N4176" s="1346"/>
    </row>
    <row r="4177" spans="1:14" x14ac:dyDescent="0.35">
      <c r="A4177" t="s">
        <v>8533</v>
      </c>
      <c r="B4177" t="s">
        <v>6534</v>
      </c>
      <c r="C4177" t="s">
        <v>8533</v>
      </c>
      <c r="D4177" t="s">
        <v>11454</v>
      </c>
      <c r="E4177" t="b" cm="1">
        <f t="array" ref="E4177">sch_covid_management</f>
        <v>0</v>
      </c>
      <c r="F4177" t="b">
        <f t="shared" si="25"/>
        <v>1</v>
      </c>
      <c r="G4177" t="s">
        <v>12516</v>
      </c>
      <c r="N4177" s="1346"/>
    </row>
    <row r="4178" spans="1:14" x14ac:dyDescent="0.35">
      <c r="A4178" t="s">
        <v>6591</v>
      </c>
      <c r="B4178" t="s">
        <v>6534</v>
      </c>
      <c r="C4178" t="s">
        <v>6591</v>
      </c>
      <c r="D4178" t="s">
        <v>11455</v>
      </c>
      <c r="E4178" t="b">
        <f>drrm_wlearners</f>
        <v>1</v>
      </c>
      <c r="F4178" t="b">
        <f t="shared" si="25"/>
        <v>1</v>
      </c>
      <c r="G4178" t="s">
        <v>12516</v>
      </c>
      <c r="N4178" s="1346"/>
    </row>
    <row r="4179" spans="1:14" x14ac:dyDescent="0.35">
      <c r="A4179" t="s">
        <v>6568</v>
      </c>
      <c r="B4179" t="s">
        <v>6534</v>
      </c>
      <c r="C4179" t="s">
        <v>6568</v>
      </c>
      <c r="D4179" t="s">
        <v>11456</v>
      </c>
      <c r="E4179" t="b">
        <f>drrm_personnel</f>
        <v>1</v>
      </c>
      <c r="F4179" t="b">
        <f t="shared" si="25"/>
        <v>1</v>
      </c>
      <c r="G4179" t="s">
        <v>12516</v>
      </c>
      <c r="N4179" s="1346"/>
    </row>
    <row r="4180" spans="1:14" x14ac:dyDescent="0.35">
      <c r="A4180" t="s">
        <v>6638</v>
      </c>
      <c r="B4180" t="s">
        <v>6534</v>
      </c>
      <c r="C4180" t="s">
        <v>6638</v>
      </c>
      <c r="D4180" t="s">
        <v>11457</v>
      </c>
      <c r="E4180" t="b">
        <f>drrm_parents</f>
        <v>1</v>
      </c>
      <c r="F4180" t="b">
        <f t="shared" si="25"/>
        <v>1</v>
      </c>
      <c r="G4180" t="s">
        <v>12516</v>
      </c>
      <c r="N4180" s="1346"/>
    </row>
    <row r="4181" spans="1:14" x14ac:dyDescent="0.35">
      <c r="A4181" t="s">
        <v>6601</v>
      </c>
      <c r="B4181" t="s">
        <v>6534</v>
      </c>
      <c r="C4181" t="s">
        <v>6601</v>
      </c>
      <c r="D4181" t="s">
        <v>11458</v>
      </c>
      <c r="E4181" t="b">
        <f>drrm_wlgu</f>
        <v>1</v>
      </c>
      <c r="F4181" t="b">
        <f t="shared" si="25"/>
        <v>1</v>
      </c>
      <c r="G4181" t="s">
        <v>12516</v>
      </c>
      <c r="N4181" s="1346"/>
    </row>
    <row r="4182" spans="1:14" x14ac:dyDescent="0.35">
      <c r="A4182" t="s">
        <v>6535</v>
      </c>
      <c r="B4182" t="s">
        <v>6534</v>
      </c>
      <c r="C4182" t="s">
        <v>6535</v>
      </c>
      <c r="D4182" t="s">
        <v>11459</v>
      </c>
      <c r="E4182" t="b">
        <f>drrm_partners</f>
        <v>1</v>
      </c>
      <c r="F4182" t="b">
        <f t="shared" si="25"/>
        <v>1</v>
      </c>
      <c r="G4182" t="s">
        <v>12516</v>
      </c>
      <c r="N4182" s="1346"/>
    </row>
    <row r="4183" spans="1:14" x14ac:dyDescent="0.35">
      <c r="A4183" t="s">
        <v>6662</v>
      </c>
      <c r="B4183" t="s">
        <v>6534</v>
      </c>
      <c r="C4183" t="s">
        <v>6662</v>
      </c>
      <c r="D4183" t="s">
        <v>11460</v>
      </c>
      <c r="E4183" t="b">
        <f>sch_moumoa_wlgudswd</f>
        <v>0</v>
      </c>
      <c r="F4183" t="b">
        <f t="shared" si="25"/>
        <v>1</v>
      </c>
      <c r="G4183" t="s">
        <v>12516</v>
      </c>
      <c r="N4183" s="1346"/>
    </row>
    <row r="4184" spans="1:14" x14ac:dyDescent="0.35">
      <c r="A4184" t="s">
        <v>8534</v>
      </c>
      <c r="B4184" t="s">
        <v>6534</v>
      </c>
      <c r="C4184" t="s">
        <v>8534</v>
      </c>
      <c r="D4184" t="s">
        <v>11461</v>
      </c>
      <c r="E4184" t="b" cm="1">
        <f t="array" ref="E4184">sch_termsandconditions_covid</f>
        <v>1</v>
      </c>
      <c r="F4184" t="b">
        <f t="shared" si="25"/>
        <v>1</v>
      </c>
      <c r="G4184" t="s">
        <v>12516</v>
      </c>
      <c r="N4184" s="1346"/>
    </row>
    <row r="4185" spans="1:14" x14ac:dyDescent="0.35">
      <c r="A4185" t="s">
        <v>6584</v>
      </c>
      <c r="B4185" t="s">
        <v>6534</v>
      </c>
      <c r="C4185" t="s">
        <v>6584</v>
      </c>
      <c r="D4185" t="s">
        <v>11462</v>
      </c>
      <c r="E4185" t="b">
        <f>sch_presented_FEPPtoLGUPTA</f>
        <v>1</v>
      </c>
      <c r="F4185" t="b">
        <f t="shared" si="25"/>
        <v>1</v>
      </c>
      <c r="G4185" t="s">
        <v>12516</v>
      </c>
      <c r="N4185" s="1346"/>
    </row>
    <row r="4186" spans="1:14" x14ac:dyDescent="0.35">
      <c r="A4186" t="s">
        <v>6585</v>
      </c>
      <c r="B4186" t="s">
        <v>6534</v>
      </c>
      <c r="C4186" t="s">
        <v>6585</v>
      </c>
      <c r="D4186" t="s">
        <v>11463</v>
      </c>
      <c r="E4186" t="b">
        <f>sch_takenapproppriateactions_basedFEPP</f>
        <v>1</v>
      </c>
      <c r="F4186" t="b">
        <f t="shared" si="25"/>
        <v>1</v>
      </c>
      <c r="G4186" t="s">
        <v>12516</v>
      </c>
      <c r="N4186" s="1346"/>
    </row>
    <row r="4187" spans="1:14" x14ac:dyDescent="0.35">
      <c r="A4187" t="s">
        <v>8520</v>
      </c>
      <c r="B4187" t="s">
        <v>6534</v>
      </c>
      <c r="C4187" t="s">
        <v>8520</v>
      </c>
      <c r="D4187" t="s">
        <v>11464</v>
      </c>
      <c r="E4187" t="b" cm="1">
        <f t="array" ref="E4187">sch_developed_DRRM_comm</f>
        <v>0</v>
      </c>
      <c r="F4187" t="b">
        <f t="shared" si="25"/>
        <v>1</v>
      </c>
      <c r="G4187" t="s">
        <v>12516</v>
      </c>
      <c r="N4187" s="1346"/>
    </row>
    <row r="4188" spans="1:14" x14ac:dyDescent="0.35">
      <c r="A4188" t="s">
        <v>8521</v>
      </c>
      <c r="B4188" t="s">
        <v>6534</v>
      </c>
      <c r="C4188" t="s">
        <v>8521</v>
      </c>
      <c r="D4188" t="s">
        <v>11465</v>
      </c>
      <c r="E4188" t="b" cm="1">
        <f t="array" ref="E4188">sch_implemented_PPA_wprtnr</f>
        <v>0</v>
      </c>
      <c r="F4188" t="b">
        <f t="shared" si="25"/>
        <v>1</v>
      </c>
      <c r="G4188" t="s">
        <v>12516</v>
      </c>
      <c r="N4188" s="1346"/>
    </row>
    <row r="4189" spans="1:14" x14ac:dyDescent="0.35">
      <c r="A4189" t="s">
        <v>6589</v>
      </c>
      <c r="B4189" t="s">
        <v>6534</v>
      </c>
      <c r="C4189" t="s">
        <v>6589</v>
      </c>
      <c r="D4189" t="s">
        <v>11466</v>
      </c>
      <c r="E4189" t="b">
        <f>sch_participated_diffdrrm</f>
        <v>0</v>
      </c>
      <c r="F4189" t="b">
        <f t="shared" si="25"/>
        <v>1</v>
      </c>
      <c r="G4189" t="s">
        <v>12516</v>
      </c>
      <c r="N4189" s="1346"/>
    </row>
    <row r="4190" spans="1:14" x14ac:dyDescent="0.35">
      <c r="A4190" t="s">
        <v>8536</v>
      </c>
      <c r="B4190" t="s">
        <v>6534</v>
      </c>
      <c r="C4190" t="s">
        <v>8536</v>
      </c>
      <c r="D4190" t="s">
        <v>11467</v>
      </c>
      <c r="E4190" cm="1">
        <f t="array" ref="E4190">sch_number_prtnrs_mobilized_disaster</f>
        <v>0</v>
      </c>
      <c r="F4190" t="b">
        <v>1</v>
      </c>
      <c r="N4190" s="1346"/>
    </row>
    <row r="4191" spans="1:14" x14ac:dyDescent="0.35">
      <c r="A4191" t="s">
        <v>8537</v>
      </c>
      <c r="B4191" t="s">
        <v>6534</v>
      </c>
      <c r="C4191" t="s">
        <v>8537</v>
      </c>
      <c r="D4191" t="s">
        <v>11468</v>
      </c>
      <c r="E4191" cm="1">
        <f t="array" ref="E4191">sch_number_prtnrs_mobilized_armed</f>
        <v>0</v>
      </c>
      <c r="F4191" t="b">
        <v>1</v>
      </c>
      <c r="N4191" s="1346"/>
    </row>
    <row r="4192" spans="1:14" x14ac:dyDescent="0.35">
      <c r="A4192" t="s">
        <v>8538</v>
      </c>
      <c r="B4192" t="s">
        <v>6534</v>
      </c>
      <c r="C4192" t="s">
        <v>8538</v>
      </c>
      <c r="D4192" t="s">
        <v>11469</v>
      </c>
      <c r="E4192" cm="1">
        <f t="array" ref="E4192">sch_number_PPA_partner</f>
        <v>0</v>
      </c>
      <c r="F4192" t="b">
        <v>1</v>
      </c>
      <c r="N4192" s="1346"/>
    </row>
    <row r="4193" spans="1:14" x14ac:dyDescent="0.35">
      <c r="A4193" t="s">
        <v>8539</v>
      </c>
      <c r="B4193" t="s">
        <v>6534</v>
      </c>
      <c r="C4193" t="s">
        <v>8539</v>
      </c>
      <c r="D4193" t="s">
        <v>11470</v>
      </c>
      <c r="E4193" cm="1">
        <f t="array" ref="E4193">sch_number_training_personnel</f>
        <v>0</v>
      </c>
      <c r="F4193" t="b">
        <v>1</v>
      </c>
      <c r="N4193" s="1346"/>
    </row>
    <row r="4194" spans="1:14" x14ac:dyDescent="0.35">
      <c r="A4194" t="s">
        <v>6587</v>
      </c>
      <c r="B4194" t="s">
        <v>6534</v>
      </c>
      <c r="C4194" t="s">
        <v>6587</v>
      </c>
      <c r="D4194" t="s">
        <v>11471</v>
      </c>
      <c r="E4194" t="b">
        <f>sch_conducted_brigadaeskuwela</f>
        <v>1</v>
      </c>
      <c r="F4194" t="b">
        <f t="shared" si="25"/>
        <v>1</v>
      </c>
      <c r="G4194" t="s">
        <v>12516</v>
      </c>
      <c r="N4194" s="1346"/>
    </row>
    <row r="4195" spans="1:14" x14ac:dyDescent="0.35">
      <c r="A4195" t="s">
        <v>6588</v>
      </c>
      <c r="B4195" t="s">
        <v>6534</v>
      </c>
      <c r="C4195" t="s">
        <v>6588</v>
      </c>
      <c r="D4195" t="s">
        <v>11472</v>
      </c>
      <c r="E4195" t="b">
        <f>sch_functional_earlywarningsystem</f>
        <v>1</v>
      </c>
      <c r="F4195" t="b">
        <f t="shared" si="25"/>
        <v>1</v>
      </c>
      <c r="G4195" t="s">
        <v>12516</v>
      </c>
      <c r="N4195" s="1346"/>
    </row>
    <row r="4196" spans="1:14" x14ac:dyDescent="0.35">
      <c r="A4196" t="s">
        <v>8517</v>
      </c>
      <c r="B4196" t="s">
        <v>6534</v>
      </c>
      <c r="C4196" t="s">
        <v>8517</v>
      </c>
      <c r="D4196" t="s">
        <v>11473</v>
      </c>
      <c r="E4196" t="b" cm="1">
        <f t="array" ref="E4196">sch_provided_safetysupp</f>
        <v>0</v>
      </c>
      <c r="F4196" t="b">
        <f t="shared" si="25"/>
        <v>1</v>
      </c>
      <c r="G4196" t="s">
        <v>12516</v>
      </c>
      <c r="N4196" s="1346"/>
    </row>
    <row r="4197" spans="1:14" x14ac:dyDescent="0.35">
      <c r="A4197" t="s">
        <v>6605</v>
      </c>
      <c r="B4197" t="s">
        <v>6534</v>
      </c>
      <c r="C4197" t="s">
        <v>6605</v>
      </c>
      <c r="D4197" t="s">
        <v>11474</v>
      </c>
      <c r="E4197">
        <f>emrgcysupp_twofoldstretcher</f>
        <v>4</v>
      </c>
      <c r="F4197" t="b">
        <v>1</v>
      </c>
      <c r="N4197" s="1346"/>
    </row>
    <row r="4198" spans="1:14" x14ac:dyDescent="0.35">
      <c r="A4198" t="s">
        <v>7857</v>
      </c>
      <c r="B4198" t="s">
        <v>6534</v>
      </c>
      <c r="C4198" t="s">
        <v>7857</v>
      </c>
      <c r="D4198" t="s">
        <v>11475</v>
      </c>
      <c r="E4198">
        <f>emrgcysupp_twofoldstretcher_prtnr</f>
        <v>0</v>
      </c>
      <c r="F4198" t="b">
        <v>1</v>
      </c>
      <c r="N4198" s="1346"/>
    </row>
    <row r="4199" spans="1:14" x14ac:dyDescent="0.35">
      <c r="A4199" t="s">
        <v>7843</v>
      </c>
      <c r="B4199" t="s">
        <v>6534</v>
      </c>
      <c r="C4199" t="s">
        <v>7843</v>
      </c>
      <c r="D4199" t="s">
        <v>11476</v>
      </c>
      <c r="E4199" cm="1">
        <f t="array" ref="E4199">emrgcy_cadaverbag</f>
        <v>0</v>
      </c>
      <c r="F4199" t="b">
        <v>1</v>
      </c>
      <c r="N4199" s="1346"/>
    </row>
    <row r="4200" spans="1:14" x14ac:dyDescent="0.35">
      <c r="A4200" t="s">
        <v>7858</v>
      </c>
      <c r="B4200" t="s">
        <v>6534</v>
      </c>
      <c r="C4200" t="s">
        <v>7858</v>
      </c>
      <c r="D4200" t="s">
        <v>11477</v>
      </c>
      <c r="E4200">
        <f>emrgcy_cadaverbag_prtnr</f>
        <v>0</v>
      </c>
      <c r="F4200" t="b">
        <v>1</v>
      </c>
      <c r="N4200" s="1346"/>
    </row>
    <row r="4201" spans="1:14" x14ac:dyDescent="0.35">
      <c r="A4201" t="s">
        <v>6606</v>
      </c>
      <c r="B4201" t="s">
        <v>6534</v>
      </c>
      <c r="C4201" t="s">
        <v>6606</v>
      </c>
      <c r="D4201" t="s">
        <v>11478</v>
      </c>
      <c r="E4201">
        <f>emrgcysupp_ccollar</f>
        <v>0</v>
      </c>
      <c r="F4201" t="b">
        <v>1</v>
      </c>
      <c r="N4201" s="1346"/>
    </row>
    <row r="4202" spans="1:14" x14ac:dyDescent="0.35">
      <c r="A4202" t="s">
        <v>7859</v>
      </c>
      <c r="B4202" t="s">
        <v>6534</v>
      </c>
      <c r="C4202" t="s">
        <v>7859</v>
      </c>
      <c r="D4202" t="s">
        <v>11479</v>
      </c>
      <c r="E4202">
        <f>emrgcysupp_ccollar_prtnr</f>
        <v>0</v>
      </c>
      <c r="F4202" t="b">
        <v>1</v>
      </c>
      <c r="N4202" s="1346"/>
    </row>
    <row r="4203" spans="1:14" x14ac:dyDescent="0.35">
      <c r="A4203" t="s">
        <v>7844</v>
      </c>
      <c r="B4203" t="s">
        <v>6534</v>
      </c>
      <c r="C4203" t="s">
        <v>7844</v>
      </c>
      <c r="D4203" t="s">
        <v>11480</v>
      </c>
      <c r="E4203">
        <f>emrgcy_cot</f>
        <v>0</v>
      </c>
      <c r="F4203" t="b">
        <v>1</v>
      </c>
      <c r="N4203" s="1346"/>
    </row>
    <row r="4204" spans="1:14" x14ac:dyDescent="0.35">
      <c r="A4204" t="s">
        <v>7860</v>
      </c>
      <c r="B4204" t="s">
        <v>6534</v>
      </c>
      <c r="C4204" t="s">
        <v>7860</v>
      </c>
      <c r="D4204" t="s">
        <v>11481</v>
      </c>
      <c r="E4204">
        <f>emrgcy_cot_prtnr</f>
        <v>0</v>
      </c>
      <c r="F4204" t="b">
        <v>1</v>
      </c>
      <c r="N4204" s="1346"/>
    </row>
    <row r="4205" spans="1:14" x14ac:dyDescent="0.35">
      <c r="A4205" t="s">
        <v>7845</v>
      </c>
      <c r="B4205" t="s">
        <v>6534</v>
      </c>
      <c r="C4205" t="s">
        <v>7845</v>
      </c>
      <c r="D4205" t="s">
        <v>11482</v>
      </c>
      <c r="E4205">
        <f>emrgcy_cprboard</f>
        <v>0</v>
      </c>
      <c r="F4205" t="b">
        <v>1</v>
      </c>
      <c r="N4205" s="1346"/>
    </row>
    <row r="4206" spans="1:14" x14ac:dyDescent="0.35">
      <c r="A4206" t="s">
        <v>7861</v>
      </c>
      <c r="B4206" t="s">
        <v>6534</v>
      </c>
      <c r="C4206" t="s">
        <v>7861</v>
      </c>
      <c r="D4206" t="s">
        <v>11483</v>
      </c>
      <c r="E4206">
        <f>emrgcy_cprboard_prtnr</f>
        <v>0</v>
      </c>
      <c r="F4206" t="b">
        <v>1</v>
      </c>
      <c r="N4206" s="1346"/>
    </row>
    <row r="4207" spans="1:14" x14ac:dyDescent="0.35">
      <c r="A4207" t="s">
        <v>6607</v>
      </c>
      <c r="B4207" t="s">
        <v>6534</v>
      </c>
      <c r="C4207" t="s">
        <v>6607</v>
      </c>
      <c r="D4207" t="s">
        <v>11484</v>
      </c>
      <c r="E4207">
        <f>emrgcysupp_emrgncyheadlamp</f>
        <v>1</v>
      </c>
      <c r="F4207" t="b">
        <v>1</v>
      </c>
      <c r="N4207" s="1346"/>
    </row>
    <row r="4208" spans="1:14" x14ac:dyDescent="0.35">
      <c r="A4208" t="s">
        <v>7862</v>
      </c>
      <c r="B4208" t="s">
        <v>6534</v>
      </c>
      <c r="C4208" t="s">
        <v>7862</v>
      </c>
      <c r="D4208" t="s">
        <v>11485</v>
      </c>
      <c r="E4208">
        <f>emrgcysupp_emrgncyheadlamp_prtnr</f>
        <v>0</v>
      </c>
      <c r="F4208" t="b">
        <v>1</v>
      </c>
      <c r="N4208" s="1346"/>
    </row>
    <row r="4209" spans="1:14" x14ac:dyDescent="0.35">
      <c r="A4209" t="s">
        <v>6608</v>
      </c>
      <c r="B4209" t="s">
        <v>6534</v>
      </c>
      <c r="C4209" t="s">
        <v>6608</v>
      </c>
      <c r="D4209" t="s">
        <v>11486</v>
      </c>
      <c r="E4209">
        <f>emrgcysupp_emrgncywhistle</f>
        <v>0</v>
      </c>
      <c r="F4209" t="b">
        <v>1</v>
      </c>
      <c r="N4209" s="1346"/>
    </row>
    <row r="4210" spans="1:14" x14ac:dyDescent="0.35">
      <c r="A4210" t="s">
        <v>7863</v>
      </c>
      <c r="B4210" t="s">
        <v>6534</v>
      </c>
      <c r="C4210" t="s">
        <v>7863</v>
      </c>
      <c r="D4210" t="s">
        <v>11487</v>
      </c>
      <c r="E4210">
        <f>emrgcysupp_emrgncywhistle_prtnr</f>
        <v>0</v>
      </c>
      <c r="F4210" t="b">
        <v>1</v>
      </c>
      <c r="N4210" s="1346"/>
    </row>
    <row r="4211" spans="1:14" x14ac:dyDescent="0.35">
      <c r="A4211" t="s">
        <v>6609</v>
      </c>
      <c r="B4211" t="s">
        <v>6534</v>
      </c>
      <c r="C4211" t="s">
        <v>6609</v>
      </c>
      <c r="D4211" t="s">
        <v>11488</v>
      </c>
      <c r="E4211">
        <f>emrgcysupp_fireextinguisher</f>
        <v>0</v>
      </c>
      <c r="F4211" t="b">
        <v>1</v>
      </c>
      <c r="N4211" s="1346"/>
    </row>
    <row r="4212" spans="1:14" x14ac:dyDescent="0.35">
      <c r="A4212" t="s">
        <v>7864</v>
      </c>
      <c r="B4212" t="s">
        <v>6534</v>
      </c>
      <c r="C4212" t="s">
        <v>7864</v>
      </c>
      <c r="D4212" t="s">
        <v>11489</v>
      </c>
      <c r="E4212">
        <f>emrgcysupp_fireextinguisher_prtnr</f>
        <v>0</v>
      </c>
      <c r="F4212" t="b">
        <v>1</v>
      </c>
      <c r="N4212" s="1346"/>
    </row>
    <row r="4213" spans="1:14" x14ac:dyDescent="0.35">
      <c r="A4213" t="s">
        <v>7846</v>
      </c>
      <c r="B4213" t="s">
        <v>6534</v>
      </c>
      <c r="C4213" t="s">
        <v>7846</v>
      </c>
      <c r="D4213" t="s">
        <v>11490</v>
      </c>
      <c r="E4213">
        <f>emrgcy_frstaid_lrnr</f>
        <v>0</v>
      </c>
      <c r="F4213" t="b">
        <v>1</v>
      </c>
      <c r="N4213" s="1346"/>
    </row>
    <row r="4214" spans="1:14" x14ac:dyDescent="0.35">
      <c r="A4214" t="s">
        <v>7865</v>
      </c>
      <c r="B4214" t="s">
        <v>6534</v>
      </c>
      <c r="C4214" t="s">
        <v>7865</v>
      </c>
      <c r="D4214" t="s">
        <v>11491</v>
      </c>
      <c r="E4214">
        <f>emrgcy_frstaid_lrnr_prtnr</f>
        <v>0</v>
      </c>
      <c r="F4214" t="b">
        <v>1</v>
      </c>
      <c r="N4214" s="1346"/>
    </row>
    <row r="4215" spans="1:14" x14ac:dyDescent="0.35">
      <c r="A4215" t="s">
        <v>7847</v>
      </c>
      <c r="B4215" t="s">
        <v>6534</v>
      </c>
      <c r="C4215" t="s">
        <v>7847</v>
      </c>
      <c r="D4215" t="s">
        <v>11492</v>
      </c>
      <c r="E4215">
        <f>emrgcy_frstaid_personnel</f>
        <v>0</v>
      </c>
      <c r="F4215" t="b">
        <v>1</v>
      </c>
      <c r="N4215" s="1346"/>
    </row>
    <row r="4216" spans="1:14" x14ac:dyDescent="0.35">
      <c r="A4216" t="s">
        <v>7866</v>
      </c>
      <c r="B4216" t="s">
        <v>6534</v>
      </c>
      <c r="C4216" t="s">
        <v>7866</v>
      </c>
      <c r="D4216" t="s">
        <v>11493</v>
      </c>
      <c r="E4216">
        <f>emrgcy_frstaid_personnel_prtnr</f>
        <v>0</v>
      </c>
      <c r="F4216" t="b">
        <v>1</v>
      </c>
      <c r="N4216" s="1346"/>
    </row>
    <row r="4217" spans="1:14" x14ac:dyDescent="0.35">
      <c r="A4217" t="s">
        <v>6545</v>
      </c>
      <c r="B4217" t="s">
        <v>6534</v>
      </c>
      <c r="C4217" t="s">
        <v>6545</v>
      </c>
      <c r="D4217" t="s">
        <v>11494</v>
      </c>
      <c r="E4217">
        <f>emrgcysupp_gobaglrnr</f>
        <v>0</v>
      </c>
      <c r="F4217" t="b">
        <v>1</v>
      </c>
      <c r="N4217" s="1346"/>
    </row>
    <row r="4218" spans="1:14" x14ac:dyDescent="0.35">
      <c r="A4218" t="s">
        <v>7867</v>
      </c>
      <c r="B4218" t="s">
        <v>6534</v>
      </c>
      <c r="C4218" t="s">
        <v>7867</v>
      </c>
      <c r="D4218" t="s">
        <v>11495</v>
      </c>
      <c r="E4218">
        <f>emrgcysupp_gobaglrnr_prtnr</f>
        <v>0</v>
      </c>
      <c r="F4218" t="b">
        <v>1</v>
      </c>
      <c r="N4218" s="1346"/>
    </row>
    <row r="4219" spans="1:14" x14ac:dyDescent="0.35">
      <c r="A4219" t="s">
        <v>6546</v>
      </c>
      <c r="B4219" t="s">
        <v>6534</v>
      </c>
      <c r="C4219" t="s">
        <v>6546</v>
      </c>
      <c r="D4219" t="s">
        <v>11496</v>
      </c>
      <c r="E4219">
        <f>emrgcysupp_personnel</f>
        <v>0</v>
      </c>
      <c r="F4219" t="b">
        <v>1</v>
      </c>
      <c r="N4219" s="1346"/>
    </row>
    <row r="4220" spans="1:14" x14ac:dyDescent="0.35">
      <c r="A4220" t="s">
        <v>7868</v>
      </c>
      <c r="B4220" t="s">
        <v>6534</v>
      </c>
      <c r="C4220" t="s">
        <v>7868</v>
      </c>
      <c r="D4220" t="s">
        <v>11497</v>
      </c>
      <c r="E4220">
        <f>emrgcysupp_personnel_prtnr</f>
        <v>0</v>
      </c>
      <c r="F4220" t="b">
        <v>1</v>
      </c>
      <c r="N4220" s="1346"/>
    </row>
    <row r="4221" spans="1:14" x14ac:dyDescent="0.35">
      <c r="A4221" t="s">
        <v>6547</v>
      </c>
      <c r="B4221" t="s">
        <v>6534</v>
      </c>
      <c r="C4221" t="s">
        <v>6547</v>
      </c>
      <c r="D4221" t="s">
        <v>11498</v>
      </c>
      <c r="E4221">
        <f>emrgcysupp_handheldradio</f>
        <v>0</v>
      </c>
      <c r="F4221" t="b">
        <v>1</v>
      </c>
      <c r="N4221" s="1346"/>
    </row>
    <row r="4222" spans="1:14" x14ac:dyDescent="0.35">
      <c r="A4222" t="s">
        <v>7869</v>
      </c>
      <c r="B4222" t="s">
        <v>6534</v>
      </c>
      <c r="C4222" t="s">
        <v>7869</v>
      </c>
      <c r="D4222" t="s">
        <v>11499</v>
      </c>
      <c r="E4222">
        <f>emrgcysupp_handheldradio_prtnr</f>
        <v>0</v>
      </c>
      <c r="F4222" t="b">
        <v>1</v>
      </c>
      <c r="N4222" s="1346"/>
    </row>
    <row r="4223" spans="1:14" x14ac:dyDescent="0.35">
      <c r="A4223" t="s">
        <v>7848</v>
      </c>
      <c r="B4223" t="s">
        <v>6534</v>
      </c>
      <c r="C4223" t="s">
        <v>7848</v>
      </c>
      <c r="D4223" t="s">
        <v>11500</v>
      </c>
      <c r="E4223">
        <f>emrgcy_flashlight_rechargable</f>
        <v>0</v>
      </c>
      <c r="F4223" t="b">
        <v>1</v>
      </c>
      <c r="N4223" s="1346"/>
    </row>
    <row r="4224" spans="1:14" x14ac:dyDescent="0.35">
      <c r="A4224" t="s">
        <v>7870</v>
      </c>
      <c r="B4224" t="s">
        <v>6534</v>
      </c>
      <c r="C4224" t="s">
        <v>7870</v>
      </c>
      <c r="D4224" t="s">
        <v>11501</v>
      </c>
      <c r="E4224">
        <f>emrgcy_flashlight_rechargable_prtnr</f>
        <v>0</v>
      </c>
      <c r="F4224" t="b">
        <v>1</v>
      </c>
      <c r="N4224" s="1346"/>
    </row>
    <row r="4225" spans="1:14" x14ac:dyDescent="0.35">
      <c r="A4225" t="s">
        <v>7849</v>
      </c>
      <c r="B4225" t="s">
        <v>6534</v>
      </c>
      <c r="C4225" t="s">
        <v>7849</v>
      </c>
      <c r="D4225" t="s">
        <v>11502</v>
      </c>
      <c r="E4225">
        <f>emrgcy_searchlight</f>
        <v>0</v>
      </c>
      <c r="F4225" t="b">
        <v>1</v>
      </c>
      <c r="N4225" s="1346"/>
    </row>
    <row r="4226" spans="1:14" x14ac:dyDescent="0.35">
      <c r="A4226" t="s">
        <v>7871</v>
      </c>
      <c r="B4226" t="s">
        <v>6534</v>
      </c>
      <c r="C4226" t="s">
        <v>7871</v>
      </c>
      <c r="D4226" t="s">
        <v>11503</v>
      </c>
      <c r="E4226">
        <f>emrgcy_searchlight_prtnr</f>
        <v>0</v>
      </c>
      <c r="F4226" t="b">
        <v>1</v>
      </c>
      <c r="N4226" s="1346"/>
    </row>
    <row r="4227" spans="1:14" x14ac:dyDescent="0.35">
      <c r="A4227" t="s">
        <v>6548</v>
      </c>
      <c r="B4227" t="s">
        <v>6534</v>
      </c>
      <c r="C4227" t="s">
        <v>6548</v>
      </c>
      <c r="D4227" t="s">
        <v>11504</v>
      </c>
      <c r="E4227">
        <f>emrgcysupp_lifevest</f>
        <v>0</v>
      </c>
      <c r="F4227" t="b">
        <v>1</v>
      </c>
      <c r="N4227" s="1346"/>
    </row>
    <row r="4228" spans="1:14" x14ac:dyDescent="0.35">
      <c r="A4228" t="s">
        <v>7872</v>
      </c>
      <c r="B4228" t="s">
        <v>6534</v>
      </c>
      <c r="C4228" t="s">
        <v>7872</v>
      </c>
      <c r="D4228" t="s">
        <v>11505</v>
      </c>
      <c r="E4228">
        <f>emrgcysupp_lifevest_prtnr</f>
        <v>0</v>
      </c>
      <c r="F4228" t="b">
        <v>1</v>
      </c>
      <c r="N4228" s="1346"/>
    </row>
    <row r="4229" spans="1:14" x14ac:dyDescent="0.35">
      <c r="A4229" t="s">
        <v>7850</v>
      </c>
      <c r="B4229" t="s">
        <v>6534</v>
      </c>
      <c r="C4229" t="s">
        <v>7850</v>
      </c>
      <c r="D4229" t="s">
        <v>11506</v>
      </c>
      <c r="E4229">
        <f>emrgcy_medical_cushion</f>
        <v>0</v>
      </c>
      <c r="F4229" t="b">
        <v>1</v>
      </c>
      <c r="N4229" s="1346"/>
    </row>
    <row r="4230" spans="1:14" x14ac:dyDescent="0.35">
      <c r="A4230" t="s">
        <v>7873</v>
      </c>
      <c r="B4230" t="s">
        <v>6534</v>
      </c>
      <c r="C4230" t="s">
        <v>7873</v>
      </c>
      <c r="D4230" t="s">
        <v>11507</v>
      </c>
      <c r="E4230">
        <f>emrgcy_medical_cushion_prtnr</f>
        <v>0</v>
      </c>
      <c r="F4230" t="b">
        <v>1</v>
      </c>
      <c r="N4230" s="1346"/>
    </row>
    <row r="4231" spans="1:14" x14ac:dyDescent="0.35">
      <c r="A4231" t="s">
        <v>6580</v>
      </c>
      <c r="B4231" t="s">
        <v>6534</v>
      </c>
      <c r="C4231" t="s">
        <v>6580</v>
      </c>
      <c r="D4231" t="s">
        <v>11508</v>
      </c>
      <c r="E4231">
        <f>emrgcysupp_spineboardwsafetybelt</f>
        <v>0</v>
      </c>
      <c r="F4231" t="b">
        <v>1</v>
      </c>
      <c r="N4231" s="1346"/>
    </row>
    <row r="4232" spans="1:14" x14ac:dyDescent="0.35">
      <c r="A4232" t="s">
        <v>7874</v>
      </c>
      <c r="B4232" t="s">
        <v>6534</v>
      </c>
      <c r="C4232" t="s">
        <v>7874</v>
      </c>
      <c r="D4232" t="s">
        <v>11509</v>
      </c>
      <c r="E4232">
        <f>emrgcysupp_spineboardwsafetybelt_prtnr</f>
        <v>0</v>
      </c>
      <c r="F4232" t="b">
        <v>1</v>
      </c>
      <c r="N4232" s="1346"/>
    </row>
    <row r="4233" spans="1:14" x14ac:dyDescent="0.35">
      <c r="A4233" t="s">
        <v>7851</v>
      </c>
      <c r="B4233" t="s">
        <v>6534</v>
      </c>
      <c r="C4233" t="s">
        <v>7851</v>
      </c>
      <c r="D4233" t="s">
        <v>11510</v>
      </c>
      <c r="E4233">
        <f>emrgcy_pasystem</f>
        <v>0</v>
      </c>
      <c r="F4233" t="b">
        <v>1</v>
      </c>
      <c r="N4233" s="1346"/>
    </row>
    <row r="4234" spans="1:14" x14ac:dyDescent="0.35">
      <c r="A4234" t="s">
        <v>7875</v>
      </c>
      <c r="B4234" t="s">
        <v>6534</v>
      </c>
      <c r="C4234" t="s">
        <v>7875</v>
      </c>
      <c r="D4234" t="s">
        <v>11511</v>
      </c>
      <c r="E4234">
        <f>emrgcy_pasystem_prtnr</f>
        <v>0</v>
      </c>
      <c r="F4234" t="b">
        <v>1</v>
      </c>
      <c r="N4234" s="1346"/>
    </row>
    <row r="4235" spans="1:14" x14ac:dyDescent="0.35">
      <c r="A4235" t="s">
        <v>6549</v>
      </c>
      <c r="B4235" t="s">
        <v>6534</v>
      </c>
      <c r="C4235" t="s">
        <v>6549</v>
      </c>
      <c r="D4235" t="s">
        <v>11512</v>
      </c>
      <c r="E4235">
        <f>emrgcysupp_safetycoat</f>
        <v>0</v>
      </c>
      <c r="F4235" t="b">
        <v>1</v>
      </c>
      <c r="N4235" s="1346"/>
    </row>
    <row r="4236" spans="1:14" x14ac:dyDescent="0.35">
      <c r="A4236" t="s">
        <v>7876</v>
      </c>
      <c r="B4236" t="s">
        <v>6534</v>
      </c>
      <c r="C4236" t="s">
        <v>7876</v>
      </c>
      <c r="D4236" t="s">
        <v>11513</v>
      </c>
      <c r="E4236">
        <f>emrgcysupp_safetycoat_prtnr</f>
        <v>0</v>
      </c>
      <c r="F4236" t="b">
        <v>1</v>
      </c>
      <c r="N4236" s="1346"/>
    </row>
    <row r="4237" spans="1:14" x14ac:dyDescent="0.35">
      <c r="A4237" t="s">
        <v>6578</v>
      </c>
      <c r="B4237" t="s">
        <v>6534</v>
      </c>
      <c r="C4237" t="s">
        <v>6578</v>
      </c>
      <c r="D4237" t="s">
        <v>11514</v>
      </c>
      <c r="E4237">
        <f>emrgcysupp_safetyhat</f>
        <v>0</v>
      </c>
      <c r="F4237" t="b">
        <v>1</v>
      </c>
      <c r="N4237" s="1346"/>
    </row>
    <row r="4238" spans="1:14" x14ac:dyDescent="0.35">
      <c r="A4238" t="s">
        <v>7877</v>
      </c>
      <c r="B4238" t="s">
        <v>6534</v>
      </c>
      <c r="C4238" t="s">
        <v>7877</v>
      </c>
      <c r="D4238" t="s">
        <v>11515</v>
      </c>
      <c r="E4238">
        <f>emrgcysupp_safetyhat_prtnr</f>
        <v>0</v>
      </c>
      <c r="F4238" t="b">
        <v>1</v>
      </c>
      <c r="N4238" s="1346"/>
    </row>
    <row r="4239" spans="1:14" x14ac:dyDescent="0.35">
      <c r="A4239" t="s">
        <v>6579</v>
      </c>
      <c r="B4239" t="s">
        <v>6534</v>
      </c>
      <c r="C4239" t="s">
        <v>6579</v>
      </c>
      <c r="D4239" t="s">
        <v>11516</v>
      </c>
      <c r="E4239">
        <f>emrgcysupp_safetyshoes</f>
        <v>0</v>
      </c>
      <c r="F4239" t="b">
        <v>1</v>
      </c>
      <c r="N4239" s="1346"/>
    </row>
    <row r="4240" spans="1:14" x14ac:dyDescent="0.35">
      <c r="A4240" t="s">
        <v>7878</v>
      </c>
      <c r="B4240" t="s">
        <v>6534</v>
      </c>
      <c r="C4240" t="s">
        <v>7878</v>
      </c>
      <c r="D4240" t="s">
        <v>11517</v>
      </c>
      <c r="E4240">
        <f>emrgcysupp_safetyshoes_prtnr</f>
        <v>0</v>
      </c>
      <c r="F4240" t="b">
        <v>1</v>
      </c>
      <c r="N4240" s="1346"/>
    </row>
    <row r="4241" spans="1:14" x14ac:dyDescent="0.35">
      <c r="A4241" t="s">
        <v>6581</v>
      </c>
      <c r="B4241" t="s">
        <v>6534</v>
      </c>
      <c r="C4241" t="s">
        <v>6581</v>
      </c>
      <c r="D4241" t="s">
        <v>11518</v>
      </c>
      <c r="E4241">
        <f>emrgcysupp_splinter</f>
        <v>6</v>
      </c>
      <c r="F4241" t="b">
        <v>1</v>
      </c>
      <c r="N4241" s="1346"/>
    </row>
    <row r="4242" spans="1:14" x14ac:dyDescent="0.35">
      <c r="A4242" t="s">
        <v>7879</v>
      </c>
      <c r="B4242" t="s">
        <v>6534</v>
      </c>
      <c r="C4242" t="s">
        <v>7879</v>
      </c>
      <c r="D4242" t="s">
        <v>11519</v>
      </c>
      <c r="E4242">
        <f>emrgcysupp_splinter_prtnr</f>
        <v>0</v>
      </c>
      <c r="F4242" t="b">
        <v>1</v>
      </c>
      <c r="N4242" s="1346"/>
    </row>
    <row r="4243" spans="1:14" x14ac:dyDescent="0.35">
      <c r="A4243" t="s">
        <v>7852</v>
      </c>
      <c r="B4243" t="s">
        <v>6534</v>
      </c>
      <c r="C4243" t="s">
        <v>7852</v>
      </c>
      <c r="D4243" t="s">
        <v>11520</v>
      </c>
      <c r="E4243">
        <f>emrgcy_steelboxes</f>
        <v>0</v>
      </c>
      <c r="F4243" t="b">
        <v>1</v>
      </c>
      <c r="N4243" s="1346"/>
    </row>
    <row r="4244" spans="1:14" x14ac:dyDescent="0.35">
      <c r="A4244" t="s">
        <v>7880</v>
      </c>
      <c r="B4244" t="s">
        <v>6534</v>
      </c>
      <c r="C4244" t="s">
        <v>7880</v>
      </c>
      <c r="D4244" t="s">
        <v>11521</v>
      </c>
      <c r="E4244">
        <f>emrgcy_steelboxes_prtnr</f>
        <v>0</v>
      </c>
      <c r="F4244" t="b">
        <v>1</v>
      </c>
      <c r="N4244" s="1346"/>
    </row>
    <row r="4245" spans="1:14" x14ac:dyDescent="0.35">
      <c r="A4245" t="s">
        <v>7853</v>
      </c>
      <c r="B4245" t="s">
        <v>6534</v>
      </c>
      <c r="C4245" t="s">
        <v>7853</v>
      </c>
      <c r="D4245" t="s">
        <v>11522</v>
      </c>
      <c r="E4245">
        <f>emrgcy_steelcabinets</f>
        <v>7</v>
      </c>
      <c r="F4245" t="b">
        <v>1</v>
      </c>
      <c r="N4245" s="1346"/>
    </row>
    <row r="4246" spans="1:14" x14ac:dyDescent="0.35">
      <c r="A4246" t="s">
        <v>7881</v>
      </c>
      <c r="B4246" t="s">
        <v>6534</v>
      </c>
      <c r="C4246" t="s">
        <v>7881</v>
      </c>
      <c r="D4246" t="s">
        <v>11523</v>
      </c>
      <c r="E4246">
        <f>emrgcy_steelcabinets_prtnr</f>
        <v>0</v>
      </c>
      <c r="F4246" t="b">
        <v>1</v>
      </c>
      <c r="N4246" s="1346"/>
    </row>
    <row r="4247" spans="1:14" x14ac:dyDescent="0.35">
      <c r="A4247" t="s">
        <v>7854</v>
      </c>
      <c r="B4247" t="s">
        <v>6534</v>
      </c>
      <c r="C4247" t="s">
        <v>7854</v>
      </c>
      <c r="D4247" t="s">
        <v>11524</v>
      </c>
      <c r="E4247">
        <f>emrgcy_trafficvest</f>
        <v>0</v>
      </c>
      <c r="F4247" t="b">
        <v>1</v>
      </c>
      <c r="N4247" s="1346"/>
    </row>
    <row r="4248" spans="1:14" x14ac:dyDescent="0.35">
      <c r="A4248" t="s">
        <v>7882</v>
      </c>
      <c r="B4248" t="s">
        <v>6534</v>
      </c>
      <c r="C4248" t="s">
        <v>7882</v>
      </c>
      <c r="D4248" t="s">
        <v>11525</v>
      </c>
      <c r="E4248">
        <f>emrgcy_trafficvest_prtnr</f>
        <v>0</v>
      </c>
      <c r="F4248" t="b">
        <v>1</v>
      </c>
      <c r="N4248" s="1346"/>
    </row>
    <row r="4249" spans="1:14" x14ac:dyDescent="0.35">
      <c r="A4249" t="s">
        <v>7855</v>
      </c>
      <c r="B4249" t="s">
        <v>6534</v>
      </c>
      <c r="C4249" t="s">
        <v>7855</v>
      </c>
      <c r="D4249" t="s">
        <v>11526</v>
      </c>
      <c r="E4249">
        <f>emrgcy_transportbag</f>
        <v>0</v>
      </c>
      <c r="F4249" t="b">
        <v>1</v>
      </c>
      <c r="N4249" s="1346"/>
    </row>
    <row r="4250" spans="1:14" x14ac:dyDescent="0.35">
      <c r="A4250" t="s">
        <v>7883</v>
      </c>
      <c r="B4250" t="s">
        <v>6534</v>
      </c>
      <c r="C4250" t="s">
        <v>7883</v>
      </c>
      <c r="D4250" t="s">
        <v>11527</v>
      </c>
      <c r="E4250">
        <f>emrgcy_transportbag_prtnr</f>
        <v>0</v>
      </c>
      <c r="F4250" t="b">
        <v>1</v>
      </c>
      <c r="N4250" s="1346"/>
    </row>
    <row r="4251" spans="1:14" x14ac:dyDescent="0.35">
      <c r="A4251" t="s">
        <v>7856</v>
      </c>
      <c r="B4251" t="s">
        <v>6534</v>
      </c>
      <c r="C4251" t="s">
        <v>7856</v>
      </c>
      <c r="D4251" t="s">
        <v>11528</v>
      </c>
      <c r="E4251">
        <f>emrgcy_traumabag</f>
        <v>0</v>
      </c>
      <c r="F4251" t="b">
        <v>1</v>
      </c>
      <c r="N4251" s="1346"/>
    </row>
    <row r="4252" spans="1:14" x14ac:dyDescent="0.35">
      <c r="A4252" t="s">
        <v>7884</v>
      </c>
      <c r="B4252" t="s">
        <v>6534</v>
      </c>
      <c r="C4252" t="s">
        <v>7884</v>
      </c>
      <c r="D4252" t="s">
        <v>11529</v>
      </c>
      <c r="E4252">
        <f>emrgcy_traumabag_prtnr</f>
        <v>0</v>
      </c>
      <c r="F4252" t="b">
        <v>1</v>
      </c>
      <c r="N4252" s="1346"/>
    </row>
    <row r="4253" spans="1:14" x14ac:dyDescent="0.35">
      <c r="A4253" t="s">
        <v>6582</v>
      </c>
      <c r="B4253" t="s">
        <v>6534</v>
      </c>
      <c r="C4253" t="s">
        <v>6582</v>
      </c>
      <c r="D4253" t="s">
        <v>11530</v>
      </c>
      <c r="E4253">
        <f>emrgcysupp_uniheadimmobilizer</f>
        <v>0</v>
      </c>
      <c r="F4253" t="b">
        <v>1</v>
      </c>
      <c r="N4253" s="1346"/>
    </row>
    <row r="4254" spans="1:14" x14ac:dyDescent="0.35">
      <c r="A4254" t="s">
        <v>7885</v>
      </c>
      <c r="B4254" t="s">
        <v>6534</v>
      </c>
      <c r="C4254" t="s">
        <v>7885</v>
      </c>
      <c r="D4254" t="s">
        <v>11531</v>
      </c>
      <c r="E4254">
        <f>emrgcysupp_uniheadimmobilizer_prtnr</f>
        <v>0</v>
      </c>
      <c r="F4254" t="b">
        <v>1</v>
      </c>
      <c r="N4254" s="1346"/>
    </row>
    <row r="4255" spans="1:14" x14ac:dyDescent="0.35">
      <c r="A4255" t="s">
        <v>7886</v>
      </c>
      <c r="B4255" t="s">
        <v>6534</v>
      </c>
      <c r="C4255" t="s">
        <v>7886</v>
      </c>
      <c r="D4255" t="s">
        <v>11532</v>
      </c>
      <c r="E4255">
        <f>rescue_bicycle</f>
        <v>1</v>
      </c>
      <c r="F4255" t="b">
        <v>1</v>
      </c>
      <c r="N4255" s="1346"/>
    </row>
    <row r="4256" spans="1:14" x14ac:dyDescent="0.35">
      <c r="A4256" t="s">
        <v>7893</v>
      </c>
      <c r="B4256" t="s">
        <v>6534</v>
      </c>
      <c r="C4256" t="s">
        <v>7893</v>
      </c>
      <c r="D4256" t="s">
        <v>11533</v>
      </c>
      <c r="E4256">
        <f>rescue_bicycle_prtnr</f>
        <v>0</v>
      </c>
      <c r="F4256" t="b">
        <v>1</v>
      </c>
      <c r="N4256" s="1346"/>
    </row>
    <row r="4257" spans="1:14" x14ac:dyDescent="0.35">
      <c r="A4257" t="s">
        <v>7887</v>
      </c>
      <c r="B4257" t="s">
        <v>6534</v>
      </c>
      <c r="C4257" t="s">
        <v>7887</v>
      </c>
      <c r="D4257" t="s">
        <v>11534</v>
      </c>
      <c r="E4257">
        <f>rescue_firecabinet</f>
        <v>0</v>
      </c>
      <c r="F4257" t="b">
        <v>1</v>
      </c>
      <c r="N4257" s="1346"/>
    </row>
    <row r="4258" spans="1:14" x14ac:dyDescent="0.35">
      <c r="A4258" t="s">
        <v>7894</v>
      </c>
      <c r="B4258" t="s">
        <v>6534</v>
      </c>
      <c r="C4258" t="s">
        <v>7894</v>
      </c>
      <c r="D4258" t="s">
        <v>11535</v>
      </c>
      <c r="E4258">
        <f>rescue_firecabinet_prtnr</f>
        <v>0</v>
      </c>
      <c r="F4258" t="b">
        <v>1</v>
      </c>
      <c r="N4258" s="1346"/>
    </row>
    <row r="4259" spans="1:14" x14ac:dyDescent="0.35">
      <c r="A4259" t="s">
        <v>7888</v>
      </c>
      <c r="B4259" t="s">
        <v>6534</v>
      </c>
      <c r="C4259" t="s">
        <v>7888</v>
      </c>
      <c r="D4259" t="s">
        <v>11536</v>
      </c>
      <c r="E4259">
        <f>rescue_fireextinguisher</f>
        <v>0</v>
      </c>
      <c r="F4259" t="b">
        <v>1</v>
      </c>
      <c r="N4259" s="1346"/>
    </row>
    <row r="4260" spans="1:14" x14ac:dyDescent="0.35">
      <c r="A4260" t="s">
        <v>7895</v>
      </c>
      <c r="B4260" t="s">
        <v>6534</v>
      </c>
      <c r="C4260" t="s">
        <v>7895</v>
      </c>
      <c r="D4260" t="s">
        <v>11537</v>
      </c>
      <c r="E4260">
        <f>rescue_fireextinguisher_prtnr</f>
        <v>0</v>
      </c>
      <c r="F4260" t="b">
        <v>1</v>
      </c>
      <c r="N4260" s="1346"/>
    </row>
    <row r="4261" spans="1:14" x14ac:dyDescent="0.35">
      <c r="A4261" t="s">
        <v>7889</v>
      </c>
      <c r="B4261" t="s">
        <v>6534</v>
      </c>
      <c r="C4261" t="s">
        <v>7889</v>
      </c>
      <c r="D4261" t="s">
        <v>11538</v>
      </c>
      <c r="E4261">
        <f>rescue_firehose</f>
        <v>0</v>
      </c>
      <c r="F4261" t="b">
        <v>1</v>
      </c>
      <c r="N4261" s="1346"/>
    </row>
    <row r="4262" spans="1:14" x14ac:dyDescent="0.35">
      <c r="A4262" t="s">
        <v>7896</v>
      </c>
      <c r="B4262" t="s">
        <v>6534</v>
      </c>
      <c r="C4262" t="s">
        <v>7896</v>
      </c>
      <c r="D4262" t="s">
        <v>11539</v>
      </c>
      <c r="E4262">
        <f>rescue_firehose_prtnr</f>
        <v>0</v>
      </c>
      <c r="F4262" t="b">
        <v>1</v>
      </c>
      <c r="N4262" s="1346"/>
    </row>
    <row r="4263" spans="1:14" x14ac:dyDescent="0.35">
      <c r="A4263" t="s">
        <v>7890</v>
      </c>
      <c r="B4263" t="s">
        <v>6534</v>
      </c>
      <c r="C4263" t="s">
        <v>7890</v>
      </c>
      <c r="D4263" t="s">
        <v>11540</v>
      </c>
      <c r="E4263">
        <f>rescue_lifevest</f>
        <v>0</v>
      </c>
      <c r="F4263" t="b">
        <v>1</v>
      </c>
      <c r="N4263" s="1346"/>
    </row>
    <row r="4264" spans="1:14" x14ac:dyDescent="0.35">
      <c r="A4264" t="s">
        <v>7897</v>
      </c>
      <c r="B4264" t="s">
        <v>6534</v>
      </c>
      <c r="C4264" t="s">
        <v>7897</v>
      </c>
      <c r="D4264" t="s">
        <v>11541</v>
      </c>
      <c r="E4264">
        <f>rescue_lifevest_prtnr</f>
        <v>0</v>
      </c>
      <c r="F4264" t="b">
        <v>1</v>
      </c>
      <c r="N4264" s="1346"/>
    </row>
    <row r="4265" spans="1:14" x14ac:dyDescent="0.35">
      <c r="A4265" t="s">
        <v>7891</v>
      </c>
      <c r="B4265" t="s">
        <v>6534</v>
      </c>
      <c r="C4265" t="s">
        <v>7891</v>
      </c>
      <c r="D4265" t="s">
        <v>11542</v>
      </c>
      <c r="E4265">
        <f>rescue_motorbanca</f>
        <v>0</v>
      </c>
      <c r="F4265" t="b">
        <v>1</v>
      </c>
      <c r="N4265" s="1346"/>
    </row>
    <row r="4266" spans="1:14" x14ac:dyDescent="0.35">
      <c r="A4266" t="s">
        <v>7898</v>
      </c>
      <c r="B4266" t="s">
        <v>6534</v>
      </c>
      <c r="C4266" t="s">
        <v>7898</v>
      </c>
      <c r="D4266" t="s">
        <v>11543</v>
      </c>
      <c r="E4266">
        <f>rescue_motorbanca_prtnr</f>
        <v>0</v>
      </c>
      <c r="F4266" t="b">
        <v>1</v>
      </c>
      <c r="N4266" s="1346"/>
    </row>
    <row r="4267" spans="1:14" x14ac:dyDescent="0.35">
      <c r="A4267" t="s">
        <v>7892</v>
      </c>
      <c r="B4267" t="s">
        <v>6534</v>
      </c>
      <c r="C4267" t="s">
        <v>7892</v>
      </c>
      <c r="D4267" t="s">
        <v>11544</v>
      </c>
      <c r="E4267">
        <f>rescue_sprayer</f>
        <v>0</v>
      </c>
      <c r="F4267" t="b">
        <v>1</v>
      </c>
      <c r="N4267" s="1346"/>
    </row>
    <row r="4268" spans="1:14" x14ac:dyDescent="0.35">
      <c r="A4268" t="s">
        <v>7899</v>
      </c>
      <c r="B4268" t="s">
        <v>6534</v>
      </c>
      <c r="C4268" t="s">
        <v>7899</v>
      </c>
      <c r="D4268" t="s">
        <v>11545</v>
      </c>
      <c r="E4268">
        <f>rescue_sprayer_prtnr</f>
        <v>0</v>
      </c>
      <c r="F4268" t="b">
        <v>1</v>
      </c>
      <c r="N4268" s="1346"/>
    </row>
    <row r="4269" spans="1:14" x14ac:dyDescent="0.35">
      <c r="A4269" t="s">
        <v>6536</v>
      </c>
      <c r="B4269" t="s">
        <v>6534</v>
      </c>
      <c r="C4269" t="s">
        <v>6536</v>
      </c>
      <c r="D4269" t="s">
        <v>11546</v>
      </c>
      <c r="E4269">
        <f>sch_earthquakedrill_lrnrs_jan</f>
        <v>0</v>
      </c>
      <c r="F4269" t="b">
        <v>1</v>
      </c>
      <c r="N4269" s="1346"/>
    </row>
    <row r="4270" spans="1:14" x14ac:dyDescent="0.35">
      <c r="A4270" t="s">
        <v>6550</v>
      </c>
      <c r="B4270" t="s">
        <v>6534</v>
      </c>
      <c r="C4270" t="s">
        <v>6550</v>
      </c>
      <c r="D4270" t="s">
        <v>11547</v>
      </c>
      <c r="E4270">
        <f>sch_earthquakedrill_lrnrs_feb</f>
        <v>0</v>
      </c>
      <c r="F4270" t="b">
        <v>1</v>
      </c>
      <c r="N4270" s="1346"/>
    </row>
    <row r="4271" spans="1:14" x14ac:dyDescent="0.35">
      <c r="A4271" t="s">
        <v>6556</v>
      </c>
      <c r="B4271" t="s">
        <v>6534</v>
      </c>
      <c r="C4271" t="s">
        <v>6556</v>
      </c>
      <c r="D4271" t="s">
        <v>11548</v>
      </c>
      <c r="E4271">
        <f>sch_earthquakedrill_lrnrs_mar</f>
        <v>0</v>
      </c>
      <c r="F4271" t="b">
        <v>1</v>
      </c>
      <c r="N4271" s="1346"/>
    </row>
    <row r="4272" spans="1:14" x14ac:dyDescent="0.35">
      <c r="A4272" t="s">
        <v>6562</v>
      </c>
      <c r="B4272" t="s">
        <v>6534</v>
      </c>
      <c r="C4272" t="s">
        <v>6562</v>
      </c>
      <c r="D4272" t="s">
        <v>11549</v>
      </c>
      <c r="E4272">
        <f>sch_earthquakedrill_lrnrs_apr</f>
        <v>0</v>
      </c>
      <c r="F4272" t="b">
        <v>1</v>
      </c>
      <c r="N4272" s="1346"/>
    </row>
    <row r="4273" spans="1:14" x14ac:dyDescent="0.35">
      <c r="A4273" t="s">
        <v>6569</v>
      </c>
      <c r="B4273" t="s">
        <v>6534</v>
      </c>
      <c r="C4273" t="s">
        <v>6569</v>
      </c>
      <c r="D4273" t="s">
        <v>11550</v>
      </c>
      <c r="E4273">
        <f>sch_earthquakedrill_lrnrs_may</f>
        <v>0</v>
      </c>
      <c r="F4273" t="b">
        <v>1</v>
      </c>
      <c r="N4273" s="1346"/>
    </row>
    <row r="4274" spans="1:14" x14ac:dyDescent="0.35">
      <c r="A4274" t="s">
        <v>6610</v>
      </c>
      <c r="B4274" t="s">
        <v>6534</v>
      </c>
      <c r="C4274" t="s">
        <v>6610</v>
      </c>
      <c r="D4274" t="s">
        <v>11551</v>
      </c>
      <c r="E4274">
        <f>sch_earthquakedrill_lrnrs_jun</f>
        <v>1</v>
      </c>
      <c r="F4274" t="b">
        <v>1</v>
      </c>
      <c r="N4274" s="1346"/>
    </row>
    <row r="4275" spans="1:14" x14ac:dyDescent="0.35">
      <c r="A4275" t="s">
        <v>6616</v>
      </c>
      <c r="B4275" t="s">
        <v>6534</v>
      </c>
      <c r="C4275" t="s">
        <v>6616</v>
      </c>
      <c r="D4275" t="s">
        <v>11552</v>
      </c>
      <c r="E4275">
        <f>sch_earthquakedrill_lrnrs_jul</f>
        <v>0</v>
      </c>
      <c r="F4275" t="b">
        <v>1</v>
      </c>
      <c r="N4275" s="1346"/>
    </row>
    <row r="4276" spans="1:14" x14ac:dyDescent="0.35">
      <c r="A4276" t="s">
        <v>6622</v>
      </c>
      <c r="B4276" t="s">
        <v>6534</v>
      </c>
      <c r="C4276" t="s">
        <v>6622</v>
      </c>
      <c r="D4276" t="s">
        <v>11553</v>
      </c>
      <c r="E4276">
        <f>sch_earthquakedrill_lrnrs_aug</f>
        <v>0</v>
      </c>
      <c r="F4276" t="b">
        <v>1</v>
      </c>
      <c r="N4276" s="1346"/>
    </row>
    <row r="4277" spans="1:14" x14ac:dyDescent="0.35">
      <c r="A4277" t="s">
        <v>6632</v>
      </c>
      <c r="B4277" t="s">
        <v>6534</v>
      </c>
      <c r="C4277" t="s">
        <v>6632</v>
      </c>
      <c r="D4277" t="s">
        <v>11554</v>
      </c>
      <c r="E4277">
        <f>sch_earthquakedrill_lrnrs_sept</f>
        <v>0</v>
      </c>
      <c r="F4277" t="b">
        <v>1</v>
      </c>
      <c r="N4277" s="1346"/>
    </row>
    <row r="4278" spans="1:14" x14ac:dyDescent="0.35">
      <c r="A4278" t="s">
        <v>6642</v>
      </c>
      <c r="B4278" t="s">
        <v>6534</v>
      </c>
      <c r="C4278" t="s">
        <v>6642</v>
      </c>
      <c r="D4278" t="s">
        <v>11555</v>
      </c>
      <c r="E4278">
        <f>sch_earthquakedrill_lrnrs_oct</f>
        <v>0</v>
      </c>
      <c r="F4278" t="b">
        <v>1</v>
      </c>
      <c r="N4278" s="1346"/>
    </row>
    <row r="4279" spans="1:14" x14ac:dyDescent="0.35">
      <c r="A4279" t="s">
        <v>6648</v>
      </c>
      <c r="B4279" t="s">
        <v>6534</v>
      </c>
      <c r="C4279" t="s">
        <v>6648</v>
      </c>
      <c r="D4279" t="s">
        <v>11556</v>
      </c>
      <c r="E4279">
        <f>sch_earthquakedrill_lrnrs_nov</f>
        <v>0</v>
      </c>
      <c r="F4279" t="b">
        <v>1</v>
      </c>
      <c r="N4279" s="1346"/>
    </row>
    <row r="4280" spans="1:14" x14ac:dyDescent="0.35">
      <c r="A4280" t="s">
        <v>6654</v>
      </c>
      <c r="B4280" t="s">
        <v>6534</v>
      </c>
      <c r="C4280" t="s">
        <v>6654</v>
      </c>
      <c r="D4280" t="s">
        <v>11557</v>
      </c>
      <c r="E4280">
        <f>sch_earthquakedrill_lrnrs_dec</f>
        <v>0</v>
      </c>
      <c r="F4280" t="b">
        <v>1</v>
      </c>
      <c r="N4280" s="1346"/>
    </row>
    <row r="4281" spans="1:14" x14ac:dyDescent="0.35">
      <c r="A4281" t="s">
        <v>6537</v>
      </c>
      <c r="B4281" t="s">
        <v>6534</v>
      </c>
      <c r="C4281" t="s">
        <v>6537</v>
      </c>
      <c r="D4281" t="s">
        <v>11558</v>
      </c>
      <c r="E4281">
        <f>sch_firedrill_lrnrs_jan</f>
        <v>0</v>
      </c>
      <c r="F4281" t="b">
        <v>1</v>
      </c>
      <c r="N4281" s="1346"/>
    </row>
    <row r="4282" spans="1:14" x14ac:dyDescent="0.35">
      <c r="A4282" t="s">
        <v>6551</v>
      </c>
      <c r="B4282" t="s">
        <v>6534</v>
      </c>
      <c r="C4282" t="s">
        <v>6551</v>
      </c>
      <c r="D4282" t="s">
        <v>11559</v>
      </c>
      <c r="E4282">
        <f>sch_firedrill_lrnrs_feb</f>
        <v>0</v>
      </c>
      <c r="F4282" t="b">
        <v>1</v>
      </c>
      <c r="N4282" s="1346"/>
    </row>
    <row r="4283" spans="1:14" x14ac:dyDescent="0.35">
      <c r="A4283" t="s">
        <v>6557</v>
      </c>
      <c r="B4283" t="s">
        <v>6534</v>
      </c>
      <c r="C4283" t="s">
        <v>6557</v>
      </c>
      <c r="D4283" t="s">
        <v>11560</v>
      </c>
      <c r="E4283">
        <f>sch_firedrill_lrnrs_mar</f>
        <v>0</v>
      </c>
      <c r="F4283" t="b">
        <v>1</v>
      </c>
      <c r="N4283" s="1346"/>
    </row>
    <row r="4284" spans="1:14" x14ac:dyDescent="0.35">
      <c r="A4284" t="s">
        <v>6563</v>
      </c>
      <c r="B4284" t="s">
        <v>6534</v>
      </c>
      <c r="C4284" t="s">
        <v>6563</v>
      </c>
      <c r="D4284" t="s">
        <v>11561</v>
      </c>
      <c r="E4284">
        <f>sch_firedrill_lrnrs_apr</f>
        <v>0</v>
      </c>
      <c r="F4284" t="b">
        <v>1</v>
      </c>
      <c r="N4284" s="1346"/>
    </row>
    <row r="4285" spans="1:14" x14ac:dyDescent="0.35">
      <c r="A4285" t="s">
        <v>6570</v>
      </c>
      <c r="B4285" t="s">
        <v>6534</v>
      </c>
      <c r="C4285" t="s">
        <v>6570</v>
      </c>
      <c r="D4285" t="s">
        <v>11562</v>
      </c>
      <c r="E4285">
        <f>sch_firedrill_lrnrs_may</f>
        <v>0</v>
      </c>
      <c r="F4285" t="b">
        <v>1</v>
      </c>
      <c r="N4285" s="1346"/>
    </row>
    <row r="4286" spans="1:14" x14ac:dyDescent="0.35">
      <c r="A4286" t="s">
        <v>6611</v>
      </c>
      <c r="B4286" t="s">
        <v>6534</v>
      </c>
      <c r="C4286" t="s">
        <v>6611</v>
      </c>
      <c r="D4286" t="s">
        <v>11563</v>
      </c>
      <c r="E4286">
        <f>sch_firedrill_lrnrs_jun</f>
        <v>1</v>
      </c>
      <c r="F4286" t="b">
        <v>1</v>
      </c>
      <c r="N4286" s="1346"/>
    </row>
    <row r="4287" spans="1:14" x14ac:dyDescent="0.35">
      <c r="A4287" t="s">
        <v>6617</v>
      </c>
      <c r="B4287" t="s">
        <v>6534</v>
      </c>
      <c r="C4287" t="s">
        <v>6617</v>
      </c>
      <c r="D4287" t="s">
        <v>11564</v>
      </c>
      <c r="E4287">
        <f>sch_firedrill_lrnrs_jul</f>
        <v>0</v>
      </c>
      <c r="F4287" t="b">
        <v>1</v>
      </c>
      <c r="N4287" s="1346"/>
    </row>
    <row r="4288" spans="1:14" x14ac:dyDescent="0.35">
      <c r="A4288" t="s">
        <v>6623</v>
      </c>
      <c r="B4288" t="s">
        <v>6534</v>
      </c>
      <c r="C4288" t="s">
        <v>6623</v>
      </c>
      <c r="D4288" t="s">
        <v>11565</v>
      </c>
      <c r="E4288">
        <f>sch_firedrill_lrnrs_aug</f>
        <v>0</v>
      </c>
      <c r="F4288" t="b">
        <v>1</v>
      </c>
      <c r="N4288" s="1346"/>
    </row>
    <row r="4289" spans="1:14" x14ac:dyDescent="0.35">
      <c r="A4289" t="s">
        <v>6633</v>
      </c>
      <c r="B4289" t="s">
        <v>6534</v>
      </c>
      <c r="C4289" t="s">
        <v>6633</v>
      </c>
      <c r="D4289" t="s">
        <v>11566</v>
      </c>
      <c r="E4289">
        <f>sch_firedrill_lrnrs_sept</f>
        <v>0</v>
      </c>
      <c r="F4289" t="b">
        <v>1</v>
      </c>
      <c r="N4289" s="1346"/>
    </row>
    <row r="4290" spans="1:14" x14ac:dyDescent="0.35">
      <c r="A4290" t="s">
        <v>6643</v>
      </c>
      <c r="B4290" t="s">
        <v>6534</v>
      </c>
      <c r="C4290" t="s">
        <v>6643</v>
      </c>
      <c r="D4290" t="s">
        <v>11567</v>
      </c>
      <c r="E4290">
        <f>sch_firedrill_lrnrs_oct</f>
        <v>0</v>
      </c>
      <c r="F4290" t="b">
        <v>1</v>
      </c>
      <c r="N4290" s="1346"/>
    </row>
    <row r="4291" spans="1:14" x14ac:dyDescent="0.35">
      <c r="A4291" t="s">
        <v>6649</v>
      </c>
      <c r="B4291" t="s">
        <v>6534</v>
      </c>
      <c r="C4291" t="s">
        <v>6649</v>
      </c>
      <c r="D4291" t="s">
        <v>11568</v>
      </c>
      <c r="E4291">
        <f>sch_firedrill_lrnrs_nov</f>
        <v>0</v>
      </c>
      <c r="F4291" t="b">
        <v>1</v>
      </c>
      <c r="N4291" s="1346"/>
    </row>
    <row r="4292" spans="1:14" x14ac:dyDescent="0.35">
      <c r="A4292" t="s">
        <v>6655</v>
      </c>
      <c r="B4292" t="s">
        <v>6534</v>
      </c>
      <c r="C4292" t="s">
        <v>6655</v>
      </c>
      <c r="D4292" t="s">
        <v>11569</v>
      </c>
      <c r="E4292">
        <f>sch_firedrill_lrnrs_dec</f>
        <v>0</v>
      </c>
      <c r="F4292" t="b">
        <v>1</v>
      </c>
      <c r="N4292" s="1346"/>
    </row>
    <row r="4293" spans="1:14" x14ac:dyDescent="0.35">
      <c r="A4293" t="s">
        <v>6538</v>
      </c>
      <c r="B4293" t="s">
        <v>6534</v>
      </c>
      <c r="C4293" t="s">
        <v>6538</v>
      </c>
      <c r="D4293" t="s">
        <v>11570</v>
      </c>
      <c r="E4293">
        <f>sch_floodevacdrill_lrnrs_jan</f>
        <v>0</v>
      </c>
      <c r="F4293" t="b">
        <v>1</v>
      </c>
      <c r="N4293" s="1346"/>
    </row>
    <row r="4294" spans="1:14" x14ac:dyDescent="0.35">
      <c r="A4294" t="s">
        <v>6552</v>
      </c>
      <c r="B4294" t="s">
        <v>6534</v>
      </c>
      <c r="C4294" t="s">
        <v>6552</v>
      </c>
      <c r="D4294" t="s">
        <v>11571</v>
      </c>
      <c r="E4294">
        <f>sch_floodevacdrill_lrnrs_feb</f>
        <v>0</v>
      </c>
      <c r="F4294" t="b">
        <v>1</v>
      </c>
      <c r="N4294" s="1346"/>
    </row>
    <row r="4295" spans="1:14" x14ac:dyDescent="0.35">
      <c r="A4295" t="s">
        <v>6558</v>
      </c>
      <c r="B4295" t="s">
        <v>6534</v>
      </c>
      <c r="C4295" t="s">
        <v>6558</v>
      </c>
      <c r="D4295" t="s">
        <v>11572</v>
      </c>
      <c r="E4295">
        <f>sch_floodevacdrill_lrnrs_mar</f>
        <v>0</v>
      </c>
      <c r="F4295" t="b">
        <v>1</v>
      </c>
      <c r="N4295" s="1346"/>
    </row>
    <row r="4296" spans="1:14" x14ac:dyDescent="0.35">
      <c r="A4296" t="s">
        <v>6564</v>
      </c>
      <c r="B4296" t="s">
        <v>6534</v>
      </c>
      <c r="C4296" t="s">
        <v>6564</v>
      </c>
      <c r="D4296" t="s">
        <v>11573</v>
      </c>
      <c r="E4296">
        <f>sch_floodevacdrill_lrnrs_apr</f>
        <v>0</v>
      </c>
      <c r="F4296" t="b">
        <v>1</v>
      </c>
      <c r="N4296" s="1346"/>
    </row>
    <row r="4297" spans="1:14" x14ac:dyDescent="0.35">
      <c r="A4297" t="s">
        <v>6571</v>
      </c>
      <c r="B4297" t="s">
        <v>6534</v>
      </c>
      <c r="C4297" t="s">
        <v>6571</v>
      </c>
      <c r="D4297" t="s">
        <v>11574</v>
      </c>
      <c r="E4297">
        <f>sch_floodevacdrill_lrnrs_may</f>
        <v>0</v>
      </c>
      <c r="F4297" t="b">
        <v>1</v>
      </c>
      <c r="N4297" s="1346"/>
    </row>
    <row r="4298" spans="1:14" x14ac:dyDescent="0.35">
      <c r="A4298" t="s">
        <v>6612</v>
      </c>
      <c r="B4298" t="s">
        <v>6534</v>
      </c>
      <c r="C4298" t="s">
        <v>6612</v>
      </c>
      <c r="D4298" t="s">
        <v>11575</v>
      </c>
      <c r="E4298">
        <f>sch_floodevacdrill_lrnrs_jun</f>
        <v>0</v>
      </c>
      <c r="F4298" t="b">
        <v>1</v>
      </c>
      <c r="N4298" s="1346"/>
    </row>
    <row r="4299" spans="1:14" x14ac:dyDescent="0.35">
      <c r="A4299" t="s">
        <v>6618</v>
      </c>
      <c r="B4299" t="s">
        <v>6534</v>
      </c>
      <c r="C4299" t="s">
        <v>6618</v>
      </c>
      <c r="D4299" t="s">
        <v>11576</v>
      </c>
      <c r="E4299">
        <f>sch_floodevacdrill_lrnrs_jul</f>
        <v>0</v>
      </c>
      <c r="F4299" t="b">
        <v>1</v>
      </c>
      <c r="N4299" s="1346"/>
    </row>
    <row r="4300" spans="1:14" x14ac:dyDescent="0.35">
      <c r="A4300" t="s">
        <v>6624</v>
      </c>
      <c r="B4300" t="s">
        <v>6534</v>
      </c>
      <c r="C4300" t="s">
        <v>6624</v>
      </c>
      <c r="D4300" t="s">
        <v>11577</v>
      </c>
      <c r="E4300">
        <f>sch_floodevacdrill_lrnrs_aug</f>
        <v>0</v>
      </c>
      <c r="F4300" t="b">
        <v>1</v>
      </c>
      <c r="N4300" s="1346"/>
    </row>
    <row r="4301" spans="1:14" x14ac:dyDescent="0.35">
      <c r="A4301" t="s">
        <v>6634</v>
      </c>
      <c r="B4301" t="s">
        <v>6534</v>
      </c>
      <c r="C4301" t="s">
        <v>6634</v>
      </c>
      <c r="D4301" t="s">
        <v>11578</v>
      </c>
      <c r="E4301">
        <f>sch_floodevacdrill_lrnrs_sep</f>
        <v>0</v>
      </c>
      <c r="F4301" t="b">
        <v>1</v>
      </c>
      <c r="N4301" s="1346"/>
    </row>
    <row r="4302" spans="1:14" x14ac:dyDescent="0.35">
      <c r="A4302" t="s">
        <v>6644</v>
      </c>
      <c r="B4302" t="s">
        <v>6534</v>
      </c>
      <c r="C4302" t="s">
        <v>6644</v>
      </c>
      <c r="D4302" t="s">
        <v>11579</v>
      </c>
      <c r="E4302">
        <f>sch_floodevacdrill_lrnrs_oct</f>
        <v>0</v>
      </c>
      <c r="F4302" t="b">
        <v>1</v>
      </c>
      <c r="N4302" s="1346"/>
    </row>
    <row r="4303" spans="1:14" x14ac:dyDescent="0.35">
      <c r="A4303" t="s">
        <v>6650</v>
      </c>
      <c r="B4303" t="s">
        <v>6534</v>
      </c>
      <c r="C4303" t="s">
        <v>6650</v>
      </c>
      <c r="D4303" t="s">
        <v>11580</v>
      </c>
      <c r="E4303">
        <f>sch_floodevacdrill_lrnrs_nov</f>
        <v>0</v>
      </c>
      <c r="F4303" t="b">
        <v>1</v>
      </c>
      <c r="N4303" s="1346"/>
    </row>
    <row r="4304" spans="1:14" x14ac:dyDescent="0.35">
      <c r="A4304" t="s">
        <v>6656</v>
      </c>
      <c r="B4304" t="s">
        <v>6534</v>
      </c>
      <c r="C4304" t="s">
        <v>6656</v>
      </c>
      <c r="D4304" t="s">
        <v>11581</v>
      </c>
      <c r="E4304">
        <f>sch_floodevacdrill_lrnrs_dec</f>
        <v>0</v>
      </c>
      <c r="F4304" t="b">
        <v>1</v>
      </c>
      <c r="N4304" s="1346"/>
    </row>
    <row r="4305" spans="1:14" x14ac:dyDescent="0.35">
      <c r="A4305" t="s">
        <v>6541</v>
      </c>
      <c r="B4305" t="s">
        <v>6534</v>
      </c>
      <c r="C4305" t="s">
        <v>6541</v>
      </c>
      <c r="D4305" t="s">
        <v>11582</v>
      </c>
      <c r="E4305">
        <f>sch_lockdowndrill_jan</f>
        <v>0</v>
      </c>
      <c r="F4305" t="b">
        <v>1</v>
      </c>
      <c r="N4305" s="1346"/>
    </row>
    <row r="4306" spans="1:14" x14ac:dyDescent="0.35">
      <c r="A4306" t="s">
        <v>6555</v>
      </c>
      <c r="B4306" t="s">
        <v>6534</v>
      </c>
      <c r="C4306" t="s">
        <v>6555</v>
      </c>
      <c r="D4306" t="s">
        <v>11583</v>
      </c>
      <c r="E4306">
        <f>sch_lockdowndrill_feb</f>
        <v>0</v>
      </c>
      <c r="F4306" t="b">
        <v>1</v>
      </c>
      <c r="N4306" s="1346"/>
    </row>
    <row r="4307" spans="1:14" x14ac:dyDescent="0.35">
      <c r="A4307" t="s">
        <v>6561</v>
      </c>
      <c r="B4307" t="s">
        <v>6534</v>
      </c>
      <c r="C4307" t="s">
        <v>6561</v>
      </c>
      <c r="D4307" t="s">
        <v>11584</v>
      </c>
      <c r="E4307">
        <f>sch_lockdowndrill_mar</f>
        <v>0</v>
      </c>
      <c r="F4307" t="b">
        <v>1</v>
      </c>
      <c r="N4307" s="1346"/>
    </row>
    <row r="4308" spans="1:14" x14ac:dyDescent="0.35">
      <c r="A4308" t="s">
        <v>6567</v>
      </c>
      <c r="B4308" t="s">
        <v>6534</v>
      </c>
      <c r="C4308" t="s">
        <v>6567</v>
      </c>
      <c r="D4308" t="s">
        <v>11585</v>
      </c>
      <c r="E4308">
        <f>sch_lockdowndrill_apr</f>
        <v>0</v>
      </c>
      <c r="F4308" t="b">
        <v>1</v>
      </c>
      <c r="N4308" s="1346"/>
    </row>
    <row r="4309" spans="1:14" x14ac:dyDescent="0.35">
      <c r="A4309" t="s">
        <v>6574</v>
      </c>
      <c r="B4309" t="s">
        <v>6534</v>
      </c>
      <c r="C4309" t="s">
        <v>6574</v>
      </c>
      <c r="D4309" t="s">
        <v>11586</v>
      </c>
      <c r="E4309">
        <f>sch_lockdowndrill_may</f>
        <v>0</v>
      </c>
      <c r="F4309" t="b">
        <v>1</v>
      </c>
      <c r="N4309" s="1346"/>
    </row>
    <row r="4310" spans="1:14" x14ac:dyDescent="0.35">
      <c r="A4310" t="s">
        <v>6615</v>
      </c>
      <c r="B4310" t="s">
        <v>6534</v>
      </c>
      <c r="C4310" t="s">
        <v>6615</v>
      </c>
      <c r="D4310" t="s">
        <v>11587</v>
      </c>
      <c r="E4310">
        <f>sch_lockdowndrill_jun</f>
        <v>0</v>
      </c>
      <c r="F4310" t="b">
        <v>1</v>
      </c>
      <c r="N4310" s="1346"/>
    </row>
    <row r="4311" spans="1:14" x14ac:dyDescent="0.35">
      <c r="A4311" t="s">
        <v>6621</v>
      </c>
      <c r="B4311" t="s">
        <v>6534</v>
      </c>
      <c r="C4311" t="s">
        <v>6621</v>
      </c>
      <c r="D4311" t="s">
        <v>11588</v>
      </c>
      <c r="E4311">
        <f>sch_lockdowndrill_jul</f>
        <v>0</v>
      </c>
      <c r="F4311" t="b">
        <v>1</v>
      </c>
      <c r="N4311" s="1346"/>
    </row>
    <row r="4312" spans="1:14" x14ac:dyDescent="0.35">
      <c r="A4312" t="s">
        <v>6627</v>
      </c>
      <c r="B4312" t="s">
        <v>6534</v>
      </c>
      <c r="C4312" t="s">
        <v>6627</v>
      </c>
      <c r="D4312" t="s">
        <v>11589</v>
      </c>
      <c r="E4312">
        <f>sch_lockdowndrill_aug</f>
        <v>0</v>
      </c>
      <c r="F4312" t="b">
        <v>1</v>
      </c>
      <c r="N4312" s="1346"/>
    </row>
    <row r="4313" spans="1:14" x14ac:dyDescent="0.35">
      <c r="A4313" t="s">
        <v>6637</v>
      </c>
      <c r="B4313" t="s">
        <v>6534</v>
      </c>
      <c r="C4313" t="s">
        <v>6637</v>
      </c>
      <c r="D4313" t="s">
        <v>11590</v>
      </c>
      <c r="E4313">
        <f>sch_lockdowndrill_sep</f>
        <v>0</v>
      </c>
      <c r="F4313" t="b">
        <v>1</v>
      </c>
      <c r="N4313" s="1346"/>
    </row>
    <row r="4314" spans="1:14" x14ac:dyDescent="0.35">
      <c r="A4314" t="s">
        <v>6647</v>
      </c>
      <c r="B4314" t="s">
        <v>6534</v>
      </c>
      <c r="C4314" t="s">
        <v>6647</v>
      </c>
      <c r="D4314" t="s">
        <v>11591</v>
      </c>
      <c r="E4314">
        <f>sch_lockdowndrill_oct</f>
        <v>0</v>
      </c>
      <c r="F4314" t="b">
        <v>1</v>
      </c>
      <c r="N4314" s="1346"/>
    </row>
    <row r="4315" spans="1:14" x14ac:dyDescent="0.35">
      <c r="A4315" t="s">
        <v>6653</v>
      </c>
      <c r="B4315" t="s">
        <v>6534</v>
      </c>
      <c r="C4315" t="s">
        <v>6653</v>
      </c>
      <c r="D4315" t="s">
        <v>11592</v>
      </c>
      <c r="E4315">
        <f>sch_lockdowndrill_nov</f>
        <v>0</v>
      </c>
      <c r="F4315" t="b">
        <v>1</v>
      </c>
      <c r="N4315" s="1346"/>
    </row>
    <row r="4316" spans="1:14" x14ac:dyDescent="0.35">
      <c r="A4316" t="s">
        <v>6659</v>
      </c>
      <c r="B4316" t="s">
        <v>6534</v>
      </c>
      <c r="C4316" t="s">
        <v>6659</v>
      </c>
      <c r="D4316" t="s">
        <v>11593</v>
      </c>
      <c r="E4316">
        <f>sch_lockdowndrill_dec</f>
        <v>0</v>
      </c>
      <c r="F4316" t="b">
        <v>1</v>
      </c>
      <c r="N4316" s="1346"/>
    </row>
    <row r="4317" spans="1:14" x14ac:dyDescent="0.35">
      <c r="A4317" t="s">
        <v>6540</v>
      </c>
      <c r="B4317" t="s">
        <v>6534</v>
      </c>
      <c r="C4317" t="s">
        <v>6540</v>
      </c>
      <c r="D4317" t="s">
        <v>11594</v>
      </c>
      <c r="E4317">
        <f>sch_stormsurgedrill_jan</f>
        <v>0</v>
      </c>
      <c r="F4317" t="b">
        <v>1</v>
      </c>
      <c r="N4317" s="1346"/>
    </row>
    <row r="4318" spans="1:14" x14ac:dyDescent="0.35">
      <c r="A4318" t="s">
        <v>6554</v>
      </c>
      <c r="B4318" t="s">
        <v>6534</v>
      </c>
      <c r="C4318" t="s">
        <v>6554</v>
      </c>
      <c r="D4318" t="s">
        <v>11595</v>
      </c>
      <c r="E4318">
        <f>sch_stormsurgedrill_feb</f>
        <v>0</v>
      </c>
      <c r="F4318" t="b">
        <v>1</v>
      </c>
      <c r="N4318" s="1346"/>
    </row>
    <row r="4319" spans="1:14" x14ac:dyDescent="0.35">
      <c r="A4319" t="s">
        <v>6560</v>
      </c>
      <c r="B4319" t="s">
        <v>6534</v>
      </c>
      <c r="C4319" t="s">
        <v>6560</v>
      </c>
      <c r="D4319" t="s">
        <v>11596</v>
      </c>
      <c r="E4319">
        <f>sch_stormsurgedrill_mar</f>
        <v>0</v>
      </c>
      <c r="F4319" t="b">
        <v>1</v>
      </c>
      <c r="N4319" s="1346"/>
    </row>
    <row r="4320" spans="1:14" x14ac:dyDescent="0.35">
      <c r="A4320" t="s">
        <v>6566</v>
      </c>
      <c r="B4320" t="s">
        <v>6534</v>
      </c>
      <c r="C4320" t="s">
        <v>6566</v>
      </c>
      <c r="D4320" t="s">
        <v>11597</v>
      </c>
      <c r="E4320">
        <f>sch_stormsurgedrill_apr</f>
        <v>0</v>
      </c>
      <c r="F4320" t="b">
        <v>1</v>
      </c>
      <c r="N4320" s="1346"/>
    </row>
    <row r="4321" spans="1:14" x14ac:dyDescent="0.35">
      <c r="A4321" t="s">
        <v>6573</v>
      </c>
      <c r="B4321" t="s">
        <v>6534</v>
      </c>
      <c r="C4321" t="s">
        <v>6573</v>
      </c>
      <c r="D4321" t="s">
        <v>11598</v>
      </c>
      <c r="E4321">
        <f>sch_stormsurgedrill_may</f>
        <v>0</v>
      </c>
      <c r="F4321" t="b">
        <v>1</v>
      </c>
      <c r="N4321" s="1346"/>
    </row>
    <row r="4322" spans="1:14" x14ac:dyDescent="0.35">
      <c r="A4322" t="s">
        <v>6614</v>
      </c>
      <c r="B4322" t="s">
        <v>6534</v>
      </c>
      <c r="C4322" t="s">
        <v>6614</v>
      </c>
      <c r="D4322" t="s">
        <v>11599</v>
      </c>
      <c r="E4322">
        <f>sch_stormsurgedrill_jun</f>
        <v>0</v>
      </c>
      <c r="F4322" t="b">
        <v>1</v>
      </c>
      <c r="N4322" s="1346"/>
    </row>
    <row r="4323" spans="1:14" x14ac:dyDescent="0.35">
      <c r="A4323" t="s">
        <v>6620</v>
      </c>
      <c r="B4323" t="s">
        <v>6534</v>
      </c>
      <c r="C4323" t="s">
        <v>6620</v>
      </c>
      <c r="D4323" t="s">
        <v>11600</v>
      </c>
      <c r="E4323">
        <f>sch_stormsurgedrill_jul</f>
        <v>0</v>
      </c>
      <c r="F4323" t="b">
        <v>1</v>
      </c>
      <c r="N4323" s="1346"/>
    </row>
    <row r="4324" spans="1:14" x14ac:dyDescent="0.35">
      <c r="A4324" t="s">
        <v>6626</v>
      </c>
      <c r="B4324" t="s">
        <v>6534</v>
      </c>
      <c r="C4324" t="s">
        <v>6626</v>
      </c>
      <c r="D4324" t="s">
        <v>11601</v>
      </c>
      <c r="E4324">
        <f>sch_stormsurgedrill_aug</f>
        <v>0</v>
      </c>
      <c r="F4324" t="b">
        <v>1</v>
      </c>
      <c r="N4324" s="1346"/>
    </row>
    <row r="4325" spans="1:14" x14ac:dyDescent="0.35">
      <c r="A4325" t="s">
        <v>6636</v>
      </c>
      <c r="B4325" t="s">
        <v>6534</v>
      </c>
      <c r="C4325" t="s">
        <v>6636</v>
      </c>
      <c r="D4325" t="s">
        <v>11602</v>
      </c>
      <c r="E4325">
        <f>sch_stormsurgedrill_sep</f>
        <v>0</v>
      </c>
      <c r="F4325" t="b">
        <v>1</v>
      </c>
      <c r="N4325" s="1346"/>
    </row>
    <row r="4326" spans="1:14" x14ac:dyDescent="0.35">
      <c r="A4326" t="s">
        <v>6646</v>
      </c>
      <c r="B4326" t="s">
        <v>6534</v>
      </c>
      <c r="C4326" t="s">
        <v>6646</v>
      </c>
      <c r="D4326" t="s">
        <v>11603</v>
      </c>
      <c r="E4326">
        <f>sch_stormsurgedrill_oct</f>
        <v>0</v>
      </c>
      <c r="F4326" t="b">
        <v>1</v>
      </c>
      <c r="N4326" s="1346"/>
    </row>
    <row r="4327" spans="1:14" x14ac:dyDescent="0.35">
      <c r="A4327" t="s">
        <v>6652</v>
      </c>
      <c r="B4327" t="s">
        <v>6534</v>
      </c>
      <c r="C4327" t="s">
        <v>6652</v>
      </c>
      <c r="D4327" t="s">
        <v>11604</v>
      </c>
      <c r="E4327">
        <f>sch_stormsurgedrill_nov</f>
        <v>0</v>
      </c>
      <c r="F4327" t="b">
        <v>1</v>
      </c>
      <c r="N4327" s="1346"/>
    </row>
    <row r="4328" spans="1:14" x14ac:dyDescent="0.35">
      <c r="A4328" t="s">
        <v>6658</v>
      </c>
      <c r="B4328" t="s">
        <v>6534</v>
      </c>
      <c r="C4328" t="s">
        <v>6658</v>
      </c>
      <c r="D4328" t="s">
        <v>11605</v>
      </c>
      <c r="E4328">
        <f>sch_stormsurgedrill_dec</f>
        <v>0</v>
      </c>
      <c r="F4328" t="b">
        <v>1</v>
      </c>
      <c r="N4328" s="1346"/>
    </row>
    <row r="4329" spans="1:14" x14ac:dyDescent="0.35">
      <c r="A4329" t="s">
        <v>6539</v>
      </c>
      <c r="B4329" t="s">
        <v>6534</v>
      </c>
      <c r="C4329" t="s">
        <v>6539</v>
      </c>
      <c r="D4329" t="s">
        <v>11606</v>
      </c>
      <c r="E4329">
        <f>sch_tsunamidrill_lrnrs_jan</f>
        <v>0</v>
      </c>
      <c r="F4329" t="b">
        <v>1</v>
      </c>
      <c r="N4329" s="1346"/>
    </row>
    <row r="4330" spans="1:14" x14ac:dyDescent="0.35">
      <c r="A4330" t="s">
        <v>6553</v>
      </c>
      <c r="B4330" t="s">
        <v>6534</v>
      </c>
      <c r="C4330" t="s">
        <v>6553</v>
      </c>
      <c r="D4330" t="s">
        <v>11607</v>
      </c>
      <c r="E4330">
        <f>sch_tsunamidrill_lrnrs_feb</f>
        <v>0</v>
      </c>
      <c r="F4330" t="b">
        <v>1</v>
      </c>
      <c r="N4330" s="1346"/>
    </row>
    <row r="4331" spans="1:14" x14ac:dyDescent="0.35">
      <c r="A4331" t="s">
        <v>6559</v>
      </c>
      <c r="B4331" t="s">
        <v>6534</v>
      </c>
      <c r="C4331" t="s">
        <v>6559</v>
      </c>
      <c r="D4331" t="s">
        <v>11608</v>
      </c>
      <c r="E4331">
        <f>sch_tsunamidrill_lrnrs_mar</f>
        <v>0</v>
      </c>
      <c r="F4331" t="b">
        <v>1</v>
      </c>
      <c r="N4331" s="1346"/>
    </row>
    <row r="4332" spans="1:14" x14ac:dyDescent="0.35">
      <c r="A4332" t="s">
        <v>6565</v>
      </c>
      <c r="B4332" t="s">
        <v>6534</v>
      </c>
      <c r="C4332" t="s">
        <v>6565</v>
      </c>
      <c r="D4332" t="s">
        <v>11609</v>
      </c>
      <c r="E4332">
        <f>sch_tsunamidrill_lrnrs_apr</f>
        <v>0</v>
      </c>
      <c r="F4332" t="b">
        <v>1</v>
      </c>
      <c r="N4332" s="1346"/>
    </row>
    <row r="4333" spans="1:14" x14ac:dyDescent="0.35">
      <c r="A4333" t="s">
        <v>6572</v>
      </c>
      <c r="B4333" t="s">
        <v>6534</v>
      </c>
      <c r="C4333" t="s">
        <v>6572</v>
      </c>
      <c r="D4333" t="s">
        <v>11610</v>
      </c>
      <c r="E4333">
        <f>sch_tsunamidrill_lrnrs_may</f>
        <v>0</v>
      </c>
      <c r="F4333" t="b">
        <v>1</v>
      </c>
      <c r="N4333" s="1346"/>
    </row>
    <row r="4334" spans="1:14" x14ac:dyDescent="0.35">
      <c r="A4334" t="s">
        <v>6613</v>
      </c>
      <c r="B4334" t="s">
        <v>6534</v>
      </c>
      <c r="C4334" t="s">
        <v>6613</v>
      </c>
      <c r="D4334" t="s">
        <v>11611</v>
      </c>
      <c r="E4334">
        <f>sch_tsunamidrill_lrnrs_jun</f>
        <v>0</v>
      </c>
      <c r="F4334" t="b">
        <v>1</v>
      </c>
      <c r="N4334" s="1346"/>
    </row>
    <row r="4335" spans="1:14" x14ac:dyDescent="0.35">
      <c r="A4335" t="s">
        <v>6619</v>
      </c>
      <c r="B4335" t="s">
        <v>6534</v>
      </c>
      <c r="C4335" t="s">
        <v>6619</v>
      </c>
      <c r="D4335" t="s">
        <v>11612</v>
      </c>
      <c r="E4335">
        <f>sch_tsunamidrill_lrnrs_jul</f>
        <v>0</v>
      </c>
      <c r="F4335" t="b">
        <v>1</v>
      </c>
      <c r="N4335" s="1346"/>
    </row>
    <row r="4336" spans="1:14" x14ac:dyDescent="0.35">
      <c r="A4336" t="s">
        <v>6625</v>
      </c>
      <c r="B4336" t="s">
        <v>6534</v>
      </c>
      <c r="C4336" t="s">
        <v>6625</v>
      </c>
      <c r="D4336" t="s">
        <v>11613</v>
      </c>
      <c r="E4336">
        <f>sch_tsunamidrill_lrnrs_aug</f>
        <v>0</v>
      </c>
      <c r="F4336" t="b">
        <v>1</v>
      </c>
      <c r="N4336" s="1346"/>
    </row>
    <row r="4337" spans="1:14" x14ac:dyDescent="0.35">
      <c r="A4337" t="s">
        <v>6635</v>
      </c>
      <c r="B4337" t="s">
        <v>6534</v>
      </c>
      <c r="C4337" t="s">
        <v>6635</v>
      </c>
      <c r="D4337" t="s">
        <v>11614</v>
      </c>
      <c r="E4337">
        <f>sch_tsunamidrill_lrnrs_sep</f>
        <v>0</v>
      </c>
      <c r="F4337" t="b">
        <v>1</v>
      </c>
      <c r="N4337" s="1346"/>
    </row>
    <row r="4338" spans="1:14" x14ac:dyDescent="0.35">
      <c r="A4338" t="s">
        <v>6645</v>
      </c>
      <c r="B4338" t="s">
        <v>6534</v>
      </c>
      <c r="C4338" t="s">
        <v>6645</v>
      </c>
      <c r="D4338" t="s">
        <v>11615</v>
      </c>
      <c r="E4338">
        <f>sch_tsunamidrill_lrnrs_oct</f>
        <v>0</v>
      </c>
      <c r="F4338" t="b">
        <v>1</v>
      </c>
      <c r="N4338" s="1346"/>
    </row>
    <row r="4339" spans="1:14" x14ac:dyDescent="0.35">
      <c r="A4339" t="s">
        <v>6651</v>
      </c>
      <c r="B4339" t="s">
        <v>6534</v>
      </c>
      <c r="C4339" t="s">
        <v>6651</v>
      </c>
      <c r="D4339" t="s">
        <v>11616</v>
      </c>
      <c r="E4339">
        <f>sch_tsunamidrill_lrnrs_nov</f>
        <v>0</v>
      </c>
      <c r="F4339" t="b">
        <v>1</v>
      </c>
      <c r="N4339" s="1346"/>
    </row>
    <row r="4340" spans="1:14" x14ac:dyDescent="0.35">
      <c r="A4340" t="s">
        <v>6657</v>
      </c>
      <c r="B4340" t="s">
        <v>6534</v>
      </c>
      <c r="C4340" t="s">
        <v>6657</v>
      </c>
      <c r="D4340" t="s">
        <v>11617</v>
      </c>
      <c r="E4340">
        <f>sch_tsunamidrill_lrnrs_dec</f>
        <v>0</v>
      </c>
      <c r="F4340" t="b">
        <v>1</v>
      </c>
      <c r="N4340" s="1346"/>
    </row>
    <row r="4341" spans="1:14" x14ac:dyDescent="0.35">
      <c r="A4341" t="s">
        <v>7900</v>
      </c>
      <c r="B4341" t="s">
        <v>6534</v>
      </c>
      <c r="C4341" t="s">
        <v>7900</v>
      </c>
      <c r="D4341" t="s">
        <v>11618</v>
      </c>
      <c r="E4341">
        <f>drills_teaching_m</f>
        <v>18</v>
      </c>
      <c r="F4341" t="b">
        <v>1</v>
      </c>
      <c r="N4341" s="1346"/>
    </row>
    <row r="4342" spans="1:14" x14ac:dyDescent="0.35">
      <c r="A4342" t="s">
        <v>7901</v>
      </c>
      <c r="B4342" t="s">
        <v>6534</v>
      </c>
      <c r="C4342" t="s">
        <v>7901</v>
      </c>
      <c r="D4342" t="s">
        <v>11619</v>
      </c>
      <c r="E4342">
        <f>drills_teaching_f</f>
        <v>54</v>
      </c>
      <c r="F4342" t="b">
        <v>1</v>
      </c>
      <c r="N4342" s="1346"/>
    </row>
    <row r="4343" spans="1:14" x14ac:dyDescent="0.35">
      <c r="A4343" t="s">
        <v>7902</v>
      </c>
      <c r="B4343" t="s">
        <v>6534</v>
      </c>
      <c r="C4343" t="s">
        <v>7902</v>
      </c>
      <c r="D4343" t="s">
        <v>11620</v>
      </c>
      <c r="E4343">
        <f>drills_nonteaching_m</f>
        <v>7</v>
      </c>
      <c r="F4343" t="b">
        <v>1</v>
      </c>
      <c r="N4343" s="1346"/>
    </row>
    <row r="4344" spans="1:14" x14ac:dyDescent="0.35">
      <c r="A4344" t="s">
        <v>7903</v>
      </c>
      <c r="B4344" t="s">
        <v>6534</v>
      </c>
      <c r="C4344" t="s">
        <v>7903</v>
      </c>
      <c r="D4344" t="s">
        <v>11621</v>
      </c>
      <c r="E4344">
        <f>drills_nonteaching_f</f>
        <v>7</v>
      </c>
      <c r="F4344" t="b">
        <v>1</v>
      </c>
      <c r="N4344" s="1346"/>
    </row>
    <row r="4345" spans="1:14" x14ac:dyDescent="0.35">
      <c r="A4345" t="s">
        <v>7904</v>
      </c>
      <c r="B4345" t="s">
        <v>6534</v>
      </c>
      <c r="C4345" t="s">
        <v>7904</v>
      </c>
      <c r="D4345" t="s">
        <v>11622</v>
      </c>
      <c r="E4345">
        <f>drills_lrnrs_m_excluding</f>
        <v>0</v>
      </c>
      <c r="F4345" t="b">
        <v>1</v>
      </c>
      <c r="N4345" s="1346"/>
    </row>
    <row r="4346" spans="1:14" x14ac:dyDescent="0.35">
      <c r="A4346" t="s">
        <v>7905</v>
      </c>
      <c r="B4346" t="s">
        <v>6534</v>
      </c>
      <c r="C4346" t="s">
        <v>7905</v>
      </c>
      <c r="D4346" t="s">
        <v>11623</v>
      </c>
      <c r="E4346">
        <f>drills_lrnrs_f_excluding</f>
        <v>0</v>
      </c>
      <c r="F4346" t="b">
        <v>1</v>
      </c>
      <c r="N4346" s="1346"/>
    </row>
    <row r="4347" spans="1:14" x14ac:dyDescent="0.35">
      <c r="A4347" t="s">
        <v>7906</v>
      </c>
      <c r="B4347" t="s">
        <v>6534</v>
      </c>
      <c r="C4347" t="s">
        <v>7906</v>
      </c>
      <c r="D4347" t="s">
        <v>11624</v>
      </c>
      <c r="E4347">
        <f>drills_lrnrs_m_ip</f>
        <v>25</v>
      </c>
      <c r="F4347" t="b">
        <v>1</v>
      </c>
      <c r="N4347" s="1346"/>
    </row>
    <row r="4348" spans="1:14" x14ac:dyDescent="0.35">
      <c r="A4348" t="s">
        <v>7907</v>
      </c>
      <c r="B4348" t="s">
        <v>6534</v>
      </c>
      <c r="C4348" t="s">
        <v>7907</v>
      </c>
      <c r="D4348" t="s">
        <v>11625</v>
      </c>
      <c r="E4348">
        <f>drills_lrnrs_f_ip</f>
        <v>23</v>
      </c>
      <c r="F4348" t="b">
        <v>1</v>
      </c>
      <c r="N4348" s="1346"/>
    </row>
    <row r="4349" spans="1:14" x14ac:dyDescent="0.35">
      <c r="A4349" t="s">
        <v>7908</v>
      </c>
      <c r="B4349" t="s">
        <v>6534</v>
      </c>
      <c r="C4349" t="s">
        <v>7908</v>
      </c>
      <c r="D4349" t="s">
        <v>11626</v>
      </c>
      <c r="E4349">
        <f>drills_lrnrs_m_muslim</f>
        <v>0</v>
      </c>
      <c r="F4349" t="b">
        <v>1</v>
      </c>
      <c r="N4349" s="1346"/>
    </row>
    <row r="4350" spans="1:14" x14ac:dyDescent="0.35">
      <c r="A4350" t="s">
        <v>7909</v>
      </c>
      <c r="B4350" t="s">
        <v>6534</v>
      </c>
      <c r="C4350" t="s">
        <v>7909</v>
      </c>
      <c r="D4350" t="s">
        <v>11627</v>
      </c>
      <c r="E4350">
        <f>drills_lrnrs_f_muslim</f>
        <v>2</v>
      </c>
      <c r="F4350" t="b">
        <v>1</v>
      </c>
      <c r="N4350" s="1346"/>
    </row>
    <row r="4351" spans="1:14" x14ac:dyDescent="0.35">
      <c r="A4351" t="s">
        <v>7910</v>
      </c>
      <c r="B4351" t="s">
        <v>6534</v>
      </c>
      <c r="C4351" t="s">
        <v>7910</v>
      </c>
      <c r="D4351" t="s">
        <v>11628</v>
      </c>
      <c r="E4351">
        <f>drills_lrnrs_m_pwd</f>
        <v>0</v>
      </c>
      <c r="F4351" t="b">
        <v>1</v>
      </c>
      <c r="N4351" s="1346"/>
    </row>
    <row r="4352" spans="1:14" x14ac:dyDescent="0.35">
      <c r="A4352" t="s">
        <v>7911</v>
      </c>
      <c r="B4352" t="s">
        <v>6534</v>
      </c>
      <c r="C4352" t="s">
        <v>7911</v>
      </c>
      <c r="D4352" t="s">
        <v>11629</v>
      </c>
      <c r="E4352">
        <f>drills_lrnrs_f_pwd</f>
        <v>0</v>
      </c>
      <c r="F4352" t="b">
        <v>1</v>
      </c>
      <c r="N4352"/>
    </row>
    <row r="4353" spans="1:14" x14ac:dyDescent="0.35">
      <c r="A4353" t="s">
        <v>8518</v>
      </c>
      <c r="B4353" t="s">
        <v>6534</v>
      </c>
      <c r="C4353" t="s">
        <v>8518</v>
      </c>
      <c r="D4353" t="s">
        <v>11630</v>
      </c>
      <c r="E4353" t="b" cm="1">
        <f t="array" ref="E4353">sch_conducted_brigadaeskuwela_aftermath</f>
        <v>1</v>
      </c>
      <c r="F4353" t="b">
        <f>ISLOGICAL(E4353)</f>
        <v>1</v>
      </c>
      <c r="G4353" t="s">
        <v>12516</v>
      </c>
      <c r="N4353" s="1346"/>
    </row>
    <row r="4354" spans="1:14" x14ac:dyDescent="0.35">
      <c r="A4354" t="s">
        <v>7980</v>
      </c>
      <c r="B4354" t="s">
        <v>6534</v>
      </c>
      <c r="C4354" t="s">
        <v>7980</v>
      </c>
      <c r="D4354" t="s">
        <v>11631</v>
      </c>
      <c r="E4354">
        <f>partners_mobilized_peacbuilding</f>
        <v>0</v>
      </c>
      <c r="F4354" t="b">
        <v>1</v>
      </c>
    </row>
    <row r="4355" spans="1:14" x14ac:dyDescent="0.35">
      <c r="A4355" t="s">
        <v>8519</v>
      </c>
      <c r="B4355" t="s">
        <v>6534</v>
      </c>
      <c r="C4355" t="s">
        <v>8519</v>
      </c>
      <c r="D4355" t="s">
        <v>11632</v>
      </c>
      <c r="E4355" t="b" cm="1">
        <f t="array" ref="E4355">sch_RADAR_DRRMS</f>
        <v>0</v>
      </c>
      <c r="F4355" t="b">
        <f>ISLOGICAL(E4355)</f>
        <v>1</v>
      </c>
      <c r="G4355" t="s">
        <v>12516</v>
      </c>
      <c r="N4355" s="1346"/>
    </row>
    <row r="4356" spans="1:14" x14ac:dyDescent="0.35">
      <c r="A4356" t="s">
        <v>7951</v>
      </c>
      <c r="B4356" t="s">
        <v>6534</v>
      </c>
      <c r="C4356" t="s">
        <v>7951</v>
      </c>
      <c r="D4356" t="s">
        <v>11633</v>
      </c>
      <c r="E4356">
        <f>intervention_minorcleanup_drrm_no</f>
        <v>0</v>
      </c>
      <c r="F4356" t="b">
        <v>1</v>
      </c>
    </row>
    <row r="4357" spans="1:14" x14ac:dyDescent="0.35">
      <c r="A4357" t="s">
        <v>7959</v>
      </c>
      <c r="B4357" t="s">
        <v>6534</v>
      </c>
      <c r="C4357" t="s">
        <v>7959</v>
      </c>
      <c r="D4357" t="s">
        <v>11634</v>
      </c>
      <c r="E4357" s="1368">
        <f>intervention_minorcleanup_drrm_date</f>
        <v>0</v>
      </c>
      <c r="F4357" t="b">
        <v>1</v>
      </c>
    </row>
    <row r="4358" spans="1:14" x14ac:dyDescent="0.35">
      <c r="A4358" t="s">
        <v>7952</v>
      </c>
      <c r="B4358" t="s">
        <v>6534</v>
      </c>
      <c r="C4358" t="s">
        <v>7952</v>
      </c>
      <c r="D4358" t="s">
        <v>11635</v>
      </c>
      <c r="E4358">
        <f>intervention_tempspace_drrm_no</f>
        <v>0</v>
      </c>
      <c r="F4358" t="b">
        <v>1</v>
      </c>
    </row>
    <row r="4359" spans="1:14" x14ac:dyDescent="0.35">
      <c r="A4359" t="s">
        <v>7960</v>
      </c>
      <c r="B4359" t="s">
        <v>6534</v>
      </c>
      <c r="C4359" t="s">
        <v>7960</v>
      </c>
      <c r="D4359" t="s">
        <v>11636</v>
      </c>
      <c r="E4359" s="1368">
        <f>intervention_tempspace_drrm_date</f>
        <v>0</v>
      </c>
      <c r="F4359" t="b">
        <v>1</v>
      </c>
    </row>
    <row r="4360" spans="1:14" x14ac:dyDescent="0.35">
      <c r="A4360" t="s">
        <v>7953</v>
      </c>
      <c r="B4360" t="s">
        <v>6534</v>
      </c>
      <c r="C4360" t="s">
        <v>7953</v>
      </c>
      <c r="D4360" t="s">
        <v>11637</v>
      </c>
      <c r="E4360">
        <f>intervention_tempwash_drrm_no</f>
        <v>0</v>
      </c>
      <c r="F4360" t="b">
        <v>1</v>
      </c>
    </row>
    <row r="4361" spans="1:14" x14ac:dyDescent="0.35">
      <c r="A4361" t="s">
        <v>7961</v>
      </c>
      <c r="B4361" t="s">
        <v>6534</v>
      </c>
      <c r="C4361" t="s">
        <v>7961</v>
      </c>
      <c r="D4361" t="s">
        <v>11638</v>
      </c>
      <c r="E4361" s="1368">
        <f>intervention_tempwash_drrm_date</f>
        <v>0</v>
      </c>
      <c r="F4361" t="b">
        <v>1</v>
      </c>
    </row>
    <row r="4362" spans="1:14" x14ac:dyDescent="0.35">
      <c r="A4362" t="s">
        <v>7954</v>
      </c>
      <c r="B4362" t="s">
        <v>6534</v>
      </c>
      <c r="C4362" t="s">
        <v>7954</v>
      </c>
      <c r="D4362" t="s">
        <v>11639</v>
      </c>
      <c r="E4362">
        <f>intervention_emrgncyfeeding_drrm_no</f>
        <v>0</v>
      </c>
      <c r="F4362" t="b">
        <v>1</v>
      </c>
    </row>
    <row r="4363" spans="1:14" x14ac:dyDescent="0.35">
      <c r="A4363" t="s">
        <v>7962</v>
      </c>
      <c r="B4363" t="s">
        <v>6534</v>
      </c>
      <c r="C4363" t="s">
        <v>7962</v>
      </c>
      <c r="D4363" t="s">
        <v>11640</v>
      </c>
      <c r="E4363" s="1368">
        <f>intervention_emrgncyfeeding_drrm_date</f>
        <v>0</v>
      </c>
      <c r="F4363" t="b">
        <v>1</v>
      </c>
    </row>
    <row r="4364" spans="1:14" x14ac:dyDescent="0.35">
      <c r="A4364" t="s">
        <v>7955</v>
      </c>
      <c r="B4364" t="s">
        <v>6534</v>
      </c>
      <c r="C4364" t="s">
        <v>7955</v>
      </c>
      <c r="D4364" t="s">
        <v>11641</v>
      </c>
      <c r="E4364">
        <f>intervention_hygienekit_drrm_no</f>
        <v>0</v>
      </c>
      <c r="F4364" t="b">
        <v>1</v>
      </c>
    </row>
    <row r="4365" spans="1:14" x14ac:dyDescent="0.35">
      <c r="A4365" t="s">
        <v>7963</v>
      </c>
      <c r="B4365" t="s">
        <v>6534</v>
      </c>
      <c r="C4365" t="s">
        <v>7963</v>
      </c>
      <c r="D4365" t="s">
        <v>11642</v>
      </c>
      <c r="E4365" s="1368">
        <f>intervention_hygienekit_drrm_date</f>
        <v>0</v>
      </c>
      <c r="F4365" t="b">
        <v>1</v>
      </c>
    </row>
    <row r="4366" spans="1:14" x14ac:dyDescent="0.35">
      <c r="A4366" t="s">
        <v>7956</v>
      </c>
      <c r="B4366" t="s">
        <v>6534</v>
      </c>
      <c r="C4366" t="s">
        <v>7956</v>
      </c>
      <c r="D4366" t="s">
        <v>11643</v>
      </c>
      <c r="E4366">
        <f>intervention_lrnrkit_drrm_no</f>
        <v>0</v>
      </c>
      <c r="F4366" t="b">
        <v>1</v>
      </c>
    </row>
    <row r="4367" spans="1:14" x14ac:dyDescent="0.35">
      <c r="A4367" t="s">
        <v>7964</v>
      </c>
      <c r="B4367" t="s">
        <v>6534</v>
      </c>
      <c r="C4367" t="s">
        <v>7964</v>
      </c>
      <c r="D4367" t="s">
        <v>11644</v>
      </c>
      <c r="E4367" s="1368">
        <f>intervention_lrnrkit_drrm_date</f>
        <v>0</v>
      </c>
      <c r="F4367" t="b">
        <v>1</v>
      </c>
    </row>
    <row r="4368" spans="1:14" x14ac:dyDescent="0.35">
      <c r="A4368" t="s">
        <v>7957</v>
      </c>
      <c r="B4368" t="s">
        <v>6534</v>
      </c>
      <c r="C4368" t="s">
        <v>7957</v>
      </c>
      <c r="D4368" t="s">
        <v>11645</v>
      </c>
      <c r="E4368">
        <f>intervention_teacherkit_drrm_no</f>
        <v>0</v>
      </c>
      <c r="F4368" t="b">
        <v>1</v>
      </c>
    </row>
    <row r="4369" spans="1:6" x14ac:dyDescent="0.35">
      <c r="A4369" t="s">
        <v>7965</v>
      </c>
      <c r="B4369" t="s">
        <v>6534</v>
      </c>
      <c r="C4369" t="s">
        <v>7965</v>
      </c>
      <c r="D4369" t="s">
        <v>11646</v>
      </c>
      <c r="E4369" s="1368">
        <f>intervention_teacherkit_drrm_date</f>
        <v>0</v>
      </c>
      <c r="F4369" t="b">
        <v>1</v>
      </c>
    </row>
    <row r="4370" spans="1:6" x14ac:dyDescent="0.35">
      <c r="A4370" t="s">
        <v>7958</v>
      </c>
      <c r="B4370" t="s">
        <v>6534</v>
      </c>
      <c r="C4370" t="s">
        <v>7958</v>
      </c>
      <c r="D4370" t="s">
        <v>11647</v>
      </c>
      <c r="E4370">
        <f>intervention_alternativedelivery_drrm_no</f>
        <v>0</v>
      </c>
      <c r="F4370" t="b">
        <v>1</v>
      </c>
    </row>
    <row r="4371" spans="1:6" x14ac:dyDescent="0.35">
      <c r="A4371" t="s">
        <v>7966</v>
      </c>
      <c r="B4371" t="s">
        <v>6534</v>
      </c>
      <c r="C4371" t="s">
        <v>7966</v>
      </c>
      <c r="D4371" t="s">
        <v>11648</v>
      </c>
      <c r="E4371" s="1368">
        <f>intervention_alternativedelivery_drrm_date</f>
        <v>0</v>
      </c>
      <c r="F4371" t="b">
        <v>1</v>
      </c>
    </row>
    <row r="4372" spans="1:6" x14ac:dyDescent="0.35">
      <c r="A4372" t="s">
        <v>7974</v>
      </c>
      <c r="B4372" t="s">
        <v>6534</v>
      </c>
      <c r="C4372" t="s">
        <v>7974</v>
      </c>
      <c r="D4372" t="s">
        <v>11649</v>
      </c>
      <c r="E4372">
        <f>intervention_donation_prtnr</f>
        <v>0</v>
      </c>
      <c r="F4372" t="b">
        <v>1</v>
      </c>
    </row>
    <row r="4373" spans="1:6" x14ac:dyDescent="0.35">
      <c r="A4373" t="s">
        <v>7969</v>
      </c>
      <c r="B4373" t="s">
        <v>6534</v>
      </c>
      <c r="C4373" t="s">
        <v>7969</v>
      </c>
      <c r="D4373" t="s">
        <v>11650</v>
      </c>
      <c r="E4373">
        <f>intervention_emrgncyfeeding_prtnr</f>
        <v>0</v>
      </c>
      <c r="F4373" t="b">
        <v>1</v>
      </c>
    </row>
    <row r="4374" spans="1:6" x14ac:dyDescent="0.35">
      <c r="A4374" t="s">
        <v>7970</v>
      </c>
      <c r="B4374" t="s">
        <v>6534</v>
      </c>
      <c r="C4374" t="s">
        <v>7970</v>
      </c>
      <c r="D4374" t="s">
        <v>11651</v>
      </c>
      <c r="E4374">
        <f>intervention_hygienekit_prtnr</f>
        <v>0</v>
      </c>
      <c r="F4374" t="b">
        <v>1</v>
      </c>
    </row>
    <row r="4375" spans="1:6" x14ac:dyDescent="0.35">
      <c r="A4375" t="s">
        <v>7971</v>
      </c>
      <c r="B4375" t="s">
        <v>6534</v>
      </c>
      <c r="C4375" t="s">
        <v>7971</v>
      </c>
      <c r="D4375" t="s">
        <v>11652</v>
      </c>
      <c r="E4375">
        <f>intervention_lrnrkit_prtnr</f>
        <v>0</v>
      </c>
      <c r="F4375" t="b">
        <v>1</v>
      </c>
    </row>
    <row r="4376" spans="1:6" x14ac:dyDescent="0.35">
      <c r="A4376" t="s">
        <v>7972</v>
      </c>
      <c r="B4376" t="s">
        <v>6534</v>
      </c>
      <c r="C4376" t="s">
        <v>7972</v>
      </c>
      <c r="D4376" t="s">
        <v>11653</v>
      </c>
      <c r="E4376">
        <f>intervention_teacherkit_prtnr</f>
        <v>0</v>
      </c>
      <c r="F4376" t="b">
        <v>1</v>
      </c>
    </row>
    <row r="4377" spans="1:6" x14ac:dyDescent="0.35">
      <c r="A4377" t="s">
        <v>7973</v>
      </c>
      <c r="B4377" t="s">
        <v>6534</v>
      </c>
      <c r="C4377" t="s">
        <v>7973</v>
      </c>
      <c r="D4377" t="s">
        <v>11654</v>
      </c>
      <c r="E4377">
        <f>intervention_alternativedelivery_prtnr</f>
        <v>0</v>
      </c>
      <c r="F4377" t="b">
        <v>1</v>
      </c>
    </row>
    <row r="4378" spans="1:6" x14ac:dyDescent="0.35">
      <c r="A4378" t="s">
        <v>7975</v>
      </c>
      <c r="B4378" t="s">
        <v>6534</v>
      </c>
      <c r="C4378" t="s">
        <v>7975</v>
      </c>
      <c r="D4378" t="s">
        <v>11655</v>
      </c>
      <c r="E4378">
        <f>intervention_mhpss_prtnr</f>
        <v>0</v>
      </c>
      <c r="F4378" t="b">
        <v>1</v>
      </c>
    </row>
    <row r="4379" spans="1:6" x14ac:dyDescent="0.35">
      <c r="A4379" t="s">
        <v>7967</v>
      </c>
      <c r="B4379" t="s">
        <v>6534</v>
      </c>
      <c r="C4379" t="s">
        <v>7967</v>
      </c>
      <c r="D4379" t="s">
        <v>11656</v>
      </c>
      <c r="E4379">
        <f>intervention_tempspace_prtnr</f>
        <v>0</v>
      </c>
      <c r="F4379" t="b">
        <v>1</v>
      </c>
    </row>
    <row r="4380" spans="1:6" x14ac:dyDescent="0.35">
      <c r="A4380" t="s">
        <v>7968</v>
      </c>
      <c r="B4380" t="s">
        <v>6534</v>
      </c>
      <c r="C4380" t="s">
        <v>7968</v>
      </c>
      <c r="D4380" t="s">
        <v>11657</v>
      </c>
      <c r="E4380">
        <f>intervention_tempwash_prtnr</f>
        <v>0</v>
      </c>
      <c r="F4380" t="b">
        <v>1</v>
      </c>
    </row>
    <row r="4381" spans="1:6" x14ac:dyDescent="0.35">
      <c r="A4381" t="s">
        <v>7976</v>
      </c>
      <c r="B4381" t="s">
        <v>6534</v>
      </c>
      <c r="C4381" t="s">
        <v>7976</v>
      </c>
      <c r="D4381" t="s">
        <v>11658</v>
      </c>
      <c r="E4381">
        <f>personnel_trained_male_emrgncyrspns</f>
        <v>1</v>
      </c>
      <c r="F4381" t="b">
        <v>1</v>
      </c>
    </row>
    <row r="4382" spans="1:6" x14ac:dyDescent="0.35">
      <c r="A4382" t="s">
        <v>7977</v>
      </c>
      <c r="B4382" t="s">
        <v>6534</v>
      </c>
      <c r="C4382" t="s">
        <v>7977</v>
      </c>
      <c r="D4382" t="s">
        <v>11659</v>
      </c>
      <c r="E4382">
        <f>personnel_trained_female_emrgncyrspns</f>
        <v>0</v>
      </c>
      <c r="F4382" t="b">
        <v>1</v>
      </c>
    </row>
    <row r="4383" spans="1:6" x14ac:dyDescent="0.35">
      <c r="A4383" t="s">
        <v>7978</v>
      </c>
      <c r="B4383" t="s">
        <v>6534</v>
      </c>
      <c r="C4383" t="s">
        <v>7978</v>
      </c>
      <c r="D4383" t="s">
        <v>11660</v>
      </c>
      <c r="E4383">
        <f>personnel_mobilized_male_afterdisaster</f>
        <v>1</v>
      </c>
      <c r="F4383" t="b">
        <v>1</v>
      </c>
    </row>
    <row r="4384" spans="1:6" x14ac:dyDescent="0.35">
      <c r="A4384" t="s">
        <v>7979</v>
      </c>
      <c r="B4384" t="s">
        <v>6534</v>
      </c>
      <c r="C4384" t="s">
        <v>7979</v>
      </c>
      <c r="D4384" t="s">
        <v>11661</v>
      </c>
      <c r="E4384">
        <f>personnel_mobilized_female_afterdisaster</f>
        <v>0</v>
      </c>
      <c r="F4384" t="b">
        <v>1</v>
      </c>
    </row>
    <row r="4385" spans="1:14" x14ac:dyDescent="0.35">
      <c r="A4385" t="s">
        <v>8515</v>
      </c>
      <c r="B4385" t="s">
        <v>6534</v>
      </c>
      <c r="C4385" t="s">
        <v>8515</v>
      </c>
      <c r="D4385" t="s">
        <v>11662</v>
      </c>
      <c r="E4385" t="b" cm="1">
        <f t="array" ref="E4385">sch_resumption_strat_nathazard</f>
        <v>0</v>
      </c>
      <c r="F4385" t="b">
        <f>ISLOGICAL(E4385)</f>
        <v>1</v>
      </c>
      <c r="G4385" t="s">
        <v>12516</v>
      </c>
      <c r="N4385" s="1346"/>
    </row>
    <row r="4386" spans="1:14" x14ac:dyDescent="0.35">
      <c r="A4386" t="s">
        <v>8516</v>
      </c>
      <c r="B4386" t="s">
        <v>6534</v>
      </c>
      <c r="C4386" t="s">
        <v>8516</v>
      </c>
      <c r="D4386" t="s">
        <v>11663</v>
      </c>
      <c r="E4386" t="b" cm="1">
        <f t="array" ref="E4386">sch_resumption_strat_armedconflict</f>
        <v>0</v>
      </c>
      <c r="F4386" t="b">
        <f>ISLOGICAL(E4386)</f>
        <v>1</v>
      </c>
      <c r="G4386" t="s">
        <v>12516</v>
      </c>
      <c r="N4386" s="1346"/>
    </row>
    <row r="4387" spans="1:14" x14ac:dyDescent="0.35">
      <c r="A4387" t="s">
        <v>8540</v>
      </c>
      <c r="B4387" t="s">
        <v>6534</v>
      </c>
      <c r="C4387" t="s">
        <v>8540</v>
      </c>
      <c r="D4387" t="s">
        <v>11664</v>
      </c>
      <c r="E4387" t="b" cm="1">
        <f t="array" ref="E4387">sch_implemented_classshifting</f>
        <v>0</v>
      </c>
      <c r="F4387" t="b">
        <f>ISLOGICAL(E4387)</f>
        <v>1</v>
      </c>
      <c r="G4387" t="s">
        <v>12516</v>
      </c>
      <c r="N4387" s="1346"/>
    </row>
    <row r="4388" spans="1:14" x14ac:dyDescent="0.35">
      <c r="A4388" t="s">
        <v>7912</v>
      </c>
      <c r="B4388" t="s">
        <v>6534</v>
      </c>
      <c r="C4388" t="s">
        <v>7912</v>
      </c>
      <c r="D4388" t="s">
        <v>11665</v>
      </c>
      <c r="E4388">
        <f>sch_implemented_classshifting_days</f>
        <v>0</v>
      </c>
      <c r="F4388" t="b">
        <v>1</v>
      </c>
    </row>
    <row r="4389" spans="1:14" x14ac:dyDescent="0.35">
      <c r="A4389" t="s">
        <v>6593</v>
      </c>
      <c r="B4389" t="s">
        <v>6534</v>
      </c>
      <c r="C4389" t="s">
        <v>6593</v>
      </c>
      <c r="D4389" t="s">
        <v>11666</v>
      </c>
      <c r="E4389" t="b">
        <f>sch_implemented_makeupclass</f>
        <v>0</v>
      </c>
      <c r="F4389" t="b">
        <f>ISLOGICAL(E4389)</f>
        <v>1</v>
      </c>
      <c r="G4389" t="s">
        <v>12516</v>
      </c>
      <c r="N4389" s="1346"/>
    </row>
    <row r="4390" spans="1:14" x14ac:dyDescent="0.35">
      <c r="A4390" t="s">
        <v>6629</v>
      </c>
      <c r="B4390" t="s">
        <v>6534</v>
      </c>
      <c r="C4390" t="s">
        <v>6629</v>
      </c>
      <c r="D4390" t="s">
        <v>11667</v>
      </c>
      <c r="E4390">
        <f>sch_implemented_makeupclass_days</f>
        <v>0</v>
      </c>
      <c r="F4390" t="b">
        <v>1</v>
      </c>
      <c r="N4390" s="1346"/>
    </row>
    <row r="4391" spans="1:14" x14ac:dyDescent="0.35">
      <c r="A4391" t="s">
        <v>8541</v>
      </c>
      <c r="B4391" t="s">
        <v>6534</v>
      </c>
      <c r="C4391" t="s">
        <v>8541</v>
      </c>
      <c r="D4391" t="s">
        <v>11668</v>
      </c>
      <c r="E4391" t="b" cm="1">
        <f t="array" ref="E4391">sch_implemented_modular</f>
        <v>1</v>
      </c>
      <c r="F4391" t="b">
        <f t="shared" ref="F4391:F4399" si="26">ISLOGICAL(E4391)</f>
        <v>1</v>
      </c>
      <c r="G4391" t="s">
        <v>12516</v>
      </c>
      <c r="N4391" s="1346"/>
    </row>
    <row r="4392" spans="1:14" x14ac:dyDescent="0.35">
      <c r="A4392" t="s">
        <v>7913</v>
      </c>
      <c r="B4392" t="s">
        <v>6534</v>
      </c>
      <c r="C4392" t="s">
        <v>7913</v>
      </c>
      <c r="D4392" t="s">
        <v>11669</v>
      </c>
      <c r="E4392">
        <f>sch_implemented_modular_days</f>
        <v>3</v>
      </c>
      <c r="F4392" t="b">
        <v>1</v>
      </c>
    </row>
    <row r="4393" spans="1:14" x14ac:dyDescent="0.35">
      <c r="A4393" t="s">
        <v>8542</v>
      </c>
      <c r="B4393" t="s">
        <v>6534</v>
      </c>
      <c r="C4393" t="s">
        <v>8542</v>
      </c>
      <c r="D4393" t="s">
        <v>11670</v>
      </c>
      <c r="E4393" t="b" cm="1">
        <f t="array" ref="E4393">sch_implemented_online</f>
        <v>0</v>
      </c>
      <c r="F4393" t="b">
        <f t="shared" si="26"/>
        <v>1</v>
      </c>
      <c r="G4393" t="s">
        <v>12516</v>
      </c>
      <c r="N4393" s="1346"/>
    </row>
    <row r="4394" spans="1:14" x14ac:dyDescent="0.35">
      <c r="A4394" t="s">
        <v>7914</v>
      </c>
      <c r="B4394" t="s">
        <v>6534</v>
      </c>
      <c r="C4394" t="s">
        <v>7914</v>
      </c>
      <c r="D4394" t="s">
        <v>11671</v>
      </c>
      <c r="E4394">
        <f>sch_implemented_onlinelearning_days</f>
        <v>0</v>
      </c>
      <c r="F4394" t="b">
        <v>1</v>
      </c>
    </row>
    <row r="4395" spans="1:14" x14ac:dyDescent="0.35">
      <c r="A4395" t="s">
        <v>8543</v>
      </c>
      <c r="B4395" t="s">
        <v>6534</v>
      </c>
      <c r="C4395" t="s">
        <v>8543</v>
      </c>
      <c r="D4395" t="s">
        <v>11672</v>
      </c>
      <c r="E4395" t="b" cm="1">
        <f t="array" ref="E4395">sch_implemented_peergroup</f>
        <v>0</v>
      </c>
      <c r="F4395" t="b">
        <f t="shared" si="26"/>
        <v>1</v>
      </c>
      <c r="G4395" t="s">
        <v>12516</v>
      </c>
      <c r="N4395" s="1346"/>
    </row>
    <row r="4396" spans="1:14" x14ac:dyDescent="0.35">
      <c r="A4396" t="s">
        <v>7915</v>
      </c>
      <c r="B4396" t="s">
        <v>6534</v>
      </c>
      <c r="C4396" t="s">
        <v>7915</v>
      </c>
      <c r="D4396" t="s">
        <v>11673</v>
      </c>
      <c r="E4396">
        <f>sch_implemented_peergrouplearning_days</f>
        <v>0</v>
      </c>
      <c r="F4396" t="b">
        <v>1</v>
      </c>
    </row>
    <row r="4397" spans="1:14" x14ac:dyDescent="0.35">
      <c r="A4397" t="s">
        <v>8544</v>
      </c>
      <c r="B4397" t="s">
        <v>6534</v>
      </c>
      <c r="C4397" t="s">
        <v>8544</v>
      </c>
      <c r="D4397" t="s">
        <v>11674</v>
      </c>
      <c r="E4397" t="b" cm="1">
        <f t="array" ref="E4397">sch_implemented_programmed</f>
        <v>0</v>
      </c>
      <c r="F4397" t="b">
        <f t="shared" si="26"/>
        <v>1</v>
      </c>
      <c r="G4397" t="s">
        <v>12516</v>
      </c>
      <c r="N4397" s="1346"/>
    </row>
    <row r="4398" spans="1:14" x14ac:dyDescent="0.35">
      <c r="A4398" t="s">
        <v>7916</v>
      </c>
      <c r="B4398" t="s">
        <v>6534</v>
      </c>
      <c r="C4398" t="s">
        <v>7916</v>
      </c>
      <c r="D4398" t="s">
        <v>11675</v>
      </c>
      <c r="E4398">
        <f>sch_implemented_programmedteaching_days</f>
        <v>0</v>
      </c>
      <c r="F4398" t="b">
        <v>1</v>
      </c>
    </row>
    <row r="4399" spans="1:14" x14ac:dyDescent="0.35">
      <c r="A4399" t="s">
        <v>6592</v>
      </c>
      <c r="B4399" t="s">
        <v>6534</v>
      </c>
      <c r="C4399" t="s">
        <v>6592</v>
      </c>
      <c r="D4399" t="s">
        <v>11677</v>
      </c>
      <c r="E4399" t="b">
        <f>sch_implemented_eimpact</f>
        <v>0</v>
      </c>
      <c r="F4399" t="b">
        <f t="shared" si="26"/>
        <v>1</v>
      </c>
      <c r="G4399" t="s">
        <v>12516</v>
      </c>
      <c r="N4399" s="1346"/>
    </row>
    <row r="4400" spans="1:14" x14ac:dyDescent="0.35">
      <c r="A4400" t="s">
        <v>6628</v>
      </c>
      <c r="B4400" t="s">
        <v>6534</v>
      </c>
      <c r="C4400" t="s">
        <v>6628</v>
      </c>
      <c r="D4400" t="s">
        <v>11678</v>
      </c>
      <c r="E4400">
        <f>sch_implemented_eimpact_days</f>
        <v>0</v>
      </c>
      <c r="F4400" t="b">
        <v>1</v>
      </c>
      <c r="N4400" s="1346"/>
    </row>
    <row r="4401" spans="1:14" x14ac:dyDescent="0.35">
      <c r="A4401" t="s">
        <v>8545</v>
      </c>
      <c r="B4401" t="s">
        <v>6534</v>
      </c>
      <c r="C4401" t="s">
        <v>8545</v>
      </c>
      <c r="D4401" t="s">
        <v>11679</v>
      </c>
      <c r="E4401" t="b">
        <f>sch_implemented_homeschool</f>
        <v>0</v>
      </c>
      <c r="F4401" t="b">
        <f>ISLOGICAL(E4401)</f>
        <v>1</v>
      </c>
      <c r="G4401" t="s">
        <v>12516</v>
      </c>
      <c r="N4401" s="1346"/>
    </row>
    <row r="4402" spans="1:14" x14ac:dyDescent="0.35">
      <c r="A4402" t="s">
        <v>7917</v>
      </c>
      <c r="B4402" t="s">
        <v>6534</v>
      </c>
      <c r="C4402" t="s">
        <v>7917</v>
      </c>
      <c r="D4402" t="s">
        <v>11680</v>
      </c>
      <c r="E4402">
        <f>sch_implemented_homeschool_days</f>
        <v>0</v>
      </c>
      <c r="F4402" t="b">
        <v>1</v>
      </c>
    </row>
    <row r="4403" spans="1:14" x14ac:dyDescent="0.35">
      <c r="A4403" t="s">
        <v>8546</v>
      </c>
      <c r="B4403" t="s">
        <v>6534</v>
      </c>
      <c r="C4403" t="s">
        <v>8546</v>
      </c>
      <c r="D4403" t="s">
        <v>11681</v>
      </c>
      <c r="E4403" t="b">
        <f>sch_implemented_nightschool</f>
        <v>0</v>
      </c>
      <c r="F4403" t="b">
        <f>ISLOGICAL(E4403)</f>
        <v>1</v>
      </c>
      <c r="G4403" t="s">
        <v>12516</v>
      </c>
      <c r="N4403" s="1346"/>
    </row>
    <row r="4404" spans="1:14" x14ac:dyDescent="0.35">
      <c r="A4404" t="s">
        <v>7918</v>
      </c>
      <c r="B4404" t="s">
        <v>6534</v>
      </c>
      <c r="C4404" t="s">
        <v>7918</v>
      </c>
      <c r="D4404" t="s">
        <v>11682</v>
      </c>
      <c r="E4404">
        <f>sch_implemented_nightschool_days</f>
        <v>0</v>
      </c>
      <c r="F4404" t="b">
        <v>1</v>
      </c>
    </row>
    <row r="4405" spans="1:14" x14ac:dyDescent="0.35">
      <c r="A4405" t="s">
        <v>6594</v>
      </c>
      <c r="B4405" t="s">
        <v>6534</v>
      </c>
      <c r="C4405" t="s">
        <v>6594</v>
      </c>
      <c r="D4405" t="s">
        <v>11676</v>
      </c>
      <c r="E4405" t="b">
        <f>sch_implemented_misosa</f>
        <v>0</v>
      </c>
      <c r="F4405" t="b">
        <f>ISLOGICAL(E4405)</f>
        <v>1</v>
      </c>
      <c r="G4405" t="s">
        <v>12516</v>
      </c>
      <c r="N4405" s="1346"/>
    </row>
    <row r="4406" spans="1:14" x14ac:dyDescent="0.35">
      <c r="A4406" t="s">
        <v>6630</v>
      </c>
      <c r="B4406" t="s">
        <v>6534</v>
      </c>
      <c r="C4406" t="s">
        <v>6630</v>
      </c>
      <c r="D4406" t="s">
        <v>11683</v>
      </c>
      <c r="E4406">
        <f>sch_implemented_misosa_days</f>
        <v>0</v>
      </c>
      <c r="F4406" t="b">
        <v>1</v>
      </c>
      <c r="N4406" s="1346"/>
    </row>
    <row r="4407" spans="1:14" x14ac:dyDescent="0.35">
      <c r="A4407" t="s">
        <v>6595</v>
      </c>
      <c r="B4407" t="s">
        <v>6534</v>
      </c>
      <c r="C4407" t="s">
        <v>6595</v>
      </c>
      <c r="D4407" t="s">
        <v>11684</v>
      </c>
      <c r="E4407" t="b">
        <f>sch_implemented_openhighschool</f>
        <v>0</v>
      </c>
      <c r="F4407" t="b">
        <f>ISLOGICAL(E4407)</f>
        <v>1</v>
      </c>
      <c r="G4407" t="s">
        <v>12516</v>
      </c>
      <c r="N4407" s="1346"/>
    </row>
    <row r="4408" spans="1:14" x14ac:dyDescent="0.35">
      <c r="A4408" t="s">
        <v>6631</v>
      </c>
      <c r="B4408" t="s">
        <v>6534</v>
      </c>
      <c r="C4408" t="s">
        <v>6631</v>
      </c>
      <c r="D4408" t="s">
        <v>11685</v>
      </c>
      <c r="E4408">
        <f>sch_implemented_openhighschool_days</f>
        <v>0</v>
      </c>
      <c r="F4408" t="b">
        <v>1</v>
      </c>
    </row>
    <row r="4409" spans="1:14" x14ac:dyDescent="0.35">
      <c r="A4409" t="s">
        <v>7919</v>
      </c>
      <c r="B4409" t="s">
        <v>6534</v>
      </c>
      <c r="C4409" t="s">
        <v>7919</v>
      </c>
      <c r="D4409" t="s">
        <v>11686</v>
      </c>
      <c r="E4409">
        <f>learners_prvded_learningsession_m_excluding</f>
        <v>0</v>
      </c>
      <c r="F4409" t="b">
        <v>1</v>
      </c>
    </row>
    <row r="4410" spans="1:14" x14ac:dyDescent="0.35">
      <c r="A4410" t="s">
        <v>7920</v>
      </c>
      <c r="B4410" t="s">
        <v>6534</v>
      </c>
      <c r="C4410" t="s">
        <v>7920</v>
      </c>
      <c r="D4410" t="s">
        <v>11687</v>
      </c>
      <c r="E4410">
        <f>learners_prvded_learningsession_f_excluding</f>
        <v>0</v>
      </c>
      <c r="F4410" t="b">
        <v>1</v>
      </c>
    </row>
    <row r="4411" spans="1:14" x14ac:dyDescent="0.35">
      <c r="A4411" t="s">
        <v>7921</v>
      </c>
      <c r="B4411" t="s">
        <v>6534</v>
      </c>
      <c r="C4411" t="s">
        <v>7921</v>
      </c>
      <c r="D4411" t="s">
        <v>11688</v>
      </c>
      <c r="E4411">
        <f>learners_prvded_learningsession_m_ip</f>
        <v>0</v>
      </c>
      <c r="F4411" t="b">
        <v>1</v>
      </c>
    </row>
    <row r="4412" spans="1:14" x14ac:dyDescent="0.35">
      <c r="A4412" t="s">
        <v>7922</v>
      </c>
      <c r="B4412" t="s">
        <v>6534</v>
      </c>
      <c r="C4412" t="s">
        <v>7922</v>
      </c>
      <c r="D4412" t="s">
        <v>11689</v>
      </c>
      <c r="E4412">
        <f>learners_prvded_learningsession_f_ip</f>
        <v>0</v>
      </c>
      <c r="F4412" t="b">
        <v>1</v>
      </c>
    </row>
    <row r="4413" spans="1:14" x14ac:dyDescent="0.35">
      <c r="A4413" t="s">
        <v>7923</v>
      </c>
      <c r="B4413" t="s">
        <v>6534</v>
      </c>
      <c r="C4413" t="s">
        <v>7923</v>
      </c>
      <c r="D4413" t="s">
        <v>11690</v>
      </c>
      <c r="E4413">
        <f>learners_prvded_learningsession_m_muslim</f>
        <v>0</v>
      </c>
      <c r="F4413" t="b">
        <v>1</v>
      </c>
    </row>
    <row r="4414" spans="1:14" x14ac:dyDescent="0.35">
      <c r="A4414" t="s">
        <v>7924</v>
      </c>
      <c r="B4414" t="s">
        <v>6534</v>
      </c>
      <c r="C4414" t="s">
        <v>7924</v>
      </c>
      <c r="D4414" t="s">
        <v>11691</v>
      </c>
      <c r="E4414">
        <f>learners_prvded_learningsession_f_muslim</f>
        <v>0</v>
      </c>
      <c r="F4414" t="b">
        <v>1</v>
      </c>
    </row>
    <row r="4415" spans="1:14" x14ac:dyDescent="0.35">
      <c r="A4415" t="s">
        <v>7925</v>
      </c>
      <c r="B4415" t="s">
        <v>6534</v>
      </c>
      <c r="C4415" t="s">
        <v>7925</v>
      </c>
      <c r="D4415" t="s">
        <v>11692</v>
      </c>
      <c r="E4415">
        <f>learners_prvded_learningsession_m_pwd</f>
        <v>0</v>
      </c>
      <c r="F4415" t="b">
        <v>1</v>
      </c>
    </row>
    <row r="4416" spans="1:14" x14ac:dyDescent="0.35">
      <c r="A4416" t="s">
        <v>7926</v>
      </c>
      <c r="B4416" t="s">
        <v>6534</v>
      </c>
      <c r="C4416" t="s">
        <v>7926</v>
      </c>
      <c r="D4416" t="s">
        <v>11693</v>
      </c>
      <c r="E4416">
        <f>learners_prvded_learningsession_f_pwd</f>
        <v>0</v>
      </c>
      <c r="F4416" t="b">
        <v>1</v>
      </c>
    </row>
    <row r="4417" spans="1:6" x14ac:dyDescent="0.35">
      <c r="A4417" t="s">
        <v>7927</v>
      </c>
      <c r="B4417" t="s">
        <v>6534</v>
      </c>
      <c r="C4417" t="s">
        <v>7927</v>
      </c>
      <c r="D4417" t="s">
        <v>11694</v>
      </c>
      <c r="E4417">
        <f>learners_mhpss_m_excluding</f>
        <v>0</v>
      </c>
      <c r="F4417" t="b">
        <v>1</v>
      </c>
    </row>
    <row r="4418" spans="1:6" x14ac:dyDescent="0.35">
      <c r="A4418" t="s">
        <v>7928</v>
      </c>
      <c r="B4418" t="s">
        <v>6534</v>
      </c>
      <c r="C4418" t="s">
        <v>7928</v>
      </c>
      <c r="D4418" t="s">
        <v>11695</v>
      </c>
      <c r="E4418">
        <f>learners_mhpss_f_excluding</f>
        <v>0</v>
      </c>
      <c r="F4418" t="b">
        <v>1</v>
      </c>
    </row>
    <row r="4419" spans="1:6" x14ac:dyDescent="0.35">
      <c r="A4419" t="s">
        <v>7929</v>
      </c>
      <c r="B4419" t="s">
        <v>6534</v>
      </c>
      <c r="C4419" t="s">
        <v>7929</v>
      </c>
      <c r="D4419" t="s">
        <v>11696</v>
      </c>
      <c r="E4419">
        <f>learners_mhpss_m_ip</f>
        <v>0</v>
      </c>
      <c r="F4419" t="b">
        <v>1</v>
      </c>
    </row>
    <row r="4420" spans="1:6" x14ac:dyDescent="0.35">
      <c r="A4420" t="s">
        <v>7930</v>
      </c>
      <c r="B4420" t="s">
        <v>6534</v>
      </c>
      <c r="C4420" t="s">
        <v>7930</v>
      </c>
      <c r="D4420" t="s">
        <v>11697</v>
      </c>
      <c r="E4420">
        <f>learners_mhpss_f_ip</f>
        <v>0</v>
      </c>
      <c r="F4420" t="b">
        <v>1</v>
      </c>
    </row>
    <row r="4421" spans="1:6" x14ac:dyDescent="0.35">
      <c r="A4421" t="s">
        <v>7931</v>
      </c>
      <c r="B4421" t="s">
        <v>6534</v>
      </c>
      <c r="C4421" t="s">
        <v>7931</v>
      </c>
      <c r="D4421" t="s">
        <v>11698</v>
      </c>
      <c r="E4421">
        <f>learners_mhpss_m_muslim</f>
        <v>0</v>
      </c>
      <c r="F4421" t="b">
        <v>1</v>
      </c>
    </row>
    <row r="4422" spans="1:6" x14ac:dyDescent="0.35">
      <c r="A4422" t="s">
        <v>7932</v>
      </c>
      <c r="B4422" t="s">
        <v>6534</v>
      </c>
      <c r="C4422" t="s">
        <v>7932</v>
      </c>
      <c r="D4422" t="s">
        <v>11699</v>
      </c>
      <c r="E4422">
        <f>learners_mhpss_f_muslim</f>
        <v>0</v>
      </c>
      <c r="F4422" t="b">
        <v>1</v>
      </c>
    </row>
    <row r="4423" spans="1:6" x14ac:dyDescent="0.35">
      <c r="A4423" t="s">
        <v>7933</v>
      </c>
      <c r="B4423" t="s">
        <v>6534</v>
      </c>
      <c r="C4423" t="s">
        <v>7933</v>
      </c>
      <c r="D4423" t="s">
        <v>11700</v>
      </c>
      <c r="E4423">
        <f>learners_mhpss_m_pwd</f>
        <v>0</v>
      </c>
      <c r="F4423" t="b">
        <v>1</v>
      </c>
    </row>
    <row r="4424" spans="1:6" x14ac:dyDescent="0.35">
      <c r="A4424" t="s">
        <v>7934</v>
      </c>
      <c r="B4424" t="s">
        <v>6534</v>
      </c>
      <c r="C4424" t="s">
        <v>7934</v>
      </c>
      <c r="D4424" t="s">
        <v>11701</v>
      </c>
      <c r="E4424">
        <f>learners_mhpss_f_pwd</f>
        <v>0</v>
      </c>
      <c r="F4424" t="b">
        <v>1</v>
      </c>
    </row>
    <row r="4425" spans="1:6" x14ac:dyDescent="0.35">
      <c r="A4425" t="s">
        <v>7935</v>
      </c>
      <c r="B4425" t="s">
        <v>6534</v>
      </c>
      <c r="C4425" t="s">
        <v>7935</v>
      </c>
      <c r="D4425" t="s">
        <v>11702</v>
      </c>
      <c r="E4425">
        <f>learners_pss_m_excluding</f>
        <v>0</v>
      </c>
      <c r="F4425" t="b">
        <v>1</v>
      </c>
    </row>
    <row r="4426" spans="1:6" x14ac:dyDescent="0.35">
      <c r="A4426" t="s">
        <v>7936</v>
      </c>
      <c r="B4426" t="s">
        <v>6534</v>
      </c>
      <c r="C4426" t="s">
        <v>7936</v>
      </c>
      <c r="D4426" t="s">
        <v>11703</v>
      </c>
      <c r="E4426">
        <f>learners_pss_f_excluding</f>
        <v>0</v>
      </c>
      <c r="F4426" t="b">
        <v>1</v>
      </c>
    </row>
    <row r="4427" spans="1:6" x14ac:dyDescent="0.35">
      <c r="A4427" t="s">
        <v>7937</v>
      </c>
      <c r="B4427" t="s">
        <v>6534</v>
      </c>
      <c r="C4427" t="s">
        <v>7937</v>
      </c>
      <c r="D4427" t="s">
        <v>11704</v>
      </c>
      <c r="E4427">
        <f>learners_pss_m_ip</f>
        <v>0</v>
      </c>
      <c r="F4427" t="b">
        <v>1</v>
      </c>
    </row>
    <row r="4428" spans="1:6" x14ac:dyDescent="0.35">
      <c r="A4428" t="s">
        <v>7938</v>
      </c>
      <c r="B4428" t="s">
        <v>6534</v>
      </c>
      <c r="C4428" t="s">
        <v>7938</v>
      </c>
      <c r="D4428" t="s">
        <v>11705</v>
      </c>
      <c r="E4428">
        <f>learners_pss_f_ip</f>
        <v>0</v>
      </c>
      <c r="F4428" t="b">
        <v>1</v>
      </c>
    </row>
    <row r="4429" spans="1:6" x14ac:dyDescent="0.35">
      <c r="A4429" t="s">
        <v>7939</v>
      </c>
      <c r="B4429" t="s">
        <v>6534</v>
      </c>
      <c r="C4429" t="s">
        <v>7939</v>
      </c>
      <c r="D4429" t="s">
        <v>11706</v>
      </c>
      <c r="E4429">
        <f>learners_pss_m_muslim</f>
        <v>0</v>
      </c>
      <c r="F4429" t="b">
        <v>1</v>
      </c>
    </row>
    <row r="4430" spans="1:6" x14ac:dyDescent="0.35">
      <c r="A4430" t="s">
        <v>7940</v>
      </c>
      <c r="B4430" t="s">
        <v>6534</v>
      </c>
      <c r="C4430" t="s">
        <v>7940</v>
      </c>
      <c r="D4430" t="s">
        <v>11707</v>
      </c>
      <c r="E4430">
        <f>learners_pss_f_muslim</f>
        <v>0</v>
      </c>
      <c r="F4430" t="b">
        <v>1</v>
      </c>
    </row>
    <row r="4431" spans="1:6" x14ac:dyDescent="0.35">
      <c r="A4431" t="s">
        <v>7941</v>
      </c>
      <c r="B4431" t="s">
        <v>6534</v>
      </c>
      <c r="C4431" t="s">
        <v>7941</v>
      </c>
      <c r="D4431" t="s">
        <v>11708</v>
      </c>
      <c r="E4431">
        <f>learners_pss_m_pwd</f>
        <v>0</v>
      </c>
      <c r="F4431" t="b">
        <v>1</v>
      </c>
    </row>
    <row r="4432" spans="1:6" x14ac:dyDescent="0.35">
      <c r="A4432" t="s">
        <v>7942</v>
      </c>
      <c r="B4432" t="s">
        <v>6534</v>
      </c>
      <c r="C4432" t="s">
        <v>7942</v>
      </c>
      <c r="D4432" t="s">
        <v>11709</v>
      </c>
      <c r="E4432">
        <f>learners_pss_f_pwd</f>
        <v>0</v>
      </c>
      <c r="F4432" t="b">
        <v>1</v>
      </c>
    </row>
    <row r="4433" spans="1:6" x14ac:dyDescent="0.35">
      <c r="A4433" t="s">
        <v>7943</v>
      </c>
      <c r="B4433" t="s">
        <v>6534</v>
      </c>
      <c r="C4433" t="s">
        <v>7943</v>
      </c>
      <c r="D4433" t="s">
        <v>11710</v>
      </c>
      <c r="E4433">
        <f>learners_referral_m_excluding</f>
        <v>0</v>
      </c>
      <c r="F4433" t="b">
        <v>1</v>
      </c>
    </row>
    <row r="4434" spans="1:6" x14ac:dyDescent="0.35">
      <c r="A4434" t="s">
        <v>7944</v>
      </c>
      <c r="B4434" t="s">
        <v>6534</v>
      </c>
      <c r="C4434" t="s">
        <v>7944</v>
      </c>
      <c r="D4434" t="s">
        <v>11711</v>
      </c>
      <c r="E4434">
        <f>learners_referral_f_excluding</f>
        <v>0</v>
      </c>
      <c r="F4434" t="b">
        <v>1</v>
      </c>
    </row>
    <row r="4435" spans="1:6" x14ac:dyDescent="0.35">
      <c r="A4435" t="s">
        <v>7945</v>
      </c>
      <c r="B4435" t="s">
        <v>6534</v>
      </c>
      <c r="C4435" t="s">
        <v>7945</v>
      </c>
      <c r="D4435" t="s">
        <v>11712</v>
      </c>
      <c r="E4435">
        <f>learners_referral_m_ip</f>
        <v>0</v>
      </c>
      <c r="F4435" t="b">
        <v>1</v>
      </c>
    </row>
    <row r="4436" spans="1:6" x14ac:dyDescent="0.35">
      <c r="A4436" t="s">
        <v>7946</v>
      </c>
      <c r="B4436" t="s">
        <v>6534</v>
      </c>
      <c r="C4436" t="s">
        <v>7946</v>
      </c>
      <c r="D4436" t="s">
        <v>11713</v>
      </c>
      <c r="E4436">
        <f>learners_referral_f_ip</f>
        <v>0</v>
      </c>
      <c r="F4436" t="b">
        <v>1</v>
      </c>
    </row>
    <row r="4437" spans="1:6" x14ac:dyDescent="0.35">
      <c r="A4437" t="s">
        <v>7947</v>
      </c>
      <c r="B4437" t="s">
        <v>6534</v>
      </c>
      <c r="C4437" t="s">
        <v>7947</v>
      </c>
      <c r="D4437" t="s">
        <v>11714</v>
      </c>
      <c r="E4437">
        <f>learners_referral_m_muslim</f>
        <v>0</v>
      </c>
      <c r="F4437" t="b">
        <v>1</v>
      </c>
    </row>
    <row r="4438" spans="1:6" x14ac:dyDescent="0.35">
      <c r="A4438" t="s">
        <v>7948</v>
      </c>
      <c r="B4438" t="s">
        <v>6534</v>
      </c>
      <c r="C4438" t="s">
        <v>7948</v>
      </c>
      <c r="D4438" t="s">
        <v>11715</v>
      </c>
      <c r="E4438">
        <f>learners_referral_f_muslim</f>
        <v>0</v>
      </c>
      <c r="F4438" t="b">
        <v>1</v>
      </c>
    </row>
    <row r="4439" spans="1:6" x14ac:dyDescent="0.35">
      <c r="A4439" t="s">
        <v>7949</v>
      </c>
      <c r="B4439" t="s">
        <v>6534</v>
      </c>
      <c r="C4439" t="s">
        <v>7949</v>
      </c>
      <c r="D4439" t="s">
        <v>11716</v>
      </c>
      <c r="E4439">
        <f>learners_referral_m_pwd</f>
        <v>0</v>
      </c>
      <c r="F4439" t="b">
        <v>1</v>
      </c>
    </row>
    <row r="4440" spans="1:6" x14ac:dyDescent="0.35">
      <c r="A4440" t="s">
        <v>7950</v>
      </c>
      <c r="B4440" t="s">
        <v>6534</v>
      </c>
      <c r="C4440" t="s">
        <v>7950</v>
      </c>
      <c r="D4440" t="s">
        <v>11717</v>
      </c>
      <c r="E4440">
        <f>learners_referral_f_pwd</f>
        <v>0</v>
      </c>
      <c r="F4440" t="b">
        <v>1</v>
      </c>
    </row>
    <row r="4441" spans="1:6" x14ac:dyDescent="0.35">
      <c r="A4441" t="s">
        <v>7981</v>
      </c>
      <c r="B4441" t="s">
        <v>6534</v>
      </c>
      <c r="C4441" t="s">
        <v>7981</v>
      </c>
      <c r="D4441" t="s">
        <v>11718</v>
      </c>
      <c r="E4441" cm="1">
        <f t="array" ref="E4441">disaster_response_mhpss_teaching_m</f>
        <v>0</v>
      </c>
      <c r="F4441" t="b">
        <v>1</v>
      </c>
    </row>
    <row r="4442" spans="1:6" x14ac:dyDescent="0.35">
      <c r="A4442" t="s">
        <v>7982</v>
      </c>
      <c r="B4442" t="s">
        <v>6534</v>
      </c>
      <c r="C4442" t="s">
        <v>7982</v>
      </c>
      <c r="D4442" t="s">
        <v>11719</v>
      </c>
      <c r="E4442" cm="1">
        <f t="array" ref="E4442">disaster_response_mhpss_teaching_f</f>
        <v>0</v>
      </c>
      <c r="F4442" t="b">
        <v>1</v>
      </c>
    </row>
    <row r="4443" spans="1:6" x14ac:dyDescent="0.35">
      <c r="A4443" t="s">
        <v>7987</v>
      </c>
      <c r="B4443" t="s">
        <v>6534</v>
      </c>
      <c r="C4443" t="s">
        <v>7987</v>
      </c>
      <c r="D4443" t="s">
        <v>11720</v>
      </c>
      <c r="E4443" cm="1">
        <f t="array" ref="E4443">disaster_response_mhpss_nonteaching_m</f>
        <v>0</v>
      </c>
      <c r="F4443" t="b">
        <v>1</v>
      </c>
    </row>
    <row r="4444" spans="1:6" x14ac:dyDescent="0.35">
      <c r="A4444" t="s">
        <v>7988</v>
      </c>
      <c r="B4444" t="s">
        <v>6534</v>
      </c>
      <c r="C4444" t="s">
        <v>7988</v>
      </c>
      <c r="D4444" t="s">
        <v>11721</v>
      </c>
      <c r="E4444" cm="1">
        <f t="array" ref="E4444">disaster_response_mhpss_nonteaching_f</f>
        <v>0</v>
      </c>
      <c r="F4444" t="b">
        <v>1</v>
      </c>
    </row>
    <row r="4445" spans="1:6" x14ac:dyDescent="0.35">
      <c r="A4445" t="s">
        <v>7983</v>
      </c>
      <c r="B4445" t="s">
        <v>6534</v>
      </c>
      <c r="C4445" t="s">
        <v>7983</v>
      </c>
      <c r="D4445" t="s">
        <v>11722</v>
      </c>
      <c r="E4445" cm="1">
        <f t="array" ref="E4445">disaster_response_pss_teaching_m</f>
        <v>0</v>
      </c>
      <c r="F4445" t="b">
        <v>1</v>
      </c>
    </row>
    <row r="4446" spans="1:6" x14ac:dyDescent="0.35">
      <c r="A4446" t="s">
        <v>7984</v>
      </c>
      <c r="B4446" t="s">
        <v>6534</v>
      </c>
      <c r="C4446" t="s">
        <v>7984</v>
      </c>
      <c r="D4446" t="s">
        <v>11723</v>
      </c>
      <c r="E4446" cm="1">
        <f t="array" ref="E4446">disaster_response_pss_teaching_f</f>
        <v>0</v>
      </c>
      <c r="F4446" t="b">
        <v>1</v>
      </c>
    </row>
    <row r="4447" spans="1:6" x14ac:dyDescent="0.35">
      <c r="A4447" t="s">
        <v>7989</v>
      </c>
      <c r="B4447" t="s">
        <v>6534</v>
      </c>
      <c r="C4447" t="s">
        <v>7989</v>
      </c>
      <c r="D4447" t="s">
        <v>11724</v>
      </c>
      <c r="E4447" cm="1">
        <f t="array" ref="E4447">disaster_response_pss_nonteaching_m</f>
        <v>0</v>
      </c>
      <c r="F4447" t="b">
        <v>1</v>
      </c>
    </row>
    <row r="4448" spans="1:6" x14ac:dyDescent="0.35">
      <c r="A4448" t="s">
        <v>7990</v>
      </c>
      <c r="B4448" t="s">
        <v>6534</v>
      </c>
      <c r="C4448" t="s">
        <v>7990</v>
      </c>
      <c r="D4448" t="s">
        <v>11725</v>
      </c>
      <c r="E4448" cm="1">
        <f t="array" ref="E4448">disaster_response_pss_nonteaching_f</f>
        <v>0</v>
      </c>
      <c r="F4448" t="b">
        <v>1</v>
      </c>
    </row>
    <row r="4449" spans="1:14" x14ac:dyDescent="0.35">
      <c r="A4449" t="s">
        <v>7985</v>
      </c>
      <c r="B4449" t="s">
        <v>6534</v>
      </c>
      <c r="C4449" t="s">
        <v>7985</v>
      </c>
      <c r="D4449" t="s">
        <v>11726</v>
      </c>
      <c r="E4449" cm="1">
        <f t="array" ref="E4449">disaster_response_referral_teaching_m</f>
        <v>0</v>
      </c>
      <c r="F4449" t="b">
        <v>1</v>
      </c>
    </row>
    <row r="4450" spans="1:14" x14ac:dyDescent="0.35">
      <c r="A4450" t="s">
        <v>7986</v>
      </c>
      <c r="B4450" t="s">
        <v>6534</v>
      </c>
      <c r="C4450" t="s">
        <v>7986</v>
      </c>
      <c r="D4450" t="s">
        <v>11727</v>
      </c>
      <c r="E4450" cm="1">
        <f t="array" ref="E4450">disaster_response_referral_teaching_f</f>
        <v>0</v>
      </c>
      <c r="F4450" t="b">
        <v>1</v>
      </c>
    </row>
    <row r="4451" spans="1:14" x14ac:dyDescent="0.35">
      <c r="A4451" t="s">
        <v>7991</v>
      </c>
      <c r="B4451" t="s">
        <v>6534</v>
      </c>
      <c r="C4451" t="s">
        <v>7991</v>
      </c>
      <c r="D4451" t="s">
        <v>11728</v>
      </c>
      <c r="E4451" cm="1">
        <f t="array" ref="E4451">disaster_response_referral_nonteaching_m</f>
        <v>0</v>
      </c>
      <c r="F4451" t="b">
        <v>1</v>
      </c>
    </row>
    <row r="4452" spans="1:14" x14ac:dyDescent="0.35">
      <c r="A4452" t="s">
        <v>7992</v>
      </c>
      <c r="B4452" t="s">
        <v>6534</v>
      </c>
      <c r="C4452" t="s">
        <v>7992</v>
      </c>
      <c r="D4452" t="s">
        <v>11729</v>
      </c>
      <c r="E4452" cm="1">
        <f t="array" ref="E4452">disaster_response_referral_nonteaching_f</f>
        <v>0</v>
      </c>
      <c r="F4452" t="b">
        <v>1</v>
      </c>
    </row>
    <row r="4453" spans="1:14" x14ac:dyDescent="0.35">
      <c r="A4453" t="s">
        <v>8547</v>
      </c>
      <c r="B4453" t="s">
        <v>6534</v>
      </c>
      <c r="C4453" t="s">
        <v>8547</v>
      </c>
      <c r="D4453" t="s">
        <v>11730</v>
      </c>
      <c r="E4453" cm="1">
        <f t="array" ref="E4453">sch_mhpss_inverventions</f>
        <v>0</v>
      </c>
      <c r="F4453" t="b">
        <v>1</v>
      </c>
    </row>
    <row r="4454" spans="1:14" x14ac:dyDescent="0.35">
      <c r="A4454" t="s">
        <v>8548</v>
      </c>
      <c r="B4454" t="s">
        <v>6534</v>
      </c>
      <c r="C4454" t="s">
        <v>8548</v>
      </c>
      <c r="D4454" t="s">
        <v>11731</v>
      </c>
      <c r="E4454">
        <f>sch_localgroups_mobilized</f>
        <v>0</v>
      </c>
      <c r="F4454" t="b">
        <v>1</v>
      </c>
    </row>
    <row r="4455" spans="1:14" x14ac:dyDescent="0.35">
      <c r="A4455" t="s">
        <v>8549</v>
      </c>
      <c r="B4455" t="s">
        <v>6534</v>
      </c>
      <c r="C4455" t="s">
        <v>8549</v>
      </c>
      <c r="D4455" t="s">
        <v>11732</v>
      </c>
      <c r="E4455" t="b">
        <f>sch_rcvd_replacement_furniture</f>
        <v>0</v>
      </c>
      <c r="F4455" t="b">
        <f t="shared" ref="F4455:F4458" si="27">ISLOGICAL(E4455)</f>
        <v>1</v>
      </c>
      <c r="G4455" t="s">
        <v>12516</v>
      </c>
    </row>
    <row r="4456" spans="1:14" x14ac:dyDescent="0.35">
      <c r="A4456" t="s">
        <v>8550</v>
      </c>
      <c r="B4456" t="s">
        <v>6534</v>
      </c>
      <c r="C4456" t="s">
        <v>8550</v>
      </c>
      <c r="D4456" t="s">
        <v>11733</v>
      </c>
      <c r="E4456" t="b">
        <f>sch_rcvd_replacement_dcp</f>
        <v>0</v>
      </c>
      <c r="F4456" t="b">
        <f t="shared" si="27"/>
        <v>1</v>
      </c>
      <c r="G4456" t="s">
        <v>12516</v>
      </c>
    </row>
    <row r="4457" spans="1:14" x14ac:dyDescent="0.35">
      <c r="A4457" t="s">
        <v>8551</v>
      </c>
      <c r="B4457" t="s">
        <v>6534</v>
      </c>
      <c r="C4457" t="s">
        <v>8551</v>
      </c>
      <c r="D4457" t="s">
        <v>11734</v>
      </c>
      <c r="E4457" t="b" cm="1">
        <f t="array" ref="E4457">sch_rcvd_replacement_learnresources</f>
        <v>0</v>
      </c>
      <c r="F4457" t="b">
        <f t="shared" si="27"/>
        <v>1</v>
      </c>
      <c r="G4457" t="s">
        <v>12516</v>
      </c>
    </row>
    <row r="4458" spans="1:14" s="1348" customFormat="1" ht="16" thickBot="1" x14ac:dyDescent="0.4">
      <c r="A4458" s="1348" t="s">
        <v>8552</v>
      </c>
      <c r="B4458" s="1348" t="s">
        <v>6534</v>
      </c>
      <c r="C4458" s="1348" t="s">
        <v>8552</v>
      </c>
      <c r="D4458" s="1348" t="s">
        <v>11735</v>
      </c>
      <c r="E4458" s="1348" t="b">
        <f>sch_rcvd_feedback_mechanism</f>
        <v>0</v>
      </c>
      <c r="F4458" s="1348" t="b">
        <f t="shared" si="27"/>
        <v>1</v>
      </c>
      <c r="G4458" s="1348" t="s">
        <v>12516</v>
      </c>
      <c r="N4458" s="1358"/>
    </row>
    <row r="4459" spans="1:14" x14ac:dyDescent="0.35">
      <c r="A4459" t="s">
        <v>8553</v>
      </c>
      <c r="B4459" t="s">
        <v>11736</v>
      </c>
      <c r="C4459" t="s">
        <v>8553</v>
      </c>
      <c r="D4459" t="s">
        <v>11737</v>
      </c>
      <c r="E4459" t="b">
        <f>sch_science_drrm_g7</f>
        <v>0</v>
      </c>
      <c r="F4459" t="b">
        <f t="shared" ref="F4459:F4491" si="28">ISLOGICAL(E4459)</f>
        <v>1</v>
      </c>
      <c r="G4459" t="s">
        <v>12516</v>
      </c>
    </row>
    <row r="4460" spans="1:14" x14ac:dyDescent="0.35">
      <c r="A4460" t="s">
        <v>8554</v>
      </c>
      <c r="B4460" t="s">
        <v>11736</v>
      </c>
      <c r="C4460" t="s">
        <v>8554</v>
      </c>
      <c r="D4460" t="s">
        <v>11738</v>
      </c>
      <c r="E4460" t="b">
        <f>sch_science_drrm_g8</f>
        <v>1</v>
      </c>
      <c r="F4460" t="b">
        <f t="shared" si="28"/>
        <v>1</v>
      </c>
      <c r="G4460" t="s">
        <v>12516</v>
      </c>
    </row>
    <row r="4461" spans="1:14" x14ac:dyDescent="0.35">
      <c r="A4461" t="s">
        <v>8555</v>
      </c>
      <c r="B4461" t="s">
        <v>11736</v>
      </c>
      <c r="C4461" t="s">
        <v>8555</v>
      </c>
      <c r="D4461" t="s">
        <v>11739</v>
      </c>
      <c r="E4461" t="b">
        <f>sch_science_drrm_g9</f>
        <v>0</v>
      </c>
      <c r="F4461" t="b">
        <f t="shared" si="28"/>
        <v>1</v>
      </c>
      <c r="G4461" t="s">
        <v>12516</v>
      </c>
    </row>
    <row r="4462" spans="1:14" x14ac:dyDescent="0.35">
      <c r="A4462" t="s">
        <v>8556</v>
      </c>
      <c r="B4462" t="s">
        <v>11736</v>
      </c>
      <c r="C4462" t="s">
        <v>8556</v>
      </c>
      <c r="D4462" t="s">
        <v>11740</v>
      </c>
      <c r="E4462" t="b">
        <f>sch_science_drrm_g10</f>
        <v>0</v>
      </c>
      <c r="F4462" t="b">
        <f t="shared" si="28"/>
        <v>1</v>
      </c>
      <c r="G4462" t="s">
        <v>12516</v>
      </c>
    </row>
    <row r="4463" spans="1:14" x14ac:dyDescent="0.35">
      <c r="A4463" t="s">
        <v>8557</v>
      </c>
      <c r="B4463" t="s">
        <v>11736</v>
      </c>
      <c r="C4463" t="s">
        <v>8557</v>
      </c>
      <c r="D4463" t="s">
        <v>11741</v>
      </c>
      <c r="E4463" t="b">
        <f>sch_science_ccam_g7</f>
        <v>0</v>
      </c>
      <c r="F4463" t="b">
        <f t="shared" si="28"/>
        <v>1</v>
      </c>
      <c r="G4463" t="s">
        <v>12516</v>
      </c>
    </row>
    <row r="4464" spans="1:14" x14ac:dyDescent="0.35">
      <c r="A4464" t="s">
        <v>8558</v>
      </c>
      <c r="B4464" t="s">
        <v>11736</v>
      </c>
      <c r="C4464" t="s">
        <v>8558</v>
      </c>
      <c r="D4464" t="s">
        <v>11742</v>
      </c>
      <c r="E4464" t="b">
        <f>sch_science_ccam_g8</f>
        <v>0</v>
      </c>
      <c r="F4464" t="b">
        <f t="shared" si="28"/>
        <v>1</v>
      </c>
      <c r="G4464" t="s">
        <v>12516</v>
      </c>
    </row>
    <row r="4465" spans="1:7" x14ac:dyDescent="0.35">
      <c r="A4465" t="s">
        <v>8559</v>
      </c>
      <c r="B4465" t="s">
        <v>11736</v>
      </c>
      <c r="C4465" t="s">
        <v>8559</v>
      </c>
      <c r="D4465" t="s">
        <v>11743</v>
      </c>
      <c r="E4465" t="b">
        <f>sch_science_ccam_g9</f>
        <v>0</v>
      </c>
      <c r="F4465" t="b">
        <f t="shared" si="28"/>
        <v>1</v>
      </c>
      <c r="G4465" t="s">
        <v>12516</v>
      </c>
    </row>
    <row r="4466" spans="1:7" x14ac:dyDescent="0.35">
      <c r="A4466" t="s">
        <v>8560</v>
      </c>
      <c r="B4466" t="s">
        <v>11736</v>
      </c>
      <c r="C4466" t="s">
        <v>8560</v>
      </c>
      <c r="D4466" t="s">
        <v>11744</v>
      </c>
      <c r="E4466" t="b">
        <f>sch_science_ccam_g10</f>
        <v>0</v>
      </c>
      <c r="F4466" t="b">
        <f t="shared" si="28"/>
        <v>1</v>
      </c>
      <c r="G4466" t="s">
        <v>12516</v>
      </c>
    </row>
    <row r="4467" spans="1:7" x14ac:dyDescent="0.35">
      <c r="A4467" t="s">
        <v>8561</v>
      </c>
      <c r="B4467" t="s">
        <v>11736</v>
      </c>
      <c r="C4467" t="s">
        <v>8561</v>
      </c>
      <c r="D4467" t="s">
        <v>11745</v>
      </c>
      <c r="E4467" t="b">
        <f>sch_science_peacebuilding_g7</f>
        <v>0</v>
      </c>
      <c r="F4467" t="b">
        <f t="shared" si="28"/>
        <v>1</v>
      </c>
      <c r="G4467" t="s">
        <v>12516</v>
      </c>
    </row>
    <row r="4468" spans="1:7" x14ac:dyDescent="0.35">
      <c r="A4468" t="s">
        <v>8562</v>
      </c>
      <c r="B4468" t="s">
        <v>11736</v>
      </c>
      <c r="C4468" t="s">
        <v>8562</v>
      </c>
      <c r="D4468" t="s">
        <v>11746</v>
      </c>
      <c r="E4468" t="b">
        <f>sch_science_peacebuilding_g8</f>
        <v>0</v>
      </c>
      <c r="F4468" t="b">
        <f t="shared" si="28"/>
        <v>1</v>
      </c>
      <c r="G4468" t="s">
        <v>12516</v>
      </c>
    </row>
    <row r="4469" spans="1:7" x14ac:dyDescent="0.35">
      <c r="A4469" t="s">
        <v>8563</v>
      </c>
      <c r="B4469" t="s">
        <v>11736</v>
      </c>
      <c r="C4469" t="s">
        <v>8563</v>
      </c>
      <c r="D4469" t="s">
        <v>11747</v>
      </c>
      <c r="E4469" t="b">
        <f>sch_science_peacebuilding_g9</f>
        <v>0</v>
      </c>
      <c r="F4469" t="b">
        <f t="shared" si="28"/>
        <v>1</v>
      </c>
      <c r="G4469" t="s">
        <v>12516</v>
      </c>
    </row>
    <row r="4470" spans="1:7" x14ac:dyDescent="0.35">
      <c r="A4470" t="s">
        <v>8564</v>
      </c>
      <c r="B4470" t="s">
        <v>11736</v>
      </c>
      <c r="C4470" t="s">
        <v>8564</v>
      </c>
      <c r="D4470" t="s">
        <v>11748</v>
      </c>
      <c r="E4470" t="b">
        <f>sch_science_peacebuilding_g10</f>
        <v>0</v>
      </c>
      <c r="F4470" t="b">
        <f t="shared" si="28"/>
        <v>1</v>
      </c>
      <c r="G4470" t="s">
        <v>12516</v>
      </c>
    </row>
    <row r="4471" spans="1:7" x14ac:dyDescent="0.35">
      <c r="A4471" t="s">
        <v>8565</v>
      </c>
      <c r="B4471" t="s">
        <v>11736</v>
      </c>
      <c r="C4471" t="s">
        <v>8565</v>
      </c>
      <c r="D4471" t="s">
        <v>11749</v>
      </c>
      <c r="E4471" t="b">
        <f>sch_ap_drrm_g7</f>
        <v>0</v>
      </c>
      <c r="F4471" t="b">
        <f t="shared" si="28"/>
        <v>1</v>
      </c>
      <c r="G4471" t="s">
        <v>12516</v>
      </c>
    </row>
    <row r="4472" spans="1:7" x14ac:dyDescent="0.35">
      <c r="A4472" t="s">
        <v>8566</v>
      </c>
      <c r="B4472" t="s">
        <v>11736</v>
      </c>
      <c r="C4472" t="s">
        <v>8566</v>
      </c>
      <c r="D4472" t="s">
        <v>11750</v>
      </c>
      <c r="E4472" t="b">
        <f>sch_ap_drrm_g8</f>
        <v>0</v>
      </c>
      <c r="F4472" t="b">
        <f t="shared" si="28"/>
        <v>1</v>
      </c>
      <c r="G4472" t="s">
        <v>12516</v>
      </c>
    </row>
    <row r="4473" spans="1:7" x14ac:dyDescent="0.35">
      <c r="A4473" t="s">
        <v>8567</v>
      </c>
      <c r="B4473" t="s">
        <v>11736</v>
      </c>
      <c r="C4473" t="s">
        <v>8567</v>
      </c>
      <c r="D4473" t="s">
        <v>11751</v>
      </c>
      <c r="E4473" t="b">
        <f>sch_ap_drrm_g9</f>
        <v>0</v>
      </c>
      <c r="F4473" t="b">
        <f t="shared" si="28"/>
        <v>1</v>
      </c>
      <c r="G4473" t="s">
        <v>12516</v>
      </c>
    </row>
    <row r="4474" spans="1:7" x14ac:dyDescent="0.35">
      <c r="A4474" t="s">
        <v>8568</v>
      </c>
      <c r="B4474" t="s">
        <v>11736</v>
      </c>
      <c r="C4474" t="s">
        <v>8568</v>
      </c>
      <c r="D4474" t="s">
        <v>11752</v>
      </c>
      <c r="E4474" t="b">
        <f>sch_ap_drrm_g10</f>
        <v>0</v>
      </c>
      <c r="F4474" t="b">
        <f t="shared" si="28"/>
        <v>1</v>
      </c>
      <c r="G4474" t="s">
        <v>12516</v>
      </c>
    </row>
    <row r="4475" spans="1:7" x14ac:dyDescent="0.35">
      <c r="A4475" t="s">
        <v>8569</v>
      </c>
      <c r="B4475" t="s">
        <v>11736</v>
      </c>
      <c r="C4475" t="s">
        <v>8569</v>
      </c>
      <c r="D4475" t="s">
        <v>11753</v>
      </c>
      <c r="E4475" t="b">
        <f>sch_ap_ccam_g7</f>
        <v>0</v>
      </c>
      <c r="F4475" t="b">
        <f t="shared" si="28"/>
        <v>1</v>
      </c>
      <c r="G4475" t="s">
        <v>12516</v>
      </c>
    </row>
    <row r="4476" spans="1:7" x14ac:dyDescent="0.35">
      <c r="A4476" t="s">
        <v>8570</v>
      </c>
      <c r="B4476" t="s">
        <v>11736</v>
      </c>
      <c r="C4476" t="s">
        <v>8570</v>
      </c>
      <c r="D4476" t="s">
        <v>11754</v>
      </c>
      <c r="E4476" t="b">
        <f>sch_ap_ccam_g8</f>
        <v>0</v>
      </c>
      <c r="F4476" t="b">
        <f t="shared" si="28"/>
        <v>1</v>
      </c>
      <c r="G4476" t="s">
        <v>12516</v>
      </c>
    </row>
    <row r="4477" spans="1:7" x14ac:dyDescent="0.35">
      <c r="A4477" t="s">
        <v>8571</v>
      </c>
      <c r="B4477" t="s">
        <v>11736</v>
      </c>
      <c r="C4477" t="s">
        <v>8571</v>
      </c>
      <c r="D4477" t="s">
        <v>11755</v>
      </c>
      <c r="E4477" t="b">
        <f>sch_ap_ccam_g9</f>
        <v>0</v>
      </c>
      <c r="F4477" t="b">
        <f t="shared" si="28"/>
        <v>1</v>
      </c>
      <c r="G4477" t="s">
        <v>12516</v>
      </c>
    </row>
    <row r="4478" spans="1:7" x14ac:dyDescent="0.35">
      <c r="A4478" t="s">
        <v>8572</v>
      </c>
      <c r="B4478" t="s">
        <v>11736</v>
      </c>
      <c r="C4478" t="s">
        <v>8572</v>
      </c>
      <c r="D4478" t="s">
        <v>11756</v>
      </c>
      <c r="E4478" t="b">
        <f>sch_ap_ccam_g10</f>
        <v>0</v>
      </c>
      <c r="F4478" t="b">
        <f t="shared" si="28"/>
        <v>1</v>
      </c>
      <c r="G4478" t="s">
        <v>12516</v>
      </c>
    </row>
    <row r="4479" spans="1:7" x14ac:dyDescent="0.35">
      <c r="A4479" t="s">
        <v>8573</v>
      </c>
      <c r="B4479" t="s">
        <v>11736</v>
      </c>
      <c r="C4479" t="s">
        <v>8573</v>
      </c>
      <c r="D4479" t="s">
        <v>11757</v>
      </c>
      <c r="E4479" t="b">
        <f>sch_ap_peacebuilding_g7</f>
        <v>0</v>
      </c>
      <c r="F4479" t="b">
        <f t="shared" si="28"/>
        <v>1</v>
      </c>
      <c r="G4479" t="s">
        <v>12516</v>
      </c>
    </row>
    <row r="4480" spans="1:7" x14ac:dyDescent="0.35">
      <c r="A4480" t="s">
        <v>8574</v>
      </c>
      <c r="B4480" t="s">
        <v>11736</v>
      </c>
      <c r="C4480" t="s">
        <v>8574</v>
      </c>
      <c r="D4480" t="s">
        <v>11758</v>
      </c>
      <c r="E4480" t="b">
        <f>sch_ap_peacebuilding_g8</f>
        <v>0</v>
      </c>
      <c r="F4480" t="b">
        <f t="shared" si="28"/>
        <v>1</v>
      </c>
      <c r="G4480" t="s">
        <v>12516</v>
      </c>
    </row>
    <row r="4481" spans="1:7" x14ac:dyDescent="0.35">
      <c r="A4481" t="s">
        <v>8575</v>
      </c>
      <c r="B4481" t="s">
        <v>11736</v>
      </c>
      <c r="C4481" t="s">
        <v>8575</v>
      </c>
      <c r="D4481" t="s">
        <v>11759</v>
      </c>
      <c r="E4481" t="b">
        <f>sch_ap_peacebuilding_g9</f>
        <v>0</v>
      </c>
      <c r="F4481" t="b">
        <f t="shared" si="28"/>
        <v>1</v>
      </c>
      <c r="G4481" t="s">
        <v>12516</v>
      </c>
    </row>
    <row r="4482" spans="1:7" x14ac:dyDescent="0.35">
      <c r="A4482" t="s">
        <v>8576</v>
      </c>
      <c r="B4482" t="s">
        <v>11736</v>
      </c>
      <c r="C4482" t="s">
        <v>8576</v>
      </c>
      <c r="D4482" t="s">
        <v>11760</v>
      </c>
      <c r="E4482" t="b">
        <f>sch_ap_peacebuilding_g10</f>
        <v>0</v>
      </c>
      <c r="F4482" t="b">
        <f t="shared" si="28"/>
        <v>1</v>
      </c>
      <c r="G4482" t="s">
        <v>12516</v>
      </c>
    </row>
    <row r="4483" spans="1:7" x14ac:dyDescent="0.35">
      <c r="A4483" t="s">
        <v>8577</v>
      </c>
      <c r="B4483" t="s">
        <v>11736</v>
      </c>
      <c r="C4483" t="s">
        <v>8577</v>
      </c>
      <c r="D4483" t="s">
        <v>11761</v>
      </c>
      <c r="E4483" t="b">
        <f>sch_esp_drrm_g7</f>
        <v>0</v>
      </c>
      <c r="F4483" t="b">
        <f t="shared" si="28"/>
        <v>1</v>
      </c>
      <c r="G4483" t="s">
        <v>12516</v>
      </c>
    </row>
    <row r="4484" spans="1:7" x14ac:dyDescent="0.35">
      <c r="A4484" t="s">
        <v>8578</v>
      </c>
      <c r="B4484" t="s">
        <v>11736</v>
      </c>
      <c r="C4484" t="s">
        <v>8578</v>
      </c>
      <c r="D4484" t="s">
        <v>11762</v>
      </c>
      <c r="E4484" t="b">
        <f>sch_esp_drrm_g8</f>
        <v>0</v>
      </c>
      <c r="F4484" t="b">
        <f t="shared" si="28"/>
        <v>1</v>
      </c>
      <c r="G4484" t="s">
        <v>12516</v>
      </c>
    </row>
    <row r="4485" spans="1:7" x14ac:dyDescent="0.35">
      <c r="A4485" t="s">
        <v>8579</v>
      </c>
      <c r="B4485" t="s">
        <v>11736</v>
      </c>
      <c r="C4485" t="s">
        <v>8579</v>
      </c>
      <c r="D4485" t="s">
        <v>11763</v>
      </c>
      <c r="E4485" t="b">
        <f>sch_esp_drrm_g9</f>
        <v>0</v>
      </c>
      <c r="F4485" t="b">
        <f t="shared" si="28"/>
        <v>1</v>
      </c>
      <c r="G4485" t="s">
        <v>12516</v>
      </c>
    </row>
    <row r="4486" spans="1:7" x14ac:dyDescent="0.35">
      <c r="A4486" t="s">
        <v>8580</v>
      </c>
      <c r="B4486" t="s">
        <v>11736</v>
      </c>
      <c r="C4486" t="s">
        <v>8580</v>
      </c>
      <c r="D4486" t="s">
        <v>11764</v>
      </c>
      <c r="E4486" t="b">
        <f>sch_esp_drrm_g10</f>
        <v>0</v>
      </c>
      <c r="F4486" t="b">
        <f t="shared" si="28"/>
        <v>1</v>
      </c>
      <c r="G4486" t="s">
        <v>12516</v>
      </c>
    </row>
    <row r="4487" spans="1:7" x14ac:dyDescent="0.35">
      <c r="A4487" t="s">
        <v>8581</v>
      </c>
      <c r="B4487" t="s">
        <v>11736</v>
      </c>
      <c r="C4487" t="s">
        <v>8581</v>
      </c>
      <c r="D4487" t="s">
        <v>11765</v>
      </c>
      <c r="E4487" t="b">
        <f>sch_esp_ccam_g7</f>
        <v>0</v>
      </c>
      <c r="F4487" t="b">
        <f t="shared" si="28"/>
        <v>1</v>
      </c>
      <c r="G4487" t="s">
        <v>12516</v>
      </c>
    </row>
    <row r="4488" spans="1:7" x14ac:dyDescent="0.35">
      <c r="A4488" t="s">
        <v>8582</v>
      </c>
      <c r="B4488" t="s">
        <v>11736</v>
      </c>
      <c r="C4488" t="s">
        <v>8582</v>
      </c>
      <c r="D4488" t="s">
        <v>11766</v>
      </c>
      <c r="E4488" t="b">
        <f>sch_esp_ccam_g8</f>
        <v>0</v>
      </c>
      <c r="F4488" t="b">
        <f t="shared" si="28"/>
        <v>1</v>
      </c>
      <c r="G4488" t="s">
        <v>12516</v>
      </c>
    </row>
    <row r="4489" spans="1:7" x14ac:dyDescent="0.35">
      <c r="A4489" t="s">
        <v>8583</v>
      </c>
      <c r="B4489" t="s">
        <v>11736</v>
      </c>
      <c r="C4489" t="s">
        <v>8583</v>
      </c>
      <c r="D4489" t="s">
        <v>11767</v>
      </c>
      <c r="E4489" t="b">
        <f>sch_esp_ccam_g9</f>
        <v>0</v>
      </c>
      <c r="F4489" t="b">
        <f t="shared" si="28"/>
        <v>1</v>
      </c>
      <c r="G4489" t="s">
        <v>12516</v>
      </c>
    </row>
    <row r="4490" spans="1:7" x14ac:dyDescent="0.35">
      <c r="A4490" t="s">
        <v>8584</v>
      </c>
      <c r="B4490" t="s">
        <v>11736</v>
      </c>
      <c r="C4490" t="s">
        <v>8584</v>
      </c>
      <c r="D4490" t="s">
        <v>11768</v>
      </c>
      <c r="E4490" t="b">
        <f>sch_esp_ccam_g10</f>
        <v>0</v>
      </c>
      <c r="F4490" t="b">
        <f t="shared" si="28"/>
        <v>1</v>
      </c>
      <c r="G4490" t="s">
        <v>12516</v>
      </c>
    </row>
    <row r="4491" spans="1:7" x14ac:dyDescent="0.35">
      <c r="A4491" t="s">
        <v>8585</v>
      </c>
      <c r="B4491" t="s">
        <v>11736</v>
      </c>
      <c r="C4491" t="s">
        <v>8585</v>
      </c>
      <c r="D4491" t="s">
        <v>11769</v>
      </c>
      <c r="E4491" t="b">
        <f>sch_esp_peacebuilding_g7</f>
        <v>0</v>
      </c>
      <c r="F4491" t="b">
        <f t="shared" si="28"/>
        <v>1</v>
      </c>
      <c r="G4491" t="s">
        <v>12516</v>
      </c>
    </row>
    <row r="4492" spans="1:7" x14ac:dyDescent="0.35">
      <c r="A4492" t="s">
        <v>8586</v>
      </c>
      <c r="B4492" t="s">
        <v>11736</v>
      </c>
      <c r="C4492" t="s">
        <v>8586</v>
      </c>
      <c r="D4492" t="s">
        <v>11770</v>
      </c>
      <c r="E4492" t="b">
        <f>sch_esp_peacebuilding_g8</f>
        <v>0</v>
      </c>
      <c r="F4492" t="b">
        <f t="shared" ref="F4492:F4523" si="29">ISLOGICAL(E4492)</f>
        <v>1</v>
      </c>
      <c r="G4492" t="s">
        <v>12516</v>
      </c>
    </row>
    <row r="4493" spans="1:7" x14ac:dyDescent="0.35">
      <c r="A4493" t="s">
        <v>8587</v>
      </c>
      <c r="B4493" t="s">
        <v>11736</v>
      </c>
      <c r="C4493" t="s">
        <v>8587</v>
      </c>
      <c r="D4493" t="s">
        <v>11771</v>
      </c>
      <c r="E4493" t="b">
        <f>sch_esp_peacebuilding_g9</f>
        <v>0</v>
      </c>
      <c r="F4493" t="b">
        <f t="shared" si="29"/>
        <v>1</v>
      </c>
      <c r="G4493" t="s">
        <v>12516</v>
      </c>
    </row>
    <row r="4494" spans="1:7" x14ac:dyDescent="0.35">
      <c r="A4494" t="s">
        <v>8588</v>
      </c>
      <c r="B4494" t="s">
        <v>11736</v>
      </c>
      <c r="C4494" t="s">
        <v>8588</v>
      </c>
      <c r="D4494" t="s">
        <v>11772</v>
      </c>
      <c r="E4494" t="b">
        <f>sch_esp_peacebuilding_g10</f>
        <v>0</v>
      </c>
      <c r="F4494" t="b">
        <f t="shared" si="29"/>
        <v>1</v>
      </c>
      <c r="G4494" t="s">
        <v>12516</v>
      </c>
    </row>
    <row r="4495" spans="1:7" x14ac:dyDescent="0.35">
      <c r="A4495" t="s">
        <v>8589</v>
      </c>
      <c r="B4495" t="s">
        <v>11736</v>
      </c>
      <c r="C4495" t="s">
        <v>8589</v>
      </c>
      <c r="D4495" t="s">
        <v>11773</v>
      </c>
      <c r="E4495" t="b">
        <f>sch_pe_drrm_g7</f>
        <v>0</v>
      </c>
      <c r="F4495" t="b">
        <f t="shared" si="29"/>
        <v>1</v>
      </c>
      <c r="G4495" t="s">
        <v>12516</v>
      </c>
    </row>
    <row r="4496" spans="1:7" x14ac:dyDescent="0.35">
      <c r="A4496" t="s">
        <v>8590</v>
      </c>
      <c r="B4496" t="s">
        <v>11736</v>
      </c>
      <c r="C4496" t="s">
        <v>8590</v>
      </c>
      <c r="D4496" t="s">
        <v>11774</v>
      </c>
      <c r="E4496" t="b">
        <f>sch_pe_drrm_g8</f>
        <v>0</v>
      </c>
      <c r="F4496" t="b">
        <f t="shared" si="29"/>
        <v>1</v>
      </c>
      <c r="G4496" t="s">
        <v>12516</v>
      </c>
    </row>
    <row r="4497" spans="1:7" x14ac:dyDescent="0.35">
      <c r="A4497" t="s">
        <v>8591</v>
      </c>
      <c r="B4497" t="s">
        <v>11736</v>
      </c>
      <c r="C4497" t="s">
        <v>8591</v>
      </c>
      <c r="D4497" t="s">
        <v>11775</v>
      </c>
      <c r="E4497" t="b">
        <f>sch_pe_drrm_g9</f>
        <v>0</v>
      </c>
      <c r="F4497" t="b">
        <f t="shared" si="29"/>
        <v>1</v>
      </c>
      <c r="G4497" t="s">
        <v>12516</v>
      </c>
    </row>
    <row r="4498" spans="1:7" x14ac:dyDescent="0.35">
      <c r="A4498" t="s">
        <v>8592</v>
      </c>
      <c r="B4498" t="s">
        <v>11736</v>
      </c>
      <c r="C4498" t="s">
        <v>8592</v>
      </c>
      <c r="D4498" t="s">
        <v>11776</v>
      </c>
      <c r="E4498" t="b">
        <f>sch_pe_drrm_g10</f>
        <v>0</v>
      </c>
      <c r="F4498" t="b">
        <f t="shared" si="29"/>
        <v>1</v>
      </c>
      <c r="G4498" t="s">
        <v>12516</v>
      </c>
    </row>
    <row r="4499" spans="1:7" x14ac:dyDescent="0.35">
      <c r="A4499" t="s">
        <v>8593</v>
      </c>
      <c r="B4499" t="s">
        <v>11736</v>
      </c>
      <c r="C4499" t="s">
        <v>8593</v>
      </c>
      <c r="D4499" t="s">
        <v>11777</v>
      </c>
      <c r="E4499" t="b">
        <f>sch_pe_ccam_g7</f>
        <v>0</v>
      </c>
      <c r="F4499" t="b">
        <f t="shared" si="29"/>
        <v>1</v>
      </c>
      <c r="G4499" t="s">
        <v>12516</v>
      </c>
    </row>
    <row r="4500" spans="1:7" x14ac:dyDescent="0.35">
      <c r="A4500" t="s">
        <v>8594</v>
      </c>
      <c r="B4500" t="s">
        <v>11736</v>
      </c>
      <c r="C4500" t="s">
        <v>8594</v>
      </c>
      <c r="D4500" t="s">
        <v>11778</v>
      </c>
      <c r="E4500" t="b">
        <f>sch_pe_ccam_g8</f>
        <v>0</v>
      </c>
      <c r="F4500" t="b">
        <f t="shared" si="29"/>
        <v>1</v>
      </c>
      <c r="G4500" t="s">
        <v>12516</v>
      </c>
    </row>
    <row r="4501" spans="1:7" x14ac:dyDescent="0.35">
      <c r="A4501" t="s">
        <v>8595</v>
      </c>
      <c r="B4501" t="s">
        <v>11736</v>
      </c>
      <c r="C4501" t="s">
        <v>8595</v>
      </c>
      <c r="D4501" t="s">
        <v>11779</v>
      </c>
      <c r="E4501" t="b">
        <f>sch_pe_ccam_g9</f>
        <v>0</v>
      </c>
      <c r="F4501" t="b">
        <f t="shared" si="29"/>
        <v>1</v>
      </c>
      <c r="G4501" t="s">
        <v>12516</v>
      </c>
    </row>
    <row r="4502" spans="1:7" x14ac:dyDescent="0.35">
      <c r="A4502" t="s">
        <v>8596</v>
      </c>
      <c r="B4502" t="s">
        <v>11736</v>
      </c>
      <c r="C4502" t="s">
        <v>8596</v>
      </c>
      <c r="D4502" t="s">
        <v>11780</v>
      </c>
      <c r="E4502" t="b">
        <f>sch_pe_ccam_g10</f>
        <v>0</v>
      </c>
      <c r="F4502" t="b">
        <f t="shared" si="29"/>
        <v>1</v>
      </c>
      <c r="G4502" t="s">
        <v>12516</v>
      </c>
    </row>
    <row r="4503" spans="1:7" x14ac:dyDescent="0.35">
      <c r="A4503" t="s">
        <v>8597</v>
      </c>
      <c r="B4503" t="s">
        <v>11736</v>
      </c>
      <c r="C4503" t="s">
        <v>8597</v>
      </c>
      <c r="D4503" t="s">
        <v>11781</v>
      </c>
      <c r="E4503" t="b">
        <f>sch_pe_peacebuilding_g7</f>
        <v>0</v>
      </c>
      <c r="F4503" t="b">
        <f t="shared" si="29"/>
        <v>1</v>
      </c>
      <c r="G4503" t="s">
        <v>12516</v>
      </c>
    </row>
    <row r="4504" spans="1:7" x14ac:dyDescent="0.35">
      <c r="A4504" t="s">
        <v>8598</v>
      </c>
      <c r="B4504" t="s">
        <v>11736</v>
      </c>
      <c r="C4504" t="s">
        <v>8598</v>
      </c>
      <c r="D4504" t="s">
        <v>11782</v>
      </c>
      <c r="E4504" t="b">
        <f>sch_pe_peacebuilding_g8</f>
        <v>0</v>
      </c>
      <c r="F4504" t="b">
        <f t="shared" si="29"/>
        <v>1</v>
      </c>
      <c r="G4504" t="s">
        <v>12516</v>
      </c>
    </row>
    <row r="4505" spans="1:7" x14ac:dyDescent="0.35">
      <c r="A4505" t="s">
        <v>8599</v>
      </c>
      <c r="B4505" t="s">
        <v>11736</v>
      </c>
      <c r="C4505" t="s">
        <v>8599</v>
      </c>
      <c r="D4505" t="s">
        <v>11783</v>
      </c>
      <c r="E4505" t="b">
        <f>sch_pe_peacebuilding_g9</f>
        <v>0</v>
      </c>
      <c r="F4505" t="b">
        <f t="shared" si="29"/>
        <v>1</v>
      </c>
      <c r="G4505" t="s">
        <v>12516</v>
      </c>
    </row>
    <row r="4506" spans="1:7" x14ac:dyDescent="0.35">
      <c r="A4506" t="s">
        <v>8600</v>
      </c>
      <c r="B4506" t="s">
        <v>11736</v>
      </c>
      <c r="C4506" t="s">
        <v>8600</v>
      </c>
      <c r="D4506" t="s">
        <v>11784</v>
      </c>
      <c r="E4506" t="b">
        <f>sch_pe_peacebuilding_g10</f>
        <v>0</v>
      </c>
      <c r="F4506" t="b">
        <f t="shared" si="29"/>
        <v>1</v>
      </c>
      <c r="G4506" t="s">
        <v>12516</v>
      </c>
    </row>
    <row r="4507" spans="1:7" x14ac:dyDescent="0.35">
      <c r="A4507" t="s">
        <v>8601</v>
      </c>
      <c r="B4507" t="s">
        <v>11736</v>
      </c>
      <c r="C4507" t="s">
        <v>8601</v>
      </c>
      <c r="D4507" t="s">
        <v>11785</v>
      </c>
      <c r="E4507" t="b">
        <f>sch_health_drrm_g7</f>
        <v>0</v>
      </c>
      <c r="F4507" t="b">
        <f t="shared" si="29"/>
        <v>1</v>
      </c>
      <c r="G4507" t="s">
        <v>12516</v>
      </c>
    </row>
    <row r="4508" spans="1:7" x14ac:dyDescent="0.35">
      <c r="A4508" t="s">
        <v>8602</v>
      </c>
      <c r="B4508" t="s">
        <v>11736</v>
      </c>
      <c r="C4508" t="s">
        <v>8602</v>
      </c>
      <c r="D4508" t="s">
        <v>11786</v>
      </c>
      <c r="E4508" t="b">
        <f>sch_health_drrm_g8</f>
        <v>0</v>
      </c>
      <c r="F4508" t="b">
        <f t="shared" si="29"/>
        <v>1</v>
      </c>
      <c r="G4508" t="s">
        <v>12516</v>
      </c>
    </row>
    <row r="4509" spans="1:7" x14ac:dyDescent="0.35">
      <c r="A4509" t="s">
        <v>8603</v>
      </c>
      <c r="B4509" t="s">
        <v>11736</v>
      </c>
      <c r="C4509" t="s">
        <v>8603</v>
      </c>
      <c r="D4509" t="s">
        <v>11787</v>
      </c>
      <c r="E4509" t="b">
        <f>sch_health_drrm_g9</f>
        <v>0</v>
      </c>
      <c r="F4509" t="b">
        <f t="shared" si="29"/>
        <v>1</v>
      </c>
      <c r="G4509" t="s">
        <v>12516</v>
      </c>
    </row>
    <row r="4510" spans="1:7" x14ac:dyDescent="0.35">
      <c r="A4510" t="s">
        <v>8604</v>
      </c>
      <c r="B4510" t="s">
        <v>11736</v>
      </c>
      <c r="C4510" t="s">
        <v>8604</v>
      </c>
      <c r="D4510" t="s">
        <v>11788</v>
      </c>
      <c r="E4510" t="b">
        <f>sch_health_drrm_g10</f>
        <v>0</v>
      </c>
      <c r="F4510" t="b">
        <f t="shared" si="29"/>
        <v>1</v>
      </c>
      <c r="G4510" t="s">
        <v>12516</v>
      </c>
    </row>
    <row r="4511" spans="1:7" x14ac:dyDescent="0.35">
      <c r="A4511" t="s">
        <v>8605</v>
      </c>
      <c r="B4511" t="s">
        <v>11736</v>
      </c>
      <c r="C4511" t="s">
        <v>8605</v>
      </c>
      <c r="D4511" t="s">
        <v>11789</v>
      </c>
      <c r="E4511" t="b">
        <f>sch_health_ccam_g7</f>
        <v>0</v>
      </c>
      <c r="F4511" t="b">
        <f t="shared" si="29"/>
        <v>1</v>
      </c>
      <c r="G4511" t="s">
        <v>12516</v>
      </c>
    </row>
    <row r="4512" spans="1:7" x14ac:dyDescent="0.35">
      <c r="A4512" t="s">
        <v>8606</v>
      </c>
      <c r="B4512" t="s">
        <v>11736</v>
      </c>
      <c r="C4512" t="s">
        <v>8606</v>
      </c>
      <c r="D4512" t="s">
        <v>11790</v>
      </c>
      <c r="E4512" t="b">
        <f>sch_health_ccam_g8</f>
        <v>0</v>
      </c>
      <c r="F4512" t="b">
        <f t="shared" si="29"/>
        <v>1</v>
      </c>
      <c r="G4512" t="s">
        <v>12516</v>
      </c>
    </row>
    <row r="4513" spans="1:7" x14ac:dyDescent="0.35">
      <c r="A4513" t="s">
        <v>8607</v>
      </c>
      <c r="B4513" t="s">
        <v>11736</v>
      </c>
      <c r="C4513" t="s">
        <v>8607</v>
      </c>
      <c r="D4513" t="s">
        <v>11791</v>
      </c>
      <c r="E4513" t="b">
        <f>sch_health_ccam_g9</f>
        <v>0</v>
      </c>
      <c r="F4513" t="b">
        <f t="shared" si="29"/>
        <v>1</v>
      </c>
      <c r="G4513" t="s">
        <v>12516</v>
      </c>
    </row>
    <row r="4514" spans="1:7" x14ac:dyDescent="0.35">
      <c r="A4514" t="s">
        <v>8608</v>
      </c>
      <c r="B4514" t="s">
        <v>11736</v>
      </c>
      <c r="C4514" t="s">
        <v>8608</v>
      </c>
      <c r="D4514" t="s">
        <v>11792</v>
      </c>
      <c r="E4514" t="b">
        <f>sch_health_ccam_g10</f>
        <v>0</v>
      </c>
      <c r="F4514" t="b">
        <f t="shared" si="29"/>
        <v>1</v>
      </c>
      <c r="G4514" t="s">
        <v>12516</v>
      </c>
    </row>
    <row r="4515" spans="1:7" x14ac:dyDescent="0.35">
      <c r="A4515" t="s">
        <v>8609</v>
      </c>
      <c r="B4515" t="s">
        <v>11736</v>
      </c>
      <c r="C4515" t="s">
        <v>8609</v>
      </c>
      <c r="D4515" t="s">
        <v>11793</v>
      </c>
      <c r="E4515" t="b">
        <f>sch_health_peacebuilding_g7</f>
        <v>0</v>
      </c>
      <c r="F4515" t="b">
        <f t="shared" si="29"/>
        <v>1</v>
      </c>
      <c r="G4515" t="s">
        <v>12516</v>
      </c>
    </row>
    <row r="4516" spans="1:7" x14ac:dyDescent="0.35">
      <c r="A4516" t="s">
        <v>8610</v>
      </c>
      <c r="B4516" t="s">
        <v>11736</v>
      </c>
      <c r="C4516" t="s">
        <v>8610</v>
      </c>
      <c r="D4516" t="s">
        <v>11794</v>
      </c>
      <c r="E4516" t="b">
        <f>sch_health_peacebuilding_g8</f>
        <v>0</v>
      </c>
      <c r="F4516" t="b">
        <f t="shared" si="29"/>
        <v>1</v>
      </c>
      <c r="G4516" t="s">
        <v>12516</v>
      </c>
    </row>
    <row r="4517" spans="1:7" x14ac:dyDescent="0.35">
      <c r="A4517" t="s">
        <v>8611</v>
      </c>
      <c r="B4517" t="s">
        <v>11736</v>
      </c>
      <c r="C4517" t="s">
        <v>8611</v>
      </c>
      <c r="D4517" t="s">
        <v>11795</v>
      </c>
      <c r="E4517" t="b">
        <f>sch_health_peacebuilding_g9</f>
        <v>0</v>
      </c>
      <c r="F4517" t="b">
        <f t="shared" si="29"/>
        <v>1</v>
      </c>
      <c r="G4517" t="s">
        <v>12516</v>
      </c>
    </row>
    <row r="4518" spans="1:7" x14ac:dyDescent="0.35">
      <c r="A4518" t="s">
        <v>8612</v>
      </c>
      <c r="B4518" t="s">
        <v>11736</v>
      </c>
      <c r="C4518" t="s">
        <v>8612</v>
      </c>
      <c r="D4518" t="s">
        <v>11796</v>
      </c>
      <c r="E4518" t="b">
        <f>sch_health_peacebuilding_g10</f>
        <v>0</v>
      </c>
      <c r="F4518" t="b">
        <f t="shared" si="29"/>
        <v>1</v>
      </c>
      <c r="G4518" t="s">
        <v>12516</v>
      </c>
    </row>
    <row r="4519" spans="1:7" x14ac:dyDescent="0.35">
      <c r="A4519" t="s">
        <v>8613</v>
      </c>
      <c r="B4519" t="s">
        <v>11736</v>
      </c>
      <c r="C4519" t="s">
        <v>8613</v>
      </c>
      <c r="D4519" t="s">
        <v>11797</v>
      </c>
      <c r="E4519" t="b">
        <f>sch_epp_drrm_g7</f>
        <v>0</v>
      </c>
      <c r="F4519" t="b">
        <f t="shared" si="29"/>
        <v>1</v>
      </c>
      <c r="G4519" t="s">
        <v>12516</v>
      </c>
    </row>
    <row r="4520" spans="1:7" x14ac:dyDescent="0.35">
      <c r="A4520" t="s">
        <v>8614</v>
      </c>
      <c r="B4520" t="s">
        <v>11736</v>
      </c>
      <c r="C4520" t="s">
        <v>8614</v>
      </c>
      <c r="D4520" t="s">
        <v>11798</v>
      </c>
      <c r="E4520" t="b">
        <f>sch_epp_drrm_g8</f>
        <v>0</v>
      </c>
      <c r="F4520" t="b">
        <f t="shared" si="29"/>
        <v>1</v>
      </c>
      <c r="G4520" t="s">
        <v>12516</v>
      </c>
    </row>
    <row r="4521" spans="1:7" x14ac:dyDescent="0.35">
      <c r="A4521" t="s">
        <v>8615</v>
      </c>
      <c r="B4521" t="s">
        <v>11736</v>
      </c>
      <c r="C4521" t="s">
        <v>8615</v>
      </c>
      <c r="D4521" t="s">
        <v>11799</v>
      </c>
      <c r="E4521" t="b">
        <f>sch_epp_drrm_g9</f>
        <v>0</v>
      </c>
      <c r="F4521" t="b">
        <f t="shared" si="29"/>
        <v>1</v>
      </c>
      <c r="G4521" t="s">
        <v>12516</v>
      </c>
    </row>
    <row r="4522" spans="1:7" x14ac:dyDescent="0.35">
      <c r="A4522" t="s">
        <v>8616</v>
      </c>
      <c r="B4522" t="s">
        <v>11736</v>
      </c>
      <c r="C4522" t="s">
        <v>8616</v>
      </c>
      <c r="D4522" t="s">
        <v>11800</v>
      </c>
      <c r="E4522" t="b">
        <f>sch_epp_drrm_g10</f>
        <v>0</v>
      </c>
      <c r="F4522" t="b">
        <f t="shared" si="29"/>
        <v>1</v>
      </c>
      <c r="G4522" t="s">
        <v>12516</v>
      </c>
    </row>
    <row r="4523" spans="1:7" x14ac:dyDescent="0.35">
      <c r="A4523" t="s">
        <v>8617</v>
      </c>
      <c r="B4523" t="s">
        <v>11736</v>
      </c>
      <c r="C4523" t="s">
        <v>8617</v>
      </c>
      <c r="D4523" t="s">
        <v>11801</v>
      </c>
      <c r="E4523" t="b">
        <f>sch_epp_ccam_g7</f>
        <v>0</v>
      </c>
      <c r="F4523" t="b">
        <f t="shared" si="29"/>
        <v>1</v>
      </c>
      <c r="G4523" t="s">
        <v>12516</v>
      </c>
    </row>
    <row r="4524" spans="1:7" x14ac:dyDescent="0.35">
      <c r="A4524" t="s">
        <v>8618</v>
      </c>
      <c r="B4524" t="s">
        <v>11736</v>
      </c>
      <c r="C4524" t="s">
        <v>8618</v>
      </c>
      <c r="D4524" t="s">
        <v>11802</v>
      </c>
      <c r="E4524" t="b">
        <f>sch_epp_ccam_g8</f>
        <v>0</v>
      </c>
      <c r="F4524" t="b">
        <f t="shared" ref="F4524:F4542" si="30">ISLOGICAL(E4524)</f>
        <v>1</v>
      </c>
      <c r="G4524" t="s">
        <v>12516</v>
      </c>
    </row>
    <row r="4525" spans="1:7" x14ac:dyDescent="0.35">
      <c r="A4525" t="s">
        <v>8619</v>
      </c>
      <c r="B4525" t="s">
        <v>11736</v>
      </c>
      <c r="C4525" t="s">
        <v>8619</v>
      </c>
      <c r="D4525" t="s">
        <v>11803</v>
      </c>
      <c r="E4525" t="b">
        <f>sch_epp_ccam_g9</f>
        <v>0</v>
      </c>
      <c r="F4525" t="b">
        <f t="shared" si="30"/>
        <v>1</v>
      </c>
      <c r="G4525" t="s">
        <v>12516</v>
      </c>
    </row>
    <row r="4526" spans="1:7" x14ac:dyDescent="0.35">
      <c r="A4526" t="s">
        <v>8620</v>
      </c>
      <c r="B4526" t="s">
        <v>11736</v>
      </c>
      <c r="C4526" t="s">
        <v>8620</v>
      </c>
      <c r="D4526" t="s">
        <v>11804</v>
      </c>
      <c r="E4526" t="b">
        <f>sch_epp_ccam_g10</f>
        <v>0</v>
      </c>
      <c r="F4526" t="b">
        <f t="shared" si="30"/>
        <v>1</v>
      </c>
      <c r="G4526" t="s">
        <v>12516</v>
      </c>
    </row>
    <row r="4527" spans="1:7" x14ac:dyDescent="0.35">
      <c r="A4527" t="s">
        <v>8621</v>
      </c>
      <c r="B4527" t="s">
        <v>11736</v>
      </c>
      <c r="C4527" t="s">
        <v>8621</v>
      </c>
      <c r="D4527" t="s">
        <v>11805</v>
      </c>
      <c r="E4527" t="b">
        <f>sch_epp_peacebuilding_g7</f>
        <v>0</v>
      </c>
      <c r="F4527" t="b">
        <f t="shared" si="30"/>
        <v>1</v>
      </c>
      <c r="G4527" t="s">
        <v>12516</v>
      </c>
    </row>
    <row r="4528" spans="1:7" x14ac:dyDescent="0.35">
      <c r="A4528" t="s">
        <v>8622</v>
      </c>
      <c r="B4528" t="s">
        <v>11736</v>
      </c>
      <c r="C4528" t="s">
        <v>8622</v>
      </c>
      <c r="D4528" t="s">
        <v>11806</v>
      </c>
      <c r="E4528" t="b">
        <f>sch_epp_peacebuilding_g8</f>
        <v>0</v>
      </c>
      <c r="F4528" t="b">
        <f t="shared" si="30"/>
        <v>1</v>
      </c>
      <c r="G4528" t="s">
        <v>12516</v>
      </c>
    </row>
    <row r="4529" spans="1:7" x14ac:dyDescent="0.35">
      <c r="A4529" t="s">
        <v>8623</v>
      </c>
      <c r="B4529" t="s">
        <v>11736</v>
      </c>
      <c r="C4529" t="s">
        <v>8623</v>
      </c>
      <c r="D4529" t="s">
        <v>11807</v>
      </c>
      <c r="E4529" t="b">
        <f>sch_epp_peacebuilding_g9</f>
        <v>0</v>
      </c>
      <c r="F4529" t="b">
        <f t="shared" si="30"/>
        <v>1</v>
      </c>
      <c r="G4529" t="s">
        <v>12516</v>
      </c>
    </row>
    <row r="4530" spans="1:7" x14ac:dyDescent="0.35">
      <c r="A4530" t="s">
        <v>8624</v>
      </c>
      <c r="B4530" t="s">
        <v>11736</v>
      </c>
      <c r="C4530" t="s">
        <v>8624</v>
      </c>
      <c r="D4530" t="s">
        <v>11808</v>
      </c>
      <c r="E4530" t="b">
        <f>sch_epp_peacebuilding_g10</f>
        <v>0</v>
      </c>
      <c r="F4530" t="b">
        <f t="shared" si="30"/>
        <v>1</v>
      </c>
      <c r="G4530" t="s">
        <v>12516</v>
      </c>
    </row>
    <row r="4531" spans="1:7" x14ac:dyDescent="0.35">
      <c r="A4531" t="s">
        <v>8625</v>
      </c>
      <c r="B4531" t="s">
        <v>11736</v>
      </c>
      <c r="C4531" t="s">
        <v>8625</v>
      </c>
      <c r="D4531" t="s">
        <v>11809</v>
      </c>
      <c r="E4531" t="b">
        <f>sch_others_drrm_g7</f>
        <v>0</v>
      </c>
      <c r="F4531" t="b">
        <f t="shared" si="30"/>
        <v>1</v>
      </c>
      <c r="G4531" t="s">
        <v>12516</v>
      </c>
    </row>
    <row r="4532" spans="1:7" x14ac:dyDescent="0.35">
      <c r="A4532" t="s">
        <v>8626</v>
      </c>
      <c r="B4532" t="s">
        <v>11736</v>
      </c>
      <c r="C4532" t="s">
        <v>8626</v>
      </c>
      <c r="D4532" t="s">
        <v>11810</v>
      </c>
      <c r="E4532" t="b">
        <f>sch_others_drrm_g8</f>
        <v>0</v>
      </c>
      <c r="F4532" t="b">
        <f t="shared" si="30"/>
        <v>1</v>
      </c>
      <c r="G4532" t="s">
        <v>12516</v>
      </c>
    </row>
    <row r="4533" spans="1:7" x14ac:dyDescent="0.35">
      <c r="A4533" t="s">
        <v>8627</v>
      </c>
      <c r="B4533" t="s">
        <v>11736</v>
      </c>
      <c r="C4533" t="s">
        <v>8627</v>
      </c>
      <c r="D4533" t="s">
        <v>11811</v>
      </c>
      <c r="E4533" t="b">
        <f>sch_others_drrm_g9</f>
        <v>0</v>
      </c>
      <c r="F4533" t="b">
        <f t="shared" si="30"/>
        <v>1</v>
      </c>
      <c r="G4533" t="s">
        <v>12516</v>
      </c>
    </row>
    <row r="4534" spans="1:7" x14ac:dyDescent="0.35">
      <c r="A4534" t="s">
        <v>8628</v>
      </c>
      <c r="B4534" t="s">
        <v>11736</v>
      </c>
      <c r="C4534" t="s">
        <v>8628</v>
      </c>
      <c r="D4534" t="s">
        <v>11812</v>
      </c>
      <c r="E4534" t="b">
        <f>sch_others_drrm_g10</f>
        <v>0</v>
      </c>
      <c r="F4534" t="b">
        <f t="shared" si="30"/>
        <v>1</v>
      </c>
      <c r="G4534" t="s">
        <v>12516</v>
      </c>
    </row>
    <row r="4535" spans="1:7" x14ac:dyDescent="0.35">
      <c r="A4535" t="s">
        <v>8629</v>
      </c>
      <c r="B4535" t="s">
        <v>11736</v>
      </c>
      <c r="C4535" t="s">
        <v>8629</v>
      </c>
      <c r="D4535" t="s">
        <v>11813</v>
      </c>
      <c r="E4535" t="b">
        <f>sch_others_ccam_g7</f>
        <v>0</v>
      </c>
      <c r="F4535" t="b">
        <f t="shared" si="30"/>
        <v>1</v>
      </c>
      <c r="G4535" t="s">
        <v>12516</v>
      </c>
    </row>
    <row r="4536" spans="1:7" x14ac:dyDescent="0.35">
      <c r="A4536" t="s">
        <v>8630</v>
      </c>
      <c r="B4536" t="s">
        <v>11736</v>
      </c>
      <c r="C4536" t="s">
        <v>8630</v>
      </c>
      <c r="D4536" t="s">
        <v>11814</v>
      </c>
      <c r="E4536" t="b">
        <f>sch_others_ccam_g8</f>
        <v>0</v>
      </c>
      <c r="F4536" t="b">
        <f t="shared" si="30"/>
        <v>1</v>
      </c>
      <c r="G4536" t="s">
        <v>12516</v>
      </c>
    </row>
    <row r="4537" spans="1:7" x14ac:dyDescent="0.35">
      <c r="A4537" t="s">
        <v>8631</v>
      </c>
      <c r="B4537" t="s">
        <v>11736</v>
      </c>
      <c r="C4537" t="s">
        <v>8631</v>
      </c>
      <c r="D4537" t="s">
        <v>11815</v>
      </c>
      <c r="E4537" t="b">
        <f>sch_others_ccam_g9</f>
        <v>0</v>
      </c>
      <c r="F4537" t="b">
        <f t="shared" si="30"/>
        <v>1</v>
      </c>
      <c r="G4537" t="s">
        <v>12516</v>
      </c>
    </row>
    <row r="4538" spans="1:7" x14ac:dyDescent="0.35">
      <c r="A4538" t="s">
        <v>8632</v>
      </c>
      <c r="B4538" t="s">
        <v>11736</v>
      </c>
      <c r="C4538" t="s">
        <v>8632</v>
      </c>
      <c r="D4538" t="s">
        <v>11816</v>
      </c>
      <c r="E4538" t="b">
        <f>sch_others_ccam_g10</f>
        <v>0</v>
      </c>
      <c r="F4538" t="b">
        <f t="shared" si="30"/>
        <v>1</v>
      </c>
      <c r="G4538" t="s">
        <v>12516</v>
      </c>
    </row>
    <row r="4539" spans="1:7" x14ac:dyDescent="0.35">
      <c r="A4539" t="s">
        <v>8633</v>
      </c>
      <c r="B4539" t="s">
        <v>11736</v>
      </c>
      <c r="C4539" t="s">
        <v>8633</v>
      </c>
      <c r="D4539" t="s">
        <v>11817</v>
      </c>
      <c r="E4539" t="b">
        <f>sch_others_peacebuilding_g7</f>
        <v>0</v>
      </c>
      <c r="F4539" t="b">
        <f t="shared" si="30"/>
        <v>1</v>
      </c>
      <c r="G4539" t="s">
        <v>12516</v>
      </c>
    </row>
    <row r="4540" spans="1:7" x14ac:dyDescent="0.35">
      <c r="A4540" t="s">
        <v>8634</v>
      </c>
      <c r="B4540" t="s">
        <v>11736</v>
      </c>
      <c r="C4540" t="s">
        <v>8634</v>
      </c>
      <c r="D4540" t="s">
        <v>11818</v>
      </c>
      <c r="E4540" t="b">
        <f>sch_others_peacebuilding_g8</f>
        <v>0</v>
      </c>
      <c r="F4540" t="b">
        <f t="shared" si="30"/>
        <v>1</v>
      </c>
      <c r="G4540" t="s">
        <v>12516</v>
      </c>
    </row>
    <row r="4541" spans="1:7" x14ac:dyDescent="0.35">
      <c r="A4541" t="s">
        <v>8635</v>
      </c>
      <c r="B4541" t="s">
        <v>11736</v>
      </c>
      <c r="C4541" t="s">
        <v>8635</v>
      </c>
      <c r="D4541" t="s">
        <v>11819</v>
      </c>
      <c r="E4541" t="b">
        <f>sch_others_peacebuilding_g9</f>
        <v>0</v>
      </c>
      <c r="F4541" t="b">
        <f t="shared" si="30"/>
        <v>1</v>
      </c>
      <c r="G4541" t="s">
        <v>12516</v>
      </c>
    </row>
    <row r="4542" spans="1:7" x14ac:dyDescent="0.35">
      <c r="A4542" t="s">
        <v>8636</v>
      </c>
      <c r="B4542" t="s">
        <v>11736</v>
      </c>
      <c r="C4542" t="s">
        <v>8636</v>
      </c>
      <c r="D4542" t="s">
        <v>11820</v>
      </c>
      <c r="E4542" t="b">
        <f>sch_others_peacebuilding_g10</f>
        <v>0</v>
      </c>
      <c r="F4542" t="b">
        <f t="shared" si="30"/>
        <v>1</v>
      </c>
      <c r="G4542" t="s">
        <v>12516</v>
      </c>
    </row>
    <row r="4543" spans="1:7" x14ac:dyDescent="0.35">
      <c r="A4543" t="s">
        <v>7993</v>
      </c>
      <c r="B4543" t="s">
        <v>11736</v>
      </c>
      <c r="C4543" t="s">
        <v>7993</v>
      </c>
      <c r="D4543" t="s">
        <v>11821</v>
      </c>
      <c r="E4543" cm="1">
        <f t="array" ref="E4543">riskreduc_drrm_sped</f>
        <v>0</v>
      </c>
      <c r="F4543" t="b">
        <v>1</v>
      </c>
    </row>
    <row r="4544" spans="1:7" x14ac:dyDescent="0.35">
      <c r="A4544" t="s">
        <v>7994</v>
      </c>
      <c r="B4544" t="s">
        <v>11736</v>
      </c>
      <c r="C4544" t="s">
        <v>7994</v>
      </c>
      <c r="D4544" t="s">
        <v>11822</v>
      </c>
      <c r="E4544" cm="1">
        <f t="array" ref="E4544">riskreduc_drrm_iped</f>
        <v>0</v>
      </c>
      <c r="F4544" t="b">
        <v>1</v>
      </c>
    </row>
    <row r="4545" spans="1:6" x14ac:dyDescent="0.35">
      <c r="A4545" t="s">
        <v>7995</v>
      </c>
      <c r="B4545" t="s">
        <v>11736</v>
      </c>
      <c r="C4545" t="s">
        <v>7995</v>
      </c>
      <c r="D4545" t="s">
        <v>11823</v>
      </c>
      <c r="E4545" cm="1">
        <f t="array" ref="E4545">riskreduc_drrm_als</f>
        <v>0</v>
      </c>
      <c r="F4545" t="b">
        <v>1</v>
      </c>
    </row>
    <row r="4546" spans="1:6" x14ac:dyDescent="0.35">
      <c r="A4546" t="s">
        <v>7996</v>
      </c>
      <c r="B4546" t="s">
        <v>11736</v>
      </c>
      <c r="C4546" t="s">
        <v>7996</v>
      </c>
      <c r="D4546" t="s">
        <v>11824</v>
      </c>
      <c r="E4546" cm="1">
        <f t="array" ref="E4546">riskreduc_drrm_competencies</f>
        <v>0</v>
      </c>
      <c r="F4546" t="b">
        <v>1</v>
      </c>
    </row>
    <row r="4547" spans="1:6" x14ac:dyDescent="0.35">
      <c r="A4547" t="s">
        <v>7997</v>
      </c>
      <c r="B4547" t="s">
        <v>11736</v>
      </c>
      <c r="C4547" t="s">
        <v>7997</v>
      </c>
      <c r="D4547" t="s">
        <v>11825</v>
      </c>
      <c r="E4547" cm="1">
        <f t="array" ref="E4547">riskreduc_drrm_contents</f>
        <v>0</v>
      </c>
      <c r="F4547" t="b">
        <v>1</v>
      </c>
    </row>
    <row r="4548" spans="1:6" x14ac:dyDescent="0.35">
      <c r="A4548" t="s">
        <v>7998</v>
      </c>
      <c r="B4548" t="s">
        <v>11736</v>
      </c>
      <c r="C4548" t="s">
        <v>7998</v>
      </c>
      <c r="D4548" t="s">
        <v>11826</v>
      </c>
      <c r="E4548" cm="1">
        <f t="array" ref="E4548">riskreduc_drrm_contextualized</f>
        <v>0</v>
      </c>
      <c r="F4548" t="b">
        <v>1</v>
      </c>
    </row>
    <row r="4549" spans="1:6" x14ac:dyDescent="0.35">
      <c r="A4549" t="s">
        <v>7999</v>
      </c>
      <c r="B4549" t="s">
        <v>11736</v>
      </c>
      <c r="C4549" t="s">
        <v>7999</v>
      </c>
      <c r="D4549" t="s">
        <v>11827</v>
      </c>
      <c r="E4549" cm="1">
        <f t="array" ref="E4549">riskreduc_ccam_sped</f>
        <v>0</v>
      </c>
      <c r="F4549" t="b">
        <v>1</v>
      </c>
    </row>
    <row r="4550" spans="1:6" x14ac:dyDescent="0.35">
      <c r="A4550" t="s">
        <v>8000</v>
      </c>
      <c r="B4550" t="s">
        <v>11736</v>
      </c>
      <c r="C4550" t="s">
        <v>8000</v>
      </c>
      <c r="D4550" t="s">
        <v>11828</v>
      </c>
      <c r="E4550" cm="1">
        <f t="array" ref="E4550">riskreduc_ccam_iped</f>
        <v>0</v>
      </c>
      <c r="F4550" t="b">
        <v>1</v>
      </c>
    </row>
    <row r="4551" spans="1:6" x14ac:dyDescent="0.35">
      <c r="A4551" t="s">
        <v>8001</v>
      </c>
      <c r="B4551" t="s">
        <v>11736</v>
      </c>
      <c r="C4551" t="s">
        <v>8001</v>
      </c>
      <c r="D4551" t="s">
        <v>11829</v>
      </c>
      <c r="E4551" cm="1">
        <f t="array" ref="E4551">riskreduc_ccam_als</f>
        <v>0</v>
      </c>
      <c r="F4551" t="b">
        <v>1</v>
      </c>
    </row>
    <row r="4552" spans="1:6" x14ac:dyDescent="0.35">
      <c r="A4552" t="s">
        <v>8002</v>
      </c>
      <c r="B4552" t="s">
        <v>11736</v>
      </c>
      <c r="C4552" t="s">
        <v>8002</v>
      </c>
      <c r="D4552" t="s">
        <v>11830</v>
      </c>
      <c r="E4552" cm="1">
        <f t="array" ref="E4552">riskreduc_ccam_competencies</f>
        <v>0</v>
      </c>
      <c r="F4552" t="b">
        <v>1</v>
      </c>
    </row>
    <row r="4553" spans="1:6" x14ac:dyDescent="0.35">
      <c r="A4553" t="s">
        <v>8003</v>
      </c>
      <c r="B4553" t="s">
        <v>11736</v>
      </c>
      <c r="C4553" t="s">
        <v>8003</v>
      </c>
      <c r="D4553" t="s">
        <v>11831</v>
      </c>
      <c r="E4553" cm="1">
        <f t="array" ref="E4553">riskreduc_ccam_contents</f>
        <v>0</v>
      </c>
      <c r="F4553" t="b">
        <v>1</v>
      </c>
    </row>
    <row r="4554" spans="1:6" x14ac:dyDescent="0.35">
      <c r="A4554" t="s">
        <v>8004</v>
      </c>
      <c r="B4554" t="s">
        <v>11736</v>
      </c>
      <c r="C4554" t="s">
        <v>8004</v>
      </c>
      <c r="D4554" t="s">
        <v>11832</v>
      </c>
      <c r="E4554" cm="1">
        <f t="array" ref="E4554">riskreduc_ccam_contextualized</f>
        <v>0</v>
      </c>
      <c r="F4554" t="b">
        <v>1</v>
      </c>
    </row>
    <row r="4555" spans="1:6" x14ac:dyDescent="0.35">
      <c r="A4555" t="s">
        <v>8005</v>
      </c>
      <c r="B4555" t="s">
        <v>11736</v>
      </c>
      <c r="C4555" t="s">
        <v>8005</v>
      </c>
      <c r="D4555" t="s">
        <v>11833</v>
      </c>
      <c r="E4555" cm="1">
        <f t="array" ref="E4555">riskreduc_peace_sped</f>
        <v>0</v>
      </c>
      <c r="F4555" t="b">
        <v>1</v>
      </c>
    </row>
    <row r="4556" spans="1:6" x14ac:dyDescent="0.35">
      <c r="A4556" t="s">
        <v>8006</v>
      </c>
      <c r="B4556" t="s">
        <v>11736</v>
      </c>
      <c r="C4556" t="s">
        <v>8006</v>
      </c>
      <c r="D4556" t="s">
        <v>11834</v>
      </c>
      <c r="E4556" cm="1">
        <f t="array" ref="E4556">riskreduc_peace_iped</f>
        <v>0</v>
      </c>
      <c r="F4556" t="b">
        <v>1</v>
      </c>
    </row>
    <row r="4557" spans="1:6" x14ac:dyDescent="0.35">
      <c r="A4557" t="s">
        <v>8007</v>
      </c>
      <c r="B4557" t="s">
        <v>11736</v>
      </c>
      <c r="C4557" t="s">
        <v>8007</v>
      </c>
      <c r="D4557" t="s">
        <v>11835</v>
      </c>
      <c r="E4557" cm="1">
        <f t="array" ref="E4557">riskreduc_peace_als</f>
        <v>0</v>
      </c>
      <c r="F4557" t="b">
        <v>1</v>
      </c>
    </row>
    <row r="4558" spans="1:6" x14ac:dyDescent="0.35">
      <c r="A4558" t="s">
        <v>8008</v>
      </c>
      <c r="B4558" t="s">
        <v>11736</v>
      </c>
      <c r="C4558" t="s">
        <v>8008</v>
      </c>
      <c r="D4558" t="s">
        <v>11836</v>
      </c>
      <c r="E4558" cm="1">
        <f t="array" ref="E4558">riskreduc_peace_competencies</f>
        <v>0</v>
      </c>
      <c r="F4558" t="b">
        <v>1</v>
      </c>
    </row>
    <row r="4559" spans="1:6" x14ac:dyDescent="0.35">
      <c r="A4559" t="s">
        <v>8009</v>
      </c>
      <c r="B4559" t="s">
        <v>11736</v>
      </c>
      <c r="C4559" t="s">
        <v>8009</v>
      </c>
      <c r="D4559" t="s">
        <v>11837</v>
      </c>
      <c r="E4559" cm="1">
        <f t="array" ref="E4559">riskreduc_peace_contents</f>
        <v>0</v>
      </c>
      <c r="F4559" t="b">
        <v>1</v>
      </c>
    </row>
    <row r="4560" spans="1:6" x14ac:dyDescent="0.35">
      <c r="A4560" t="s">
        <v>8010</v>
      </c>
      <c r="B4560" t="s">
        <v>11736</v>
      </c>
      <c r="C4560" t="s">
        <v>8010</v>
      </c>
      <c r="D4560" t="s">
        <v>11838</v>
      </c>
      <c r="E4560" cm="1">
        <f t="array" ref="E4560">riskreduc_peace_contextualized</f>
        <v>0</v>
      </c>
      <c r="F4560" t="b">
        <v>1</v>
      </c>
    </row>
    <row r="4561" spans="1:7" x14ac:dyDescent="0.35">
      <c r="A4561" t="s">
        <v>8990</v>
      </c>
      <c r="B4561" t="s">
        <v>11736</v>
      </c>
      <c r="C4561" t="s">
        <v>8990</v>
      </c>
      <c r="D4561" t="s">
        <v>11839</v>
      </c>
      <c r="E4561" t="b" cm="1">
        <f t="array" ref="E4561">sch_assessed_competencies</f>
        <v>0</v>
      </c>
      <c r="F4561" t="b">
        <f>ISLOGICAL(E4561)</f>
        <v>1</v>
      </c>
      <c r="G4561" t="s">
        <v>12516</v>
      </c>
    </row>
    <row r="4562" spans="1:7" x14ac:dyDescent="0.35">
      <c r="A4562" t="s">
        <v>8991</v>
      </c>
      <c r="B4562" t="s">
        <v>11736</v>
      </c>
      <c r="C4562" t="s">
        <v>8991</v>
      </c>
      <c r="D4562" t="s">
        <v>11840</v>
      </c>
      <c r="E4562" t="b" cm="1">
        <f t="array" ref="E4562">sch_drrm_developed_iec</f>
        <v>0</v>
      </c>
      <c r="F4562" t="b">
        <f t="shared" ref="F4562:F4563" si="31">ISLOGICAL(E4562)</f>
        <v>1</v>
      </c>
      <c r="G4562" t="s">
        <v>12516</v>
      </c>
    </row>
    <row r="4563" spans="1:7" x14ac:dyDescent="0.35">
      <c r="A4563" t="s">
        <v>8992</v>
      </c>
      <c r="B4563" t="s">
        <v>11736</v>
      </c>
      <c r="C4563" t="s">
        <v>8992</v>
      </c>
      <c r="D4563" t="s">
        <v>11841</v>
      </c>
      <c r="E4563" t="b" cm="1">
        <f t="array" ref="E4563">sch_drrm_updated_iec</f>
        <v>0</v>
      </c>
      <c r="F4563" t="b">
        <f t="shared" si="31"/>
        <v>1</v>
      </c>
      <c r="G4563" t="s">
        <v>12516</v>
      </c>
    </row>
    <row r="4564" spans="1:7" x14ac:dyDescent="0.35">
      <c r="A4564" t="s">
        <v>8011</v>
      </c>
      <c r="B4564" t="s">
        <v>11736</v>
      </c>
      <c r="C4564" t="s">
        <v>8011</v>
      </c>
      <c r="D4564" t="s">
        <v>11842</v>
      </c>
      <c r="E4564" cm="1">
        <f t="array" ref="E4564">riskreduc_teacher_effectiveness_survey_m</f>
        <v>0</v>
      </c>
      <c r="F4564" t="b">
        <v>1</v>
      </c>
    </row>
    <row r="4565" spans="1:7" x14ac:dyDescent="0.35">
      <c r="A4565" t="s">
        <v>8012</v>
      </c>
      <c r="B4565" t="s">
        <v>11736</v>
      </c>
      <c r="C4565" t="s">
        <v>8012</v>
      </c>
      <c r="D4565" t="s">
        <v>11843</v>
      </c>
      <c r="E4565" cm="1">
        <f t="array" ref="E4565">riskreduc_teacher_effectiveness_survey_f</f>
        <v>0</v>
      </c>
      <c r="F4565" t="b">
        <v>1</v>
      </c>
    </row>
    <row r="4566" spans="1:7" x14ac:dyDescent="0.35">
      <c r="A4566" t="s">
        <v>8014</v>
      </c>
      <c r="B4566" t="s">
        <v>11736</v>
      </c>
      <c r="C4566" t="s">
        <v>8014</v>
      </c>
      <c r="D4566" t="s">
        <v>11844</v>
      </c>
      <c r="E4566" cm="1">
        <f t="array" ref="E4566">riskreduc_nonteach_effectiveness_survey_m</f>
        <v>0</v>
      </c>
      <c r="F4566" t="b">
        <v>1</v>
      </c>
    </row>
    <row r="4567" spans="1:7" x14ac:dyDescent="0.35">
      <c r="A4567" t="s">
        <v>8013</v>
      </c>
      <c r="B4567" t="s">
        <v>11736</v>
      </c>
      <c r="C4567" t="s">
        <v>8013</v>
      </c>
      <c r="D4567" t="s">
        <v>11845</v>
      </c>
      <c r="E4567" cm="1">
        <f t="array" ref="E4567">riskreduc_nonteach_effectiveness_survey_f</f>
        <v>0</v>
      </c>
      <c r="F4567" t="b">
        <v>1</v>
      </c>
    </row>
    <row r="4568" spans="1:7" x14ac:dyDescent="0.35">
      <c r="A4568" t="s">
        <v>8015</v>
      </c>
      <c r="B4568" t="s">
        <v>11736</v>
      </c>
      <c r="C4568" t="s">
        <v>8015</v>
      </c>
      <c r="D4568" t="s">
        <v>11846</v>
      </c>
      <c r="E4568" cm="1">
        <f t="array" ref="E4568">lrnrs_participate_iecmats_survey_m_excluding</f>
        <v>0</v>
      </c>
      <c r="F4568" t="b">
        <v>1</v>
      </c>
    </row>
    <row r="4569" spans="1:7" x14ac:dyDescent="0.35">
      <c r="A4569" t="s">
        <v>8016</v>
      </c>
      <c r="B4569" t="s">
        <v>11736</v>
      </c>
      <c r="C4569" t="s">
        <v>8016</v>
      </c>
      <c r="D4569" t="s">
        <v>11847</v>
      </c>
      <c r="E4569" cm="1">
        <f t="array" ref="E4569">lrnrs_participate_iecmats_survey_f_excluding</f>
        <v>0</v>
      </c>
      <c r="F4569" t="b">
        <v>1</v>
      </c>
    </row>
    <row r="4570" spans="1:7" x14ac:dyDescent="0.35">
      <c r="A4570" t="s">
        <v>8017</v>
      </c>
      <c r="B4570" t="s">
        <v>11736</v>
      </c>
      <c r="C4570" t="s">
        <v>8017</v>
      </c>
      <c r="D4570" t="s">
        <v>11848</v>
      </c>
      <c r="E4570" cm="1">
        <f t="array" ref="E4570">lrnrs_participate_iecmats_survey_m_ip</f>
        <v>0</v>
      </c>
      <c r="F4570" t="b">
        <v>1</v>
      </c>
    </row>
    <row r="4571" spans="1:7" x14ac:dyDescent="0.35">
      <c r="A4571" t="s">
        <v>8018</v>
      </c>
      <c r="B4571" t="s">
        <v>11736</v>
      </c>
      <c r="C4571" t="s">
        <v>8018</v>
      </c>
      <c r="D4571" t="s">
        <v>11849</v>
      </c>
      <c r="E4571" cm="1">
        <f t="array" ref="E4571">lrnrs_participate_iecmats_survey_f_ip</f>
        <v>0</v>
      </c>
      <c r="F4571" t="b">
        <v>1</v>
      </c>
    </row>
    <row r="4572" spans="1:7" x14ac:dyDescent="0.35">
      <c r="A4572" t="s">
        <v>8019</v>
      </c>
      <c r="B4572" t="s">
        <v>11736</v>
      </c>
      <c r="C4572" t="s">
        <v>8019</v>
      </c>
      <c r="D4572" t="s">
        <v>11850</v>
      </c>
      <c r="E4572" cm="1">
        <f t="array" ref="E4572">lrnrs_participate_iecmats_survey_m_muslim</f>
        <v>0</v>
      </c>
      <c r="F4572" t="b">
        <v>1</v>
      </c>
    </row>
    <row r="4573" spans="1:7" x14ac:dyDescent="0.35">
      <c r="A4573" t="s">
        <v>8020</v>
      </c>
      <c r="B4573" t="s">
        <v>11736</v>
      </c>
      <c r="C4573" t="s">
        <v>8020</v>
      </c>
      <c r="D4573" t="s">
        <v>11851</v>
      </c>
      <c r="E4573" cm="1">
        <f t="array" ref="E4573">lrnrs_participate_iecmats_survey_f_muslim</f>
        <v>0</v>
      </c>
      <c r="F4573" t="b">
        <v>1</v>
      </c>
    </row>
    <row r="4574" spans="1:7" x14ac:dyDescent="0.35">
      <c r="A4574" t="s">
        <v>8021</v>
      </c>
      <c r="B4574" t="s">
        <v>11736</v>
      </c>
      <c r="C4574" t="s">
        <v>8021</v>
      </c>
      <c r="D4574" t="s">
        <v>11852</v>
      </c>
      <c r="E4574" cm="1">
        <f t="array" ref="E4574">lrnrs_participate_iecmats_survey_m_pwd</f>
        <v>0</v>
      </c>
      <c r="F4574" t="b">
        <v>1</v>
      </c>
    </row>
    <row r="4575" spans="1:7" x14ac:dyDescent="0.35">
      <c r="A4575" t="s">
        <v>8022</v>
      </c>
      <c r="B4575" t="s">
        <v>11736</v>
      </c>
      <c r="C4575" t="s">
        <v>8022</v>
      </c>
      <c r="D4575" t="s">
        <v>11853</v>
      </c>
      <c r="E4575" cm="1">
        <f t="array" ref="E4575">lrnrs_participate_iecmats_survey_f_pwd</f>
        <v>0</v>
      </c>
      <c r="F4575" t="b">
        <v>1</v>
      </c>
    </row>
    <row r="4576" spans="1:7" x14ac:dyDescent="0.35">
      <c r="A4576" t="s">
        <v>8023</v>
      </c>
      <c r="B4576" t="s">
        <v>11736</v>
      </c>
      <c r="C4576" t="s">
        <v>8023</v>
      </c>
      <c r="D4576" t="s">
        <v>11854</v>
      </c>
      <c r="E4576" cm="1">
        <f t="array" ref="E4576">lrnrs_consult_iecmats_survey_m_excluding</f>
        <v>0</v>
      </c>
      <c r="F4576" t="b">
        <v>1</v>
      </c>
    </row>
    <row r="4577" spans="1:6" x14ac:dyDescent="0.35">
      <c r="A4577" t="s">
        <v>8024</v>
      </c>
      <c r="B4577" t="s">
        <v>11736</v>
      </c>
      <c r="C4577" t="s">
        <v>8024</v>
      </c>
      <c r="D4577" t="s">
        <v>11855</v>
      </c>
      <c r="E4577" cm="1">
        <f t="array" ref="E4577">lrnrs_consult_iecmats_survey_f_excluding</f>
        <v>0</v>
      </c>
      <c r="F4577" t="b">
        <v>1</v>
      </c>
    </row>
    <row r="4578" spans="1:6" x14ac:dyDescent="0.35">
      <c r="A4578" t="s">
        <v>8025</v>
      </c>
      <c r="B4578" t="s">
        <v>11736</v>
      </c>
      <c r="C4578" t="s">
        <v>8025</v>
      </c>
      <c r="D4578" t="s">
        <v>11856</v>
      </c>
      <c r="E4578" cm="1">
        <f t="array" ref="E4578">lrnrs_consult_iecmats_survey_m_ip</f>
        <v>0</v>
      </c>
      <c r="F4578" t="b">
        <v>1</v>
      </c>
    </row>
    <row r="4579" spans="1:6" x14ac:dyDescent="0.35">
      <c r="A4579" t="s">
        <v>8026</v>
      </c>
      <c r="B4579" t="s">
        <v>11736</v>
      </c>
      <c r="C4579" t="s">
        <v>8026</v>
      </c>
      <c r="D4579" t="s">
        <v>11857</v>
      </c>
      <c r="E4579" cm="1">
        <f t="array" ref="E4579">lrnrs_consult_iecmats_survey_f_ip</f>
        <v>0</v>
      </c>
      <c r="F4579" t="b">
        <v>1</v>
      </c>
    </row>
    <row r="4580" spans="1:6" x14ac:dyDescent="0.35">
      <c r="A4580" t="s">
        <v>8027</v>
      </c>
      <c r="B4580" t="s">
        <v>11736</v>
      </c>
      <c r="C4580" t="s">
        <v>8027</v>
      </c>
      <c r="D4580" t="s">
        <v>11858</v>
      </c>
      <c r="E4580" cm="1">
        <f t="array" ref="E4580">lrnrs_consult_iecmats_survey_m_muslim</f>
        <v>0</v>
      </c>
      <c r="F4580" t="b">
        <v>1</v>
      </c>
    </row>
    <row r="4581" spans="1:6" x14ac:dyDescent="0.35">
      <c r="A4581" t="s">
        <v>8028</v>
      </c>
      <c r="B4581" t="s">
        <v>11736</v>
      </c>
      <c r="C4581" t="s">
        <v>8028</v>
      </c>
      <c r="D4581" t="s">
        <v>11859</v>
      </c>
      <c r="E4581" cm="1">
        <f t="array" ref="E4581">lrnrs_consult_iecmats_survey_f_muslim</f>
        <v>0</v>
      </c>
      <c r="F4581" t="b">
        <v>1</v>
      </c>
    </row>
    <row r="4582" spans="1:6" x14ac:dyDescent="0.35">
      <c r="A4582" t="s">
        <v>8029</v>
      </c>
      <c r="B4582" t="s">
        <v>11736</v>
      </c>
      <c r="C4582" t="s">
        <v>8029</v>
      </c>
      <c r="D4582" t="s">
        <v>11860</v>
      </c>
      <c r="E4582" cm="1">
        <f t="array" ref="E4582">lrnrs_consult_iecmats_survey_m_pwd</f>
        <v>0</v>
      </c>
      <c r="F4582" t="b">
        <v>1</v>
      </c>
    </row>
    <row r="4583" spans="1:6" x14ac:dyDescent="0.35">
      <c r="A4583" t="s">
        <v>8030</v>
      </c>
      <c r="B4583" t="s">
        <v>11736</v>
      </c>
      <c r="C4583" t="s">
        <v>8030</v>
      </c>
      <c r="D4583" t="s">
        <v>11861</v>
      </c>
      <c r="E4583" cm="1">
        <f t="array" ref="E4583">lrnrs_consult_iecmats_survey_f_pwd</f>
        <v>0</v>
      </c>
      <c r="F4583" t="b">
        <v>1</v>
      </c>
    </row>
    <row r="4584" spans="1:6" x14ac:dyDescent="0.35">
      <c r="A4584" t="s">
        <v>8032</v>
      </c>
      <c r="B4584" t="s">
        <v>11736</v>
      </c>
      <c r="C4584" t="s">
        <v>8032</v>
      </c>
      <c r="D4584" t="s">
        <v>11862</v>
      </c>
      <c r="E4584" cm="1">
        <f t="array" ref="E4584">lrnrs_developed_iecmats_survey_m_excluding</f>
        <v>0</v>
      </c>
      <c r="F4584" t="b">
        <v>1</v>
      </c>
    </row>
    <row r="4585" spans="1:6" x14ac:dyDescent="0.35">
      <c r="A4585" t="s">
        <v>8033</v>
      </c>
      <c r="B4585" t="s">
        <v>11736</v>
      </c>
      <c r="C4585" t="s">
        <v>8033</v>
      </c>
      <c r="D4585" t="s">
        <v>11863</v>
      </c>
      <c r="E4585" cm="1">
        <f t="array" ref="E4585">lrnrs_developed_iecmats_survey_f_excluding</f>
        <v>0</v>
      </c>
      <c r="F4585" t="b">
        <v>1</v>
      </c>
    </row>
    <row r="4586" spans="1:6" x14ac:dyDescent="0.35">
      <c r="A4586" t="s">
        <v>8034</v>
      </c>
      <c r="B4586" t="s">
        <v>11736</v>
      </c>
      <c r="C4586" t="s">
        <v>8034</v>
      </c>
      <c r="D4586" t="s">
        <v>11864</v>
      </c>
      <c r="E4586" cm="1">
        <f t="array" ref="E4586">lrnrs_developed_iecmats_survey_m_ip</f>
        <v>0</v>
      </c>
      <c r="F4586" t="b">
        <v>1</v>
      </c>
    </row>
    <row r="4587" spans="1:6" x14ac:dyDescent="0.35">
      <c r="A4587" t="s">
        <v>8035</v>
      </c>
      <c r="B4587" t="s">
        <v>11736</v>
      </c>
      <c r="C4587" t="s">
        <v>8035</v>
      </c>
      <c r="D4587" t="s">
        <v>11865</v>
      </c>
      <c r="E4587" cm="1">
        <f t="array" ref="E4587">lrnrs_developed_iecmats_survey_f_ip</f>
        <v>0</v>
      </c>
      <c r="F4587" t="b">
        <v>1</v>
      </c>
    </row>
    <row r="4588" spans="1:6" x14ac:dyDescent="0.35">
      <c r="A4588" t="s">
        <v>8036</v>
      </c>
      <c r="B4588" t="s">
        <v>11736</v>
      </c>
      <c r="C4588" t="s">
        <v>8036</v>
      </c>
      <c r="D4588" t="s">
        <v>11866</v>
      </c>
      <c r="E4588" cm="1">
        <f t="array" ref="E4588">lrnrs_developed_iecmats_survey_m_muslim</f>
        <v>0</v>
      </c>
      <c r="F4588" t="b">
        <v>1</v>
      </c>
    </row>
    <row r="4589" spans="1:6" x14ac:dyDescent="0.35">
      <c r="A4589" t="s">
        <v>8037</v>
      </c>
      <c r="B4589" t="s">
        <v>11736</v>
      </c>
      <c r="C4589" t="s">
        <v>8037</v>
      </c>
      <c r="D4589" t="s">
        <v>11867</v>
      </c>
      <c r="E4589" cm="1">
        <f t="array" ref="E4589">lrnrs_developed_iecmats_survey_f_muslim</f>
        <v>0</v>
      </c>
      <c r="F4589" t="b">
        <v>1</v>
      </c>
    </row>
    <row r="4590" spans="1:6" x14ac:dyDescent="0.35">
      <c r="A4590" t="s">
        <v>8038</v>
      </c>
      <c r="B4590" t="s">
        <v>11736</v>
      </c>
      <c r="C4590" t="s">
        <v>8038</v>
      </c>
      <c r="D4590" t="s">
        <v>11868</v>
      </c>
      <c r="E4590" cm="1">
        <f t="array" ref="E4590">lrnrs_developed_iecmats_survey_m_pwd</f>
        <v>0</v>
      </c>
      <c r="F4590" t="b">
        <v>1</v>
      </c>
    </row>
    <row r="4591" spans="1:6" x14ac:dyDescent="0.35">
      <c r="A4591" t="s">
        <v>8031</v>
      </c>
      <c r="B4591" t="s">
        <v>11736</v>
      </c>
      <c r="C4591" t="s">
        <v>8031</v>
      </c>
      <c r="D4591" t="s">
        <v>11869</v>
      </c>
      <c r="E4591" cm="1">
        <f t="array" ref="E4591">lrnrs_developed_iecmats_survey_f_pwd</f>
        <v>0</v>
      </c>
      <c r="F4591" t="b">
        <v>1</v>
      </c>
    </row>
    <row r="4592" spans="1:6" x14ac:dyDescent="0.35">
      <c r="A4592" t="s">
        <v>8039</v>
      </c>
      <c r="B4592" t="s">
        <v>11736</v>
      </c>
      <c r="C4592" t="s">
        <v>8039</v>
      </c>
      <c r="D4592" t="s">
        <v>11870</v>
      </c>
      <c r="E4592" cm="1">
        <f t="array" ref="E4592">lrnrs_initiate_iecmats_survey_m_excluding</f>
        <v>0</v>
      </c>
      <c r="F4592" t="b">
        <v>1</v>
      </c>
    </row>
    <row r="4593" spans="1:6" x14ac:dyDescent="0.35">
      <c r="A4593" t="s">
        <v>8040</v>
      </c>
      <c r="B4593" t="s">
        <v>11736</v>
      </c>
      <c r="C4593" t="s">
        <v>8040</v>
      </c>
      <c r="D4593" t="s">
        <v>11871</v>
      </c>
      <c r="E4593" cm="1">
        <f t="array" ref="E4593">lrnrs_initiate_iecmats_survey_f_excluding</f>
        <v>0</v>
      </c>
      <c r="F4593" t="b">
        <v>1</v>
      </c>
    </row>
    <row r="4594" spans="1:6" x14ac:dyDescent="0.35">
      <c r="A4594" t="s">
        <v>8041</v>
      </c>
      <c r="B4594" t="s">
        <v>11736</v>
      </c>
      <c r="C4594" t="s">
        <v>8041</v>
      </c>
      <c r="D4594" t="s">
        <v>11872</v>
      </c>
      <c r="E4594" cm="1">
        <f t="array" ref="E4594">lrnrs_initiate_iecmats_survey_m_ip</f>
        <v>0</v>
      </c>
      <c r="F4594" t="b">
        <v>1</v>
      </c>
    </row>
    <row r="4595" spans="1:6" x14ac:dyDescent="0.35">
      <c r="A4595" t="s">
        <v>8042</v>
      </c>
      <c r="B4595" t="s">
        <v>11736</v>
      </c>
      <c r="C4595" t="s">
        <v>8042</v>
      </c>
      <c r="D4595" t="s">
        <v>11873</v>
      </c>
      <c r="E4595" cm="1">
        <f t="array" ref="E4595">lrnrs_initiate_iecmats_survey_f_ip</f>
        <v>0</v>
      </c>
      <c r="F4595" t="b">
        <v>1</v>
      </c>
    </row>
    <row r="4596" spans="1:6" x14ac:dyDescent="0.35">
      <c r="A4596" t="s">
        <v>8043</v>
      </c>
      <c r="B4596" t="s">
        <v>11736</v>
      </c>
      <c r="C4596" t="s">
        <v>8043</v>
      </c>
      <c r="D4596" t="s">
        <v>11874</v>
      </c>
      <c r="E4596" cm="1">
        <f t="array" ref="E4596">lrnrs_initiate_iecmats_survey_m_muslim</f>
        <v>0</v>
      </c>
      <c r="F4596" t="b">
        <v>1</v>
      </c>
    </row>
    <row r="4597" spans="1:6" x14ac:dyDescent="0.35">
      <c r="A4597" t="s">
        <v>8044</v>
      </c>
      <c r="B4597" t="s">
        <v>11736</v>
      </c>
      <c r="C4597" t="s">
        <v>8044</v>
      </c>
      <c r="D4597" t="s">
        <v>11875</v>
      </c>
      <c r="E4597" cm="1">
        <f t="array" ref="E4597">lrnrs_initiate_iecmats_survey_f_muslim</f>
        <v>0</v>
      </c>
      <c r="F4597" t="b">
        <v>1</v>
      </c>
    </row>
    <row r="4598" spans="1:6" x14ac:dyDescent="0.35">
      <c r="A4598" t="s">
        <v>8045</v>
      </c>
      <c r="B4598" t="s">
        <v>11736</v>
      </c>
      <c r="C4598" t="s">
        <v>8045</v>
      </c>
      <c r="D4598" t="s">
        <v>11876</v>
      </c>
      <c r="E4598" cm="1">
        <f t="array" ref="E4598">lrnrs_initiate_iecmats_survey_m_pwd</f>
        <v>0</v>
      </c>
      <c r="F4598" t="b">
        <v>1</v>
      </c>
    </row>
    <row r="4599" spans="1:6" x14ac:dyDescent="0.35">
      <c r="A4599" t="s">
        <v>8046</v>
      </c>
      <c r="B4599" t="s">
        <v>11736</v>
      </c>
      <c r="C4599" t="s">
        <v>8046</v>
      </c>
      <c r="D4599" t="s">
        <v>11877</v>
      </c>
      <c r="E4599" cm="1">
        <f t="array" ref="E4599">lrnrs_initiate_iecmats_survey_f_pwd</f>
        <v>0</v>
      </c>
      <c r="F4599" t="b">
        <v>1</v>
      </c>
    </row>
    <row r="4600" spans="1:6" x14ac:dyDescent="0.35">
      <c r="A4600" t="s">
        <v>8047</v>
      </c>
      <c r="B4600" t="s">
        <v>11736</v>
      </c>
      <c r="C4600" t="s">
        <v>8047</v>
      </c>
      <c r="D4600" t="s">
        <v>11878</v>
      </c>
      <c r="E4600" cm="1">
        <f t="array" ref="E4600">resilienceeduc_trained_teacher_m</f>
        <v>1</v>
      </c>
      <c r="F4600" t="b">
        <v>1</v>
      </c>
    </row>
    <row r="4601" spans="1:6" x14ac:dyDescent="0.35">
      <c r="A4601" t="s">
        <v>8048</v>
      </c>
      <c r="B4601" t="s">
        <v>11736</v>
      </c>
      <c r="C4601" t="s">
        <v>8048</v>
      </c>
      <c r="D4601" t="s">
        <v>11879</v>
      </c>
      <c r="E4601" cm="1">
        <f t="array" ref="E4601">resilienceeduc_trained_teacher_f</f>
        <v>0</v>
      </c>
      <c r="F4601" t="b">
        <v>1</v>
      </c>
    </row>
    <row r="4602" spans="1:6" x14ac:dyDescent="0.35">
      <c r="A4602" t="s">
        <v>8049</v>
      </c>
      <c r="B4602" t="s">
        <v>11736</v>
      </c>
      <c r="C4602" t="s">
        <v>8049</v>
      </c>
      <c r="D4602" t="s">
        <v>11880</v>
      </c>
      <c r="E4602" cm="1">
        <f t="array" ref="E4602">resilienceeduc_trained_nonteacher_m</f>
        <v>1</v>
      </c>
      <c r="F4602" t="b">
        <v>1</v>
      </c>
    </row>
    <row r="4603" spans="1:6" x14ac:dyDescent="0.35">
      <c r="A4603" t="s">
        <v>8050</v>
      </c>
      <c r="B4603" t="s">
        <v>11736</v>
      </c>
      <c r="C4603" t="s">
        <v>8050</v>
      </c>
      <c r="D4603" t="s">
        <v>11881</v>
      </c>
      <c r="E4603" cm="1">
        <f t="array" ref="E4603">resilienceeduc_trained_nonteacher_f</f>
        <v>0</v>
      </c>
      <c r="F4603" t="b">
        <v>1</v>
      </c>
    </row>
    <row r="4604" spans="1:6" x14ac:dyDescent="0.35">
      <c r="A4604" t="s">
        <v>8051</v>
      </c>
      <c r="B4604" t="s">
        <v>11736</v>
      </c>
      <c r="C4604" t="s">
        <v>8051</v>
      </c>
      <c r="D4604" t="s">
        <v>11882</v>
      </c>
      <c r="E4604" cm="1">
        <f t="array" ref="E4604">resilienceeduc_stakeholder_learner</f>
        <v>0</v>
      </c>
      <c r="F4604" t="b">
        <v>1</v>
      </c>
    </row>
    <row r="4605" spans="1:6" x14ac:dyDescent="0.35">
      <c r="A4605" t="s">
        <v>8052</v>
      </c>
      <c r="B4605" t="s">
        <v>11736</v>
      </c>
      <c r="C4605" t="s">
        <v>8052</v>
      </c>
      <c r="D4605" t="s">
        <v>11883</v>
      </c>
      <c r="E4605" cm="1">
        <f t="array" ref="E4605">resilienceeduc_stakeholder_personnel</f>
        <v>2</v>
      </c>
      <c r="F4605" t="b">
        <v>1</v>
      </c>
    </row>
    <row r="4606" spans="1:6" x14ac:dyDescent="0.35">
      <c r="A4606" t="s">
        <v>8053</v>
      </c>
      <c r="B4606" t="s">
        <v>11736</v>
      </c>
      <c r="C4606" t="s">
        <v>8053</v>
      </c>
      <c r="D4606" t="s">
        <v>11884</v>
      </c>
      <c r="E4606" cm="1">
        <f t="array" ref="E4606">resilienceeduc_stakeholder_parents</f>
        <v>0</v>
      </c>
      <c r="F4606" t="b">
        <v>1</v>
      </c>
    </row>
    <row r="4607" spans="1:6" x14ac:dyDescent="0.35">
      <c r="A4607" t="s">
        <v>8054</v>
      </c>
      <c r="B4607" t="s">
        <v>11736</v>
      </c>
      <c r="C4607" t="s">
        <v>8054</v>
      </c>
      <c r="D4607" t="s">
        <v>11885</v>
      </c>
      <c r="E4607" cm="1">
        <f t="array" ref="E4607">resilienceeduc_stakeholder_LGU</f>
        <v>0</v>
      </c>
      <c r="F4607" t="b">
        <v>1</v>
      </c>
    </row>
    <row r="4608" spans="1:6" x14ac:dyDescent="0.35">
      <c r="A4608" t="s">
        <v>8055</v>
      </c>
      <c r="B4608" t="s">
        <v>11736</v>
      </c>
      <c r="C4608" t="s">
        <v>8055</v>
      </c>
      <c r="D4608" t="s">
        <v>11886</v>
      </c>
      <c r="E4608" cm="1">
        <f t="array" ref="E4608">resilienceeduc_stakeholder_NGO</f>
        <v>0</v>
      </c>
      <c r="F4608" t="b">
        <v>1</v>
      </c>
    </row>
    <row r="4609" spans="1:6" x14ac:dyDescent="0.35">
      <c r="A4609" t="s">
        <v>8056</v>
      </c>
      <c r="B4609" t="s">
        <v>11736</v>
      </c>
      <c r="C4609" t="s">
        <v>8056</v>
      </c>
      <c r="D4609" t="s">
        <v>11887</v>
      </c>
      <c r="E4609" cm="1">
        <f t="array" ref="E4609">stakeholder_BFA_teaching_m</f>
        <v>1</v>
      </c>
      <c r="F4609" t="b">
        <v>1</v>
      </c>
    </row>
    <row r="4610" spans="1:6" x14ac:dyDescent="0.35">
      <c r="A4610" t="s">
        <v>8057</v>
      </c>
      <c r="B4610" t="s">
        <v>11736</v>
      </c>
      <c r="C4610" t="s">
        <v>8057</v>
      </c>
      <c r="D4610" t="s">
        <v>11888</v>
      </c>
      <c r="E4610" cm="1">
        <f t="array" ref="E4610">stakeholder_BFA_teaching_f</f>
        <v>1</v>
      </c>
      <c r="F4610" t="b">
        <v>1</v>
      </c>
    </row>
    <row r="4611" spans="1:6" x14ac:dyDescent="0.35">
      <c r="A4611" t="s">
        <v>8115</v>
      </c>
      <c r="B4611" t="s">
        <v>11736</v>
      </c>
      <c r="C4611" t="s">
        <v>8115</v>
      </c>
      <c r="D4611" t="s">
        <v>11889</v>
      </c>
      <c r="E4611" cm="1">
        <f t="array" ref="E4611">stakeholder_BFA_nonteaching_m</f>
        <v>1</v>
      </c>
      <c r="F4611" t="b">
        <v>1</v>
      </c>
    </row>
    <row r="4612" spans="1:6" x14ac:dyDescent="0.35">
      <c r="A4612" t="s">
        <v>8116</v>
      </c>
      <c r="B4612" t="s">
        <v>11736</v>
      </c>
      <c r="C4612" t="s">
        <v>8116</v>
      </c>
      <c r="D4612" t="s">
        <v>11890</v>
      </c>
      <c r="E4612" cm="1">
        <f t="array" ref="E4612">stakeholder_BFA_nonteaching_f</f>
        <v>1</v>
      </c>
      <c r="F4612" t="b">
        <v>1</v>
      </c>
    </row>
    <row r="4613" spans="1:6" x14ac:dyDescent="0.35">
      <c r="A4613" t="s">
        <v>8058</v>
      </c>
      <c r="B4613" t="s">
        <v>11736</v>
      </c>
      <c r="C4613" t="s">
        <v>8058</v>
      </c>
      <c r="D4613" t="s">
        <v>11901</v>
      </c>
      <c r="E4613" cm="1">
        <f t="array" ref="E4613">stakeholder_FEP_teaching_m</f>
        <v>0</v>
      </c>
      <c r="F4613" t="b">
        <v>1</v>
      </c>
    </row>
    <row r="4614" spans="1:6" x14ac:dyDescent="0.35">
      <c r="A4614" t="s">
        <v>8059</v>
      </c>
      <c r="B4614" t="s">
        <v>11736</v>
      </c>
      <c r="C4614" t="s">
        <v>8059</v>
      </c>
      <c r="D4614" t="s">
        <v>11893</v>
      </c>
      <c r="E4614" cm="1">
        <f t="array" ref="E4614">stakeholder_FEP_teaching_f</f>
        <v>0</v>
      </c>
      <c r="F4614" t="b">
        <v>1</v>
      </c>
    </row>
    <row r="4615" spans="1:6" x14ac:dyDescent="0.35">
      <c r="A4615" t="s">
        <v>8117</v>
      </c>
      <c r="B4615" t="s">
        <v>11736</v>
      </c>
      <c r="C4615" t="s">
        <v>8117</v>
      </c>
      <c r="D4615" t="s">
        <v>11894</v>
      </c>
      <c r="E4615" cm="1">
        <f t="array" ref="E4615">stakeholder_FEP_nonteaching_m</f>
        <v>0</v>
      </c>
      <c r="F4615" t="b">
        <v>1</v>
      </c>
    </row>
    <row r="4616" spans="1:6" x14ac:dyDescent="0.35">
      <c r="A4616" t="s">
        <v>8118</v>
      </c>
      <c r="B4616" t="s">
        <v>11736</v>
      </c>
      <c r="C4616" t="s">
        <v>8118</v>
      </c>
      <c r="D4616" t="s">
        <v>11895</v>
      </c>
      <c r="E4616" cm="1">
        <f t="array" ref="E4616">stakeholder_FEP_nonteaching_f</f>
        <v>0</v>
      </c>
      <c r="F4616" t="b">
        <v>1</v>
      </c>
    </row>
    <row r="4617" spans="1:6" x14ac:dyDescent="0.35">
      <c r="A4617" t="s">
        <v>8060</v>
      </c>
      <c r="B4617" t="s">
        <v>11736</v>
      </c>
      <c r="C4617" t="s">
        <v>8060</v>
      </c>
      <c r="D4617" t="s">
        <v>11902</v>
      </c>
      <c r="E4617" cm="1">
        <f t="array" ref="E4617">stakeholder_hazmapping_teaching_m</f>
        <v>0</v>
      </c>
      <c r="F4617" t="b">
        <v>1</v>
      </c>
    </row>
    <row r="4618" spans="1:6" x14ac:dyDescent="0.35">
      <c r="A4618" t="s">
        <v>8061</v>
      </c>
      <c r="B4618" t="s">
        <v>11736</v>
      </c>
      <c r="C4618" t="s">
        <v>8061</v>
      </c>
      <c r="D4618" t="s">
        <v>11898</v>
      </c>
      <c r="E4618" cm="1">
        <f t="array" ref="E4618">stakeholder_hazmapping_teaching_f</f>
        <v>0</v>
      </c>
      <c r="F4618" t="b">
        <v>1</v>
      </c>
    </row>
    <row r="4619" spans="1:6" x14ac:dyDescent="0.35">
      <c r="A4619" t="s">
        <v>8119</v>
      </c>
      <c r="B4619" t="s">
        <v>11736</v>
      </c>
      <c r="C4619" t="s">
        <v>8119</v>
      </c>
      <c r="D4619" t="s">
        <v>11899</v>
      </c>
      <c r="E4619" cm="1">
        <f t="array" ref="E4619">stakeholder_hazmapping_nonteaching_m</f>
        <v>0</v>
      </c>
      <c r="F4619" t="b">
        <v>1</v>
      </c>
    </row>
    <row r="4620" spans="1:6" x14ac:dyDescent="0.35">
      <c r="A4620" t="s">
        <v>8120</v>
      </c>
      <c r="B4620" t="s">
        <v>11736</v>
      </c>
      <c r="C4620" t="s">
        <v>8120</v>
      </c>
      <c r="D4620" t="s">
        <v>11900</v>
      </c>
      <c r="E4620" cm="1">
        <f t="array" ref="E4620">stakeholder_hazmapping_nonteaching_f</f>
        <v>0</v>
      </c>
      <c r="F4620" t="b">
        <v>1</v>
      </c>
    </row>
    <row r="4621" spans="1:6" x14ac:dyDescent="0.35">
      <c r="A4621" t="s">
        <v>8062</v>
      </c>
      <c r="B4621" t="s">
        <v>11736</v>
      </c>
      <c r="C4621" t="s">
        <v>8062</v>
      </c>
      <c r="D4621" t="s">
        <v>11903</v>
      </c>
      <c r="E4621" cm="1">
        <f t="array" ref="E4621">stakeholder_celebevents_teaching_m</f>
        <v>0</v>
      </c>
      <c r="F4621" t="b">
        <v>1</v>
      </c>
    </row>
    <row r="4622" spans="1:6" x14ac:dyDescent="0.35">
      <c r="A4622" t="s">
        <v>8063</v>
      </c>
      <c r="B4622" t="s">
        <v>11736</v>
      </c>
      <c r="C4622" t="s">
        <v>8063</v>
      </c>
      <c r="D4622" t="s">
        <v>11904</v>
      </c>
      <c r="E4622" cm="1">
        <f t="array" ref="E4622">stakeholder_celebevents_teaching_f</f>
        <v>0</v>
      </c>
      <c r="F4622" t="b">
        <v>1</v>
      </c>
    </row>
    <row r="4623" spans="1:6" x14ac:dyDescent="0.35">
      <c r="A4623" t="s">
        <v>8121</v>
      </c>
      <c r="B4623" t="s">
        <v>11736</v>
      </c>
      <c r="C4623" t="s">
        <v>8121</v>
      </c>
      <c r="D4623" t="s">
        <v>11905</v>
      </c>
      <c r="E4623" cm="1">
        <f t="array" ref="E4623">stakeholder_celebevents_nonteaching_m</f>
        <v>0</v>
      </c>
      <c r="F4623" t="b">
        <v>1</v>
      </c>
    </row>
    <row r="4624" spans="1:6" x14ac:dyDescent="0.35">
      <c r="A4624" t="s">
        <v>8122</v>
      </c>
      <c r="B4624" t="s">
        <v>11736</v>
      </c>
      <c r="C4624" t="s">
        <v>8122</v>
      </c>
      <c r="D4624" t="s">
        <v>11906</v>
      </c>
      <c r="E4624" cm="1">
        <f t="array" ref="E4624">stakeholder_celebevents_nonteaching_f</f>
        <v>0</v>
      </c>
      <c r="F4624" t="b">
        <v>1</v>
      </c>
    </row>
    <row r="4625" spans="1:6" x14ac:dyDescent="0.35">
      <c r="A4625" t="s">
        <v>8064</v>
      </c>
      <c r="B4625" t="s">
        <v>11736</v>
      </c>
      <c r="C4625" t="s">
        <v>8064</v>
      </c>
      <c r="D4625" t="s">
        <v>11907</v>
      </c>
      <c r="E4625" cm="1">
        <f t="array" ref="E4625">stakeholder_drrmcamp_teaching_m</f>
        <v>0</v>
      </c>
      <c r="F4625" t="b">
        <v>1</v>
      </c>
    </row>
    <row r="4626" spans="1:6" x14ac:dyDescent="0.35">
      <c r="A4626" t="s">
        <v>8065</v>
      </c>
      <c r="B4626" t="s">
        <v>11736</v>
      </c>
      <c r="C4626" t="s">
        <v>8065</v>
      </c>
      <c r="D4626" t="s">
        <v>11908</v>
      </c>
      <c r="E4626" cm="1">
        <f t="array" ref="E4626">stakeholder_drrmcamp_teaching_f</f>
        <v>0</v>
      </c>
      <c r="F4626" t="b">
        <v>1</v>
      </c>
    </row>
    <row r="4627" spans="1:6" x14ac:dyDescent="0.35">
      <c r="A4627" t="s">
        <v>8123</v>
      </c>
      <c r="B4627" t="s">
        <v>11736</v>
      </c>
      <c r="C4627" t="s">
        <v>8123</v>
      </c>
      <c r="D4627" t="s">
        <v>11909</v>
      </c>
      <c r="E4627" cm="1">
        <f t="array" ref="E4627">stakeholder_drrmcamp_nonteaching_m</f>
        <v>0</v>
      </c>
      <c r="F4627" t="b">
        <v>1</v>
      </c>
    </row>
    <row r="4628" spans="1:6" x14ac:dyDescent="0.35">
      <c r="A4628" t="s">
        <v>8124</v>
      </c>
      <c r="B4628" t="s">
        <v>11736</v>
      </c>
      <c r="C4628" t="s">
        <v>8124</v>
      </c>
      <c r="D4628" t="s">
        <v>11910</v>
      </c>
      <c r="E4628" cm="1">
        <f t="array" ref="E4628">stakeholder_drrmcamp_nonteaching_f</f>
        <v>0</v>
      </c>
      <c r="F4628" t="b">
        <v>1</v>
      </c>
    </row>
    <row r="4629" spans="1:6" x14ac:dyDescent="0.35">
      <c r="A4629" t="s">
        <v>8067</v>
      </c>
      <c r="B4629" t="s">
        <v>11736</v>
      </c>
      <c r="C4629" t="s">
        <v>8067</v>
      </c>
      <c r="D4629" t="s">
        <v>11911</v>
      </c>
      <c r="E4629" cm="1">
        <f t="array" ref="E4629">stakeholder_drrmyouthcouncil_teaching_m</f>
        <v>0</v>
      </c>
      <c r="F4629" t="b">
        <v>1</v>
      </c>
    </row>
    <row r="4630" spans="1:6" x14ac:dyDescent="0.35">
      <c r="A4630" t="s">
        <v>8066</v>
      </c>
      <c r="B4630" t="s">
        <v>11736</v>
      </c>
      <c r="C4630" t="s">
        <v>8066</v>
      </c>
      <c r="D4630" t="s">
        <v>11912</v>
      </c>
      <c r="E4630" cm="1">
        <f t="array" ref="E4630">stakeholder_drrmyouthcouncil_teaching_f</f>
        <v>0</v>
      </c>
      <c r="F4630" t="b">
        <v>1</v>
      </c>
    </row>
    <row r="4631" spans="1:6" x14ac:dyDescent="0.35">
      <c r="A4631" t="s">
        <v>8125</v>
      </c>
      <c r="B4631" t="s">
        <v>11736</v>
      </c>
      <c r="C4631" t="s">
        <v>8125</v>
      </c>
      <c r="D4631" t="s">
        <v>11913</v>
      </c>
      <c r="E4631" cm="1">
        <f t="array" ref="E4631">stakeholder_drrmyouthcouncil_nonteaching_m</f>
        <v>0</v>
      </c>
      <c r="F4631" t="b">
        <v>1</v>
      </c>
    </row>
    <row r="4632" spans="1:6" x14ac:dyDescent="0.35">
      <c r="A4632" t="s">
        <v>8126</v>
      </c>
      <c r="B4632" t="s">
        <v>11736</v>
      </c>
      <c r="C4632" t="s">
        <v>8126</v>
      </c>
      <c r="D4632" t="s">
        <v>11914</v>
      </c>
      <c r="E4632" cm="1">
        <f t="array" ref="E4632">stakeholder_drrmyouthcouncil_nonteaching_f</f>
        <v>0</v>
      </c>
      <c r="F4632" t="b">
        <v>1</v>
      </c>
    </row>
    <row r="4633" spans="1:6" x14ac:dyDescent="0.35">
      <c r="A4633" t="s">
        <v>8068</v>
      </c>
      <c r="B4633" t="s">
        <v>11736</v>
      </c>
      <c r="C4633" t="s">
        <v>8068</v>
      </c>
      <c r="D4633" t="s">
        <v>11915</v>
      </c>
      <c r="E4633" cm="1">
        <f t="array" ref="E4633">stakeholder_drrmyac_teaching_m</f>
        <v>0</v>
      </c>
      <c r="F4633" t="b">
        <v>1</v>
      </c>
    </row>
    <row r="4634" spans="1:6" x14ac:dyDescent="0.35">
      <c r="A4634" t="s">
        <v>8069</v>
      </c>
      <c r="B4634" t="s">
        <v>11736</v>
      </c>
      <c r="C4634" t="s">
        <v>8069</v>
      </c>
      <c r="D4634" t="s">
        <v>11916</v>
      </c>
      <c r="E4634" cm="1">
        <f t="array" ref="E4634">stakeholder_drrmyac_teaching_f</f>
        <v>0</v>
      </c>
      <c r="F4634" t="b">
        <v>1</v>
      </c>
    </row>
    <row r="4635" spans="1:6" x14ac:dyDescent="0.35">
      <c r="A4635" t="s">
        <v>8127</v>
      </c>
      <c r="B4635" t="s">
        <v>11736</v>
      </c>
      <c r="C4635" t="s">
        <v>8127</v>
      </c>
      <c r="D4635" t="s">
        <v>11917</v>
      </c>
      <c r="E4635" cm="1">
        <f t="array" ref="E4635">stakeholder_drrmyac_nonteaching_m</f>
        <v>0</v>
      </c>
      <c r="F4635" t="b">
        <v>1</v>
      </c>
    </row>
    <row r="4636" spans="1:6" x14ac:dyDescent="0.35">
      <c r="A4636" t="s">
        <v>8128</v>
      </c>
      <c r="B4636" t="s">
        <v>11736</v>
      </c>
      <c r="C4636" t="s">
        <v>8128</v>
      </c>
      <c r="D4636" t="s">
        <v>11918</v>
      </c>
      <c r="E4636" cm="1">
        <f t="array" ref="E4636">stakeholder_drrmyac_nonteaching_f</f>
        <v>0</v>
      </c>
      <c r="F4636" t="b">
        <v>1</v>
      </c>
    </row>
    <row r="4637" spans="1:6" x14ac:dyDescent="0.35">
      <c r="A4637" t="s">
        <v>8071</v>
      </c>
      <c r="B4637" t="s">
        <v>11736</v>
      </c>
      <c r="C4637" t="s">
        <v>8071</v>
      </c>
      <c r="D4637" t="s">
        <v>11891</v>
      </c>
      <c r="E4637" cm="1">
        <f t="array" ref="E4637">stakeholder_drrmrelated_teaching_m</f>
        <v>0</v>
      </c>
      <c r="F4637" t="b">
        <v>1</v>
      </c>
    </row>
    <row r="4638" spans="1:6" x14ac:dyDescent="0.35">
      <c r="A4638" t="s">
        <v>8070</v>
      </c>
      <c r="B4638" t="s">
        <v>11736</v>
      </c>
      <c r="C4638" t="s">
        <v>8070</v>
      </c>
      <c r="D4638" t="s">
        <v>11919</v>
      </c>
      <c r="E4638" cm="1">
        <f t="array" ref="E4638">stakeholder_drrmrelated_teaching_f</f>
        <v>0</v>
      </c>
      <c r="F4638" t="b">
        <v>1</v>
      </c>
    </row>
    <row r="4639" spans="1:6" x14ac:dyDescent="0.35">
      <c r="A4639" t="s">
        <v>8129</v>
      </c>
      <c r="B4639" t="s">
        <v>11736</v>
      </c>
      <c r="C4639" t="s">
        <v>8129</v>
      </c>
      <c r="D4639" t="s">
        <v>11920</v>
      </c>
      <c r="E4639" cm="1">
        <f t="array" ref="E4639">stakeholder_drrmrelated_nonteaching_m</f>
        <v>0</v>
      </c>
      <c r="F4639" t="b">
        <v>1</v>
      </c>
    </row>
    <row r="4640" spans="1:6" x14ac:dyDescent="0.35">
      <c r="A4640" t="s">
        <v>8130</v>
      </c>
      <c r="B4640" t="s">
        <v>11736</v>
      </c>
      <c r="C4640" t="s">
        <v>8130</v>
      </c>
      <c r="D4640" t="s">
        <v>11921</v>
      </c>
      <c r="E4640" cm="1">
        <f t="array" ref="E4640">stakeholder_drrmrelated_nonteaching_f</f>
        <v>0</v>
      </c>
      <c r="F4640" t="b">
        <v>1</v>
      </c>
    </row>
    <row r="4641" spans="1:6" x14ac:dyDescent="0.35">
      <c r="A4641" t="s">
        <v>8074</v>
      </c>
      <c r="B4641" t="s">
        <v>11736</v>
      </c>
      <c r="C4641" t="s">
        <v>8074</v>
      </c>
      <c r="D4641" t="s">
        <v>11926</v>
      </c>
      <c r="E4641" cm="1">
        <f t="array" ref="E4641">stakeholder_drrmothers_specify</f>
        <v>0</v>
      </c>
      <c r="F4641" t="b">
        <v>1</v>
      </c>
    </row>
    <row r="4642" spans="1:6" x14ac:dyDescent="0.35">
      <c r="A4642" t="s">
        <v>8072</v>
      </c>
      <c r="B4642" t="s">
        <v>11736</v>
      </c>
      <c r="C4642" t="s">
        <v>8072</v>
      </c>
      <c r="D4642" t="s">
        <v>11922</v>
      </c>
      <c r="E4642" cm="1">
        <f t="array" ref="E4642">stakeholder_drrmothers_teaching_m</f>
        <v>0</v>
      </c>
      <c r="F4642" t="b">
        <v>1</v>
      </c>
    </row>
    <row r="4643" spans="1:6" x14ac:dyDescent="0.35">
      <c r="A4643" t="s">
        <v>8073</v>
      </c>
      <c r="B4643" t="s">
        <v>11736</v>
      </c>
      <c r="C4643" t="s">
        <v>8073</v>
      </c>
      <c r="D4643" t="s">
        <v>11923</v>
      </c>
      <c r="E4643" cm="1">
        <f t="array" ref="E4643">stakeholder_drrmothers_teaching_f</f>
        <v>0</v>
      </c>
      <c r="F4643" t="b">
        <v>1</v>
      </c>
    </row>
    <row r="4644" spans="1:6" x14ac:dyDescent="0.35">
      <c r="A4644" t="s">
        <v>8131</v>
      </c>
      <c r="B4644" t="s">
        <v>11736</v>
      </c>
      <c r="C4644" t="s">
        <v>8131</v>
      </c>
      <c r="D4644" t="s">
        <v>11924</v>
      </c>
      <c r="E4644" cm="1">
        <f t="array" ref="E4644">stakeholder_drrmothers_nonteaching_m</f>
        <v>0</v>
      </c>
      <c r="F4644" t="b">
        <v>1</v>
      </c>
    </row>
    <row r="4645" spans="1:6" x14ac:dyDescent="0.35">
      <c r="A4645" t="s">
        <v>8132</v>
      </c>
      <c r="B4645" t="s">
        <v>11736</v>
      </c>
      <c r="C4645" t="s">
        <v>8132</v>
      </c>
      <c r="D4645" t="s">
        <v>11925</v>
      </c>
      <c r="E4645" cm="1">
        <f t="array" ref="E4645">stakeholder_drrmothers_nonteaching_f</f>
        <v>0</v>
      </c>
      <c r="F4645" t="b">
        <v>1</v>
      </c>
    </row>
    <row r="4646" spans="1:6" x14ac:dyDescent="0.35">
      <c r="A4646" t="s">
        <v>8075</v>
      </c>
      <c r="B4646" t="s">
        <v>11736</v>
      </c>
      <c r="C4646" t="s">
        <v>8075</v>
      </c>
      <c r="D4646" t="s">
        <v>11927</v>
      </c>
      <c r="E4646" cm="1">
        <f t="array" ref="E4646">stakeholder_art_teaching_m</f>
        <v>0</v>
      </c>
      <c r="F4646" t="b">
        <v>1</v>
      </c>
    </row>
    <row r="4647" spans="1:6" x14ac:dyDescent="0.35">
      <c r="A4647" t="s">
        <v>8076</v>
      </c>
      <c r="B4647" t="s">
        <v>11736</v>
      </c>
      <c r="C4647" t="s">
        <v>8076</v>
      </c>
      <c r="D4647" t="s">
        <v>11928</v>
      </c>
      <c r="E4647" cm="1">
        <f t="array" ref="E4647">stakeholder_art_teaching_f</f>
        <v>0</v>
      </c>
      <c r="F4647" t="b">
        <v>1</v>
      </c>
    </row>
    <row r="4648" spans="1:6" x14ac:dyDescent="0.35">
      <c r="A4648" t="s">
        <v>8133</v>
      </c>
      <c r="B4648" t="s">
        <v>11736</v>
      </c>
      <c r="C4648" t="s">
        <v>8133</v>
      </c>
      <c r="D4648" t="s">
        <v>11929</v>
      </c>
      <c r="E4648" cm="1">
        <f t="array" ref="E4648">stakeholder_art_nonteaching_m</f>
        <v>0</v>
      </c>
      <c r="F4648" t="b">
        <v>1</v>
      </c>
    </row>
    <row r="4649" spans="1:6" x14ac:dyDescent="0.35">
      <c r="A4649" t="s">
        <v>8134</v>
      </c>
      <c r="B4649" t="s">
        <v>11736</v>
      </c>
      <c r="C4649" t="s">
        <v>8134</v>
      </c>
      <c r="D4649" t="s">
        <v>11930</v>
      </c>
      <c r="E4649" cm="1">
        <f t="array" ref="E4649">stakeholder_art_nonteaching_f</f>
        <v>0</v>
      </c>
      <c r="F4649" t="b">
        <v>1</v>
      </c>
    </row>
    <row r="4650" spans="1:6" x14ac:dyDescent="0.35">
      <c r="A4650" t="s">
        <v>8077</v>
      </c>
      <c r="B4650" t="s">
        <v>11736</v>
      </c>
      <c r="C4650" t="s">
        <v>8077</v>
      </c>
      <c r="D4650" t="s">
        <v>11931</v>
      </c>
      <c r="E4650" cm="1">
        <f t="array" ref="E4650">stakeholder_change_teaching_m</f>
        <v>0</v>
      </c>
      <c r="F4650" t="b">
        <v>1</v>
      </c>
    </row>
    <row r="4651" spans="1:6" x14ac:dyDescent="0.35">
      <c r="A4651" t="s">
        <v>8078</v>
      </c>
      <c r="B4651" t="s">
        <v>11736</v>
      </c>
      <c r="C4651" t="s">
        <v>8078</v>
      </c>
      <c r="D4651" t="s">
        <v>11932</v>
      </c>
      <c r="E4651" cm="1">
        <f t="array" ref="E4651">stakeholder_change_teaching_f</f>
        <v>0</v>
      </c>
      <c r="F4651" t="b">
        <v>1</v>
      </c>
    </row>
    <row r="4652" spans="1:6" x14ac:dyDescent="0.35">
      <c r="A4652" t="s">
        <v>8135</v>
      </c>
      <c r="B4652" t="s">
        <v>11736</v>
      </c>
      <c r="C4652" t="s">
        <v>8135</v>
      </c>
      <c r="D4652" t="s">
        <v>11933</v>
      </c>
      <c r="E4652" cm="1">
        <f t="array" ref="E4652">stakeholder_change_nonteaching_m</f>
        <v>0</v>
      </c>
      <c r="F4652" t="b">
        <v>1</v>
      </c>
    </row>
    <row r="4653" spans="1:6" x14ac:dyDescent="0.35">
      <c r="A4653" t="s">
        <v>8136</v>
      </c>
      <c r="B4653" t="s">
        <v>11736</v>
      </c>
      <c r="C4653" t="s">
        <v>8136</v>
      </c>
      <c r="D4653" t="s">
        <v>11934</v>
      </c>
      <c r="E4653" cm="1">
        <f t="array" ref="E4653">stakeholder_change_nonteaching_f</f>
        <v>0</v>
      </c>
      <c r="F4653" t="b">
        <v>1</v>
      </c>
    </row>
    <row r="4654" spans="1:6" x14ac:dyDescent="0.35">
      <c r="A4654" t="s">
        <v>8079</v>
      </c>
      <c r="B4654" t="s">
        <v>11736</v>
      </c>
      <c r="C4654" t="s">
        <v>8079</v>
      </c>
      <c r="D4654" t="s">
        <v>11935</v>
      </c>
      <c r="E4654" cm="1">
        <f t="array" ref="E4654">stakeholder_ccamcamps_teaching_m</f>
        <v>0</v>
      </c>
      <c r="F4654" t="b">
        <v>1</v>
      </c>
    </row>
    <row r="4655" spans="1:6" x14ac:dyDescent="0.35">
      <c r="A4655" t="s">
        <v>8080</v>
      </c>
      <c r="B4655" t="s">
        <v>11736</v>
      </c>
      <c r="C4655" t="s">
        <v>8080</v>
      </c>
      <c r="D4655" t="s">
        <v>11936</v>
      </c>
      <c r="E4655" cm="1">
        <f t="array" ref="E4655">stakeholder_ccamcamps_teaching_f</f>
        <v>0</v>
      </c>
      <c r="F4655" t="b">
        <v>1</v>
      </c>
    </row>
    <row r="4656" spans="1:6" x14ac:dyDescent="0.35">
      <c r="A4656" t="s">
        <v>8137</v>
      </c>
      <c r="B4656" t="s">
        <v>11736</v>
      </c>
      <c r="C4656" t="s">
        <v>8137</v>
      </c>
      <c r="D4656" t="s">
        <v>11937</v>
      </c>
      <c r="E4656" cm="1">
        <f t="array" ref="E4656">stakeholder_ccamcamps_nonteaching_m</f>
        <v>0</v>
      </c>
      <c r="F4656" t="b">
        <v>1</v>
      </c>
    </row>
    <row r="4657" spans="1:6" x14ac:dyDescent="0.35">
      <c r="A4657" t="s">
        <v>8138</v>
      </c>
      <c r="B4657" t="s">
        <v>11736</v>
      </c>
      <c r="C4657" t="s">
        <v>8138</v>
      </c>
      <c r="D4657" t="s">
        <v>11938</v>
      </c>
      <c r="E4657" cm="1">
        <f t="array" ref="E4657">stakeholder_ccamcamps_nonteaching_f</f>
        <v>0</v>
      </c>
      <c r="F4657" t="b">
        <v>1</v>
      </c>
    </row>
    <row r="4658" spans="1:6" x14ac:dyDescent="0.35">
      <c r="A4658" t="s">
        <v>8082</v>
      </c>
      <c r="B4658" t="s">
        <v>11736</v>
      </c>
      <c r="C4658" t="s">
        <v>8082</v>
      </c>
      <c r="D4658" t="s">
        <v>11892</v>
      </c>
      <c r="E4658" cm="1">
        <f t="array" ref="E4658">stakeholder_onlineteach_teaching_m</f>
        <v>0</v>
      </c>
      <c r="F4658" t="b">
        <v>1</v>
      </c>
    </row>
    <row r="4659" spans="1:6" x14ac:dyDescent="0.35">
      <c r="A4659" t="s">
        <v>8081</v>
      </c>
      <c r="B4659" t="s">
        <v>11736</v>
      </c>
      <c r="C4659" t="s">
        <v>8081</v>
      </c>
      <c r="D4659" t="s">
        <v>11939</v>
      </c>
      <c r="E4659" cm="1">
        <f t="array" ref="E4659">stakeholder_onlineteach_teaching_f</f>
        <v>0</v>
      </c>
      <c r="F4659" t="b">
        <v>1</v>
      </c>
    </row>
    <row r="4660" spans="1:6" x14ac:dyDescent="0.35">
      <c r="A4660" t="s">
        <v>8139</v>
      </c>
      <c r="B4660" t="s">
        <v>11736</v>
      </c>
      <c r="C4660" t="s">
        <v>8139</v>
      </c>
      <c r="D4660" t="s">
        <v>11940</v>
      </c>
      <c r="E4660" cm="1">
        <f t="array" ref="E4660">stakeholder_onlineteach_nonteaching_m</f>
        <v>0</v>
      </c>
      <c r="F4660" t="b">
        <v>1</v>
      </c>
    </row>
    <row r="4661" spans="1:6" x14ac:dyDescent="0.35">
      <c r="A4661" t="s">
        <v>8140</v>
      </c>
      <c r="B4661" t="s">
        <v>11736</v>
      </c>
      <c r="C4661" t="s">
        <v>8140</v>
      </c>
      <c r="D4661" t="s">
        <v>11941</v>
      </c>
      <c r="E4661" cm="1">
        <f t="array" ref="E4661">stakeholder_onlineteach_nonteaching_f</f>
        <v>0</v>
      </c>
      <c r="F4661" t="b">
        <v>1</v>
      </c>
    </row>
    <row r="4662" spans="1:6" x14ac:dyDescent="0.35">
      <c r="A4662" t="s">
        <v>8083</v>
      </c>
      <c r="B4662" t="s">
        <v>11736</v>
      </c>
      <c r="C4662" t="s">
        <v>8083</v>
      </c>
      <c r="D4662" t="s">
        <v>11942</v>
      </c>
      <c r="E4662" cm="1">
        <f t="array" ref="E4662">stakeholder_journalism_teaching_m</f>
        <v>0</v>
      </c>
      <c r="F4662" t="b">
        <v>1</v>
      </c>
    </row>
    <row r="4663" spans="1:6" x14ac:dyDescent="0.35">
      <c r="A4663" t="s">
        <v>8084</v>
      </c>
      <c r="B4663" t="s">
        <v>11736</v>
      </c>
      <c r="C4663" t="s">
        <v>8084</v>
      </c>
      <c r="D4663" t="s">
        <v>11943</v>
      </c>
      <c r="E4663" cm="1">
        <f t="array" ref="E4663">stakeholder_journalism_teaching_f</f>
        <v>0</v>
      </c>
      <c r="F4663" t="b">
        <v>1</v>
      </c>
    </row>
    <row r="4664" spans="1:6" x14ac:dyDescent="0.35">
      <c r="A4664" t="s">
        <v>8141</v>
      </c>
      <c r="B4664" t="s">
        <v>11736</v>
      </c>
      <c r="C4664" t="s">
        <v>8141</v>
      </c>
      <c r="D4664" t="s">
        <v>11944</v>
      </c>
      <c r="E4664" cm="1">
        <f t="array" ref="E4664">stakeholder_journalism_nonteaching_m</f>
        <v>0</v>
      </c>
      <c r="F4664" t="b">
        <v>1</v>
      </c>
    </row>
    <row r="4665" spans="1:6" x14ac:dyDescent="0.35">
      <c r="A4665" t="s">
        <v>8142</v>
      </c>
      <c r="B4665" t="s">
        <v>11736</v>
      </c>
      <c r="C4665" t="s">
        <v>8142</v>
      </c>
      <c r="D4665" t="s">
        <v>11945</v>
      </c>
      <c r="E4665" cm="1">
        <f t="array" ref="E4665">stakeholder_journalism_nonteaching_f</f>
        <v>0</v>
      </c>
      <c r="F4665" t="b">
        <v>1</v>
      </c>
    </row>
    <row r="4666" spans="1:6" x14ac:dyDescent="0.35">
      <c r="A4666" t="s">
        <v>8085</v>
      </c>
      <c r="B4666" t="s">
        <v>11736</v>
      </c>
      <c r="C4666" t="s">
        <v>8085</v>
      </c>
      <c r="D4666" t="s">
        <v>11946</v>
      </c>
      <c r="E4666" cm="1">
        <f t="array" ref="E4666">stakeholder_gulayan_teaching_m</f>
        <v>2</v>
      </c>
      <c r="F4666" t="b">
        <v>1</v>
      </c>
    </row>
    <row r="4667" spans="1:6" x14ac:dyDescent="0.35">
      <c r="A4667" t="s">
        <v>8086</v>
      </c>
      <c r="B4667" t="s">
        <v>11736</v>
      </c>
      <c r="C4667" t="s">
        <v>8086</v>
      </c>
      <c r="D4667" t="s">
        <v>11947</v>
      </c>
      <c r="E4667" cm="1">
        <f t="array" ref="E4667">stakeholder_gulayan_teaching_f</f>
        <v>2</v>
      </c>
      <c r="F4667" t="b">
        <v>1</v>
      </c>
    </row>
    <row r="4668" spans="1:6" x14ac:dyDescent="0.35">
      <c r="A4668" t="s">
        <v>8143</v>
      </c>
      <c r="B4668" t="s">
        <v>11736</v>
      </c>
      <c r="C4668" t="s">
        <v>8143</v>
      </c>
      <c r="D4668" t="s">
        <v>11948</v>
      </c>
      <c r="E4668" cm="1">
        <f t="array" ref="E4668">stakeholder_gulayan_nonteaching_m</f>
        <v>0</v>
      </c>
      <c r="F4668" t="b">
        <v>1</v>
      </c>
    </row>
    <row r="4669" spans="1:6" x14ac:dyDescent="0.35">
      <c r="A4669" t="s">
        <v>8144</v>
      </c>
      <c r="B4669" t="s">
        <v>11736</v>
      </c>
      <c r="C4669" t="s">
        <v>8144</v>
      </c>
      <c r="D4669" t="s">
        <v>11949</v>
      </c>
      <c r="E4669" cm="1">
        <f t="array" ref="E4669">stakeholder_gulayan_nonteaching_f</f>
        <v>0</v>
      </c>
      <c r="F4669" t="b">
        <v>1</v>
      </c>
    </row>
    <row r="4670" spans="1:6" x14ac:dyDescent="0.35">
      <c r="A4670" t="s">
        <v>8087</v>
      </c>
      <c r="B4670" t="s">
        <v>11736</v>
      </c>
      <c r="C4670" t="s">
        <v>8087</v>
      </c>
      <c r="D4670" t="s">
        <v>11950</v>
      </c>
      <c r="E4670" cm="1">
        <f t="array" ref="E4670">stakeholder_mrf_teaching_m</f>
        <v>0</v>
      </c>
      <c r="F4670" t="b">
        <v>1</v>
      </c>
    </row>
    <row r="4671" spans="1:6" x14ac:dyDescent="0.35">
      <c r="A4671" t="s">
        <v>8088</v>
      </c>
      <c r="B4671" t="s">
        <v>11736</v>
      </c>
      <c r="C4671" t="s">
        <v>8088</v>
      </c>
      <c r="D4671" t="s">
        <v>11951</v>
      </c>
      <c r="E4671" cm="1">
        <f t="array" ref="E4671">stakeholder_mrf_teaching_f</f>
        <v>0</v>
      </c>
      <c r="F4671" t="b">
        <v>1</v>
      </c>
    </row>
    <row r="4672" spans="1:6" x14ac:dyDescent="0.35">
      <c r="A4672" t="s">
        <v>8145</v>
      </c>
      <c r="B4672" t="s">
        <v>11736</v>
      </c>
      <c r="C4672" t="s">
        <v>8145</v>
      </c>
      <c r="D4672" t="s">
        <v>11952</v>
      </c>
      <c r="E4672" cm="1">
        <f t="array" ref="E4672">stakeholder_mrf_nonteaching_m</f>
        <v>0</v>
      </c>
      <c r="F4672" t="b">
        <v>1</v>
      </c>
    </row>
    <row r="4673" spans="1:6" x14ac:dyDescent="0.35">
      <c r="A4673" t="s">
        <v>8146</v>
      </c>
      <c r="B4673" t="s">
        <v>11736</v>
      </c>
      <c r="C4673" t="s">
        <v>8146</v>
      </c>
      <c r="D4673" t="s">
        <v>11953</v>
      </c>
      <c r="E4673" cm="1">
        <f t="array" ref="E4673">stakeholder_mrf_nonteaching_f</f>
        <v>0</v>
      </c>
      <c r="F4673" t="b">
        <v>1</v>
      </c>
    </row>
    <row r="4674" spans="1:6" x14ac:dyDescent="0.35">
      <c r="A4674" t="s">
        <v>8089</v>
      </c>
      <c r="B4674" t="s">
        <v>11736</v>
      </c>
      <c r="C4674" t="s">
        <v>8089</v>
      </c>
      <c r="D4674" t="s">
        <v>11954</v>
      </c>
      <c r="E4674" cm="1">
        <f t="array" ref="E4674">stakeholder_caaas_teaching_m</f>
        <v>0</v>
      </c>
      <c r="F4674" t="b">
        <v>1</v>
      </c>
    </row>
    <row r="4675" spans="1:6" x14ac:dyDescent="0.35">
      <c r="A4675" t="s">
        <v>8090</v>
      </c>
      <c r="B4675" t="s">
        <v>11736</v>
      </c>
      <c r="C4675" t="s">
        <v>8090</v>
      </c>
      <c r="D4675" t="s">
        <v>11955</v>
      </c>
      <c r="E4675" cm="1">
        <f t="array" ref="E4675">stakeholder_caaas_teaching_f</f>
        <v>0</v>
      </c>
      <c r="F4675" t="b">
        <v>1</v>
      </c>
    </row>
    <row r="4676" spans="1:6" x14ac:dyDescent="0.35">
      <c r="A4676" t="s">
        <v>8147</v>
      </c>
      <c r="B4676" t="s">
        <v>11736</v>
      </c>
      <c r="C4676" t="s">
        <v>8147</v>
      </c>
      <c r="D4676" t="s">
        <v>11956</v>
      </c>
      <c r="E4676" cm="1">
        <f t="array" ref="E4676">stakeholder_caaas_nonteaching_m</f>
        <v>0</v>
      </c>
      <c r="F4676" t="b">
        <v>1</v>
      </c>
    </row>
    <row r="4677" spans="1:6" x14ac:dyDescent="0.35">
      <c r="A4677" t="s">
        <v>8148</v>
      </c>
      <c r="B4677" t="s">
        <v>11736</v>
      </c>
      <c r="C4677" t="s">
        <v>8148</v>
      </c>
      <c r="D4677" t="s">
        <v>11957</v>
      </c>
      <c r="E4677" cm="1">
        <f t="array" ref="E4677">stakeholder_caaas_nonteaching_f</f>
        <v>0</v>
      </c>
      <c r="F4677" t="b">
        <v>1</v>
      </c>
    </row>
    <row r="4678" spans="1:6" x14ac:dyDescent="0.35">
      <c r="A4678" t="s">
        <v>8091</v>
      </c>
      <c r="B4678" t="s">
        <v>11736</v>
      </c>
      <c r="C4678" t="s">
        <v>8091</v>
      </c>
      <c r="D4678" t="s">
        <v>11958</v>
      </c>
      <c r="E4678" cm="1">
        <f t="array" ref="E4678">stakeholder_swm_teaching_m</f>
        <v>2</v>
      </c>
      <c r="F4678" t="b">
        <v>1</v>
      </c>
    </row>
    <row r="4679" spans="1:6" x14ac:dyDescent="0.35">
      <c r="A4679" t="s">
        <v>8092</v>
      </c>
      <c r="B4679" t="s">
        <v>11736</v>
      </c>
      <c r="C4679" t="s">
        <v>8092</v>
      </c>
      <c r="D4679" t="s">
        <v>11959</v>
      </c>
      <c r="E4679" cm="1">
        <f t="array" ref="E4679">stakeholder_swm_teaching_f</f>
        <v>2</v>
      </c>
      <c r="F4679" t="b">
        <v>1</v>
      </c>
    </row>
    <row r="4680" spans="1:6" x14ac:dyDescent="0.35">
      <c r="A4680" t="s">
        <v>8149</v>
      </c>
      <c r="B4680" t="s">
        <v>11736</v>
      </c>
      <c r="C4680" t="s">
        <v>8149</v>
      </c>
      <c r="D4680" t="s">
        <v>11960</v>
      </c>
      <c r="E4680" cm="1">
        <f t="array" ref="E4680">stakeholder_swm_nonteaching_m</f>
        <v>2</v>
      </c>
      <c r="F4680" t="b">
        <v>1</v>
      </c>
    </row>
    <row r="4681" spans="1:6" x14ac:dyDescent="0.35">
      <c r="A4681" t="s">
        <v>8150</v>
      </c>
      <c r="B4681" t="s">
        <v>11736</v>
      </c>
      <c r="C4681" t="s">
        <v>8150</v>
      </c>
      <c r="D4681" t="s">
        <v>11961</v>
      </c>
      <c r="E4681" cm="1">
        <f t="array" ref="E4681">stakeholder_swm_nonteaching_f</f>
        <v>2</v>
      </c>
      <c r="F4681" t="b">
        <v>1</v>
      </c>
    </row>
    <row r="4682" spans="1:6" x14ac:dyDescent="0.35">
      <c r="A4682" t="s">
        <v>8093</v>
      </c>
      <c r="B4682" t="s">
        <v>11736</v>
      </c>
      <c r="C4682" t="s">
        <v>8093</v>
      </c>
      <c r="D4682" t="s">
        <v>11962</v>
      </c>
      <c r="E4682" cm="1">
        <f t="array" ref="E4682">stakeholder_recycling_teaching_m</f>
        <v>2</v>
      </c>
      <c r="F4682" t="b">
        <v>1</v>
      </c>
    </row>
    <row r="4683" spans="1:6" x14ac:dyDescent="0.35">
      <c r="A4683" t="s">
        <v>8094</v>
      </c>
      <c r="B4683" t="s">
        <v>11736</v>
      </c>
      <c r="C4683" t="s">
        <v>8094</v>
      </c>
      <c r="D4683" t="s">
        <v>11963</v>
      </c>
      <c r="E4683" cm="1">
        <f t="array" ref="E4683">stakeholder_recycling_teaching_f</f>
        <v>2</v>
      </c>
      <c r="F4683" t="b">
        <v>1</v>
      </c>
    </row>
    <row r="4684" spans="1:6" x14ac:dyDescent="0.35">
      <c r="A4684" t="s">
        <v>8151</v>
      </c>
      <c r="B4684" t="s">
        <v>11736</v>
      </c>
      <c r="C4684" t="s">
        <v>8151</v>
      </c>
      <c r="D4684" t="s">
        <v>11964</v>
      </c>
      <c r="E4684" cm="1">
        <f t="array" ref="E4684">stakeholder_recycling_nonteaching_m</f>
        <v>0</v>
      </c>
      <c r="F4684" t="b">
        <v>1</v>
      </c>
    </row>
    <row r="4685" spans="1:6" x14ac:dyDescent="0.35">
      <c r="A4685" t="s">
        <v>8152</v>
      </c>
      <c r="B4685" t="s">
        <v>11736</v>
      </c>
      <c r="C4685" t="s">
        <v>8152</v>
      </c>
      <c r="D4685" t="s">
        <v>11965</v>
      </c>
      <c r="E4685" cm="1">
        <f t="array" ref="E4685">stakeholder_recycling_nonteaching_f</f>
        <v>0</v>
      </c>
      <c r="F4685" t="b">
        <v>1</v>
      </c>
    </row>
    <row r="4686" spans="1:6" x14ac:dyDescent="0.35">
      <c r="A4686" t="s">
        <v>8095</v>
      </c>
      <c r="B4686" t="s">
        <v>11736</v>
      </c>
      <c r="C4686" t="s">
        <v>8095</v>
      </c>
      <c r="D4686" t="s">
        <v>11896</v>
      </c>
      <c r="E4686" cm="1">
        <f t="array" ref="E4686">stakeholder_treeplanting_teaching_m</f>
        <v>3</v>
      </c>
      <c r="F4686" t="b">
        <v>1</v>
      </c>
    </row>
    <row r="4687" spans="1:6" x14ac:dyDescent="0.35">
      <c r="A4687" t="s">
        <v>8096</v>
      </c>
      <c r="B4687" t="s">
        <v>11736</v>
      </c>
      <c r="C4687" t="s">
        <v>8096</v>
      </c>
      <c r="D4687" t="s">
        <v>11966</v>
      </c>
      <c r="E4687" cm="1">
        <f t="array" ref="E4687">stakeholder_treeplanting_teaching_f</f>
        <v>5</v>
      </c>
      <c r="F4687" t="b">
        <v>1</v>
      </c>
    </row>
    <row r="4688" spans="1:6" x14ac:dyDescent="0.35">
      <c r="A4688" t="s">
        <v>8153</v>
      </c>
      <c r="B4688" t="s">
        <v>11736</v>
      </c>
      <c r="C4688" t="s">
        <v>8153</v>
      </c>
      <c r="D4688" t="s">
        <v>11967</v>
      </c>
      <c r="E4688" cm="1">
        <f t="array" ref="E4688">stakeholder_treeplanting_nonteaching_m</f>
        <v>0</v>
      </c>
      <c r="F4688" t="b">
        <v>1</v>
      </c>
    </row>
    <row r="4689" spans="1:6" x14ac:dyDescent="0.35">
      <c r="A4689" t="s">
        <v>8154</v>
      </c>
      <c r="B4689" t="s">
        <v>11736</v>
      </c>
      <c r="C4689" t="s">
        <v>8154</v>
      </c>
      <c r="D4689" t="s">
        <v>11968</v>
      </c>
      <c r="E4689" cm="1">
        <f t="array" ref="E4689">stakeholder_treeplanting_nonteaching_f</f>
        <v>2</v>
      </c>
      <c r="F4689" t="b">
        <v>1</v>
      </c>
    </row>
    <row r="4690" spans="1:6" x14ac:dyDescent="0.35">
      <c r="A4690" t="s">
        <v>8097</v>
      </c>
      <c r="B4690" t="s">
        <v>11736</v>
      </c>
      <c r="C4690" t="s">
        <v>8097</v>
      </c>
      <c r="D4690" t="s">
        <v>11969</v>
      </c>
      <c r="E4690" cm="1">
        <f t="array" ref="E4690">stakeholder_youthstrike_teaching_m</f>
        <v>0</v>
      </c>
      <c r="F4690" t="b">
        <v>1</v>
      </c>
    </row>
    <row r="4691" spans="1:6" x14ac:dyDescent="0.35">
      <c r="A4691" t="s">
        <v>8098</v>
      </c>
      <c r="B4691" t="s">
        <v>11736</v>
      </c>
      <c r="C4691" t="s">
        <v>8098</v>
      </c>
      <c r="D4691" t="s">
        <v>11970</v>
      </c>
      <c r="E4691" cm="1">
        <f t="array" ref="E4691">stakeholder_youthstrike_teaching_f</f>
        <v>0</v>
      </c>
      <c r="F4691" t="b">
        <v>1</v>
      </c>
    </row>
    <row r="4692" spans="1:6" x14ac:dyDescent="0.35">
      <c r="A4692" t="s">
        <v>8155</v>
      </c>
      <c r="B4692" t="s">
        <v>11736</v>
      </c>
      <c r="C4692" t="s">
        <v>8155</v>
      </c>
      <c r="D4692" t="s">
        <v>11971</v>
      </c>
      <c r="E4692" cm="1">
        <f t="array" ref="E4692">stakeholder_youthstrike_nonteaching_m</f>
        <v>0</v>
      </c>
      <c r="F4692" t="b">
        <v>1</v>
      </c>
    </row>
    <row r="4693" spans="1:6" x14ac:dyDescent="0.35">
      <c r="A4693" t="s">
        <v>8156</v>
      </c>
      <c r="B4693" t="s">
        <v>11736</v>
      </c>
      <c r="C4693" t="s">
        <v>8156</v>
      </c>
      <c r="D4693" t="s">
        <v>11972</v>
      </c>
      <c r="E4693" cm="1">
        <f t="array" ref="E4693">stakeholder_youthstrike_nonteaching_f</f>
        <v>0</v>
      </c>
      <c r="F4693" t="b">
        <v>1</v>
      </c>
    </row>
    <row r="4694" spans="1:6" x14ac:dyDescent="0.35">
      <c r="A4694" t="s">
        <v>8099</v>
      </c>
      <c r="B4694" t="s">
        <v>11736</v>
      </c>
      <c r="C4694" t="s">
        <v>8099</v>
      </c>
      <c r="D4694" t="s">
        <v>11973</v>
      </c>
      <c r="E4694" cm="1">
        <f t="array" ref="E4694">stakeholder_specialevent_teaching_m</f>
        <v>0</v>
      </c>
      <c r="F4694" t="b">
        <v>1</v>
      </c>
    </row>
    <row r="4695" spans="1:6" x14ac:dyDescent="0.35">
      <c r="A4695" t="s">
        <v>8100</v>
      </c>
      <c r="B4695" t="s">
        <v>11736</v>
      </c>
      <c r="C4695" t="s">
        <v>8100</v>
      </c>
      <c r="D4695" t="s">
        <v>11974</v>
      </c>
      <c r="E4695" cm="1">
        <f t="array" ref="E4695">stakeholder_specialevent_teaching_f</f>
        <v>0</v>
      </c>
      <c r="F4695" t="b">
        <v>1</v>
      </c>
    </row>
    <row r="4696" spans="1:6" x14ac:dyDescent="0.35">
      <c r="A4696" t="s">
        <v>8157</v>
      </c>
      <c r="B4696" t="s">
        <v>11736</v>
      </c>
      <c r="C4696" t="s">
        <v>8157</v>
      </c>
      <c r="D4696" t="s">
        <v>11975</v>
      </c>
      <c r="E4696" cm="1">
        <f t="array" ref="E4696">stakeholder_specialevent_nonteaching_m</f>
        <v>0</v>
      </c>
      <c r="F4696" t="b">
        <v>1</v>
      </c>
    </row>
    <row r="4697" spans="1:6" x14ac:dyDescent="0.35">
      <c r="A4697" t="s">
        <v>8158</v>
      </c>
      <c r="B4697" t="s">
        <v>11736</v>
      </c>
      <c r="C4697" t="s">
        <v>8158</v>
      </c>
      <c r="D4697" t="s">
        <v>11976</v>
      </c>
      <c r="E4697" cm="1">
        <f t="array" ref="E4697">stakeholder_specialevent_nonteaching_f</f>
        <v>0</v>
      </c>
      <c r="F4697" t="b">
        <v>1</v>
      </c>
    </row>
    <row r="4698" spans="1:6" x14ac:dyDescent="0.35">
      <c r="A4698" t="s">
        <v>8102</v>
      </c>
      <c r="B4698" t="s">
        <v>11736</v>
      </c>
      <c r="C4698" t="s">
        <v>8102</v>
      </c>
      <c r="D4698" t="s">
        <v>11981</v>
      </c>
      <c r="E4698" cm="1">
        <f t="array" ref="E4698">stakeholder_ccamothersspecify</f>
        <v>0</v>
      </c>
      <c r="F4698" t="b">
        <v>1</v>
      </c>
    </row>
    <row r="4699" spans="1:6" x14ac:dyDescent="0.35">
      <c r="A4699" t="s">
        <v>8101</v>
      </c>
      <c r="B4699" t="s">
        <v>11736</v>
      </c>
      <c r="C4699" t="s">
        <v>8101</v>
      </c>
      <c r="D4699" t="s">
        <v>11977</v>
      </c>
      <c r="E4699" cm="1">
        <f t="array" ref="E4699">stakeholder_ccamothersspecify_teaching_m</f>
        <v>0</v>
      </c>
      <c r="F4699" t="b">
        <v>1</v>
      </c>
    </row>
    <row r="4700" spans="1:6" x14ac:dyDescent="0.35">
      <c r="A4700" t="s">
        <v>8103</v>
      </c>
      <c r="B4700" t="s">
        <v>11736</v>
      </c>
      <c r="C4700" t="s">
        <v>8103</v>
      </c>
      <c r="D4700" t="s">
        <v>11978</v>
      </c>
      <c r="E4700" cm="1">
        <f t="array" ref="E4700">stakeholder_ccamothersspecify_teaching_f</f>
        <v>0</v>
      </c>
      <c r="F4700" t="b">
        <v>1</v>
      </c>
    </row>
    <row r="4701" spans="1:6" x14ac:dyDescent="0.35">
      <c r="A4701" t="s">
        <v>8159</v>
      </c>
      <c r="B4701" t="s">
        <v>11736</v>
      </c>
      <c r="C4701" t="s">
        <v>8159</v>
      </c>
      <c r="D4701" t="s">
        <v>11979</v>
      </c>
      <c r="E4701" cm="1">
        <f t="array" ref="E4701">stakeholder_ccamothersspecify_nonteaching_m</f>
        <v>0</v>
      </c>
      <c r="F4701" t="b">
        <v>1</v>
      </c>
    </row>
    <row r="4702" spans="1:6" x14ac:dyDescent="0.35">
      <c r="A4702" t="s">
        <v>8160</v>
      </c>
      <c r="B4702" t="s">
        <v>11736</v>
      </c>
      <c r="C4702" t="s">
        <v>8160</v>
      </c>
      <c r="D4702" t="s">
        <v>11980</v>
      </c>
      <c r="E4702" cm="1">
        <f t="array" ref="E4702">stakeholder_ccamothersspecify_nonteaching_f</f>
        <v>0</v>
      </c>
      <c r="F4702" t="b">
        <v>1</v>
      </c>
    </row>
    <row r="4703" spans="1:6" x14ac:dyDescent="0.35">
      <c r="A4703" t="s">
        <v>8104</v>
      </c>
      <c r="B4703" t="s">
        <v>11736</v>
      </c>
      <c r="C4703" t="s">
        <v>8104</v>
      </c>
      <c r="D4703" t="s">
        <v>11982</v>
      </c>
      <c r="E4703" cm="1">
        <f t="array" ref="E4703">stakeholder_peaceconference_teaching_m</f>
        <v>0</v>
      </c>
      <c r="F4703" t="b">
        <v>1</v>
      </c>
    </row>
    <row r="4704" spans="1:6" x14ac:dyDescent="0.35">
      <c r="A4704" t="s">
        <v>8105</v>
      </c>
      <c r="B4704" t="s">
        <v>11736</v>
      </c>
      <c r="C4704" t="s">
        <v>8105</v>
      </c>
      <c r="D4704" t="s">
        <v>11983</v>
      </c>
      <c r="E4704" cm="1">
        <f t="array" ref="E4704">stakeholder_peaceconference_teaching_f</f>
        <v>0</v>
      </c>
      <c r="F4704" t="b">
        <v>1</v>
      </c>
    </row>
    <row r="4705" spans="1:6" x14ac:dyDescent="0.35">
      <c r="A4705" t="s">
        <v>8161</v>
      </c>
      <c r="B4705" t="s">
        <v>11736</v>
      </c>
      <c r="C4705" t="s">
        <v>8161</v>
      </c>
      <c r="D4705" t="s">
        <v>11984</v>
      </c>
      <c r="E4705" cm="1">
        <f t="array" ref="E4705">stakeholder_peaceconference_nonteaching_m</f>
        <v>0</v>
      </c>
      <c r="F4705" t="b">
        <v>1</v>
      </c>
    </row>
    <row r="4706" spans="1:6" x14ac:dyDescent="0.35">
      <c r="A4706" t="s">
        <v>8162</v>
      </c>
      <c r="B4706" t="s">
        <v>11736</v>
      </c>
      <c r="C4706" t="s">
        <v>8162</v>
      </c>
      <c r="D4706" t="s">
        <v>11985</v>
      </c>
      <c r="E4706" cm="1">
        <f t="array" ref="E4706">stakeholder_peaceconference_nonteaching_f</f>
        <v>0</v>
      </c>
      <c r="F4706" t="b">
        <v>1</v>
      </c>
    </row>
    <row r="4707" spans="1:6" x14ac:dyDescent="0.35">
      <c r="A4707" t="s">
        <v>8106</v>
      </c>
      <c r="B4707" t="s">
        <v>11736</v>
      </c>
      <c r="C4707" t="s">
        <v>8106</v>
      </c>
      <c r="D4707" t="s">
        <v>11897</v>
      </c>
      <c r="E4707" cm="1">
        <f t="array" ref="E4707">stakeholder_youthnetworks_teaching_m</f>
        <v>0</v>
      </c>
      <c r="F4707" t="b">
        <v>1</v>
      </c>
    </row>
    <row r="4708" spans="1:6" x14ac:dyDescent="0.35">
      <c r="A4708" t="s">
        <v>8107</v>
      </c>
      <c r="B4708" t="s">
        <v>11736</v>
      </c>
      <c r="C4708" t="s">
        <v>8107</v>
      </c>
      <c r="D4708" t="s">
        <v>11986</v>
      </c>
      <c r="E4708" cm="1">
        <f t="array" ref="E4708">stakeholder_youthnetworks_teaching_f</f>
        <v>0</v>
      </c>
      <c r="F4708" t="b">
        <v>1</v>
      </c>
    </row>
    <row r="4709" spans="1:6" x14ac:dyDescent="0.35">
      <c r="A4709" t="s">
        <v>8163</v>
      </c>
      <c r="B4709" t="s">
        <v>11736</v>
      </c>
      <c r="C4709" t="s">
        <v>8163</v>
      </c>
      <c r="D4709" t="s">
        <v>11987</v>
      </c>
      <c r="E4709" cm="1">
        <f t="array" ref="E4709">stakeholder_youthnetworks_nonteaching_m</f>
        <v>0</v>
      </c>
      <c r="F4709" t="b">
        <v>1</v>
      </c>
    </row>
    <row r="4710" spans="1:6" x14ac:dyDescent="0.35">
      <c r="A4710" t="s">
        <v>8164</v>
      </c>
      <c r="B4710" t="s">
        <v>11736</v>
      </c>
      <c r="C4710" t="s">
        <v>8164</v>
      </c>
      <c r="D4710" t="s">
        <v>11988</v>
      </c>
      <c r="E4710" cm="1">
        <f t="array" ref="E4710">stakeholder_youthnetworks_nonteaching_f</f>
        <v>0</v>
      </c>
      <c r="F4710" t="b">
        <v>1</v>
      </c>
    </row>
    <row r="4711" spans="1:6" x14ac:dyDescent="0.35">
      <c r="A4711" t="s">
        <v>8108</v>
      </c>
      <c r="B4711" t="s">
        <v>11736</v>
      </c>
      <c r="C4711" t="s">
        <v>8108</v>
      </c>
      <c r="D4711" t="s">
        <v>11989</v>
      </c>
      <c r="E4711" cm="1">
        <f t="array" ref="E4711">stakeholder_contests_teaching_m</f>
        <v>0</v>
      </c>
      <c r="F4711" t="b">
        <v>1</v>
      </c>
    </row>
    <row r="4712" spans="1:6" x14ac:dyDescent="0.35">
      <c r="A4712" t="s">
        <v>8109</v>
      </c>
      <c r="B4712" t="s">
        <v>11736</v>
      </c>
      <c r="C4712" t="s">
        <v>8109</v>
      </c>
      <c r="D4712" t="s">
        <v>11990</v>
      </c>
      <c r="E4712" cm="1">
        <f t="array" ref="E4712">stakeholder_contests_teaching_f</f>
        <v>0</v>
      </c>
      <c r="F4712" t="b">
        <v>1</v>
      </c>
    </row>
    <row r="4713" spans="1:6" x14ac:dyDescent="0.35">
      <c r="A4713" t="s">
        <v>8165</v>
      </c>
      <c r="B4713" t="s">
        <v>11736</v>
      </c>
      <c r="C4713" t="s">
        <v>8165</v>
      </c>
      <c r="D4713" t="s">
        <v>11991</v>
      </c>
      <c r="E4713" cm="1">
        <f t="array" ref="E4713">stakeholder_contests_nonteaching_m</f>
        <v>0</v>
      </c>
      <c r="F4713" t="b">
        <v>1</v>
      </c>
    </row>
    <row r="4714" spans="1:6" x14ac:dyDescent="0.35">
      <c r="A4714" t="s">
        <v>8166</v>
      </c>
      <c r="B4714" t="s">
        <v>11736</v>
      </c>
      <c r="C4714" t="s">
        <v>8166</v>
      </c>
      <c r="D4714" t="s">
        <v>11992</v>
      </c>
      <c r="E4714" cm="1">
        <f t="array" ref="E4714">stakeholder_contests_nonteaching_f</f>
        <v>0</v>
      </c>
      <c r="F4714" t="b">
        <v>1</v>
      </c>
    </row>
    <row r="4715" spans="1:6" x14ac:dyDescent="0.35">
      <c r="A4715" t="s">
        <v>8111</v>
      </c>
      <c r="B4715" t="s">
        <v>11736</v>
      </c>
      <c r="C4715" t="s">
        <v>8111</v>
      </c>
      <c r="D4715" t="s">
        <v>11993</v>
      </c>
      <c r="E4715" cm="1">
        <f t="array" ref="E4715">stakeholder_celebratepeace_teaching_m</f>
        <v>0</v>
      </c>
      <c r="F4715" t="b">
        <v>1</v>
      </c>
    </row>
    <row r="4716" spans="1:6" x14ac:dyDescent="0.35">
      <c r="A4716" t="s">
        <v>8110</v>
      </c>
      <c r="B4716" t="s">
        <v>11736</v>
      </c>
      <c r="C4716" t="s">
        <v>8110</v>
      </c>
      <c r="D4716" t="s">
        <v>11994</v>
      </c>
      <c r="E4716" cm="1">
        <f t="array" ref="E4716">stakeholder_celebratepeace_teaching_f</f>
        <v>0</v>
      </c>
      <c r="F4716" t="b">
        <v>1</v>
      </c>
    </row>
    <row r="4717" spans="1:6" x14ac:dyDescent="0.35">
      <c r="A4717" t="s">
        <v>8167</v>
      </c>
      <c r="B4717" t="s">
        <v>11736</v>
      </c>
      <c r="C4717" t="s">
        <v>8167</v>
      </c>
      <c r="D4717" t="s">
        <v>11995</v>
      </c>
      <c r="E4717" cm="1">
        <f t="array" ref="E4717">stakeholder_celebratepeace_nonteaching_m</f>
        <v>0</v>
      </c>
      <c r="F4717" t="b">
        <v>1</v>
      </c>
    </row>
    <row r="4718" spans="1:6" x14ac:dyDescent="0.35">
      <c r="A4718" t="s">
        <v>8168</v>
      </c>
      <c r="B4718" t="s">
        <v>11736</v>
      </c>
      <c r="C4718" t="s">
        <v>8168</v>
      </c>
      <c r="D4718" t="s">
        <v>11996</v>
      </c>
      <c r="E4718" cm="1">
        <f t="array" ref="E4718">stakeholder_celebratepeace_nonteaching_f</f>
        <v>0</v>
      </c>
      <c r="F4718" t="b">
        <v>1</v>
      </c>
    </row>
    <row r="4719" spans="1:6" x14ac:dyDescent="0.35">
      <c r="A4719" t="s">
        <v>8112</v>
      </c>
      <c r="B4719" t="s">
        <v>11736</v>
      </c>
      <c r="C4719" t="s">
        <v>8112</v>
      </c>
      <c r="D4719" t="s">
        <v>12001</v>
      </c>
      <c r="E4719" cm="1">
        <f t="array" ref="E4719">stakeholder_peacebuildingothers</f>
        <v>0</v>
      </c>
      <c r="F4719" t="b">
        <v>1</v>
      </c>
    </row>
    <row r="4720" spans="1:6" x14ac:dyDescent="0.35">
      <c r="A4720" t="s">
        <v>8113</v>
      </c>
      <c r="B4720" t="s">
        <v>11736</v>
      </c>
      <c r="C4720" t="s">
        <v>8113</v>
      </c>
      <c r="D4720" t="s">
        <v>11997</v>
      </c>
      <c r="E4720" cm="1">
        <f t="array" ref="E4720">stakeholder_peacebuildingothers_teachers_m</f>
        <v>0</v>
      </c>
      <c r="F4720" t="b">
        <v>1</v>
      </c>
    </row>
    <row r="4721" spans="1:6" x14ac:dyDescent="0.35">
      <c r="A4721" t="s">
        <v>8114</v>
      </c>
      <c r="B4721" t="s">
        <v>11736</v>
      </c>
      <c r="C4721" t="s">
        <v>8114</v>
      </c>
      <c r="D4721" t="s">
        <v>11998</v>
      </c>
      <c r="E4721" cm="1">
        <f t="array" ref="E4721">stakeholder_peacebuildingothers_teachers_f</f>
        <v>0</v>
      </c>
      <c r="F4721" t="b">
        <v>1</v>
      </c>
    </row>
    <row r="4722" spans="1:6" x14ac:dyDescent="0.35">
      <c r="A4722" t="s">
        <v>8169</v>
      </c>
      <c r="B4722" t="s">
        <v>11736</v>
      </c>
      <c r="C4722" t="s">
        <v>8169</v>
      </c>
      <c r="D4722" t="s">
        <v>11999</v>
      </c>
      <c r="E4722" cm="1">
        <f t="array" ref="E4722">stakeholder_peacebuildingothers_nonteachers_m</f>
        <v>0</v>
      </c>
      <c r="F4722" t="b">
        <v>1</v>
      </c>
    </row>
    <row r="4723" spans="1:6" x14ac:dyDescent="0.35">
      <c r="A4723" t="s">
        <v>8170</v>
      </c>
      <c r="B4723" t="s">
        <v>11736</v>
      </c>
      <c r="C4723" t="s">
        <v>8170</v>
      </c>
      <c r="D4723" t="s">
        <v>12000</v>
      </c>
      <c r="E4723" cm="1">
        <f t="array" ref="E4723">stakeholder_peacebuildingothers_nonteachers_f</f>
        <v>0</v>
      </c>
      <c r="F4723" t="b">
        <v>1</v>
      </c>
    </row>
    <row r="4724" spans="1:6" x14ac:dyDescent="0.35">
      <c r="A4724" t="s">
        <v>8171</v>
      </c>
      <c r="B4724" t="s">
        <v>11736</v>
      </c>
      <c r="C4724" t="s">
        <v>8171</v>
      </c>
      <c r="D4724" t="s">
        <v>12002</v>
      </c>
      <c r="E4724" cm="1">
        <f t="array" ref="E4724">lrnrs_BFA_m_excluding</f>
        <v>0</v>
      </c>
      <c r="F4724" t="b">
        <v>1</v>
      </c>
    </row>
    <row r="4725" spans="1:6" x14ac:dyDescent="0.35">
      <c r="A4725" t="s">
        <v>8172</v>
      </c>
      <c r="B4725" t="s">
        <v>11736</v>
      </c>
      <c r="C4725" t="s">
        <v>8172</v>
      </c>
      <c r="D4725" t="s">
        <v>12003</v>
      </c>
      <c r="E4725" cm="1">
        <f t="array" ref="E4725">lrnrs_BFA_f_excluding</f>
        <v>0</v>
      </c>
      <c r="F4725" t="b">
        <v>1</v>
      </c>
    </row>
    <row r="4726" spans="1:6" x14ac:dyDescent="0.35">
      <c r="A4726" t="s">
        <v>8173</v>
      </c>
      <c r="B4726" t="s">
        <v>11736</v>
      </c>
      <c r="C4726" t="s">
        <v>8173</v>
      </c>
      <c r="D4726" t="s">
        <v>12004</v>
      </c>
      <c r="E4726" cm="1">
        <f t="array" ref="E4726">lrnrs_BFA_m_ip</f>
        <v>0</v>
      </c>
      <c r="F4726" t="b">
        <v>1</v>
      </c>
    </row>
    <row r="4727" spans="1:6" x14ac:dyDescent="0.35">
      <c r="A4727" t="s">
        <v>8174</v>
      </c>
      <c r="B4727" t="s">
        <v>11736</v>
      </c>
      <c r="C4727" t="s">
        <v>8174</v>
      </c>
      <c r="D4727" t="s">
        <v>12005</v>
      </c>
      <c r="E4727" cm="1">
        <f t="array" ref="E4727">lrnrs_BFA_f_ip</f>
        <v>0</v>
      </c>
      <c r="F4727" t="b">
        <v>1</v>
      </c>
    </row>
    <row r="4728" spans="1:6" x14ac:dyDescent="0.35">
      <c r="A4728" t="s">
        <v>8175</v>
      </c>
      <c r="B4728" t="s">
        <v>11736</v>
      </c>
      <c r="C4728" t="s">
        <v>8175</v>
      </c>
      <c r="D4728" t="s">
        <v>12006</v>
      </c>
      <c r="E4728" cm="1">
        <f t="array" ref="E4728">lrnrs_BFA_m_muslim</f>
        <v>0</v>
      </c>
      <c r="F4728" t="b">
        <v>1</v>
      </c>
    </row>
    <row r="4729" spans="1:6" x14ac:dyDescent="0.35">
      <c r="A4729" t="s">
        <v>8176</v>
      </c>
      <c r="B4729" t="s">
        <v>11736</v>
      </c>
      <c r="C4729" t="s">
        <v>8176</v>
      </c>
      <c r="D4729" t="s">
        <v>12007</v>
      </c>
      <c r="E4729" cm="1">
        <f t="array" ref="E4729">lrnrs_BFA_f_muslim</f>
        <v>0</v>
      </c>
      <c r="F4729" t="b">
        <v>1</v>
      </c>
    </row>
    <row r="4730" spans="1:6" x14ac:dyDescent="0.35">
      <c r="A4730" t="s">
        <v>8177</v>
      </c>
      <c r="B4730" t="s">
        <v>11736</v>
      </c>
      <c r="C4730" t="s">
        <v>8177</v>
      </c>
      <c r="D4730" t="s">
        <v>12008</v>
      </c>
      <c r="E4730" cm="1">
        <f t="array" ref="E4730">lrnrs_BFA_m_pwd</f>
        <v>0</v>
      </c>
      <c r="F4730" t="b">
        <v>1</v>
      </c>
    </row>
    <row r="4731" spans="1:6" x14ac:dyDescent="0.35">
      <c r="A4731" t="s">
        <v>8178</v>
      </c>
      <c r="B4731" t="s">
        <v>11736</v>
      </c>
      <c r="C4731" t="s">
        <v>8178</v>
      </c>
      <c r="D4731" t="s">
        <v>12009</v>
      </c>
      <c r="E4731" cm="1">
        <f t="array" ref="E4731">lrnrs_BFA_f_pwd</f>
        <v>0</v>
      </c>
      <c r="F4731" t="b">
        <v>1</v>
      </c>
    </row>
    <row r="4732" spans="1:6" x14ac:dyDescent="0.35">
      <c r="A4732" t="s">
        <v>8179</v>
      </c>
      <c r="B4732" t="s">
        <v>11736</v>
      </c>
      <c r="C4732" t="s">
        <v>8179</v>
      </c>
      <c r="D4732" t="s">
        <v>12010</v>
      </c>
      <c r="E4732" cm="1">
        <f t="array" ref="E4732">lrnrs_FEP_m_excluding</f>
        <v>0</v>
      </c>
      <c r="F4732" t="b">
        <v>1</v>
      </c>
    </row>
    <row r="4733" spans="1:6" x14ac:dyDescent="0.35">
      <c r="A4733" t="s">
        <v>8180</v>
      </c>
      <c r="B4733" t="s">
        <v>11736</v>
      </c>
      <c r="C4733" t="s">
        <v>8180</v>
      </c>
      <c r="D4733" t="s">
        <v>12011</v>
      </c>
      <c r="E4733" cm="1">
        <f t="array" ref="E4733">lrnrs_FEP_f_excluding</f>
        <v>0</v>
      </c>
      <c r="F4733" t="b">
        <v>1</v>
      </c>
    </row>
    <row r="4734" spans="1:6" x14ac:dyDescent="0.35">
      <c r="A4734" t="s">
        <v>8181</v>
      </c>
      <c r="B4734" t="s">
        <v>11736</v>
      </c>
      <c r="C4734" t="s">
        <v>8181</v>
      </c>
      <c r="D4734" t="s">
        <v>12012</v>
      </c>
      <c r="E4734" cm="1">
        <f t="array" ref="E4734">lrnrs_FEP_m_ip</f>
        <v>0</v>
      </c>
      <c r="F4734" t="b">
        <v>1</v>
      </c>
    </row>
    <row r="4735" spans="1:6" x14ac:dyDescent="0.35">
      <c r="A4735" t="s">
        <v>8182</v>
      </c>
      <c r="B4735" t="s">
        <v>11736</v>
      </c>
      <c r="C4735" t="s">
        <v>8182</v>
      </c>
      <c r="D4735" t="s">
        <v>12013</v>
      </c>
      <c r="E4735" cm="1">
        <f t="array" ref="E4735">lrnrs_FEP_f_ip</f>
        <v>0</v>
      </c>
      <c r="F4735" t="b">
        <v>1</v>
      </c>
    </row>
    <row r="4736" spans="1:6" x14ac:dyDescent="0.35">
      <c r="A4736" t="s">
        <v>8183</v>
      </c>
      <c r="B4736" t="s">
        <v>11736</v>
      </c>
      <c r="C4736" t="s">
        <v>8183</v>
      </c>
      <c r="D4736" t="s">
        <v>12014</v>
      </c>
      <c r="E4736" cm="1">
        <f t="array" ref="E4736">lrnrs_FEP_m_muslim</f>
        <v>0</v>
      </c>
      <c r="F4736" t="b">
        <v>1</v>
      </c>
    </row>
    <row r="4737" spans="1:6" x14ac:dyDescent="0.35">
      <c r="A4737" t="s">
        <v>8184</v>
      </c>
      <c r="B4737" t="s">
        <v>11736</v>
      </c>
      <c r="C4737" t="s">
        <v>8184</v>
      </c>
      <c r="D4737" t="s">
        <v>12015</v>
      </c>
      <c r="E4737" cm="1">
        <f t="array" ref="E4737">lrnrs_FEP_f_muslim</f>
        <v>0</v>
      </c>
      <c r="F4737" t="b">
        <v>1</v>
      </c>
    </row>
    <row r="4738" spans="1:6" x14ac:dyDescent="0.35">
      <c r="A4738" t="s">
        <v>8185</v>
      </c>
      <c r="B4738" t="s">
        <v>11736</v>
      </c>
      <c r="C4738" t="s">
        <v>8185</v>
      </c>
      <c r="D4738" t="s">
        <v>12016</v>
      </c>
      <c r="E4738" cm="1">
        <f t="array" ref="E4738">lrnrs_FEP_m_pwd</f>
        <v>0</v>
      </c>
      <c r="F4738" t="b">
        <v>1</v>
      </c>
    </row>
    <row r="4739" spans="1:6" x14ac:dyDescent="0.35">
      <c r="A4739" t="s">
        <v>8186</v>
      </c>
      <c r="B4739" t="s">
        <v>11736</v>
      </c>
      <c r="C4739" t="s">
        <v>8186</v>
      </c>
      <c r="D4739" t="s">
        <v>12017</v>
      </c>
      <c r="E4739" cm="1">
        <f t="array" ref="E4739">lrnrs_FEP_f_pwd</f>
        <v>0</v>
      </c>
      <c r="F4739" t="b">
        <v>1</v>
      </c>
    </row>
    <row r="4740" spans="1:6" x14ac:dyDescent="0.35">
      <c r="A4740" t="s">
        <v>8187</v>
      </c>
      <c r="B4740" t="s">
        <v>11736</v>
      </c>
      <c r="C4740" t="s">
        <v>8187</v>
      </c>
      <c r="D4740" t="s">
        <v>12018</v>
      </c>
      <c r="E4740" cm="1">
        <f t="array" ref="E4740">lrnrs_hazmap_m_excluding</f>
        <v>0</v>
      </c>
      <c r="F4740" t="b">
        <v>1</v>
      </c>
    </row>
    <row r="4741" spans="1:6" x14ac:dyDescent="0.35">
      <c r="A4741" t="s">
        <v>8188</v>
      </c>
      <c r="B4741" t="s">
        <v>11736</v>
      </c>
      <c r="C4741" t="s">
        <v>8188</v>
      </c>
      <c r="D4741" t="s">
        <v>12019</v>
      </c>
      <c r="E4741" cm="1">
        <f t="array" ref="E4741">lrnrs_hazmap_f_excluding</f>
        <v>0</v>
      </c>
      <c r="F4741" t="b">
        <v>1</v>
      </c>
    </row>
    <row r="4742" spans="1:6" x14ac:dyDescent="0.35">
      <c r="A4742" t="s">
        <v>8189</v>
      </c>
      <c r="B4742" t="s">
        <v>11736</v>
      </c>
      <c r="C4742" t="s">
        <v>8189</v>
      </c>
      <c r="D4742" t="s">
        <v>12020</v>
      </c>
      <c r="E4742" cm="1">
        <f t="array" ref="E4742">lrnrs_hazmap_m_ip</f>
        <v>0</v>
      </c>
      <c r="F4742" t="b">
        <v>1</v>
      </c>
    </row>
    <row r="4743" spans="1:6" x14ac:dyDescent="0.35">
      <c r="A4743" t="s">
        <v>8190</v>
      </c>
      <c r="B4743" t="s">
        <v>11736</v>
      </c>
      <c r="C4743" t="s">
        <v>8190</v>
      </c>
      <c r="D4743" t="s">
        <v>12021</v>
      </c>
      <c r="E4743" cm="1">
        <f t="array" ref="E4743">lrnrs_hazmap_f_ip</f>
        <v>0</v>
      </c>
      <c r="F4743" t="b">
        <v>1</v>
      </c>
    </row>
    <row r="4744" spans="1:6" x14ac:dyDescent="0.35">
      <c r="A4744" t="s">
        <v>8191</v>
      </c>
      <c r="B4744" t="s">
        <v>11736</v>
      </c>
      <c r="C4744" t="s">
        <v>8191</v>
      </c>
      <c r="D4744" t="s">
        <v>12022</v>
      </c>
      <c r="E4744" cm="1">
        <f t="array" ref="E4744">lrnrs_hazmap_m_muslim</f>
        <v>0</v>
      </c>
      <c r="F4744" t="b">
        <v>1</v>
      </c>
    </row>
    <row r="4745" spans="1:6" x14ac:dyDescent="0.35">
      <c r="A4745" t="s">
        <v>8192</v>
      </c>
      <c r="B4745" t="s">
        <v>11736</v>
      </c>
      <c r="C4745" t="s">
        <v>8192</v>
      </c>
      <c r="D4745" t="s">
        <v>12023</v>
      </c>
      <c r="E4745" cm="1">
        <f t="array" ref="E4745">lrnrs_hazmap_f_muslim</f>
        <v>0</v>
      </c>
      <c r="F4745" t="b">
        <v>1</v>
      </c>
    </row>
    <row r="4746" spans="1:6" x14ac:dyDescent="0.35">
      <c r="A4746" t="s">
        <v>8193</v>
      </c>
      <c r="B4746" t="s">
        <v>11736</v>
      </c>
      <c r="C4746" t="s">
        <v>8193</v>
      </c>
      <c r="D4746" t="s">
        <v>12024</v>
      </c>
      <c r="E4746" cm="1">
        <f t="array" ref="E4746">lrnrs_hazmap_m_pwd</f>
        <v>0</v>
      </c>
      <c r="F4746" t="b">
        <v>1</v>
      </c>
    </row>
    <row r="4747" spans="1:6" x14ac:dyDescent="0.35">
      <c r="A4747" t="s">
        <v>8194</v>
      </c>
      <c r="B4747" t="s">
        <v>11736</v>
      </c>
      <c r="C4747" t="s">
        <v>8194</v>
      </c>
      <c r="D4747" t="s">
        <v>12025</v>
      </c>
      <c r="E4747" cm="1">
        <f t="array" ref="E4747">lrnrs_hazmap_f_pwd</f>
        <v>0</v>
      </c>
      <c r="F4747" t="b">
        <v>1</v>
      </c>
    </row>
    <row r="4748" spans="1:6" x14ac:dyDescent="0.35">
      <c r="A4748" t="s">
        <v>8195</v>
      </c>
      <c r="B4748" t="s">
        <v>11736</v>
      </c>
      <c r="C4748" t="s">
        <v>8195</v>
      </c>
      <c r="D4748" t="s">
        <v>12026</v>
      </c>
      <c r="E4748" cm="1">
        <f t="array" ref="E4748">lrnrs_onlinemhpss_m_excluding</f>
        <v>0</v>
      </c>
      <c r="F4748" t="b">
        <v>1</v>
      </c>
    </row>
    <row r="4749" spans="1:6" x14ac:dyDescent="0.35">
      <c r="A4749" t="s">
        <v>8196</v>
      </c>
      <c r="B4749" t="s">
        <v>11736</v>
      </c>
      <c r="C4749" t="s">
        <v>8196</v>
      </c>
      <c r="D4749" t="s">
        <v>12027</v>
      </c>
      <c r="E4749" cm="1">
        <f t="array" ref="E4749">lrnrs_onlinemhpss_f_excluding</f>
        <v>0</v>
      </c>
      <c r="F4749" t="b">
        <v>1</v>
      </c>
    </row>
    <row r="4750" spans="1:6" x14ac:dyDescent="0.35">
      <c r="A4750" t="s">
        <v>8197</v>
      </c>
      <c r="B4750" t="s">
        <v>11736</v>
      </c>
      <c r="C4750" t="s">
        <v>8197</v>
      </c>
      <c r="D4750" t="s">
        <v>12028</v>
      </c>
      <c r="E4750" cm="1">
        <f t="array" ref="E4750">lrnrs_onlinemhpss_m_ip</f>
        <v>0</v>
      </c>
      <c r="F4750" t="b">
        <v>1</v>
      </c>
    </row>
    <row r="4751" spans="1:6" x14ac:dyDescent="0.35">
      <c r="A4751" t="s">
        <v>8198</v>
      </c>
      <c r="B4751" t="s">
        <v>11736</v>
      </c>
      <c r="C4751" t="s">
        <v>8198</v>
      </c>
      <c r="D4751" t="s">
        <v>12029</v>
      </c>
      <c r="E4751" cm="1">
        <f t="array" ref="E4751">lrnrs_onlinemhpss_f_ip</f>
        <v>0</v>
      </c>
      <c r="F4751" t="b">
        <v>1</v>
      </c>
    </row>
    <row r="4752" spans="1:6" x14ac:dyDescent="0.35">
      <c r="A4752" t="s">
        <v>8199</v>
      </c>
      <c r="B4752" t="s">
        <v>11736</v>
      </c>
      <c r="C4752" t="s">
        <v>8199</v>
      </c>
      <c r="D4752" t="s">
        <v>12030</v>
      </c>
      <c r="E4752" cm="1">
        <f t="array" ref="E4752">lrnrs_onlinemhpss_m_muslim</f>
        <v>0</v>
      </c>
      <c r="F4752" t="b">
        <v>1</v>
      </c>
    </row>
    <row r="4753" spans="1:6" x14ac:dyDescent="0.35">
      <c r="A4753" t="s">
        <v>8200</v>
      </c>
      <c r="B4753" t="s">
        <v>11736</v>
      </c>
      <c r="C4753" t="s">
        <v>8200</v>
      </c>
      <c r="D4753" t="s">
        <v>12031</v>
      </c>
      <c r="E4753" cm="1">
        <f t="array" ref="E4753">lrnrs_onlinemhpss_f_muslim</f>
        <v>0</v>
      </c>
      <c r="F4753" t="b">
        <v>1</v>
      </c>
    </row>
    <row r="4754" spans="1:6" x14ac:dyDescent="0.35">
      <c r="A4754" t="s">
        <v>8201</v>
      </c>
      <c r="B4754" t="s">
        <v>11736</v>
      </c>
      <c r="C4754" t="s">
        <v>8201</v>
      </c>
      <c r="D4754" t="s">
        <v>12032</v>
      </c>
      <c r="E4754" cm="1">
        <f t="array" ref="E4754">lrnrs_onlinemhpss_m_pwd</f>
        <v>0</v>
      </c>
      <c r="F4754" t="b">
        <v>1</v>
      </c>
    </row>
    <row r="4755" spans="1:6" x14ac:dyDescent="0.35">
      <c r="A4755" t="s">
        <v>8202</v>
      </c>
      <c r="B4755" t="s">
        <v>11736</v>
      </c>
      <c r="C4755" t="s">
        <v>8202</v>
      </c>
      <c r="D4755" t="s">
        <v>12033</v>
      </c>
      <c r="E4755" cm="1">
        <f t="array" ref="E4755">lrnrs_onlinemhpss_f_pwd</f>
        <v>0</v>
      </c>
      <c r="F4755" t="b">
        <v>1</v>
      </c>
    </row>
    <row r="4756" spans="1:6" x14ac:dyDescent="0.35">
      <c r="A4756" t="s">
        <v>8203</v>
      </c>
      <c r="B4756" t="s">
        <v>11736</v>
      </c>
      <c r="C4756" t="s">
        <v>8203</v>
      </c>
      <c r="D4756" t="s">
        <v>12034</v>
      </c>
      <c r="E4756" cm="1">
        <f t="array" ref="E4756">lrnrs_celebdrrm_m_excluding</f>
        <v>0</v>
      </c>
      <c r="F4756" t="b">
        <v>1</v>
      </c>
    </row>
    <row r="4757" spans="1:6" x14ac:dyDescent="0.35">
      <c r="A4757" t="s">
        <v>8204</v>
      </c>
      <c r="B4757" t="s">
        <v>11736</v>
      </c>
      <c r="C4757" t="s">
        <v>8204</v>
      </c>
      <c r="D4757" t="s">
        <v>12035</v>
      </c>
      <c r="E4757" cm="1">
        <f t="array" ref="E4757">lrnrs_celebdrrm_f_excluding</f>
        <v>0</v>
      </c>
      <c r="F4757" t="b">
        <v>1</v>
      </c>
    </row>
    <row r="4758" spans="1:6" x14ac:dyDescent="0.35">
      <c r="A4758" t="s">
        <v>8205</v>
      </c>
      <c r="B4758" t="s">
        <v>11736</v>
      </c>
      <c r="C4758" t="s">
        <v>8205</v>
      </c>
      <c r="D4758" t="s">
        <v>12036</v>
      </c>
      <c r="E4758" cm="1">
        <f t="array" ref="E4758">lrnrs_celebdrrm_m_ip</f>
        <v>0</v>
      </c>
      <c r="F4758" t="b">
        <v>1</v>
      </c>
    </row>
    <row r="4759" spans="1:6" x14ac:dyDescent="0.35">
      <c r="A4759" t="s">
        <v>8206</v>
      </c>
      <c r="B4759" t="s">
        <v>11736</v>
      </c>
      <c r="C4759" t="s">
        <v>8206</v>
      </c>
      <c r="D4759" t="s">
        <v>12037</v>
      </c>
      <c r="E4759" cm="1">
        <f t="array" ref="E4759">lrnrs_celebdrrm_f_ip</f>
        <v>0</v>
      </c>
      <c r="F4759" t="b">
        <v>1</v>
      </c>
    </row>
    <row r="4760" spans="1:6" x14ac:dyDescent="0.35">
      <c r="A4760" t="s">
        <v>8207</v>
      </c>
      <c r="B4760" t="s">
        <v>11736</v>
      </c>
      <c r="C4760" t="s">
        <v>8207</v>
      </c>
      <c r="D4760" t="s">
        <v>12038</v>
      </c>
      <c r="E4760" cm="1">
        <f t="array" ref="E4760">lrnrs_celebdrrm_m_muslim</f>
        <v>0</v>
      </c>
      <c r="F4760" t="b">
        <v>1</v>
      </c>
    </row>
    <row r="4761" spans="1:6" x14ac:dyDescent="0.35">
      <c r="A4761" t="s">
        <v>8208</v>
      </c>
      <c r="B4761" t="s">
        <v>11736</v>
      </c>
      <c r="C4761" t="s">
        <v>8208</v>
      </c>
      <c r="D4761" t="s">
        <v>12039</v>
      </c>
      <c r="E4761" cm="1">
        <f t="array" ref="E4761">lrnrs_celebdrrm_f_muslim</f>
        <v>0</v>
      </c>
      <c r="F4761" t="b">
        <v>1</v>
      </c>
    </row>
    <row r="4762" spans="1:6" x14ac:dyDescent="0.35">
      <c r="A4762" t="s">
        <v>8209</v>
      </c>
      <c r="B4762" t="s">
        <v>11736</v>
      </c>
      <c r="C4762" t="s">
        <v>8209</v>
      </c>
      <c r="D4762" t="s">
        <v>12040</v>
      </c>
      <c r="E4762" cm="1">
        <f t="array" ref="E4762">lrnrs_celebdrrm_m_pwd</f>
        <v>0</v>
      </c>
      <c r="F4762" t="b">
        <v>1</v>
      </c>
    </row>
    <row r="4763" spans="1:6" x14ac:dyDescent="0.35">
      <c r="A4763" t="s">
        <v>8210</v>
      </c>
      <c r="B4763" t="s">
        <v>11736</v>
      </c>
      <c r="C4763" t="s">
        <v>8210</v>
      </c>
      <c r="D4763" t="s">
        <v>12041</v>
      </c>
      <c r="E4763" cm="1">
        <f t="array" ref="E4763">lrnrs_celebdrrm_f_pwd</f>
        <v>0</v>
      </c>
      <c r="F4763" t="b">
        <v>1</v>
      </c>
    </row>
    <row r="4764" spans="1:6" x14ac:dyDescent="0.35">
      <c r="A4764" t="s">
        <v>8211</v>
      </c>
      <c r="B4764" t="s">
        <v>11736</v>
      </c>
      <c r="C4764" t="s">
        <v>8211</v>
      </c>
      <c r="D4764" t="s">
        <v>12042</v>
      </c>
      <c r="E4764" cm="1">
        <f t="array" ref="E4764">lrnrs_drrmcamp_m_excluding</f>
        <v>0</v>
      </c>
      <c r="F4764" t="b">
        <v>1</v>
      </c>
    </row>
    <row r="4765" spans="1:6" x14ac:dyDescent="0.35">
      <c r="A4765" t="s">
        <v>8212</v>
      </c>
      <c r="B4765" t="s">
        <v>11736</v>
      </c>
      <c r="C4765" t="s">
        <v>8212</v>
      </c>
      <c r="D4765" t="s">
        <v>12043</v>
      </c>
      <c r="E4765" cm="1">
        <f t="array" ref="E4765">lrnrs_drrmcamp_f_excluding</f>
        <v>0</v>
      </c>
      <c r="F4765" t="b">
        <v>1</v>
      </c>
    </row>
    <row r="4766" spans="1:6" x14ac:dyDescent="0.35">
      <c r="A4766" t="s">
        <v>8213</v>
      </c>
      <c r="B4766" t="s">
        <v>11736</v>
      </c>
      <c r="C4766" t="s">
        <v>8213</v>
      </c>
      <c r="D4766" t="s">
        <v>12044</v>
      </c>
      <c r="E4766" cm="1">
        <f t="array" ref="E4766">lrnrs_drrmcamp_m_ip</f>
        <v>0</v>
      </c>
      <c r="F4766" t="b">
        <v>1</v>
      </c>
    </row>
    <row r="4767" spans="1:6" x14ac:dyDescent="0.35">
      <c r="A4767" t="s">
        <v>8214</v>
      </c>
      <c r="B4767" t="s">
        <v>11736</v>
      </c>
      <c r="C4767" t="s">
        <v>8214</v>
      </c>
      <c r="D4767" t="s">
        <v>12045</v>
      </c>
      <c r="E4767" cm="1">
        <f t="array" ref="E4767">lrnrs_drrmcamp_f_ip</f>
        <v>0</v>
      </c>
      <c r="F4767" t="b">
        <v>1</v>
      </c>
    </row>
    <row r="4768" spans="1:6" x14ac:dyDescent="0.35">
      <c r="A4768" t="s">
        <v>8215</v>
      </c>
      <c r="B4768" t="s">
        <v>11736</v>
      </c>
      <c r="C4768" t="s">
        <v>8215</v>
      </c>
      <c r="D4768" t="s">
        <v>12046</v>
      </c>
      <c r="E4768" cm="1">
        <f t="array" ref="E4768">lrnrs_drrmcamp_m_muslim</f>
        <v>0</v>
      </c>
      <c r="F4768" t="b">
        <v>1</v>
      </c>
    </row>
    <row r="4769" spans="1:6" x14ac:dyDescent="0.35">
      <c r="A4769" t="s">
        <v>8216</v>
      </c>
      <c r="B4769" t="s">
        <v>11736</v>
      </c>
      <c r="C4769" t="s">
        <v>8216</v>
      </c>
      <c r="D4769" t="s">
        <v>12047</v>
      </c>
      <c r="E4769" cm="1">
        <f t="array" ref="E4769">lrnrs_drrmcamp_f_muslim</f>
        <v>0</v>
      </c>
      <c r="F4769" t="b">
        <v>1</v>
      </c>
    </row>
    <row r="4770" spans="1:6" x14ac:dyDescent="0.35">
      <c r="A4770" t="s">
        <v>8217</v>
      </c>
      <c r="B4770" t="s">
        <v>11736</v>
      </c>
      <c r="C4770" t="s">
        <v>8217</v>
      </c>
      <c r="D4770" t="s">
        <v>12048</v>
      </c>
      <c r="E4770" cm="1">
        <f t="array" ref="E4770">lrnrs_drrmcamp_m_pwd</f>
        <v>0</v>
      </c>
      <c r="F4770" t="b">
        <v>1</v>
      </c>
    </row>
    <row r="4771" spans="1:6" x14ac:dyDescent="0.35">
      <c r="A4771" t="s">
        <v>8218</v>
      </c>
      <c r="B4771" t="s">
        <v>11736</v>
      </c>
      <c r="C4771" t="s">
        <v>8218</v>
      </c>
      <c r="D4771" t="s">
        <v>12049</v>
      </c>
      <c r="E4771" cm="1">
        <f t="array" ref="E4771">lrnrs_drrmcamp_f_pwd</f>
        <v>0</v>
      </c>
      <c r="F4771" t="b">
        <v>1</v>
      </c>
    </row>
    <row r="4772" spans="1:6" x14ac:dyDescent="0.35">
      <c r="A4772" t="s">
        <v>8219</v>
      </c>
      <c r="B4772" t="s">
        <v>11736</v>
      </c>
      <c r="C4772" t="s">
        <v>8219</v>
      </c>
      <c r="D4772" t="s">
        <v>12050</v>
      </c>
      <c r="E4772" cm="1">
        <f t="array" ref="E4772">lrnrs_youthcouncil_m_excluding</f>
        <v>0</v>
      </c>
      <c r="F4772" t="b">
        <v>1</v>
      </c>
    </row>
    <row r="4773" spans="1:6" x14ac:dyDescent="0.35">
      <c r="A4773" t="s">
        <v>8220</v>
      </c>
      <c r="B4773" t="s">
        <v>11736</v>
      </c>
      <c r="C4773" t="s">
        <v>8220</v>
      </c>
      <c r="D4773" t="s">
        <v>12051</v>
      </c>
      <c r="E4773" cm="1">
        <f t="array" ref="E4773">lrnrs_youthcouncil_f_excluding</f>
        <v>0</v>
      </c>
      <c r="F4773" t="b">
        <v>1</v>
      </c>
    </row>
    <row r="4774" spans="1:6" x14ac:dyDescent="0.35">
      <c r="A4774" t="s">
        <v>8221</v>
      </c>
      <c r="B4774" t="s">
        <v>11736</v>
      </c>
      <c r="C4774" t="s">
        <v>8221</v>
      </c>
      <c r="D4774" t="s">
        <v>12052</v>
      </c>
      <c r="E4774" cm="1">
        <f t="array" ref="E4774">lrnrs_youthcouncil_m_ip</f>
        <v>0</v>
      </c>
      <c r="F4774" t="b">
        <v>1</v>
      </c>
    </row>
    <row r="4775" spans="1:6" x14ac:dyDescent="0.35">
      <c r="A4775" t="s">
        <v>8222</v>
      </c>
      <c r="B4775" t="s">
        <v>11736</v>
      </c>
      <c r="C4775" t="s">
        <v>8222</v>
      </c>
      <c r="D4775" t="s">
        <v>12053</v>
      </c>
      <c r="E4775" cm="1">
        <f t="array" ref="E4775">lrnrs_youthcouncil_f_ip</f>
        <v>0</v>
      </c>
      <c r="F4775" t="b">
        <v>1</v>
      </c>
    </row>
    <row r="4776" spans="1:6" x14ac:dyDescent="0.35">
      <c r="A4776" t="s">
        <v>8223</v>
      </c>
      <c r="B4776" t="s">
        <v>11736</v>
      </c>
      <c r="C4776" t="s">
        <v>8223</v>
      </c>
      <c r="D4776" t="s">
        <v>12054</v>
      </c>
      <c r="E4776" cm="1">
        <f t="array" ref="E4776">lrnrs_youthcouncil_m_muslim</f>
        <v>0</v>
      </c>
      <c r="F4776" t="b">
        <v>1</v>
      </c>
    </row>
    <row r="4777" spans="1:6" x14ac:dyDescent="0.35">
      <c r="A4777" t="s">
        <v>8224</v>
      </c>
      <c r="B4777" t="s">
        <v>11736</v>
      </c>
      <c r="C4777" t="s">
        <v>8224</v>
      </c>
      <c r="D4777" t="s">
        <v>12055</v>
      </c>
      <c r="E4777" cm="1">
        <f t="array" ref="E4777">lrnrs_youthcouncil_f_muslim</f>
        <v>0</v>
      </c>
      <c r="F4777" t="b">
        <v>1</v>
      </c>
    </row>
    <row r="4778" spans="1:6" x14ac:dyDescent="0.35">
      <c r="A4778" t="s">
        <v>8225</v>
      </c>
      <c r="B4778" t="s">
        <v>11736</v>
      </c>
      <c r="C4778" t="s">
        <v>8225</v>
      </c>
      <c r="D4778" t="s">
        <v>12056</v>
      </c>
      <c r="E4778" cm="1">
        <f t="array" ref="E4778">lrnrs_youthcouncil_m_pwd</f>
        <v>0</v>
      </c>
      <c r="F4778" t="b">
        <v>1</v>
      </c>
    </row>
    <row r="4779" spans="1:6" x14ac:dyDescent="0.35">
      <c r="A4779" t="s">
        <v>8226</v>
      </c>
      <c r="B4779" t="s">
        <v>11736</v>
      </c>
      <c r="C4779" t="s">
        <v>8226</v>
      </c>
      <c r="D4779" t="s">
        <v>12057</v>
      </c>
      <c r="E4779" cm="1">
        <f t="array" ref="E4779">lrnrs_youthcouncil_f_pwd</f>
        <v>0</v>
      </c>
      <c r="F4779" t="b">
        <v>1</v>
      </c>
    </row>
    <row r="4780" spans="1:6" x14ac:dyDescent="0.35">
      <c r="A4780" t="s">
        <v>8227</v>
      </c>
      <c r="B4780" t="s">
        <v>11736</v>
      </c>
      <c r="C4780" t="s">
        <v>8227</v>
      </c>
      <c r="D4780" t="s">
        <v>12058</v>
      </c>
      <c r="E4780" cm="1">
        <f t="array" ref="E4780">lrnrs_yac_m_excluding</f>
        <v>0</v>
      </c>
      <c r="F4780" t="b">
        <v>1</v>
      </c>
    </row>
    <row r="4781" spans="1:6" x14ac:dyDescent="0.35">
      <c r="A4781" t="s">
        <v>8228</v>
      </c>
      <c r="B4781" t="s">
        <v>11736</v>
      </c>
      <c r="C4781" t="s">
        <v>8228</v>
      </c>
      <c r="D4781" t="s">
        <v>12059</v>
      </c>
      <c r="E4781" cm="1">
        <f t="array" ref="E4781">lrnrs_yac_f_excluding</f>
        <v>0</v>
      </c>
      <c r="F4781" t="b">
        <v>1</v>
      </c>
    </row>
    <row r="4782" spans="1:6" x14ac:dyDescent="0.35">
      <c r="A4782" t="s">
        <v>8229</v>
      </c>
      <c r="B4782" t="s">
        <v>11736</v>
      </c>
      <c r="C4782" t="s">
        <v>8229</v>
      </c>
      <c r="D4782" t="s">
        <v>12060</v>
      </c>
      <c r="E4782" cm="1">
        <f t="array" ref="E4782">lrnrs_yac_m_ip</f>
        <v>0</v>
      </c>
      <c r="F4782" t="b">
        <v>1</v>
      </c>
    </row>
    <row r="4783" spans="1:6" x14ac:dyDescent="0.35">
      <c r="A4783" t="s">
        <v>8230</v>
      </c>
      <c r="B4783" t="s">
        <v>11736</v>
      </c>
      <c r="C4783" t="s">
        <v>8230</v>
      </c>
      <c r="D4783" t="s">
        <v>12061</v>
      </c>
      <c r="E4783" cm="1">
        <f t="array" ref="E4783">lrnrs_yac_f_ip</f>
        <v>0</v>
      </c>
      <c r="F4783" t="b">
        <v>1</v>
      </c>
    </row>
    <row r="4784" spans="1:6" x14ac:dyDescent="0.35">
      <c r="A4784" t="s">
        <v>8231</v>
      </c>
      <c r="B4784" t="s">
        <v>11736</v>
      </c>
      <c r="C4784" t="s">
        <v>8231</v>
      </c>
      <c r="D4784" t="s">
        <v>12062</v>
      </c>
      <c r="E4784" cm="1">
        <f t="array" ref="E4784">lrnrs_yac_m_muslim</f>
        <v>0</v>
      </c>
      <c r="F4784" t="b">
        <v>1</v>
      </c>
    </row>
    <row r="4785" spans="1:6" x14ac:dyDescent="0.35">
      <c r="A4785" t="s">
        <v>8232</v>
      </c>
      <c r="B4785" t="s">
        <v>11736</v>
      </c>
      <c r="C4785" t="s">
        <v>8232</v>
      </c>
      <c r="D4785" t="s">
        <v>12063</v>
      </c>
      <c r="E4785" cm="1">
        <f t="array" ref="E4785">lrnrs_yac_f_muslim</f>
        <v>0</v>
      </c>
      <c r="F4785" t="b">
        <v>1</v>
      </c>
    </row>
    <row r="4786" spans="1:6" x14ac:dyDescent="0.35">
      <c r="A4786" t="s">
        <v>8233</v>
      </c>
      <c r="B4786" t="s">
        <v>11736</v>
      </c>
      <c r="C4786" t="s">
        <v>8233</v>
      </c>
      <c r="D4786" t="s">
        <v>12064</v>
      </c>
      <c r="E4786" cm="1">
        <f t="array" ref="E4786">lrnrs_yac_m_pwd</f>
        <v>0</v>
      </c>
      <c r="F4786" t="b">
        <v>1</v>
      </c>
    </row>
    <row r="4787" spans="1:6" x14ac:dyDescent="0.35">
      <c r="A4787" t="s">
        <v>8234</v>
      </c>
      <c r="B4787" t="s">
        <v>11736</v>
      </c>
      <c r="C4787" t="s">
        <v>8234</v>
      </c>
      <c r="D4787" t="s">
        <v>12065</v>
      </c>
      <c r="E4787" cm="1">
        <f t="array" ref="E4787">lrnrs_yac_f_pwd</f>
        <v>0</v>
      </c>
      <c r="F4787" t="b">
        <v>1</v>
      </c>
    </row>
    <row r="4788" spans="1:6" x14ac:dyDescent="0.35">
      <c r="A4788" t="s">
        <v>8235</v>
      </c>
      <c r="B4788" t="s">
        <v>11736</v>
      </c>
      <c r="C4788" t="s">
        <v>8235</v>
      </c>
      <c r="D4788" t="s">
        <v>12066</v>
      </c>
      <c r="E4788" cm="1">
        <f t="array" ref="E4788">lrnrs_journalism_m_excluding</f>
        <v>0</v>
      </c>
      <c r="F4788" t="b">
        <v>1</v>
      </c>
    </row>
    <row r="4789" spans="1:6" x14ac:dyDescent="0.35">
      <c r="A4789" t="s">
        <v>8236</v>
      </c>
      <c r="B4789" t="s">
        <v>11736</v>
      </c>
      <c r="C4789" t="s">
        <v>8236</v>
      </c>
      <c r="D4789" t="s">
        <v>12067</v>
      </c>
      <c r="E4789" cm="1">
        <f t="array" ref="E4789">lrnrs_journalism_f_excluding</f>
        <v>0</v>
      </c>
      <c r="F4789" t="b">
        <v>1</v>
      </c>
    </row>
    <row r="4790" spans="1:6" x14ac:dyDescent="0.35">
      <c r="A4790" t="s">
        <v>8237</v>
      </c>
      <c r="B4790" t="s">
        <v>11736</v>
      </c>
      <c r="C4790" t="s">
        <v>8237</v>
      </c>
      <c r="D4790" t="s">
        <v>12068</v>
      </c>
      <c r="E4790" cm="1">
        <f t="array" ref="E4790">lrnrs_journalism_m_ip</f>
        <v>0</v>
      </c>
      <c r="F4790" t="b">
        <v>1</v>
      </c>
    </row>
    <row r="4791" spans="1:6" x14ac:dyDescent="0.35">
      <c r="A4791" t="s">
        <v>8238</v>
      </c>
      <c r="B4791" t="s">
        <v>11736</v>
      </c>
      <c r="C4791" t="s">
        <v>8238</v>
      </c>
      <c r="D4791" t="s">
        <v>12069</v>
      </c>
      <c r="E4791" cm="1">
        <f t="array" ref="E4791">lrnrs_journalism_f_ip</f>
        <v>0</v>
      </c>
      <c r="F4791" t="b">
        <v>1</v>
      </c>
    </row>
    <row r="4792" spans="1:6" x14ac:dyDescent="0.35">
      <c r="A4792" t="s">
        <v>8239</v>
      </c>
      <c r="B4792" t="s">
        <v>11736</v>
      </c>
      <c r="C4792" t="s">
        <v>8239</v>
      </c>
      <c r="D4792" t="s">
        <v>12070</v>
      </c>
      <c r="E4792" cm="1">
        <f t="array" ref="E4792">lrnrs_journalism_m_muslim</f>
        <v>0</v>
      </c>
      <c r="F4792" t="b">
        <v>1</v>
      </c>
    </row>
    <row r="4793" spans="1:6" x14ac:dyDescent="0.35">
      <c r="A4793" t="s">
        <v>8240</v>
      </c>
      <c r="B4793" t="s">
        <v>11736</v>
      </c>
      <c r="C4793" t="s">
        <v>8240</v>
      </c>
      <c r="D4793" t="s">
        <v>12071</v>
      </c>
      <c r="E4793" cm="1">
        <f t="array" ref="E4793">lrnrs_journalism_f_muslim</f>
        <v>0</v>
      </c>
      <c r="F4793" t="b">
        <v>1</v>
      </c>
    </row>
    <row r="4794" spans="1:6" x14ac:dyDescent="0.35">
      <c r="A4794" t="s">
        <v>8241</v>
      </c>
      <c r="B4794" t="s">
        <v>11736</v>
      </c>
      <c r="C4794" t="s">
        <v>8241</v>
      </c>
      <c r="D4794" t="s">
        <v>12072</v>
      </c>
      <c r="E4794" cm="1">
        <f t="array" ref="E4794">lrnrs_journalism_m_pwd</f>
        <v>0</v>
      </c>
      <c r="F4794" t="b">
        <v>1</v>
      </c>
    </row>
    <row r="4795" spans="1:6" x14ac:dyDescent="0.35">
      <c r="A4795" t="s">
        <v>8242</v>
      </c>
      <c r="B4795" t="s">
        <v>11736</v>
      </c>
      <c r="C4795" t="s">
        <v>8242</v>
      </c>
      <c r="D4795" t="s">
        <v>12073</v>
      </c>
      <c r="E4795" cm="1">
        <f t="array" ref="E4795">lrnrs_journalism_f_pwd</f>
        <v>0</v>
      </c>
      <c r="F4795" t="b">
        <v>1</v>
      </c>
    </row>
    <row r="4796" spans="1:6" x14ac:dyDescent="0.35">
      <c r="A4796" t="s">
        <v>8251</v>
      </c>
      <c r="B4796" t="s">
        <v>11736</v>
      </c>
      <c r="C4796" t="s">
        <v>8251</v>
      </c>
      <c r="D4796" t="s">
        <v>12082</v>
      </c>
      <c r="E4796" cm="1">
        <f t="array" ref="E4796">lrns_drrmothers_specify</f>
        <v>0</v>
      </c>
      <c r="F4796" t="b">
        <v>1</v>
      </c>
    </row>
    <row r="4797" spans="1:6" x14ac:dyDescent="0.35">
      <c r="A4797" t="s">
        <v>8243</v>
      </c>
      <c r="B4797" t="s">
        <v>11736</v>
      </c>
      <c r="C4797" t="s">
        <v>8243</v>
      </c>
      <c r="D4797" t="s">
        <v>12074</v>
      </c>
      <c r="E4797" cm="1">
        <f t="array" ref="E4797">lrnrs_drrmothers_m_excluding</f>
        <v>0</v>
      </c>
      <c r="F4797" t="b">
        <v>1</v>
      </c>
    </row>
    <row r="4798" spans="1:6" x14ac:dyDescent="0.35">
      <c r="A4798" t="s">
        <v>8244</v>
      </c>
      <c r="B4798" t="s">
        <v>11736</v>
      </c>
      <c r="C4798" t="s">
        <v>8244</v>
      </c>
      <c r="D4798" t="s">
        <v>12075</v>
      </c>
      <c r="E4798" cm="1">
        <f t="array" ref="E4798">lrnrs_drrmothers_f_excluding</f>
        <v>0</v>
      </c>
      <c r="F4798" t="b">
        <v>1</v>
      </c>
    </row>
    <row r="4799" spans="1:6" x14ac:dyDescent="0.35">
      <c r="A4799" t="s">
        <v>8245</v>
      </c>
      <c r="B4799" t="s">
        <v>11736</v>
      </c>
      <c r="C4799" t="s">
        <v>8245</v>
      </c>
      <c r="D4799" t="s">
        <v>12076</v>
      </c>
      <c r="E4799" cm="1">
        <f t="array" ref="E4799">lrnrs_drrmothers_m_ip</f>
        <v>0</v>
      </c>
      <c r="F4799" t="b">
        <v>1</v>
      </c>
    </row>
    <row r="4800" spans="1:6" x14ac:dyDescent="0.35">
      <c r="A4800" t="s">
        <v>8246</v>
      </c>
      <c r="B4800" t="s">
        <v>11736</v>
      </c>
      <c r="C4800" t="s">
        <v>8246</v>
      </c>
      <c r="D4800" t="s">
        <v>12077</v>
      </c>
      <c r="E4800" cm="1">
        <f t="array" ref="E4800">lrnrs_drrmothers_f_ip</f>
        <v>0</v>
      </c>
      <c r="F4800" t="b">
        <v>1</v>
      </c>
    </row>
    <row r="4801" spans="1:6" x14ac:dyDescent="0.35">
      <c r="A4801" t="s">
        <v>8247</v>
      </c>
      <c r="B4801" t="s">
        <v>11736</v>
      </c>
      <c r="C4801" t="s">
        <v>8247</v>
      </c>
      <c r="D4801" t="s">
        <v>12078</v>
      </c>
      <c r="E4801" cm="1">
        <f t="array" ref="E4801">lrnrs_drrmothers_m_muslim</f>
        <v>0</v>
      </c>
      <c r="F4801" t="b">
        <v>1</v>
      </c>
    </row>
    <row r="4802" spans="1:6" x14ac:dyDescent="0.35">
      <c r="A4802" t="s">
        <v>8248</v>
      </c>
      <c r="B4802" t="s">
        <v>11736</v>
      </c>
      <c r="C4802" t="s">
        <v>8248</v>
      </c>
      <c r="D4802" t="s">
        <v>12079</v>
      </c>
      <c r="E4802" cm="1">
        <f t="array" ref="E4802">lrnrs_drrmothers_f_muslim</f>
        <v>0</v>
      </c>
      <c r="F4802" t="b">
        <v>1</v>
      </c>
    </row>
    <row r="4803" spans="1:6" x14ac:dyDescent="0.35">
      <c r="A4803" t="s">
        <v>8249</v>
      </c>
      <c r="B4803" t="s">
        <v>11736</v>
      </c>
      <c r="C4803" t="s">
        <v>8249</v>
      </c>
      <c r="D4803" t="s">
        <v>12080</v>
      </c>
      <c r="E4803" cm="1">
        <f t="array" ref="E4803">lrnrs_drrmothers_m_pwd</f>
        <v>0</v>
      </c>
      <c r="F4803" t="b">
        <v>1</v>
      </c>
    </row>
    <row r="4804" spans="1:6" x14ac:dyDescent="0.35">
      <c r="A4804" t="s">
        <v>8250</v>
      </c>
      <c r="B4804" t="s">
        <v>11736</v>
      </c>
      <c r="C4804" t="s">
        <v>8250</v>
      </c>
      <c r="D4804" t="s">
        <v>12081</v>
      </c>
      <c r="E4804" cm="1">
        <f t="array" ref="E4804">lrnrs_drrmothers_f_pwd</f>
        <v>0</v>
      </c>
      <c r="F4804" t="b">
        <v>1</v>
      </c>
    </row>
    <row r="4805" spans="1:6" x14ac:dyDescent="0.35">
      <c r="A4805" t="s">
        <v>8252</v>
      </c>
      <c r="B4805" t="s">
        <v>11736</v>
      </c>
      <c r="C4805" t="s">
        <v>8252</v>
      </c>
      <c r="D4805" t="s">
        <v>12083</v>
      </c>
      <c r="E4805" cm="1">
        <f t="array" ref="E4805">lrnrs_ccamart_m_excluding</f>
        <v>0</v>
      </c>
      <c r="F4805" t="b">
        <v>1</v>
      </c>
    </row>
    <row r="4806" spans="1:6" x14ac:dyDescent="0.35">
      <c r="A4806" t="s">
        <v>8253</v>
      </c>
      <c r="B4806" t="s">
        <v>11736</v>
      </c>
      <c r="C4806" t="s">
        <v>8253</v>
      </c>
      <c r="D4806" t="s">
        <v>12084</v>
      </c>
      <c r="E4806" cm="1">
        <f t="array" ref="E4806">lrnrs_ccamart_f_excluding</f>
        <v>0</v>
      </c>
      <c r="F4806" t="b">
        <v>1</v>
      </c>
    </row>
    <row r="4807" spans="1:6" x14ac:dyDescent="0.35">
      <c r="A4807" t="s">
        <v>8254</v>
      </c>
      <c r="B4807" t="s">
        <v>11736</v>
      </c>
      <c r="C4807" t="s">
        <v>8254</v>
      </c>
      <c r="D4807" t="s">
        <v>12085</v>
      </c>
      <c r="E4807" cm="1">
        <f t="array" ref="E4807">lrnrs_ccamart_m_ip</f>
        <v>0</v>
      </c>
      <c r="F4807" t="b">
        <v>1</v>
      </c>
    </row>
    <row r="4808" spans="1:6" x14ac:dyDescent="0.35">
      <c r="A4808" t="s">
        <v>8255</v>
      </c>
      <c r="B4808" t="s">
        <v>11736</v>
      </c>
      <c r="C4808" t="s">
        <v>8255</v>
      </c>
      <c r="D4808" t="s">
        <v>12086</v>
      </c>
      <c r="E4808" cm="1">
        <f t="array" ref="E4808">lrnrs_ccamart_f_ip</f>
        <v>0</v>
      </c>
      <c r="F4808" t="b">
        <v>1</v>
      </c>
    </row>
    <row r="4809" spans="1:6" x14ac:dyDescent="0.35">
      <c r="A4809" t="s">
        <v>8256</v>
      </c>
      <c r="B4809" t="s">
        <v>11736</v>
      </c>
      <c r="C4809" t="s">
        <v>8256</v>
      </c>
      <c r="D4809" t="s">
        <v>12087</v>
      </c>
      <c r="E4809" cm="1">
        <f t="array" ref="E4809">lrnrs_ccamart_m_muslim</f>
        <v>0</v>
      </c>
      <c r="F4809" t="b">
        <v>1</v>
      </c>
    </row>
    <row r="4810" spans="1:6" x14ac:dyDescent="0.35">
      <c r="A4810" t="s">
        <v>8257</v>
      </c>
      <c r="B4810" t="s">
        <v>11736</v>
      </c>
      <c r="C4810" t="s">
        <v>8257</v>
      </c>
      <c r="D4810" t="s">
        <v>12088</v>
      </c>
      <c r="E4810" cm="1">
        <f t="array" ref="E4810">lrnrs_ccamart_f_muslim</f>
        <v>0</v>
      </c>
      <c r="F4810" t="b">
        <v>1</v>
      </c>
    </row>
    <row r="4811" spans="1:6" x14ac:dyDescent="0.35">
      <c r="A4811" t="s">
        <v>8258</v>
      </c>
      <c r="B4811" t="s">
        <v>11736</v>
      </c>
      <c r="C4811" t="s">
        <v>8258</v>
      </c>
      <c r="D4811" t="s">
        <v>12089</v>
      </c>
      <c r="E4811" cm="1">
        <f t="array" ref="E4811">lrnrs_ccamart_m_pwd</f>
        <v>0</v>
      </c>
      <c r="F4811" t="b">
        <v>1</v>
      </c>
    </row>
    <row r="4812" spans="1:6" x14ac:dyDescent="0.35">
      <c r="A4812" t="s">
        <v>8259</v>
      </c>
      <c r="B4812" t="s">
        <v>11736</v>
      </c>
      <c r="C4812" t="s">
        <v>8259</v>
      </c>
      <c r="D4812" t="s">
        <v>12090</v>
      </c>
      <c r="E4812" cm="1">
        <f t="array" ref="E4812">lrnrs_ccamart_f_pwd</f>
        <v>0</v>
      </c>
      <c r="F4812" t="b">
        <v>1</v>
      </c>
    </row>
    <row r="4813" spans="1:6" x14ac:dyDescent="0.35">
      <c r="A4813" t="s">
        <v>8260</v>
      </c>
      <c r="B4813" t="s">
        <v>11736</v>
      </c>
      <c r="C4813" t="s">
        <v>8260</v>
      </c>
      <c r="D4813" t="s">
        <v>12091</v>
      </c>
      <c r="E4813" cm="1">
        <f t="array" ref="E4813">lrnrs_chngcurrent_m_excluding</f>
        <v>0</v>
      </c>
      <c r="F4813" t="b">
        <v>1</v>
      </c>
    </row>
    <row r="4814" spans="1:6" x14ac:dyDescent="0.35">
      <c r="A4814" t="s">
        <v>8261</v>
      </c>
      <c r="B4814" t="s">
        <v>11736</v>
      </c>
      <c r="C4814" t="s">
        <v>8261</v>
      </c>
      <c r="D4814" t="s">
        <v>12092</v>
      </c>
      <c r="E4814" cm="1">
        <f t="array" ref="E4814">lrnrs_chngcurrent_f_excluding</f>
        <v>0</v>
      </c>
      <c r="F4814" t="b">
        <v>1</v>
      </c>
    </row>
    <row r="4815" spans="1:6" x14ac:dyDescent="0.35">
      <c r="A4815" t="s">
        <v>8262</v>
      </c>
      <c r="B4815" t="s">
        <v>11736</v>
      </c>
      <c r="C4815" t="s">
        <v>8262</v>
      </c>
      <c r="D4815" t="s">
        <v>12093</v>
      </c>
      <c r="E4815" cm="1">
        <f t="array" ref="E4815">lrnrs_chngcurrent_m_ip</f>
        <v>0</v>
      </c>
      <c r="F4815" t="b">
        <v>1</v>
      </c>
    </row>
    <row r="4816" spans="1:6" x14ac:dyDescent="0.35">
      <c r="A4816" t="s">
        <v>8263</v>
      </c>
      <c r="B4816" t="s">
        <v>11736</v>
      </c>
      <c r="C4816" t="s">
        <v>8263</v>
      </c>
      <c r="D4816" t="s">
        <v>12094</v>
      </c>
      <c r="E4816" cm="1">
        <f t="array" ref="E4816">lrnrs_chngcurrent_f_ip</f>
        <v>0</v>
      </c>
      <c r="F4816" t="b">
        <v>1</v>
      </c>
    </row>
    <row r="4817" spans="1:6" x14ac:dyDescent="0.35">
      <c r="A4817" t="s">
        <v>8264</v>
      </c>
      <c r="B4817" t="s">
        <v>11736</v>
      </c>
      <c r="C4817" t="s">
        <v>8264</v>
      </c>
      <c r="D4817" t="s">
        <v>12095</v>
      </c>
      <c r="E4817" cm="1">
        <f t="array" ref="E4817">lrnrs_chngcurrent_m_muslim</f>
        <v>0</v>
      </c>
      <c r="F4817" t="b">
        <v>1</v>
      </c>
    </row>
    <row r="4818" spans="1:6" x14ac:dyDescent="0.35">
      <c r="A4818" t="s">
        <v>8265</v>
      </c>
      <c r="B4818" t="s">
        <v>11736</v>
      </c>
      <c r="C4818" t="s">
        <v>8265</v>
      </c>
      <c r="D4818" t="s">
        <v>12096</v>
      </c>
      <c r="E4818" cm="1">
        <f t="array" ref="E4818">lrnrs_chngcurrent_f_muslim</f>
        <v>0</v>
      </c>
      <c r="F4818" t="b">
        <v>1</v>
      </c>
    </row>
    <row r="4819" spans="1:6" x14ac:dyDescent="0.35">
      <c r="A4819" t="s">
        <v>8266</v>
      </c>
      <c r="B4819" t="s">
        <v>11736</v>
      </c>
      <c r="C4819" t="s">
        <v>8266</v>
      </c>
      <c r="D4819" t="s">
        <v>12097</v>
      </c>
      <c r="E4819" cm="1">
        <f t="array" ref="E4819">lrnrs_chngcurrent_m_pwd</f>
        <v>0</v>
      </c>
      <c r="F4819" t="b">
        <v>1</v>
      </c>
    </row>
    <row r="4820" spans="1:6" x14ac:dyDescent="0.35">
      <c r="A4820" t="s">
        <v>8267</v>
      </c>
      <c r="B4820" t="s">
        <v>11736</v>
      </c>
      <c r="C4820" t="s">
        <v>8267</v>
      </c>
      <c r="D4820" t="s">
        <v>12098</v>
      </c>
      <c r="E4820" cm="1">
        <f t="array" ref="E4820">lrnrs_chngcurrent_f_pwd</f>
        <v>0</v>
      </c>
      <c r="F4820" t="b">
        <v>1</v>
      </c>
    </row>
    <row r="4821" spans="1:6" x14ac:dyDescent="0.35">
      <c r="A4821" t="s">
        <v>8268</v>
      </c>
      <c r="B4821" t="s">
        <v>11736</v>
      </c>
      <c r="C4821" t="s">
        <v>8268</v>
      </c>
      <c r="D4821" t="s">
        <v>12099</v>
      </c>
      <c r="E4821" cm="1">
        <f t="array" ref="E4821">lrnrs_camp_m_excluding</f>
        <v>0</v>
      </c>
      <c r="F4821" t="b">
        <v>1</v>
      </c>
    </row>
    <row r="4822" spans="1:6" x14ac:dyDescent="0.35">
      <c r="A4822" t="s">
        <v>8269</v>
      </c>
      <c r="B4822" t="s">
        <v>11736</v>
      </c>
      <c r="C4822" t="s">
        <v>8269</v>
      </c>
      <c r="D4822" t="s">
        <v>12100</v>
      </c>
      <c r="E4822" cm="1">
        <f t="array" ref="E4822">lrnrs_camp_f_excluding</f>
        <v>0</v>
      </c>
      <c r="F4822" t="b">
        <v>1</v>
      </c>
    </row>
    <row r="4823" spans="1:6" x14ac:dyDescent="0.35">
      <c r="A4823" t="s">
        <v>8384</v>
      </c>
      <c r="B4823" t="s">
        <v>11736</v>
      </c>
      <c r="C4823" t="s">
        <v>8384</v>
      </c>
      <c r="D4823" t="s">
        <v>12101</v>
      </c>
      <c r="E4823" cm="1">
        <f t="array" ref="E4823">lrnrs_camp_m_ip</f>
        <v>0</v>
      </c>
      <c r="F4823" t="b">
        <v>1</v>
      </c>
    </row>
    <row r="4824" spans="1:6" x14ac:dyDescent="0.35">
      <c r="A4824" t="s">
        <v>8385</v>
      </c>
      <c r="B4824" t="s">
        <v>11736</v>
      </c>
      <c r="C4824" t="s">
        <v>8385</v>
      </c>
      <c r="D4824" t="s">
        <v>12102</v>
      </c>
      <c r="E4824" cm="1">
        <f t="array" ref="E4824">lrnrs_camp_f_ip</f>
        <v>0</v>
      </c>
      <c r="F4824" t="b">
        <v>1</v>
      </c>
    </row>
    <row r="4825" spans="1:6" x14ac:dyDescent="0.35">
      <c r="A4825" t="s">
        <v>8386</v>
      </c>
      <c r="B4825" t="s">
        <v>11736</v>
      </c>
      <c r="C4825" t="s">
        <v>8386</v>
      </c>
      <c r="D4825" t="s">
        <v>12103</v>
      </c>
      <c r="E4825" cm="1">
        <f t="array" ref="E4825">lrnrs_camp_m_muslim</f>
        <v>0</v>
      </c>
      <c r="F4825" t="b">
        <v>1</v>
      </c>
    </row>
    <row r="4826" spans="1:6" x14ac:dyDescent="0.35">
      <c r="A4826" t="s">
        <v>8387</v>
      </c>
      <c r="B4826" t="s">
        <v>11736</v>
      </c>
      <c r="C4826" t="s">
        <v>8387</v>
      </c>
      <c r="D4826" t="s">
        <v>12104</v>
      </c>
      <c r="E4826" cm="1">
        <f t="array" ref="E4826">lrnrs_camp_f_muslim</f>
        <v>0</v>
      </c>
      <c r="F4826" t="b">
        <v>1</v>
      </c>
    </row>
    <row r="4827" spans="1:6" x14ac:dyDescent="0.35">
      <c r="A4827" t="s">
        <v>8388</v>
      </c>
      <c r="B4827" t="s">
        <v>11736</v>
      </c>
      <c r="C4827" t="s">
        <v>8388</v>
      </c>
      <c r="D4827" t="s">
        <v>12105</v>
      </c>
      <c r="E4827" cm="1">
        <f t="array" ref="E4827">lrnrs_camp_m_pwd</f>
        <v>0</v>
      </c>
      <c r="F4827" t="b">
        <v>1</v>
      </c>
    </row>
    <row r="4828" spans="1:6" x14ac:dyDescent="0.35">
      <c r="A4828" t="s">
        <v>8389</v>
      </c>
      <c r="B4828" t="s">
        <v>11736</v>
      </c>
      <c r="C4828" t="s">
        <v>8389</v>
      </c>
      <c r="D4828" t="s">
        <v>12106</v>
      </c>
      <c r="E4828" cm="1">
        <f t="array" ref="E4828">lrnrs_camp_f_pwd</f>
        <v>0</v>
      </c>
      <c r="F4828" t="b">
        <v>1</v>
      </c>
    </row>
    <row r="4829" spans="1:6" x14ac:dyDescent="0.35">
      <c r="A4829" t="s">
        <v>8270</v>
      </c>
      <c r="B4829" t="s">
        <v>11736</v>
      </c>
      <c r="C4829" t="s">
        <v>8270</v>
      </c>
      <c r="D4829" t="s">
        <v>12107</v>
      </c>
      <c r="E4829" cm="1">
        <f t="array" ref="E4829">lrnrs_journalismtraining_m_excluding</f>
        <v>0</v>
      </c>
      <c r="F4829" t="b">
        <v>1</v>
      </c>
    </row>
    <row r="4830" spans="1:6" x14ac:dyDescent="0.35">
      <c r="A4830" t="s">
        <v>8271</v>
      </c>
      <c r="B4830" t="s">
        <v>11736</v>
      </c>
      <c r="C4830" t="s">
        <v>8271</v>
      </c>
      <c r="D4830" t="s">
        <v>12108</v>
      </c>
      <c r="E4830" cm="1">
        <f t="array" ref="E4830">lrnrs_journalismtraining_f_excluding</f>
        <v>0</v>
      </c>
      <c r="F4830" t="b">
        <v>1</v>
      </c>
    </row>
    <row r="4831" spans="1:6" x14ac:dyDescent="0.35">
      <c r="A4831" t="s">
        <v>8272</v>
      </c>
      <c r="B4831" t="s">
        <v>11736</v>
      </c>
      <c r="C4831" t="s">
        <v>8272</v>
      </c>
      <c r="D4831" t="s">
        <v>12109</v>
      </c>
      <c r="E4831" cm="1">
        <f t="array" ref="E4831">lrnrs_journalismtraining_m_ip</f>
        <v>0</v>
      </c>
      <c r="F4831" t="b">
        <v>1</v>
      </c>
    </row>
    <row r="4832" spans="1:6" x14ac:dyDescent="0.35">
      <c r="A4832" t="s">
        <v>8273</v>
      </c>
      <c r="B4832" t="s">
        <v>11736</v>
      </c>
      <c r="C4832" t="s">
        <v>8273</v>
      </c>
      <c r="D4832" t="s">
        <v>12110</v>
      </c>
      <c r="E4832" cm="1">
        <f t="array" ref="E4832">lrnrs_journalismtraining_f_ip</f>
        <v>0</v>
      </c>
      <c r="F4832" t="b">
        <v>1</v>
      </c>
    </row>
    <row r="4833" spans="1:6" x14ac:dyDescent="0.35">
      <c r="A4833" t="s">
        <v>8274</v>
      </c>
      <c r="B4833" t="s">
        <v>11736</v>
      </c>
      <c r="C4833" t="s">
        <v>8274</v>
      </c>
      <c r="D4833" t="s">
        <v>12111</v>
      </c>
      <c r="E4833" cm="1">
        <f t="array" ref="E4833">lrnrs_journalismtraining_m_muslim</f>
        <v>0</v>
      </c>
      <c r="F4833" t="b">
        <v>1</v>
      </c>
    </row>
    <row r="4834" spans="1:6" x14ac:dyDescent="0.35">
      <c r="A4834" t="s">
        <v>8275</v>
      </c>
      <c r="B4834" t="s">
        <v>11736</v>
      </c>
      <c r="C4834" t="s">
        <v>8275</v>
      </c>
      <c r="D4834" t="s">
        <v>12112</v>
      </c>
      <c r="E4834" cm="1">
        <f t="array" ref="E4834">lrnrs_journalismtraining_f_muslim</f>
        <v>0</v>
      </c>
      <c r="F4834" t="b">
        <v>1</v>
      </c>
    </row>
    <row r="4835" spans="1:6" x14ac:dyDescent="0.35">
      <c r="A4835" t="s">
        <v>8276</v>
      </c>
      <c r="B4835" t="s">
        <v>11736</v>
      </c>
      <c r="C4835" t="s">
        <v>8276</v>
      </c>
      <c r="D4835" t="s">
        <v>12113</v>
      </c>
      <c r="E4835" cm="1">
        <f t="array" ref="E4835">lrnrs_journalismtraining_m_pwd</f>
        <v>0</v>
      </c>
      <c r="F4835" t="b">
        <v>1</v>
      </c>
    </row>
    <row r="4836" spans="1:6" x14ac:dyDescent="0.35">
      <c r="A4836" t="s">
        <v>8277</v>
      </c>
      <c r="B4836" t="s">
        <v>11736</v>
      </c>
      <c r="C4836" t="s">
        <v>8277</v>
      </c>
      <c r="D4836" t="s">
        <v>12114</v>
      </c>
      <c r="E4836" cm="1">
        <f t="array" ref="E4836">lrnrs_journalismtraining_f_pwd</f>
        <v>0</v>
      </c>
      <c r="F4836" t="b">
        <v>1</v>
      </c>
    </row>
    <row r="4837" spans="1:6" x14ac:dyDescent="0.35">
      <c r="A4837" t="s">
        <v>8278</v>
      </c>
      <c r="B4837" t="s">
        <v>11736</v>
      </c>
      <c r="C4837" t="s">
        <v>8278</v>
      </c>
      <c r="D4837" t="s">
        <v>12115</v>
      </c>
      <c r="E4837" cm="1">
        <f t="array" ref="E4837">lrnrs_gulayan_m_excluding</f>
        <v>0</v>
      </c>
      <c r="F4837" t="b">
        <v>1</v>
      </c>
    </row>
    <row r="4838" spans="1:6" x14ac:dyDescent="0.35">
      <c r="A4838" t="s">
        <v>8279</v>
      </c>
      <c r="B4838" t="s">
        <v>11736</v>
      </c>
      <c r="C4838" t="s">
        <v>8279</v>
      </c>
      <c r="D4838" t="s">
        <v>12116</v>
      </c>
      <c r="E4838" cm="1">
        <f t="array" ref="E4838">lrnrs_gulayan_f_excluding</f>
        <v>0</v>
      </c>
      <c r="F4838" t="b">
        <v>1</v>
      </c>
    </row>
    <row r="4839" spans="1:6" x14ac:dyDescent="0.35">
      <c r="A4839" t="s">
        <v>8280</v>
      </c>
      <c r="B4839" t="s">
        <v>11736</v>
      </c>
      <c r="C4839" t="s">
        <v>8280</v>
      </c>
      <c r="D4839" t="s">
        <v>12117</v>
      </c>
      <c r="E4839" cm="1">
        <f t="array" ref="E4839">lrnrs_gulayan_m_ip</f>
        <v>0</v>
      </c>
      <c r="F4839" t="b">
        <v>1</v>
      </c>
    </row>
    <row r="4840" spans="1:6" x14ac:dyDescent="0.35">
      <c r="A4840" t="s">
        <v>8281</v>
      </c>
      <c r="B4840" t="s">
        <v>11736</v>
      </c>
      <c r="C4840" t="s">
        <v>8281</v>
      </c>
      <c r="D4840" t="s">
        <v>12118</v>
      </c>
      <c r="E4840" cm="1">
        <f t="array" ref="E4840">lrnrs_gulayan_f_ip</f>
        <v>0</v>
      </c>
      <c r="F4840" t="b">
        <v>1</v>
      </c>
    </row>
    <row r="4841" spans="1:6" x14ac:dyDescent="0.35">
      <c r="A4841" t="s">
        <v>8282</v>
      </c>
      <c r="B4841" t="s">
        <v>11736</v>
      </c>
      <c r="C4841" t="s">
        <v>8282</v>
      </c>
      <c r="D4841" t="s">
        <v>12119</v>
      </c>
      <c r="E4841" cm="1">
        <f t="array" ref="E4841">lrnrs_gulayan_m_muslim</f>
        <v>0</v>
      </c>
      <c r="F4841" t="b">
        <v>1</v>
      </c>
    </row>
    <row r="4842" spans="1:6" x14ac:dyDescent="0.35">
      <c r="A4842" t="s">
        <v>8283</v>
      </c>
      <c r="B4842" t="s">
        <v>11736</v>
      </c>
      <c r="C4842" t="s">
        <v>8283</v>
      </c>
      <c r="D4842" t="s">
        <v>12120</v>
      </c>
      <c r="E4842" cm="1">
        <f t="array" ref="E4842">lrnrs_gulayan_f_muslim</f>
        <v>0</v>
      </c>
      <c r="F4842" t="b">
        <v>1</v>
      </c>
    </row>
    <row r="4843" spans="1:6" x14ac:dyDescent="0.35">
      <c r="A4843" t="s">
        <v>8284</v>
      </c>
      <c r="B4843" t="s">
        <v>11736</v>
      </c>
      <c r="C4843" t="s">
        <v>8284</v>
      </c>
      <c r="D4843" t="s">
        <v>12121</v>
      </c>
      <c r="E4843" cm="1">
        <f t="array" ref="E4843">lrnrs_gulayan_m_pwd</f>
        <v>0</v>
      </c>
      <c r="F4843" t="b">
        <v>1</v>
      </c>
    </row>
    <row r="4844" spans="1:6" x14ac:dyDescent="0.35">
      <c r="A4844" t="s">
        <v>8285</v>
      </c>
      <c r="B4844" t="s">
        <v>11736</v>
      </c>
      <c r="C4844" t="s">
        <v>8285</v>
      </c>
      <c r="D4844" t="s">
        <v>12122</v>
      </c>
      <c r="E4844" cm="1">
        <f t="array" ref="E4844">lrnrs_gulayan_f_pwd</f>
        <v>0</v>
      </c>
      <c r="F4844" t="b">
        <v>1</v>
      </c>
    </row>
    <row r="4845" spans="1:6" x14ac:dyDescent="0.35">
      <c r="A4845" t="s">
        <v>8286</v>
      </c>
      <c r="B4845" t="s">
        <v>11736</v>
      </c>
      <c r="C4845" t="s">
        <v>8286</v>
      </c>
      <c r="D4845" t="s">
        <v>12123</v>
      </c>
      <c r="E4845" cm="1">
        <f t="array" ref="E4845">lrnrs_caaas_m_excluding</f>
        <v>0</v>
      </c>
      <c r="F4845" t="b">
        <v>1</v>
      </c>
    </row>
    <row r="4846" spans="1:6" x14ac:dyDescent="0.35">
      <c r="A4846" t="s">
        <v>8287</v>
      </c>
      <c r="B4846" t="s">
        <v>11736</v>
      </c>
      <c r="C4846" t="s">
        <v>8287</v>
      </c>
      <c r="D4846" t="s">
        <v>12124</v>
      </c>
      <c r="E4846" cm="1">
        <f t="array" ref="E4846">lrnrs_caaas_f_excluding</f>
        <v>0</v>
      </c>
      <c r="F4846" t="b">
        <v>1</v>
      </c>
    </row>
    <row r="4847" spans="1:6" x14ac:dyDescent="0.35">
      <c r="A4847" t="s">
        <v>8288</v>
      </c>
      <c r="B4847" t="s">
        <v>11736</v>
      </c>
      <c r="C4847" t="s">
        <v>8288</v>
      </c>
      <c r="D4847" t="s">
        <v>12125</v>
      </c>
      <c r="E4847" cm="1">
        <f t="array" ref="E4847">lrnrs_caaas_m_ip</f>
        <v>0</v>
      </c>
      <c r="F4847" t="b">
        <v>1</v>
      </c>
    </row>
    <row r="4848" spans="1:6" x14ac:dyDescent="0.35">
      <c r="A4848" t="s">
        <v>8289</v>
      </c>
      <c r="B4848" t="s">
        <v>11736</v>
      </c>
      <c r="C4848" t="s">
        <v>8289</v>
      </c>
      <c r="D4848" t="s">
        <v>12126</v>
      </c>
      <c r="E4848" cm="1">
        <f t="array" ref="E4848">lrnrs_caaas_f_ip</f>
        <v>0</v>
      </c>
      <c r="F4848" t="b">
        <v>1</v>
      </c>
    </row>
    <row r="4849" spans="1:6" x14ac:dyDescent="0.35">
      <c r="A4849" t="s">
        <v>8290</v>
      </c>
      <c r="B4849" t="s">
        <v>11736</v>
      </c>
      <c r="C4849" t="s">
        <v>8290</v>
      </c>
      <c r="D4849" t="s">
        <v>12127</v>
      </c>
      <c r="E4849" cm="1">
        <f t="array" ref="E4849">lrnrs_caaas_m_muslim</f>
        <v>0</v>
      </c>
      <c r="F4849" t="b">
        <v>1</v>
      </c>
    </row>
    <row r="4850" spans="1:6" x14ac:dyDescent="0.35">
      <c r="A4850" t="s">
        <v>8291</v>
      </c>
      <c r="B4850" t="s">
        <v>11736</v>
      </c>
      <c r="C4850" t="s">
        <v>8291</v>
      </c>
      <c r="D4850" t="s">
        <v>12128</v>
      </c>
      <c r="E4850" cm="1">
        <f t="array" ref="E4850">lrnrs_caaas_f_muslim</f>
        <v>0</v>
      </c>
      <c r="F4850" t="b">
        <v>1</v>
      </c>
    </row>
    <row r="4851" spans="1:6" x14ac:dyDescent="0.35">
      <c r="A4851" t="s">
        <v>8292</v>
      </c>
      <c r="B4851" t="s">
        <v>11736</v>
      </c>
      <c r="C4851" t="s">
        <v>8292</v>
      </c>
      <c r="D4851" t="s">
        <v>12129</v>
      </c>
      <c r="E4851" cm="1">
        <f t="array" ref="E4851">lrnrs_caaas_m_pwd</f>
        <v>0</v>
      </c>
      <c r="F4851" t="b">
        <v>1</v>
      </c>
    </row>
    <row r="4852" spans="1:6" x14ac:dyDescent="0.35">
      <c r="A4852" t="s">
        <v>8293</v>
      </c>
      <c r="B4852" t="s">
        <v>11736</v>
      </c>
      <c r="C4852" t="s">
        <v>8293</v>
      </c>
      <c r="D4852" t="s">
        <v>12130</v>
      </c>
      <c r="E4852" cm="1">
        <f t="array" ref="E4852">lrnrs_caaas_f_pwd</f>
        <v>0</v>
      </c>
      <c r="F4852" t="b">
        <v>1</v>
      </c>
    </row>
    <row r="4853" spans="1:6" x14ac:dyDescent="0.35">
      <c r="A4853" t="s">
        <v>8294</v>
      </c>
      <c r="B4853" t="s">
        <v>11736</v>
      </c>
      <c r="C4853" t="s">
        <v>8294</v>
      </c>
      <c r="D4853" t="s">
        <v>12131</v>
      </c>
      <c r="E4853" cm="1">
        <f t="array" ref="E4853">lrnrs_swm_m_excluding</f>
        <v>0</v>
      </c>
      <c r="F4853" t="b">
        <v>1</v>
      </c>
    </row>
    <row r="4854" spans="1:6" x14ac:dyDescent="0.35">
      <c r="A4854" t="s">
        <v>8295</v>
      </c>
      <c r="B4854" t="s">
        <v>11736</v>
      </c>
      <c r="C4854" t="s">
        <v>8295</v>
      </c>
      <c r="D4854" t="s">
        <v>12132</v>
      </c>
      <c r="E4854" cm="1">
        <f t="array" ref="E4854">lrnrs_swm_f_excluding</f>
        <v>0</v>
      </c>
      <c r="F4854" t="b">
        <v>1</v>
      </c>
    </row>
    <row r="4855" spans="1:6" x14ac:dyDescent="0.35">
      <c r="A4855" t="s">
        <v>8296</v>
      </c>
      <c r="B4855" t="s">
        <v>11736</v>
      </c>
      <c r="C4855" t="s">
        <v>8296</v>
      </c>
      <c r="D4855" t="s">
        <v>12133</v>
      </c>
      <c r="E4855" cm="1">
        <f t="array" ref="E4855">lrnrs_swm_m_ip</f>
        <v>0</v>
      </c>
      <c r="F4855" t="b">
        <v>1</v>
      </c>
    </row>
    <row r="4856" spans="1:6" x14ac:dyDescent="0.35">
      <c r="A4856" t="s">
        <v>8297</v>
      </c>
      <c r="B4856" t="s">
        <v>11736</v>
      </c>
      <c r="C4856" t="s">
        <v>8297</v>
      </c>
      <c r="D4856" t="s">
        <v>12134</v>
      </c>
      <c r="E4856" cm="1">
        <f t="array" ref="E4856">lrnrs_swm_f_ip</f>
        <v>0</v>
      </c>
      <c r="F4856" t="b">
        <v>1</v>
      </c>
    </row>
    <row r="4857" spans="1:6" x14ac:dyDescent="0.35">
      <c r="A4857" t="s">
        <v>8298</v>
      </c>
      <c r="B4857" t="s">
        <v>11736</v>
      </c>
      <c r="C4857" t="s">
        <v>8298</v>
      </c>
      <c r="D4857" t="s">
        <v>12135</v>
      </c>
      <c r="E4857" cm="1">
        <f t="array" ref="E4857">lrnrs_swm_m_muslim</f>
        <v>0</v>
      </c>
      <c r="F4857" t="b">
        <v>1</v>
      </c>
    </row>
    <row r="4858" spans="1:6" x14ac:dyDescent="0.35">
      <c r="A4858" t="s">
        <v>8299</v>
      </c>
      <c r="B4858" t="s">
        <v>11736</v>
      </c>
      <c r="C4858" t="s">
        <v>8299</v>
      </c>
      <c r="D4858" t="s">
        <v>12136</v>
      </c>
      <c r="E4858" cm="1">
        <f t="array" ref="E4858">lrnrs_swm_f_muslim</f>
        <v>0</v>
      </c>
      <c r="F4858" t="b">
        <v>1</v>
      </c>
    </row>
    <row r="4859" spans="1:6" x14ac:dyDescent="0.35">
      <c r="A4859" t="s">
        <v>8300</v>
      </c>
      <c r="B4859" t="s">
        <v>11736</v>
      </c>
      <c r="C4859" t="s">
        <v>8300</v>
      </c>
      <c r="D4859" t="s">
        <v>12137</v>
      </c>
      <c r="E4859" cm="1">
        <f t="array" ref="E4859">lrnrs_swm_m_pwd</f>
        <v>0</v>
      </c>
      <c r="F4859" t="b">
        <v>1</v>
      </c>
    </row>
    <row r="4860" spans="1:6" x14ac:dyDescent="0.35">
      <c r="A4860" t="s">
        <v>8301</v>
      </c>
      <c r="B4860" t="s">
        <v>11736</v>
      </c>
      <c r="C4860" t="s">
        <v>8301</v>
      </c>
      <c r="D4860" t="s">
        <v>12138</v>
      </c>
      <c r="E4860" cm="1">
        <f t="array" ref="E4860">lrnrs_swm_f_pwd</f>
        <v>0</v>
      </c>
      <c r="F4860" t="b">
        <v>1</v>
      </c>
    </row>
    <row r="4861" spans="1:6" x14ac:dyDescent="0.35">
      <c r="A4861" t="s">
        <v>8302</v>
      </c>
      <c r="B4861" t="s">
        <v>11736</v>
      </c>
      <c r="C4861" t="s">
        <v>8302</v>
      </c>
      <c r="D4861" t="s">
        <v>12139</v>
      </c>
      <c r="E4861" cm="1">
        <f t="array" ref="E4861">lrnrs_recycling_m_excluding</f>
        <v>0</v>
      </c>
      <c r="F4861" t="b">
        <v>1</v>
      </c>
    </row>
    <row r="4862" spans="1:6" x14ac:dyDescent="0.35">
      <c r="A4862" t="s">
        <v>8303</v>
      </c>
      <c r="B4862" t="s">
        <v>11736</v>
      </c>
      <c r="C4862" t="s">
        <v>8303</v>
      </c>
      <c r="D4862" t="s">
        <v>12140</v>
      </c>
      <c r="E4862" cm="1">
        <f t="array" ref="E4862">lrnrs_recycling_f_excluding</f>
        <v>0</v>
      </c>
      <c r="F4862" t="b">
        <v>1</v>
      </c>
    </row>
    <row r="4863" spans="1:6" x14ac:dyDescent="0.35">
      <c r="A4863" t="s">
        <v>8304</v>
      </c>
      <c r="B4863" t="s">
        <v>11736</v>
      </c>
      <c r="C4863" t="s">
        <v>8304</v>
      </c>
      <c r="D4863" t="s">
        <v>12141</v>
      </c>
      <c r="E4863" cm="1">
        <f t="array" ref="E4863">lrnrs_recycling_m_ip</f>
        <v>0</v>
      </c>
      <c r="F4863" t="b">
        <v>1</v>
      </c>
    </row>
    <row r="4864" spans="1:6" x14ac:dyDescent="0.35">
      <c r="A4864" t="s">
        <v>8305</v>
      </c>
      <c r="B4864" t="s">
        <v>11736</v>
      </c>
      <c r="C4864" t="s">
        <v>8305</v>
      </c>
      <c r="D4864" t="s">
        <v>12142</v>
      </c>
      <c r="E4864" cm="1">
        <f t="array" ref="E4864">lrnrs_recycling_f_ip</f>
        <v>0</v>
      </c>
      <c r="F4864" t="b">
        <v>1</v>
      </c>
    </row>
    <row r="4865" spans="1:6" x14ac:dyDescent="0.35">
      <c r="A4865" t="s">
        <v>8306</v>
      </c>
      <c r="B4865" t="s">
        <v>11736</v>
      </c>
      <c r="C4865" t="s">
        <v>8306</v>
      </c>
      <c r="D4865" t="s">
        <v>12143</v>
      </c>
      <c r="E4865" cm="1">
        <f t="array" ref="E4865">lrnrs_recycling_m_muslim</f>
        <v>0</v>
      </c>
      <c r="F4865" t="b">
        <v>1</v>
      </c>
    </row>
    <row r="4866" spans="1:6" x14ac:dyDescent="0.35">
      <c r="A4866" t="s">
        <v>8307</v>
      </c>
      <c r="B4866" t="s">
        <v>11736</v>
      </c>
      <c r="C4866" t="s">
        <v>8307</v>
      </c>
      <c r="D4866" t="s">
        <v>12144</v>
      </c>
      <c r="E4866" cm="1">
        <f t="array" ref="E4866">lrnrs_recycling_f_muslim</f>
        <v>0</v>
      </c>
      <c r="F4866" t="b">
        <v>1</v>
      </c>
    </row>
    <row r="4867" spans="1:6" x14ac:dyDescent="0.35">
      <c r="A4867" t="s">
        <v>8308</v>
      </c>
      <c r="B4867" t="s">
        <v>11736</v>
      </c>
      <c r="C4867" t="s">
        <v>8308</v>
      </c>
      <c r="D4867" t="s">
        <v>12145</v>
      </c>
      <c r="E4867" cm="1">
        <f t="array" ref="E4867">lrnrs_recycling_m_pwd</f>
        <v>0</v>
      </c>
      <c r="F4867" t="b">
        <v>1</v>
      </c>
    </row>
    <row r="4868" spans="1:6" x14ac:dyDescent="0.35">
      <c r="A4868" t="s">
        <v>8309</v>
      </c>
      <c r="B4868" t="s">
        <v>11736</v>
      </c>
      <c r="C4868" t="s">
        <v>8309</v>
      </c>
      <c r="D4868" t="s">
        <v>12146</v>
      </c>
      <c r="E4868" cm="1">
        <f t="array" ref="E4868">lrnrs_recycling_f_pwd</f>
        <v>0</v>
      </c>
      <c r="F4868" t="b">
        <v>1</v>
      </c>
    </row>
    <row r="4869" spans="1:6" x14ac:dyDescent="0.35">
      <c r="A4869" t="s">
        <v>8310</v>
      </c>
      <c r="B4869" t="s">
        <v>11736</v>
      </c>
      <c r="C4869" t="s">
        <v>8310</v>
      </c>
      <c r="D4869" t="s">
        <v>12147</v>
      </c>
      <c r="E4869" cm="1">
        <f t="array" ref="E4869">lrnrs_treeplanting_m_excluding</f>
        <v>0</v>
      </c>
      <c r="F4869" t="b">
        <v>1</v>
      </c>
    </row>
    <row r="4870" spans="1:6" x14ac:dyDescent="0.35">
      <c r="A4870" t="s">
        <v>8311</v>
      </c>
      <c r="B4870" t="s">
        <v>11736</v>
      </c>
      <c r="C4870" t="s">
        <v>8311</v>
      </c>
      <c r="D4870" t="s">
        <v>12148</v>
      </c>
      <c r="E4870" cm="1">
        <f t="array" ref="E4870">lrnrs_treeplanting_f_excluding</f>
        <v>0</v>
      </c>
      <c r="F4870" t="b">
        <v>1</v>
      </c>
    </row>
    <row r="4871" spans="1:6" x14ac:dyDescent="0.35">
      <c r="A4871" t="s">
        <v>8312</v>
      </c>
      <c r="B4871" t="s">
        <v>11736</v>
      </c>
      <c r="C4871" t="s">
        <v>8312</v>
      </c>
      <c r="D4871" t="s">
        <v>12149</v>
      </c>
      <c r="E4871" cm="1">
        <f t="array" ref="E4871">lrnrs_treeplanting_m_ip</f>
        <v>0</v>
      </c>
      <c r="F4871" t="b">
        <v>1</v>
      </c>
    </row>
    <row r="4872" spans="1:6" x14ac:dyDescent="0.35">
      <c r="A4872" t="s">
        <v>8313</v>
      </c>
      <c r="B4872" t="s">
        <v>11736</v>
      </c>
      <c r="C4872" t="s">
        <v>8313</v>
      </c>
      <c r="D4872" t="s">
        <v>12150</v>
      </c>
      <c r="E4872" cm="1">
        <f t="array" ref="E4872">lrnrs_treeplanting_f_ip</f>
        <v>0</v>
      </c>
      <c r="F4872" t="b">
        <v>1</v>
      </c>
    </row>
    <row r="4873" spans="1:6" x14ac:dyDescent="0.35">
      <c r="A4873" t="s">
        <v>8314</v>
      </c>
      <c r="B4873" t="s">
        <v>11736</v>
      </c>
      <c r="C4873" t="s">
        <v>8314</v>
      </c>
      <c r="D4873" t="s">
        <v>12151</v>
      </c>
      <c r="E4873" cm="1">
        <f t="array" ref="E4873">lrnrs_treeplanting_m_muslim</f>
        <v>0</v>
      </c>
      <c r="F4873" t="b">
        <v>1</v>
      </c>
    </row>
    <row r="4874" spans="1:6" x14ac:dyDescent="0.35">
      <c r="A4874" t="s">
        <v>8315</v>
      </c>
      <c r="B4874" t="s">
        <v>11736</v>
      </c>
      <c r="C4874" t="s">
        <v>8315</v>
      </c>
      <c r="D4874" t="s">
        <v>12152</v>
      </c>
      <c r="E4874" cm="1">
        <f t="array" ref="E4874">lrnrs_treeplanting_f_muslim</f>
        <v>0</v>
      </c>
      <c r="F4874" t="b">
        <v>1</v>
      </c>
    </row>
    <row r="4875" spans="1:6" x14ac:dyDescent="0.35">
      <c r="A4875" t="s">
        <v>8316</v>
      </c>
      <c r="B4875" t="s">
        <v>11736</v>
      </c>
      <c r="C4875" t="s">
        <v>8316</v>
      </c>
      <c r="D4875" t="s">
        <v>12153</v>
      </c>
      <c r="E4875" cm="1">
        <f t="array" ref="E4875">lrnrs_treeplanting_m_pwd</f>
        <v>0</v>
      </c>
      <c r="F4875" t="b">
        <v>1</v>
      </c>
    </row>
    <row r="4876" spans="1:6" x14ac:dyDescent="0.35">
      <c r="A4876" t="s">
        <v>8317</v>
      </c>
      <c r="B4876" t="s">
        <v>11736</v>
      </c>
      <c r="C4876" t="s">
        <v>8317</v>
      </c>
      <c r="D4876" t="s">
        <v>12154</v>
      </c>
      <c r="E4876" cm="1">
        <f t="array" ref="E4876">lrnrs_treeplanting_f_pwd</f>
        <v>0</v>
      </c>
      <c r="F4876" t="b">
        <v>1</v>
      </c>
    </row>
    <row r="4877" spans="1:6" x14ac:dyDescent="0.35">
      <c r="A4877" t="s">
        <v>8318</v>
      </c>
      <c r="B4877" t="s">
        <v>11736</v>
      </c>
      <c r="C4877" t="s">
        <v>8318</v>
      </c>
      <c r="D4877" t="s">
        <v>12155</v>
      </c>
      <c r="E4877" cm="1">
        <f t="array" ref="E4877">lrnrs_ysc_m_excluding</f>
        <v>0</v>
      </c>
      <c r="F4877" t="b">
        <v>1</v>
      </c>
    </row>
    <row r="4878" spans="1:6" x14ac:dyDescent="0.35">
      <c r="A4878" t="s">
        <v>8319</v>
      </c>
      <c r="B4878" t="s">
        <v>11736</v>
      </c>
      <c r="C4878" t="s">
        <v>8319</v>
      </c>
      <c r="D4878" t="s">
        <v>12156</v>
      </c>
      <c r="E4878" cm="1">
        <f t="array" ref="E4878">lrnrs_ysc_f_excluding</f>
        <v>0</v>
      </c>
      <c r="F4878" t="b">
        <v>1</v>
      </c>
    </row>
    <row r="4879" spans="1:6" x14ac:dyDescent="0.35">
      <c r="A4879" t="s">
        <v>8320</v>
      </c>
      <c r="B4879" t="s">
        <v>11736</v>
      </c>
      <c r="C4879" t="s">
        <v>8320</v>
      </c>
      <c r="D4879" t="s">
        <v>12157</v>
      </c>
      <c r="E4879" cm="1">
        <f t="array" ref="E4879">lrnrs_ysc_m_ip</f>
        <v>0</v>
      </c>
      <c r="F4879" t="b">
        <v>1</v>
      </c>
    </row>
    <row r="4880" spans="1:6" x14ac:dyDescent="0.35">
      <c r="A4880" t="s">
        <v>8321</v>
      </c>
      <c r="B4880" t="s">
        <v>11736</v>
      </c>
      <c r="C4880" t="s">
        <v>8321</v>
      </c>
      <c r="D4880" t="s">
        <v>12158</v>
      </c>
      <c r="E4880" cm="1">
        <f t="array" ref="E4880">lrnrs_ysc_f_ip</f>
        <v>0</v>
      </c>
      <c r="F4880" t="b">
        <v>1</v>
      </c>
    </row>
    <row r="4881" spans="1:6" x14ac:dyDescent="0.35">
      <c r="A4881" t="s">
        <v>8322</v>
      </c>
      <c r="B4881" t="s">
        <v>11736</v>
      </c>
      <c r="C4881" t="s">
        <v>8322</v>
      </c>
      <c r="D4881" t="s">
        <v>12159</v>
      </c>
      <c r="E4881" cm="1">
        <f t="array" ref="E4881">lrnrs_ysc_m_muslim</f>
        <v>0</v>
      </c>
      <c r="F4881" t="b">
        <v>1</v>
      </c>
    </row>
    <row r="4882" spans="1:6" x14ac:dyDescent="0.35">
      <c r="A4882" t="s">
        <v>8323</v>
      </c>
      <c r="B4882" t="s">
        <v>11736</v>
      </c>
      <c r="C4882" t="s">
        <v>8323</v>
      </c>
      <c r="D4882" t="s">
        <v>12160</v>
      </c>
      <c r="E4882" cm="1">
        <f t="array" ref="E4882">lrnrs_ysc_f_muslim</f>
        <v>0</v>
      </c>
      <c r="F4882" t="b">
        <v>1</v>
      </c>
    </row>
    <row r="4883" spans="1:6" x14ac:dyDescent="0.35">
      <c r="A4883" t="s">
        <v>8324</v>
      </c>
      <c r="B4883" t="s">
        <v>11736</v>
      </c>
      <c r="C4883" t="s">
        <v>8324</v>
      </c>
      <c r="D4883" t="s">
        <v>12161</v>
      </c>
      <c r="E4883" cm="1">
        <f t="array" ref="E4883">lrnrs_ysc_m_pwd</f>
        <v>0</v>
      </c>
      <c r="F4883" t="b">
        <v>1</v>
      </c>
    </row>
    <row r="4884" spans="1:6" x14ac:dyDescent="0.35">
      <c r="A4884" t="s">
        <v>8325</v>
      </c>
      <c r="B4884" t="s">
        <v>11736</v>
      </c>
      <c r="C4884" t="s">
        <v>8325</v>
      </c>
      <c r="D4884" t="s">
        <v>12162</v>
      </c>
      <c r="E4884" cm="1">
        <f t="array" ref="E4884">lrnrs_ysc_f_pwd</f>
        <v>0</v>
      </c>
      <c r="F4884" t="b">
        <v>1</v>
      </c>
    </row>
    <row r="4885" spans="1:6" x14ac:dyDescent="0.35">
      <c r="A4885" t="s">
        <v>8326</v>
      </c>
      <c r="B4885" t="s">
        <v>11736</v>
      </c>
      <c r="C4885" t="s">
        <v>8326</v>
      </c>
      <c r="D4885" t="s">
        <v>12163</v>
      </c>
      <c r="E4885" cm="1">
        <f t="array" ref="E4885">lrnrs_ccamceleb_m_excluding</f>
        <v>0</v>
      </c>
      <c r="F4885" t="b">
        <v>1</v>
      </c>
    </row>
    <row r="4886" spans="1:6" x14ac:dyDescent="0.35">
      <c r="A4886" t="s">
        <v>8327</v>
      </c>
      <c r="B4886" t="s">
        <v>11736</v>
      </c>
      <c r="C4886" t="s">
        <v>8327</v>
      </c>
      <c r="D4886" t="s">
        <v>12164</v>
      </c>
      <c r="E4886" cm="1">
        <f t="array" ref="E4886">lrnrs_ccamceleb_f_excluding</f>
        <v>0</v>
      </c>
      <c r="F4886" t="b">
        <v>1</v>
      </c>
    </row>
    <row r="4887" spans="1:6" x14ac:dyDescent="0.35">
      <c r="A4887" t="s">
        <v>8328</v>
      </c>
      <c r="B4887" t="s">
        <v>11736</v>
      </c>
      <c r="C4887" t="s">
        <v>8328</v>
      </c>
      <c r="D4887" t="s">
        <v>12165</v>
      </c>
      <c r="E4887" cm="1">
        <f t="array" ref="E4887">lrnrs_ccamceleb_m_ip</f>
        <v>0</v>
      </c>
      <c r="F4887" t="b">
        <v>1</v>
      </c>
    </row>
    <row r="4888" spans="1:6" x14ac:dyDescent="0.35">
      <c r="A4888" t="s">
        <v>8329</v>
      </c>
      <c r="B4888" t="s">
        <v>11736</v>
      </c>
      <c r="C4888" t="s">
        <v>8329</v>
      </c>
      <c r="D4888" t="s">
        <v>12166</v>
      </c>
      <c r="E4888" cm="1">
        <f t="array" ref="E4888">lrnrs_ccamceleb_f_ip</f>
        <v>0</v>
      </c>
      <c r="F4888" t="b">
        <v>1</v>
      </c>
    </row>
    <row r="4889" spans="1:6" x14ac:dyDescent="0.35">
      <c r="A4889" t="s">
        <v>8330</v>
      </c>
      <c r="B4889" t="s">
        <v>11736</v>
      </c>
      <c r="C4889" t="s">
        <v>8330</v>
      </c>
      <c r="D4889" t="s">
        <v>12167</v>
      </c>
      <c r="E4889" cm="1">
        <f t="array" ref="E4889">lrnrs_ccamceleb_m_muslim</f>
        <v>0</v>
      </c>
      <c r="F4889" t="b">
        <v>1</v>
      </c>
    </row>
    <row r="4890" spans="1:6" x14ac:dyDescent="0.35">
      <c r="A4890" t="s">
        <v>8331</v>
      </c>
      <c r="B4890" t="s">
        <v>11736</v>
      </c>
      <c r="C4890" t="s">
        <v>8331</v>
      </c>
      <c r="D4890" t="s">
        <v>12168</v>
      </c>
      <c r="E4890" cm="1">
        <f t="array" ref="E4890">lrnrs_ccamceleb_f_muslim</f>
        <v>0</v>
      </c>
      <c r="F4890" t="b">
        <v>1</v>
      </c>
    </row>
    <row r="4891" spans="1:6" x14ac:dyDescent="0.35">
      <c r="A4891" t="s">
        <v>8332</v>
      </c>
      <c r="B4891" t="s">
        <v>11736</v>
      </c>
      <c r="C4891" t="s">
        <v>8332</v>
      </c>
      <c r="D4891" t="s">
        <v>12169</v>
      </c>
      <c r="E4891" cm="1">
        <f t="array" ref="E4891">lrnrs_ccamceleb_m_pwd</f>
        <v>0</v>
      </c>
      <c r="F4891" t="b">
        <v>1</v>
      </c>
    </row>
    <row r="4892" spans="1:6" x14ac:dyDescent="0.35">
      <c r="A4892" t="s">
        <v>8333</v>
      </c>
      <c r="B4892" t="s">
        <v>11736</v>
      </c>
      <c r="C4892" t="s">
        <v>8333</v>
      </c>
      <c r="D4892" t="s">
        <v>12170</v>
      </c>
      <c r="E4892" cm="1">
        <f t="array" ref="E4892">lrnrs_ccamceleb_f_pwd</f>
        <v>0</v>
      </c>
      <c r="F4892" t="b">
        <v>1</v>
      </c>
    </row>
    <row r="4893" spans="1:6" x14ac:dyDescent="0.35">
      <c r="A4893" t="s">
        <v>8342</v>
      </c>
      <c r="B4893" t="s">
        <v>11736</v>
      </c>
      <c r="C4893" t="s">
        <v>8342</v>
      </c>
      <c r="D4893" t="s">
        <v>12179</v>
      </c>
      <c r="E4893" cm="1">
        <f t="array" ref="E4893">lrnrs_ccamothers_specify</f>
        <v>0</v>
      </c>
      <c r="F4893" t="b">
        <v>1</v>
      </c>
    </row>
    <row r="4894" spans="1:6" x14ac:dyDescent="0.35">
      <c r="A4894" t="s">
        <v>8334</v>
      </c>
      <c r="B4894" t="s">
        <v>11736</v>
      </c>
      <c r="C4894" t="s">
        <v>8334</v>
      </c>
      <c r="D4894" t="s">
        <v>12171</v>
      </c>
      <c r="E4894" cm="1">
        <f t="array" ref="E4894">lrnrs_ccamothers_m_excluding</f>
        <v>0</v>
      </c>
      <c r="F4894" t="b">
        <v>1</v>
      </c>
    </row>
    <row r="4895" spans="1:6" x14ac:dyDescent="0.35">
      <c r="A4895" t="s">
        <v>8335</v>
      </c>
      <c r="B4895" t="s">
        <v>11736</v>
      </c>
      <c r="C4895" t="s">
        <v>8335</v>
      </c>
      <c r="D4895" t="s">
        <v>12172</v>
      </c>
      <c r="E4895" cm="1">
        <f t="array" ref="E4895">lrnrs_ccamothers_f_excluding</f>
        <v>0</v>
      </c>
      <c r="F4895" t="b">
        <v>1</v>
      </c>
    </row>
    <row r="4896" spans="1:6" x14ac:dyDescent="0.35">
      <c r="A4896" t="s">
        <v>8336</v>
      </c>
      <c r="B4896" t="s">
        <v>11736</v>
      </c>
      <c r="C4896" t="s">
        <v>8336</v>
      </c>
      <c r="D4896" t="s">
        <v>12173</v>
      </c>
      <c r="E4896" cm="1">
        <f t="array" ref="E4896">lrnrs_ccamothers_m_ip</f>
        <v>0</v>
      </c>
      <c r="F4896" t="b">
        <v>1</v>
      </c>
    </row>
    <row r="4897" spans="1:6" x14ac:dyDescent="0.35">
      <c r="A4897" t="s">
        <v>8337</v>
      </c>
      <c r="B4897" t="s">
        <v>11736</v>
      </c>
      <c r="C4897" t="s">
        <v>8337</v>
      </c>
      <c r="D4897" t="s">
        <v>12174</v>
      </c>
      <c r="E4897" cm="1">
        <f t="array" ref="E4897">lrnrs_ccamothers_f_ip</f>
        <v>0</v>
      </c>
      <c r="F4897" t="b">
        <v>1</v>
      </c>
    </row>
    <row r="4898" spans="1:6" x14ac:dyDescent="0.35">
      <c r="A4898" t="s">
        <v>8338</v>
      </c>
      <c r="B4898" t="s">
        <v>11736</v>
      </c>
      <c r="C4898" t="s">
        <v>8338</v>
      </c>
      <c r="D4898" t="s">
        <v>12175</v>
      </c>
      <c r="E4898" cm="1">
        <f t="array" ref="E4898">lrnrs_ccamothers_m_muslim</f>
        <v>0</v>
      </c>
      <c r="F4898" t="b">
        <v>1</v>
      </c>
    </row>
    <row r="4899" spans="1:6" x14ac:dyDescent="0.35">
      <c r="A4899" t="s">
        <v>8339</v>
      </c>
      <c r="B4899" t="s">
        <v>11736</v>
      </c>
      <c r="C4899" t="s">
        <v>8339</v>
      </c>
      <c r="D4899" t="s">
        <v>12176</v>
      </c>
      <c r="E4899" cm="1">
        <f t="array" ref="E4899">lrnrs_ccamothers_f_muslim</f>
        <v>0</v>
      </c>
      <c r="F4899" t="b">
        <v>1</v>
      </c>
    </row>
    <row r="4900" spans="1:6" x14ac:dyDescent="0.35">
      <c r="A4900" t="s">
        <v>8340</v>
      </c>
      <c r="B4900" t="s">
        <v>11736</v>
      </c>
      <c r="C4900" t="s">
        <v>8340</v>
      </c>
      <c r="D4900" t="s">
        <v>12177</v>
      </c>
      <c r="E4900" cm="1">
        <f t="array" ref="E4900">lrnrs_ccamothers_m_pwd</f>
        <v>0</v>
      </c>
      <c r="F4900" t="b">
        <v>1</v>
      </c>
    </row>
    <row r="4901" spans="1:6" x14ac:dyDescent="0.35">
      <c r="A4901" t="s">
        <v>8341</v>
      </c>
      <c r="B4901" t="s">
        <v>11736</v>
      </c>
      <c r="C4901" t="s">
        <v>8341</v>
      </c>
      <c r="D4901" t="s">
        <v>12178</v>
      </c>
      <c r="E4901" cm="1">
        <f t="array" ref="E4901">lrnrs_ccamothers_f_pwd</f>
        <v>0</v>
      </c>
      <c r="F4901" t="b">
        <v>1</v>
      </c>
    </row>
    <row r="4902" spans="1:6" x14ac:dyDescent="0.35">
      <c r="A4902" t="s">
        <v>8343</v>
      </c>
      <c r="B4902" t="s">
        <v>11736</v>
      </c>
      <c r="C4902" t="s">
        <v>8343</v>
      </c>
      <c r="D4902" t="s">
        <v>12180</v>
      </c>
      <c r="E4902" cm="1">
        <f t="array" ref="E4902">lrnrs_peacecamps_m_excluding</f>
        <v>0</v>
      </c>
      <c r="F4902" t="b">
        <v>1</v>
      </c>
    </row>
    <row r="4903" spans="1:6" x14ac:dyDescent="0.35">
      <c r="A4903" t="s">
        <v>8344</v>
      </c>
      <c r="B4903" t="s">
        <v>11736</v>
      </c>
      <c r="C4903" t="s">
        <v>8344</v>
      </c>
      <c r="D4903" t="s">
        <v>12181</v>
      </c>
      <c r="E4903" cm="1">
        <f t="array" ref="E4903">lrnrs_peacecamps_f_excluding</f>
        <v>0</v>
      </c>
      <c r="F4903" t="b">
        <v>1</v>
      </c>
    </row>
    <row r="4904" spans="1:6" x14ac:dyDescent="0.35">
      <c r="A4904" t="s">
        <v>8345</v>
      </c>
      <c r="B4904" t="s">
        <v>11736</v>
      </c>
      <c r="C4904" t="s">
        <v>8345</v>
      </c>
      <c r="D4904" t="s">
        <v>12182</v>
      </c>
      <c r="E4904" cm="1">
        <f t="array" ref="E4904">lrnrs_peacecamps_m_ip</f>
        <v>0</v>
      </c>
      <c r="F4904" t="b">
        <v>1</v>
      </c>
    </row>
    <row r="4905" spans="1:6" x14ac:dyDescent="0.35">
      <c r="A4905" t="s">
        <v>8346</v>
      </c>
      <c r="B4905" t="s">
        <v>11736</v>
      </c>
      <c r="C4905" t="s">
        <v>8346</v>
      </c>
      <c r="D4905" t="s">
        <v>12183</v>
      </c>
      <c r="E4905" cm="1">
        <f t="array" ref="E4905">lrnrs_peacecamps_f_ip</f>
        <v>0</v>
      </c>
      <c r="F4905" t="b">
        <v>1</v>
      </c>
    </row>
    <row r="4906" spans="1:6" x14ac:dyDescent="0.35">
      <c r="A4906" t="s">
        <v>8347</v>
      </c>
      <c r="B4906" t="s">
        <v>11736</v>
      </c>
      <c r="C4906" t="s">
        <v>8347</v>
      </c>
      <c r="D4906" t="s">
        <v>12184</v>
      </c>
      <c r="E4906" cm="1">
        <f t="array" ref="E4906">lrnrs_peacecamps_m_muslim</f>
        <v>0</v>
      </c>
      <c r="F4906" t="b">
        <v>1</v>
      </c>
    </row>
    <row r="4907" spans="1:6" x14ac:dyDescent="0.35">
      <c r="A4907" t="s">
        <v>8348</v>
      </c>
      <c r="B4907" t="s">
        <v>11736</v>
      </c>
      <c r="C4907" t="s">
        <v>8348</v>
      </c>
      <c r="D4907" t="s">
        <v>12185</v>
      </c>
      <c r="E4907" cm="1">
        <f t="array" ref="E4907">lrnrs_peacecamps_f_muslim</f>
        <v>0</v>
      </c>
      <c r="F4907" t="b">
        <v>1</v>
      </c>
    </row>
    <row r="4908" spans="1:6" x14ac:dyDescent="0.35">
      <c r="A4908" t="s">
        <v>8349</v>
      </c>
      <c r="B4908" t="s">
        <v>11736</v>
      </c>
      <c r="C4908" t="s">
        <v>8349</v>
      </c>
      <c r="D4908" t="s">
        <v>12186</v>
      </c>
      <c r="E4908" cm="1">
        <f t="array" ref="E4908">lrnrs_peacecamps_m_pwd</f>
        <v>0</v>
      </c>
      <c r="F4908" t="b">
        <v>1</v>
      </c>
    </row>
    <row r="4909" spans="1:6" x14ac:dyDescent="0.35">
      <c r="A4909" t="s">
        <v>8350</v>
      </c>
      <c r="B4909" t="s">
        <v>11736</v>
      </c>
      <c r="C4909" t="s">
        <v>8350</v>
      </c>
      <c r="D4909" t="s">
        <v>12187</v>
      </c>
      <c r="E4909" cm="1">
        <f t="array" ref="E4909">lrnrs_peacecamps_f_pwd</f>
        <v>0</v>
      </c>
      <c r="F4909" t="b">
        <v>1</v>
      </c>
    </row>
    <row r="4910" spans="1:6" x14ac:dyDescent="0.35">
      <c r="A4910" t="s">
        <v>8351</v>
      </c>
      <c r="B4910" t="s">
        <v>11736</v>
      </c>
      <c r="C4910" t="s">
        <v>8351</v>
      </c>
      <c r="D4910" t="s">
        <v>12188</v>
      </c>
      <c r="E4910" cm="1">
        <f t="array" ref="E4910">lrnrs_youthnetworks_m_excluding</f>
        <v>0</v>
      </c>
      <c r="F4910" t="b">
        <v>1</v>
      </c>
    </row>
    <row r="4911" spans="1:6" x14ac:dyDescent="0.35">
      <c r="A4911" t="s">
        <v>8352</v>
      </c>
      <c r="B4911" t="s">
        <v>11736</v>
      </c>
      <c r="C4911" t="s">
        <v>8352</v>
      </c>
      <c r="D4911" t="s">
        <v>12189</v>
      </c>
      <c r="E4911" cm="1">
        <f t="array" ref="E4911">lrnrs_youthnetworks_f_excluding</f>
        <v>0</v>
      </c>
      <c r="F4911" t="b">
        <v>1</v>
      </c>
    </row>
    <row r="4912" spans="1:6" x14ac:dyDescent="0.35">
      <c r="A4912" t="s">
        <v>8353</v>
      </c>
      <c r="B4912" t="s">
        <v>11736</v>
      </c>
      <c r="C4912" t="s">
        <v>8353</v>
      </c>
      <c r="D4912" t="s">
        <v>12190</v>
      </c>
      <c r="E4912" cm="1">
        <f t="array" ref="E4912">lrnrs_youthnetworks_m_ip</f>
        <v>0</v>
      </c>
      <c r="F4912" t="b">
        <v>1</v>
      </c>
    </row>
    <row r="4913" spans="1:6" x14ac:dyDescent="0.35">
      <c r="A4913" t="s">
        <v>8354</v>
      </c>
      <c r="B4913" t="s">
        <v>11736</v>
      </c>
      <c r="C4913" t="s">
        <v>8354</v>
      </c>
      <c r="D4913" t="s">
        <v>12191</v>
      </c>
      <c r="E4913" cm="1">
        <f t="array" ref="E4913">lrnrs_youthnetworks_f_ip</f>
        <v>0</v>
      </c>
      <c r="F4913" t="b">
        <v>1</v>
      </c>
    </row>
    <row r="4914" spans="1:6" x14ac:dyDescent="0.35">
      <c r="A4914" t="s">
        <v>8355</v>
      </c>
      <c r="B4914" t="s">
        <v>11736</v>
      </c>
      <c r="C4914" t="s">
        <v>8355</v>
      </c>
      <c r="D4914" t="s">
        <v>12192</v>
      </c>
      <c r="E4914" cm="1">
        <f t="array" ref="E4914">lrnrs_youthnetworks_m_muslim</f>
        <v>0</v>
      </c>
      <c r="F4914" t="b">
        <v>1</v>
      </c>
    </row>
    <row r="4915" spans="1:6" x14ac:dyDescent="0.35">
      <c r="A4915" t="s">
        <v>8356</v>
      </c>
      <c r="B4915" t="s">
        <v>11736</v>
      </c>
      <c r="C4915" t="s">
        <v>8356</v>
      </c>
      <c r="D4915" t="s">
        <v>12193</v>
      </c>
      <c r="E4915" cm="1">
        <f t="array" ref="E4915">lrnrs_youthnetworks_f_muslim</f>
        <v>0</v>
      </c>
      <c r="F4915" t="b">
        <v>1</v>
      </c>
    </row>
    <row r="4916" spans="1:6" x14ac:dyDescent="0.35">
      <c r="A4916" t="s">
        <v>8357</v>
      </c>
      <c r="B4916" t="s">
        <v>11736</v>
      </c>
      <c r="C4916" t="s">
        <v>8357</v>
      </c>
      <c r="D4916" t="s">
        <v>12194</v>
      </c>
      <c r="E4916" cm="1">
        <f t="array" ref="E4916">lrnrs_youthnetworks_m_pwd</f>
        <v>0</v>
      </c>
      <c r="F4916" t="b">
        <v>1</v>
      </c>
    </row>
    <row r="4917" spans="1:6" x14ac:dyDescent="0.35">
      <c r="A4917" t="s">
        <v>8358</v>
      </c>
      <c r="B4917" t="s">
        <v>11736</v>
      </c>
      <c r="C4917" t="s">
        <v>8358</v>
      </c>
      <c r="D4917" t="s">
        <v>12195</v>
      </c>
      <c r="E4917" cm="1">
        <f t="array" ref="E4917">lrnrs_youthnetworks_f_pwd</f>
        <v>0</v>
      </c>
      <c r="F4917" t="b">
        <v>1</v>
      </c>
    </row>
    <row r="4918" spans="1:6" x14ac:dyDescent="0.35">
      <c r="A4918" t="s">
        <v>8359</v>
      </c>
      <c r="B4918" t="s">
        <v>11736</v>
      </c>
      <c r="C4918" t="s">
        <v>8359</v>
      </c>
      <c r="D4918" t="s">
        <v>12196</v>
      </c>
      <c r="E4918" cm="1">
        <f t="array" ref="E4918">lrnrs_peacecontests_m_excluding</f>
        <v>0</v>
      </c>
      <c r="F4918" t="b">
        <v>1</v>
      </c>
    </row>
    <row r="4919" spans="1:6" x14ac:dyDescent="0.35">
      <c r="A4919" t="s">
        <v>8363</v>
      </c>
      <c r="B4919" t="s">
        <v>11736</v>
      </c>
      <c r="C4919" t="s">
        <v>8363</v>
      </c>
      <c r="D4919" t="s">
        <v>12197</v>
      </c>
      <c r="E4919" cm="1">
        <f t="array" ref="E4919">lrnrs_peacecontests_f_excluding</f>
        <v>0</v>
      </c>
      <c r="F4919" t="b">
        <v>1</v>
      </c>
    </row>
    <row r="4920" spans="1:6" x14ac:dyDescent="0.35">
      <c r="A4920" t="s">
        <v>8360</v>
      </c>
      <c r="B4920" t="s">
        <v>11736</v>
      </c>
      <c r="C4920" t="s">
        <v>8360</v>
      </c>
      <c r="D4920" t="s">
        <v>12198</v>
      </c>
      <c r="E4920" cm="1">
        <f t="array" ref="E4920">lrnrs_peacecontests_m_ip</f>
        <v>0</v>
      </c>
      <c r="F4920" t="b">
        <v>1</v>
      </c>
    </row>
    <row r="4921" spans="1:6" x14ac:dyDescent="0.35">
      <c r="A4921" t="s">
        <v>8364</v>
      </c>
      <c r="B4921" t="s">
        <v>11736</v>
      </c>
      <c r="C4921" t="s">
        <v>8364</v>
      </c>
      <c r="D4921" t="s">
        <v>12199</v>
      </c>
      <c r="E4921" cm="1">
        <f t="array" ref="E4921">lrnrs_peacecontests_f_ip</f>
        <v>0</v>
      </c>
      <c r="F4921" t="b">
        <v>1</v>
      </c>
    </row>
    <row r="4922" spans="1:6" x14ac:dyDescent="0.35">
      <c r="A4922" t="s">
        <v>8361</v>
      </c>
      <c r="B4922" t="s">
        <v>11736</v>
      </c>
      <c r="C4922" t="s">
        <v>8361</v>
      </c>
      <c r="D4922" t="s">
        <v>12200</v>
      </c>
      <c r="E4922" cm="1">
        <f t="array" ref="E4922">lrnrs_peacecontests_m_muslim</f>
        <v>0</v>
      </c>
      <c r="F4922" t="b">
        <v>1</v>
      </c>
    </row>
    <row r="4923" spans="1:6" x14ac:dyDescent="0.35">
      <c r="A4923" t="s">
        <v>8365</v>
      </c>
      <c r="B4923" t="s">
        <v>11736</v>
      </c>
      <c r="C4923" t="s">
        <v>8365</v>
      </c>
      <c r="D4923" t="s">
        <v>12201</v>
      </c>
      <c r="E4923" cm="1">
        <f t="array" ref="E4923">lrnrs_peacecontests_f_muslim</f>
        <v>0</v>
      </c>
      <c r="F4923" t="b">
        <v>1</v>
      </c>
    </row>
    <row r="4924" spans="1:6" x14ac:dyDescent="0.35">
      <c r="A4924" t="s">
        <v>8362</v>
      </c>
      <c r="B4924" t="s">
        <v>11736</v>
      </c>
      <c r="C4924" t="s">
        <v>8362</v>
      </c>
      <c r="D4924" t="s">
        <v>12202</v>
      </c>
      <c r="E4924" cm="1">
        <f t="array" ref="E4924">lrnrs_peacecontests_m_pwd</f>
        <v>0</v>
      </c>
      <c r="F4924" t="b">
        <v>1</v>
      </c>
    </row>
    <row r="4925" spans="1:6" x14ac:dyDescent="0.35">
      <c r="A4925" t="s">
        <v>8366</v>
      </c>
      <c r="B4925" t="s">
        <v>11736</v>
      </c>
      <c r="C4925" t="s">
        <v>8366</v>
      </c>
      <c r="D4925" t="s">
        <v>12203</v>
      </c>
      <c r="E4925" cm="1">
        <f t="array" ref="E4925">lrnrs_peacecontests_f_pwd</f>
        <v>0</v>
      </c>
      <c r="F4925" t="b">
        <v>1</v>
      </c>
    </row>
    <row r="4926" spans="1:6" x14ac:dyDescent="0.35">
      <c r="A4926" t="s">
        <v>8367</v>
      </c>
      <c r="B4926" t="s">
        <v>11736</v>
      </c>
      <c r="C4926" t="s">
        <v>8367</v>
      </c>
      <c r="D4926" t="s">
        <v>12204</v>
      </c>
      <c r="E4926" cm="1">
        <f t="array" ref="E4926">lrnrs_peaceceleb_m_excluding</f>
        <v>0</v>
      </c>
      <c r="F4926" t="b">
        <v>1</v>
      </c>
    </row>
    <row r="4927" spans="1:6" x14ac:dyDescent="0.35">
      <c r="A4927" t="s">
        <v>8368</v>
      </c>
      <c r="B4927" t="s">
        <v>11736</v>
      </c>
      <c r="C4927" t="s">
        <v>8368</v>
      </c>
      <c r="D4927" t="s">
        <v>12205</v>
      </c>
      <c r="E4927" cm="1">
        <f t="array" ref="E4927">lrnrs_peaceceleb_f_excluding</f>
        <v>0</v>
      </c>
      <c r="F4927" t="b">
        <v>1</v>
      </c>
    </row>
    <row r="4928" spans="1:6" x14ac:dyDescent="0.35">
      <c r="A4928" t="s">
        <v>8369</v>
      </c>
      <c r="B4928" t="s">
        <v>11736</v>
      </c>
      <c r="C4928" t="s">
        <v>8369</v>
      </c>
      <c r="D4928" t="s">
        <v>12206</v>
      </c>
      <c r="E4928" cm="1">
        <f t="array" ref="E4928">lrnrs_peaceceleb_m_ip</f>
        <v>0</v>
      </c>
      <c r="F4928" t="b">
        <v>1</v>
      </c>
    </row>
    <row r="4929" spans="1:7" x14ac:dyDescent="0.35">
      <c r="A4929" t="s">
        <v>8370</v>
      </c>
      <c r="B4929" t="s">
        <v>11736</v>
      </c>
      <c r="C4929" t="s">
        <v>8370</v>
      </c>
      <c r="D4929" t="s">
        <v>12207</v>
      </c>
      <c r="E4929" cm="1">
        <f t="array" ref="E4929">lrnrs_peaceceleb_f_ip</f>
        <v>0</v>
      </c>
      <c r="F4929" t="b">
        <v>1</v>
      </c>
    </row>
    <row r="4930" spans="1:7" x14ac:dyDescent="0.35">
      <c r="A4930" t="s">
        <v>8371</v>
      </c>
      <c r="B4930" t="s">
        <v>11736</v>
      </c>
      <c r="C4930" t="s">
        <v>8371</v>
      </c>
      <c r="D4930" t="s">
        <v>12208</v>
      </c>
      <c r="E4930" cm="1">
        <f t="array" ref="E4930">lrnrs_peaceceleb_m_muslim</f>
        <v>0</v>
      </c>
      <c r="F4930" t="b">
        <v>1</v>
      </c>
    </row>
    <row r="4931" spans="1:7" x14ac:dyDescent="0.35">
      <c r="A4931" t="s">
        <v>8372</v>
      </c>
      <c r="B4931" t="s">
        <v>11736</v>
      </c>
      <c r="C4931" t="s">
        <v>8372</v>
      </c>
      <c r="D4931" t="s">
        <v>12209</v>
      </c>
      <c r="E4931" cm="1">
        <f t="array" ref="E4931">lrnrs_peaceceleb_f_muslim</f>
        <v>0</v>
      </c>
      <c r="F4931" t="b">
        <v>1</v>
      </c>
    </row>
    <row r="4932" spans="1:7" x14ac:dyDescent="0.35">
      <c r="A4932" t="s">
        <v>8373</v>
      </c>
      <c r="B4932" t="s">
        <v>11736</v>
      </c>
      <c r="C4932" t="s">
        <v>8373</v>
      </c>
      <c r="D4932" t="s">
        <v>12210</v>
      </c>
      <c r="E4932" cm="1">
        <f t="array" ref="E4932">lrnrs_peaceceleb_m_pwd</f>
        <v>0</v>
      </c>
      <c r="F4932" t="b">
        <v>1</v>
      </c>
    </row>
    <row r="4933" spans="1:7" x14ac:dyDescent="0.35">
      <c r="A4933" t="s">
        <v>8374</v>
      </c>
      <c r="B4933" t="s">
        <v>11736</v>
      </c>
      <c r="C4933" t="s">
        <v>8374</v>
      </c>
      <c r="D4933" t="s">
        <v>12211</v>
      </c>
      <c r="E4933" cm="1">
        <f t="array" ref="E4933">lrnrs_peaceceleb_f_pwd</f>
        <v>0</v>
      </c>
      <c r="F4933" t="b">
        <v>1</v>
      </c>
    </row>
    <row r="4934" spans="1:7" x14ac:dyDescent="0.35">
      <c r="A4934" t="s">
        <v>8383</v>
      </c>
      <c r="B4934" t="s">
        <v>11736</v>
      </c>
      <c r="C4934" t="s">
        <v>8383</v>
      </c>
      <c r="D4934" t="s">
        <v>12220</v>
      </c>
      <c r="E4934" cm="1">
        <f t="array" ref="E4934">lrnrs_peaceothers_specify</f>
        <v>0</v>
      </c>
      <c r="F4934" t="b">
        <v>1</v>
      </c>
    </row>
    <row r="4935" spans="1:7" x14ac:dyDescent="0.35">
      <c r="A4935" t="s">
        <v>8375</v>
      </c>
      <c r="B4935" t="s">
        <v>11736</v>
      </c>
      <c r="C4935" t="s">
        <v>8375</v>
      </c>
      <c r="D4935" t="s">
        <v>12212</v>
      </c>
      <c r="E4935" cm="1">
        <f t="array" ref="E4935">lrnrs_peaceothers_m_excluding</f>
        <v>0</v>
      </c>
      <c r="F4935" t="b">
        <v>1</v>
      </c>
    </row>
    <row r="4936" spans="1:7" x14ac:dyDescent="0.35">
      <c r="A4936" t="s">
        <v>8376</v>
      </c>
      <c r="B4936" t="s">
        <v>11736</v>
      </c>
      <c r="C4936" t="s">
        <v>8376</v>
      </c>
      <c r="D4936" t="s">
        <v>12213</v>
      </c>
      <c r="E4936" cm="1">
        <f t="array" ref="E4936">lrnrs_peaceothers_f_excluding</f>
        <v>0</v>
      </c>
      <c r="F4936" t="b">
        <v>1</v>
      </c>
    </row>
    <row r="4937" spans="1:7" x14ac:dyDescent="0.35">
      <c r="A4937" t="s">
        <v>8377</v>
      </c>
      <c r="B4937" t="s">
        <v>11736</v>
      </c>
      <c r="C4937" t="s">
        <v>8377</v>
      </c>
      <c r="D4937" t="s">
        <v>12214</v>
      </c>
      <c r="E4937" cm="1">
        <f t="array" ref="E4937">lrnrs_peaceothers_m_ip</f>
        <v>0</v>
      </c>
      <c r="F4937" t="b">
        <v>1</v>
      </c>
    </row>
    <row r="4938" spans="1:7" x14ac:dyDescent="0.35">
      <c r="A4938" t="s">
        <v>8378</v>
      </c>
      <c r="B4938" t="s">
        <v>11736</v>
      </c>
      <c r="C4938" t="s">
        <v>8378</v>
      </c>
      <c r="D4938" t="s">
        <v>12215</v>
      </c>
      <c r="E4938" cm="1">
        <f t="array" ref="E4938">lrnrs_peaceothers_f_ip</f>
        <v>0</v>
      </c>
      <c r="F4938" t="b">
        <v>1</v>
      </c>
    </row>
    <row r="4939" spans="1:7" x14ac:dyDescent="0.35">
      <c r="A4939" t="s">
        <v>8379</v>
      </c>
      <c r="B4939" t="s">
        <v>11736</v>
      </c>
      <c r="C4939" t="s">
        <v>8379</v>
      </c>
      <c r="D4939" t="s">
        <v>12216</v>
      </c>
      <c r="E4939" cm="1">
        <f t="array" ref="E4939">lrnrs_peaceothers_m_muslim</f>
        <v>0</v>
      </c>
      <c r="F4939" t="b">
        <v>1</v>
      </c>
    </row>
    <row r="4940" spans="1:7" x14ac:dyDescent="0.35">
      <c r="A4940" t="s">
        <v>8380</v>
      </c>
      <c r="B4940" t="s">
        <v>11736</v>
      </c>
      <c r="C4940" t="s">
        <v>8380</v>
      </c>
      <c r="D4940" t="s">
        <v>12217</v>
      </c>
      <c r="E4940" cm="1">
        <f t="array" ref="E4940">lrnrs_peaceothers_f_muslim</f>
        <v>0</v>
      </c>
      <c r="F4940" t="b">
        <v>1</v>
      </c>
    </row>
    <row r="4941" spans="1:7" x14ac:dyDescent="0.35">
      <c r="A4941" t="s">
        <v>8381</v>
      </c>
      <c r="B4941" t="s">
        <v>11736</v>
      </c>
      <c r="C4941" t="s">
        <v>8381</v>
      </c>
      <c r="D4941" t="s">
        <v>12218</v>
      </c>
      <c r="E4941" cm="1">
        <f t="array" ref="E4941">lrnrs_peaceothers_m_pwd</f>
        <v>0</v>
      </c>
      <c r="F4941" t="b">
        <v>1</v>
      </c>
    </row>
    <row r="4942" spans="1:7" x14ac:dyDescent="0.35">
      <c r="A4942" t="s">
        <v>8382</v>
      </c>
      <c r="B4942" t="s">
        <v>11736</v>
      </c>
      <c r="C4942" t="s">
        <v>8382</v>
      </c>
      <c r="D4942" t="s">
        <v>12219</v>
      </c>
      <c r="E4942" cm="1">
        <f t="array" ref="E4942">lrnrs_peaceothers_f_pwd</f>
        <v>0</v>
      </c>
      <c r="F4942" t="b">
        <v>1</v>
      </c>
    </row>
    <row r="4943" spans="1:7" x14ac:dyDescent="0.35">
      <c r="A4943" t="s">
        <v>8637</v>
      </c>
      <c r="B4943" t="s">
        <v>11736</v>
      </c>
      <c r="C4943" t="s">
        <v>8637</v>
      </c>
      <c r="D4943" t="s">
        <v>12221</v>
      </c>
      <c r="E4943" t="b" cm="1">
        <f t="array" ref="E4943">sch_depeddeveloped_drrm_ccam_peacebuilding</f>
        <v>0</v>
      </c>
      <c r="F4943" t="b">
        <f>ISLOGICAL(E4943)</f>
        <v>1</v>
      </c>
      <c r="G4943" t="s">
        <v>12516</v>
      </c>
    </row>
    <row r="4944" spans="1:7" x14ac:dyDescent="0.35">
      <c r="A4944" t="s">
        <v>8390</v>
      </c>
      <c r="B4944" t="s">
        <v>11736</v>
      </c>
      <c r="C4944" t="s">
        <v>8390</v>
      </c>
      <c r="D4944" t="s">
        <v>12222</v>
      </c>
      <c r="E4944" cm="1">
        <f t="array" ref="E4944">resileduc_trainings_drrm</f>
        <v>0</v>
      </c>
      <c r="F4944" t="b">
        <v>1</v>
      </c>
    </row>
    <row r="4945" spans="1:6" x14ac:dyDescent="0.35">
      <c r="A4945" t="s">
        <v>8391</v>
      </c>
      <c r="B4945" t="s">
        <v>11736</v>
      </c>
      <c r="C4945" t="s">
        <v>8391</v>
      </c>
      <c r="D4945" t="s">
        <v>12223</v>
      </c>
      <c r="E4945" cm="1">
        <f t="array" ref="E4945">resileduc_trainings_ccam</f>
        <v>0</v>
      </c>
      <c r="F4945" t="b">
        <v>1</v>
      </c>
    </row>
    <row r="4946" spans="1:6" x14ac:dyDescent="0.35">
      <c r="A4946" t="s">
        <v>8392</v>
      </c>
      <c r="B4946" t="s">
        <v>11736</v>
      </c>
      <c r="C4946" t="s">
        <v>8392</v>
      </c>
      <c r="D4946" t="s">
        <v>12224</v>
      </c>
      <c r="E4946" cm="1">
        <f t="array" ref="E4946">resileduc_trainings_peacebuilding</f>
        <v>0</v>
      </c>
      <c r="F4946" t="b">
        <v>1</v>
      </c>
    </row>
    <row r="4947" spans="1:6" x14ac:dyDescent="0.35">
      <c r="A4947" t="s">
        <v>8393</v>
      </c>
      <c r="B4947" t="s">
        <v>11736</v>
      </c>
      <c r="C4947" t="s">
        <v>8393</v>
      </c>
      <c r="D4947" t="s">
        <v>12411</v>
      </c>
      <c r="E4947" cm="1">
        <f t="array" ref="E4947">lrnrs_complete_training_m_excluding</f>
        <v>0</v>
      </c>
      <c r="F4947" t="b">
        <v>1</v>
      </c>
    </row>
    <row r="4948" spans="1:6" x14ac:dyDescent="0.35">
      <c r="A4948" t="s">
        <v>8394</v>
      </c>
      <c r="B4948" t="s">
        <v>11736</v>
      </c>
      <c r="C4948" t="s">
        <v>8394</v>
      </c>
      <c r="D4948" t="s">
        <v>12412</v>
      </c>
      <c r="E4948" cm="1">
        <f t="array" ref="E4948">lrnrs_complete_training_f_excluding</f>
        <v>0</v>
      </c>
      <c r="F4948" t="b">
        <v>1</v>
      </c>
    </row>
    <row r="4949" spans="1:6" x14ac:dyDescent="0.35">
      <c r="A4949" t="s">
        <v>8395</v>
      </c>
      <c r="B4949" t="s">
        <v>11736</v>
      </c>
      <c r="C4949" t="s">
        <v>8395</v>
      </c>
      <c r="D4949" t="s">
        <v>12413</v>
      </c>
      <c r="E4949" cm="1">
        <f t="array" ref="E4949">lrnrs_complete_training_m_ip</f>
        <v>0</v>
      </c>
      <c r="F4949" t="b">
        <v>1</v>
      </c>
    </row>
    <row r="4950" spans="1:6" x14ac:dyDescent="0.35">
      <c r="A4950" t="s">
        <v>8396</v>
      </c>
      <c r="B4950" t="s">
        <v>11736</v>
      </c>
      <c r="C4950" t="s">
        <v>8396</v>
      </c>
      <c r="D4950" t="s">
        <v>12414</v>
      </c>
      <c r="E4950" cm="1">
        <f t="array" ref="E4950">lrnrs_complete_training_f_ip</f>
        <v>0</v>
      </c>
      <c r="F4950" t="b">
        <v>1</v>
      </c>
    </row>
    <row r="4951" spans="1:6" x14ac:dyDescent="0.35">
      <c r="A4951" t="s">
        <v>8397</v>
      </c>
      <c r="B4951" t="s">
        <v>11736</v>
      </c>
      <c r="C4951" t="s">
        <v>8397</v>
      </c>
      <c r="D4951" t="s">
        <v>12415</v>
      </c>
      <c r="E4951" cm="1">
        <f t="array" ref="E4951">lrnrs_complete_training_m_muslim</f>
        <v>0</v>
      </c>
      <c r="F4951" t="b">
        <v>1</v>
      </c>
    </row>
    <row r="4952" spans="1:6" x14ac:dyDescent="0.35">
      <c r="A4952" t="s">
        <v>8398</v>
      </c>
      <c r="B4952" t="s">
        <v>11736</v>
      </c>
      <c r="C4952" t="s">
        <v>8398</v>
      </c>
      <c r="D4952" t="s">
        <v>12416</v>
      </c>
      <c r="E4952" cm="1">
        <f t="array" ref="E4952">lrnrs_complete_training_f_muslim</f>
        <v>0</v>
      </c>
      <c r="F4952" t="b">
        <v>1</v>
      </c>
    </row>
    <row r="4953" spans="1:6" x14ac:dyDescent="0.35">
      <c r="A4953" t="s">
        <v>8399</v>
      </c>
      <c r="B4953" t="s">
        <v>11736</v>
      </c>
      <c r="C4953" t="s">
        <v>8399</v>
      </c>
      <c r="D4953" t="s">
        <v>12417</v>
      </c>
      <c r="E4953" cm="1">
        <f t="array" ref="E4953">lrnrs_complete_training_m_pwd</f>
        <v>0</v>
      </c>
      <c r="F4953" t="b">
        <v>1</v>
      </c>
    </row>
    <row r="4954" spans="1:6" x14ac:dyDescent="0.35">
      <c r="A4954" t="s">
        <v>8400</v>
      </c>
      <c r="B4954" t="s">
        <v>11736</v>
      </c>
      <c r="C4954" t="s">
        <v>8400</v>
      </c>
      <c r="D4954" t="s">
        <v>12418</v>
      </c>
      <c r="E4954" cm="1">
        <f t="array" ref="E4954">lrnrs_complete_training_f_pwd</f>
        <v>0</v>
      </c>
      <c r="F4954" t="b">
        <v>1</v>
      </c>
    </row>
    <row r="4955" spans="1:6" x14ac:dyDescent="0.35">
      <c r="A4955" t="s">
        <v>8401</v>
      </c>
      <c r="B4955" t="s">
        <v>11736</v>
      </c>
      <c r="C4955" t="s">
        <v>8401</v>
      </c>
      <c r="D4955" t="s">
        <v>12419</v>
      </c>
      <c r="E4955" cm="1">
        <f t="array" ref="E4955">lrnrs_trained_m_excluding</f>
        <v>0</v>
      </c>
      <c r="F4955" t="b">
        <v>1</v>
      </c>
    </row>
    <row r="4956" spans="1:6" x14ac:dyDescent="0.35">
      <c r="A4956" t="s">
        <v>8402</v>
      </c>
      <c r="B4956" t="s">
        <v>11736</v>
      </c>
      <c r="C4956" t="s">
        <v>8402</v>
      </c>
      <c r="D4956" t="s">
        <v>12420</v>
      </c>
      <c r="E4956" cm="1">
        <f t="array" ref="E4956">lrnrs_trained_f_excluding</f>
        <v>0</v>
      </c>
      <c r="F4956" t="b">
        <v>1</v>
      </c>
    </row>
    <row r="4957" spans="1:6" x14ac:dyDescent="0.35">
      <c r="A4957" t="s">
        <v>8403</v>
      </c>
      <c r="B4957" t="s">
        <v>11736</v>
      </c>
      <c r="C4957" t="s">
        <v>8403</v>
      </c>
      <c r="D4957" t="s">
        <v>12421</v>
      </c>
      <c r="E4957" cm="1">
        <f t="array" ref="E4957">lrnrs_trained_m_ip</f>
        <v>0</v>
      </c>
      <c r="F4957" t="b">
        <v>1</v>
      </c>
    </row>
    <row r="4958" spans="1:6" x14ac:dyDescent="0.35">
      <c r="A4958" t="s">
        <v>8404</v>
      </c>
      <c r="B4958" t="s">
        <v>11736</v>
      </c>
      <c r="C4958" t="s">
        <v>8404</v>
      </c>
      <c r="D4958" t="s">
        <v>12422</v>
      </c>
      <c r="E4958" cm="1">
        <f t="array" ref="E4958">lrnrs_trained_f_ip</f>
        <v>0</v>
      </c>
      <c r="F4958" t="b">
        <v>1</v>
      </c>
    </row>
    <row r="4959" spans="1:6" x14ac:dyDescent="0.35">
      <c r="A4959" t="s">
        <v>8405</v>
      </c>
      <c r="B4959" t="s">
        <v>11736</v>
      </c>
      <c r="C4959" t="s">
        <v>8405</v>
      </c>
      <c r="D4959" t="s">
        <v>12423</v>
      </c>
      <c r="E4959" cm="1">
        <f t="array" ref="E4959">lrnrs_trained_m_muslim</f>
        <v>0</v>
      </c>
      <c r="F4959" t="b">
        <v>1</v>
      </c>
    </row>
    <row r="4960" spans="1:6" x14ac:dyDescent="0.35">
      <c r="A4960" t="s">
        <v>8406</v>
      </c>
      <c r="B4960" t="s">
        <v>11736</v>
      </c>
      <c r="C4960" t="s">
        <v>8406</v>
      </c>
      <c r="D4960" t="s">
        <v>12424</v>
      </c>
      <c r="E4960" cm="1">
        <f t="array" ref="E4960">lrnrs_trained_f_muslim</f>
        <v>0</v>
      </c>
      <c r="F4960" t="b">
        <v>1</v>
      </c>
    </row>
    <row r="4961" spans="1:6" x14ac:dyDescent="0.35">
      <c r="A4961" t="s">
        <v>8407</v>
      </c>
      <c r="B4961" t="s">
        <v>11736</v>
      </c>
      <c r="C4961" t="s">
        <v>8407</v>
      </c>
      <c r="D4961" t="s">
        <v>12425</v>
      </c>
      <c r="E4961" cm="1">
        <f t="array" ref="E4961">lrnrs_trained_m_pwd</f>
        <v>0</v>
      </c>
      <c r="F4961" t="b">
        <v>1</v>
      </c>
    </row>
    <row r="4962" spans="1:6" x14ac:dyDescent="0.35">
      <c r="A4962" t="s">
        <v>8408</v>
      </c>
      <c r="B4962" t="s">
        <v>11736</v>
      </c>
      <c r="C4962" t="s">
        <v>8408</v>
      </c>
      <c r="D4962" t="s">
        <v>12426</v>
      </c>
      <c r="E4962" cm="1">
        <f t="array" ref="E4962">lrnrs_trained_f_pwd</f>
        <v>0</v>
      </c>
      <c r="F4962" t="b">
        <v>1</v>
      </c>
    </row>
    <row r="4963" spans="1:6" x14ac:dyDescent="0.35">
      <c r="A4963" t="s">
        <v>8409</v>
      </c>
      <c r="B4963" t="s">
        <v>11736</v>
      </c>
      <c r="C4963" t="s">
        <v>8409</v>
      </c>
      <c r="D4963" t="s">
        <v>12427</v>
      </c>
      <c r="E4963" cm="1">
        <f t="array" ref="E4963">lrnrs_coledppa_m_excluding</f>
        <v>0</v>
      </c>
      <c r="F4963" t="b">
        <v>1</v>
      </c>
    </row>
    <row r="4964" spans="1:6" x14ac:dyDescent="0.35">
      <c r="A4964" t="s">
        <v>8410</v>
      </c>
      <c r="B4964" t="s">
        <v>11736</v>
      </c>
      <c r="C4964" t="s">
        <v>8410</v>
      </c>
      <c r="D4964" t="s">
        <v>12428</v>
      </c>
      <c r="E4964" cm="1">
        <f t="array" ref="E4964">lrnrs_coledppa_f_excluding</f>
        <v>0</v>
      </c>
      <c r="F4964" t="b">
        <v>1</v>
      </c>
    </row>
    <row r="4965" spans="1:6" x14ac:dyDescent="0.35">
      <c r="A4965" t="s">
        <v>8411</v>
      </c>
      <c r="B4965" t="s">
        <v>11736</v>
      </c>
      <c r="C4965" t="s">
        <v>8411</v>
      </c>
      <c r="D4965" t="s">
        <v>12429</v>
      </c>
      <c r="E4965" cm="1">
        <f t="array" ref="E4965">lrnrs_coledppa_m_ip</f>
        <v>0</v>
      </c>
      <c r="F4965" t="b">
        <v>1</v>
      </c>
    </row>
    <row r="4966" spans="1:6" x14ac:dyDescent="0.35">
      <c r="A4966" t="s">
        <v>8412</v>
      </c>
      <c r="B4966" t="s">
        <v>11736</v>
      </c>
      <c r="C4966" t="s">
        <v>8412</v>
      </c>
      <c r="D4966" t="s">
        <v>12430</v>
      </c>
      <c r="E4966" cm="1">
        <f t="array" ref="E4966">lrnrs_coledppa_f_ip</f>
        <v>0</v>
      </c>
      <c r="F4966" t="b">
        <v>1</v>
      </c>
    </row>
    <row r="4967" spans="1:6" x14ac:dyDescent="0.35">
      <c r="A4967" t="s">
        <v>8413</v>
      </c>
      <c r="B4967" t="s">
        <v>11736</v>
      </c>
      <c r="C4967" t="s">
        <v>8413</v>
      </c>
      <c r="D4967" t="s">
        <v>12431</v>
      </c>
      <c r="E4967" cm="1">
        <f t="array" ref="E4967">lrnrs_coledppa_m_muslim</f>
        <v>0</v>
      </c>
      <c r="F4967" t="b">
        <v>1</v>
      </c>
    </row>
    <row r="4968" spans="1:6" x14ac:dyDescent="0.35">
      <c r="A4968" t="s">
        <v>8414</v>
      </c>
      <c r="B4968" t="s">
        <v>11736</v>
      </c>
      <c r="C4968" t="s">
        <v>8414</v>
      </c>
      <c r="D4968" t="s">
        <v>12432</v>
      </c>
      <c r="E4968" cm="1">
        <f t="array" ref="E4968">lrnrs_coledppa_f_muslim</f>
        <v>0</v>
      </c>
      <c r="F4968" t="b">
        <v>1</v>
      </c>
    </row>
    <row r="4969" spans="1:6" x14ac:dyDescent="0.35">
      <c r="A4969" t="s">
        <v>8415</v>
      </c>
      <c r="B4969" t="s">
        <v>11736</v>
      </c>
      <c r="C4969" t="s">
        <v>8415</v>
      </c>
      <c r="D4969" t="s">
        <v>12433</v>
      </c>
      <c r="E4969" cm="1">
        <f t="array" ref="E4969">lrnrs_coledppa_m_pwd</f>
        <v>0</v>
      </c>
      <c r="F4969" t="b">
        <v>1</v>
      </c>
    </row>
    <row r="4970" spans="1:6" x14ac:dyDescent="0.35">
      <c r="A4970" t="s">
        <v>8416</v>
      </c>
      <c r="B4970" t="s">
        <v>11736</v>
      </c>
      <c r="C4970" t="s">
        <v>8416</v>
      </c>
      <c r="D4970" t="s">
        <v>12434</v>
      </c>
      <c r="E4970" cm="1">
        <f t="array" ref="E4970">lrnrs_coledppa_f_pwd</f>
        <v>0</v>
      </c>
      <c r="F4970" t="b">
        <v>1</v>
      </c>
    </row>
    <row r="4971" spans="1:6" x14ac:dyDescent="0.35">
      <c r="A4971" t="s">
        <v>8417</v>
      </c>
      <c r="B4971" t="s">
        <v>11736</v>
      </c>
      <c r="C4971" t="s">
        <v>8417</v>
      </c>
      <c r="D4971" t="s">
        <v>12435</v>
      </c>
      <c r="E4971" cm="1">
        <f t="array" ref="E4971">lrnrs_ledppa_m_excluding</f>
        <v>0</v>
      </c>
      <c r="F4971" t="b">
        <v>1</v>
      </c>
    </row>
    <row r="4972" spans="1:6" x14ac:dyDescent="0.35">
      <c r="A4972" t="s">
        <v>8418</v>
      </c>
      <c r="B4972" t="s">
        <v>11736</v>
      </c>
      <c r="C4972" t="s">
        <v>8418</v>
      </c>
      <c r="D4972" t="s">
        <v>12436</v>
      </c>
      <c r="E4972" cm="1">
        <f t="array" ref="E4972">lrnrs_ledppa_f_excluding</f>
        <v>0</v>
      </c>
      <c r="F4972" t="b">
        <v>1</v>
      </c>
    </row>
    <row r="4973" spans="1:6" x14ac:dyDescent="0.35">
      <c r="A4973" t="s">
        <v>8419</v>
      </c>
      <c r="B4973" t="s">
        <v>11736</v>
      </c>
      <c r="C4973" t="s">
        <v>8419</v>
      </c>
      <c r="D4973" t="s">
        <v>12437</v>
      </c>
      <c r="E4973" cm="1">
        <f t="array" ref="E4973">lrnrs_ledppa_m_ip</f>
        <v>0</v>
      </c>
      <c r="F4973" t="b">
        <v>1</v>
      </c>
    </row>
    <row r="4974" spans="1:6" x14ac:dyDescent="0.35">
      <c r="A4974" t="s">
        <v>8420</v>
      </c>
      <c r="B4974" t="s">
        <v>11736</v>
      </c>
      <c r="C4974" t="s">
        <v>8420</v>
      </c>
      <c r="D4974" t="s">
        <v>12438</v>
      </c>
      <c r="E4974" cm="1">
        <f t="array" ref="E4974">lrnrs_ledppa_f_ip</f>
        <v>0</v>
      </c>
      <c r="F4974" t="b">
        <v>1</v>
      </c>
    </row>
    <row r="4975" spans="1:6" x14ac:dyDescent="0.35">
      <c r="A4975" t="s">
        <v>8421</v>
      </c>
      <c r="B4975" t="s">
        <v>11736</v>
      </c>
      <c r="C4975" t="s">
        <v>8421</v>
      </c>
      <c r="D4975" t="s">
        <v>12439</v>
      </c>
      <c r="E4975" cm="1">
        <f t="array" ref="E4975">lrnrs_ledppa_m_muslim</f>
        <v>0</v>
      </c>
      <c r="F4975" t="b">
        <v>1</v>
      </c>
    </row>
    <row r="4976" spans="1:6" x14ac:dyDescent="0.35">
      <c r="A4976" t="s">
        <v>8422</v>
      </c>
      <c r="B4976" t="s">
        <v>11736</v>
      </c>
      <c r="C4976" t="s">
        <v>8422</v>
      </c>
      <c r="D4976" t="s">
        <v>12440</v>
      </c>
      <c r="E4976" cm="1">
        <f t="array" ref="E4976">lrnrs_ledppa_f_muslim</f>
        <v>0</v>
      </c>
      <c r="F4976" t="b">
        <v>1</v>
      </c>
    </row>
    <row r="4977" spans="1:7" x14ac:dyDescent="0.35">
      <c r="A4977" t="s">
        <v>8423</v>
      </c>
      <c r="B4977" t="s">
        <v>11736</v>
      </c>
      <c r="C4977" t="s">
        <v>8423</v>
      </c>
      <c r="D4977" t="s">
        <v>12441</v>
      </c>
      <c r="E4977" cm="1">
        <f t="array" ref="E4977">lrnrs_ledppa_m_pwd</f>
        <v>0</v>
      </c>
      <c r="F4977" t="b">
        <v>1</v>
      </c>
    </row>
    <row r="4978" spans="1:7" x14ac:dyDescent="0.35">
      <c r="A4978" t="s">
        <v>8424</v>
      </c>
      <c r="B4978" t="s">
        <v>11736</v>
      </c>
      <c r="C4978" t="s">
        <v>8424</v>
      </c>
      <c r="D4978" t="s">
        <v>12442</v>
      </c>
      <c r="E4978" cm="1">
        <f t="array" ref="E4978">lrnrs_ledppa_f_pwd</f>
        <v>0</v>
      </c>
      <c r="F4978" t="b">
        <v>1</v>
      </c>
    </row>
    <row r="4979" spans="1:7" x14ac:dyDescent="0.35">
      <c r="A4979" t="s">
        <v>8425</v>
      </c>
      <c r="B4979" t="s">
        <v>11736</v>
      </c>
      <c r="C4979" t="s">
        <v>8425</v>
      </c>
      <c r="D4979" t="s">
        <v>12443</v>
      </c>
      <c r="E4979" cm="1">
        <f t="array" ref="E4979">lrnrs_ledppa_drrm</f>
        <v>0</v>
      </c>
      <c r="F4979" t="b">
        <v>1</v>
      </c>
    </row>
    <row r="4980" spans="1:7" x14ac:dyDescent="0.35">
      <c r="A4980" t="s">
        <v>8426</v>
      </c>
      <c r="B4980" t="s">
        <v>11736</v>
      </c>
      <c r="C4980" t="s">
        <v>8426</v>
      </c>
      <c r="D4980" t="s">
        <v>12444</v>
      </c>
      <c r="E4980" cm="1">
        <f t="array" ref="E4980">lrnrs_ledppa_ccam</f>
        <v>0</v>
      </c>
      <c r="F4980" t="b">
        <v>1</v>
      </c>
    </row>
    <row r="4981" spans="1:7" x14ac:dyDescent="0.35">
      <c r="A4981" t="s">
        <v>8427</v>
      </c>
      <c r="B4981" t="s">
        <v>11736</v>
      </c>
      <c r="C4981" t="s">
        <v>8427</v>
      </c>
      <c r="D4981" t="s">
        <v>12445</v>
      </c>
      <c r="E4981" cm="1">
        <f t="array" ref="E4981">lrnrs_ledppa_peacebuilding</f>
        <v>0</v>
      </c>
      <c r="F4981" t="b">
        <v>1</v>
      </c>
    </row>
    <row r="4982" spans="1:7" x14ac:dyDescent="0.35">
      <c r="A4982" t="s">
        <v>8638</v>
      </c>
      <c r="B4982" t="s">
        <v>11736</v>
      </c>
      <c r="C4982" t="s">
        <v>8638</v>
      </c>
      <c r="D4982" t="s">
        <v>12446</v>
      </c>
      <c r="E4982" t="b" cm="1">
        <f t="array" ref="E4982">sch_depeddeveloped_trainingmanual</f>
        <v>0</v>
      </c>
      <c r="F4982" t="b">
        <f>ISLOGICAL(E4982)</f>
        <v>1</v>
      </c>
      <c r="G4982" t="s">
        <v>12516</v>
      </c>
    </row>
    <row r="4983" spans="1:7" x14ac:dyDescent="0.35">
      <c r="A4983" t="s">
        <v>12225</v>
      </c>
      <c r="B4983" t="s">
        <v>11736</v>
      </c>
      <c r="C4983" t="s">
        <v>12225</v>
      </c>
      <c r="D4983" t="s">
        <v>12318</v>
      </c>
      <c r="E4983">
        <f>number_trained_module_terminologies_teaching_m</f>
        <v>0</v>
      </c>
      <c r="F4983" t="b">
        <v>1</v>
      </c>
    </row>
    <row r="4984" spans="1:7" x14ac:dyDescent="0.35">
      <c r="A4984" t="s">
        <v>12226</v>
      </c>
      <c r="B4984" t="s">
        <v>11736</v>
      </c>
      <c r="C4984" t="s">
        <v>12226</v>
      </c>
      <c r="D4984" t="s">
        <v>12319</v>
      </c>
      <c r="E4984">
        <f>number_trained_module_terminologies_teaching_f</f>
        <v>0</v>
      </c>
      <c r="F4984" t="b">
        <v>1</v>
      </c>
    </row>
    <row r="4985" spans="1:7" x14ac:dyDescent="0.35">
      <c r="A4985" t="s">
        <v>12227</v>
      </c>
      <c r="B4985" t="s">
        <v>11736</v>
      </c>
      <c r="C4985" t="s">
        <v>12227</v>
      </c>
      <c r="D4985" t="s">
        <v>12320</v>
      </c>
      <c r="E4985">
        <f>number_trained_module_terminologies_nonteaching_m</f>
        <v>0</v>
      </c>
      <c r="F4985" t="b">
        <v>1</v>
      </c>
    </row>
    <row r="4986" spans="1:7" x14ac:dyDescent="0.35">
      <c r="A4986" t="s">
        <v>12228</v>
      </c>
      <c r="B4986" t="s">
        <v>11736</v>
      </c>
      <c r="C4986" t="s">
        <v>12228</v>
      </c>
      <c r="D4986" t="s">
        <v>12321</v>
      </c>
      <c r="E4986">
        <f>number_trained_module_terminologies_nonteaching_f</f>
        <v>0</v>
      </c>
      <c r="F4986" t="b">
        <v>1</v>
      </c>
    </row>
    <row r="4987" spans="1:7" x14ac:dyDescent="0.35">
      <c r="A4987" t="s">
        <v>12229</v>
      </c>
      <c r="B4987" t="s">
        <v>11736</v>
      </c>
      <c r="C4987" t="s">
        <v>12229</v>
      </c>
      <c r="D4987" t="s">
        <v>12322</v>
      </c>
      <c r="E4987">
        <f>number_trained_module_intl_ntl_foundations_teaching_m</f>
        <v>0</v>
      </c>
      <c r="F4987" t="b">
        <v>1</v>
      </c>
    </row>
    <row r="4988" spans="1:7" x14ac:dyDescent="0.35">
      <c r="A4988" t="s">
        <v>12230</v>
      </c>
      <c r="B4988" t="s">
        <v>11736</v>
      </c>
      <c r="C4988" t="s">
        <v>12230</v>
      </c>
      <c r="D4988" t="s">
        <v>12323</v>
      </c>
      <c r="E4988">
        <f>number_trained_module_intl_ntl_foundations_teaching_f</f>
        <v>0</v>
      </c>
      <c r="F4988" t="b">
        <v>1</v>
      </c>
    </row>
    <row r="4989" spans="1:7" x14ac:dyDescent="0.35">
      <c r="A4989" t="s">
        <v>12231</v>
      </c>
      <c r="B4989" t="s">
        <v>11736</v>
      </c>
      <c r="C4989" t="s">
        <v>12231</v>
      </c>
      <c r="D4989" t="s">
        <v>12324</v>
      </c>
      <c r="E4989">
        <f>number_trained_module_intl_ntl_foundations_nonteaching_m</f>
        <v>0</v>
      </c>
      <c r="F4989" t="b">
        <v>1</v>
      </c>
    </row>
    <row r="4990" spans="1:7" x14ac:dyDescent="0.35">
      <c r="A4990" t="s">
        <v>12232</v>
      </c>
      <c r="B4990" t="s">
        <v>11736</v>
      </c>
      <c r="C4990" t="s">
        <v>12232</v>
      </c>
      <c r="D4990" t="s">
        <v>12325</v>
      </c>
      <c r="E4990">
        <f>number_trained_module_intl_ntl_foundations_nonteaching_f</f>
        <v>0</v>
      </c>
      <c r="F4990" t="b">
        <v>1</v>
      </c>
    </row>
    <row r="4991" spans="1:7" x14ac:dyDescent="0.35">
      <c r="A4991" t="s">
        <v>12233</v>
      </c>
      <c r="B4991" t="s">
        <v>11736</v>
      </c>
      <c r="C4991" t="s">
        <v>12233</v>
      </c>
      <c r="D4991" t="s">
        <v>12326</v>
      </c>
      <c r="E4991">
        <f>number_trained_module_cdrrmef_teaching_m</f>
        <v>0</v>
      </c>
      <c r="F4991" t="b">
        <v>1</v>
      </c>
    </row>
    <row r="4992" spans="1:7" x14ac:dyDescent="0.35">
      <c r="A4992" t="s">
        <v>12234</v>
      </c>
      <c r="B4992" t="s">
        <v>11736</v>
      </c>
      <c r="C4992" t="s">
        <v>12234</v>
      </c>
      <c r="D4992" t="s">
        <v>12327</v>
      </c>
      <c r="E4992">
        <f>number_trained_module_cdrrmef_teaching_f</f>
        <v>0</v>
      </c>
      <c r="F4992" t="b">
        <v>1</v>
      </c>
    </row>
    <row r="4993" spans="1:6" x14ac:dyDescent="0.35">
      <c r="A4993" t="s">
        <v>12235</v>
      </c>
      <c r="B4993" t="s">
        <v>11736</v>
      </c>
      <c r="C4993" t="s">
        <v>12235</v>
      </c>
      <c r="D4993" t="s">
        <v>12328</v>
      </c>
      <c r="E4993">
        <f>number_trained_module_cdrrmef_nonteaching_m</f>
        <v>0</v>
      </c>
      <c r="F4993" t="b">
        <v>1</v>
      </c>
    </row>
    <row r="4994" spans="1:6" x14ac:dyDescent="0.35">
      <c r="A4994" t="s">
        <v>12236</v>
      </c>
      <c r="B4994" t="s">
        <v>11736</v>
      </c>
      <c r="C4994" t="s">
        <v>12236</v>
      </c>
      <c r="D4994" t="s">
        <v>12329</v>
      </c>
      <c r="E4994">
        <f>number_trained_module_cdrrmef_nonteaching_f</f>
        <v>0</v>
      </c>
      <c r="F4994" t="b">
        <v>1</v>
      </c>
    </row>
    <row r="4995" spans="1:6" x14ac:dyDescent="0.35">
      <c r="A4995" t="s">
        <v>12237</v>
      </c>
      <c r="B4995" t="s">
        <v>11736</v>
      </c>
      <c r="C4995" t="s">
        <v>12237</v>
      </c>
      <c r="D4995" t="s">
        <v>12330</v>
      </c>
      <c r="E4995">
        <f>number_trained_module_inclusive_childcenter_teaching_m</f>
        <v>0</v>
      </c>
      <c r="F4995" t="b">
        <v>1</v>
      </c>
    </row>
    <row r="4996" spans="1:6" x14ac:dyDescent="0.35">
      <c r="A4996" t="s">
        <v>12238</v>
      </c>
      <c r="B4996" t="s">
        <v>11736</v>
      </c>
      <c r="C4996" t="s">
        <v>12238</v>
      </c>
      <c r="D4996" t="s">
        <v>12331</v>
      </c>
      <c r="E4996">
        <f>number_trained_module_inclusive_childcenter_teaching_f</f>
        <v>0</v>
      </c>
      <c r="F4996" t="b">
        <v>1</v>
      </c>
    </row>
    <row r="4997" spans="1:6" x14ac:dyDescent="0.35">
      <c r="A4997" t="s">
        <v>12239</v>
      </c>
      <c r="B4997" t="s">
        <v>11736</v>
      </c>
      <c r="C4997" t="s">
        <v>12239</v>
      </c>
      <c r="D4997" t="s">
        <v>12332</v>
      </c>
      <c r="E4997">
        <f>number_trained_module_inclusive_childcenter_nonteaching_m</f>
        <v>0</v>
      </c>
      <c r="F4997" t="b">
        <v>1</v>
      </c>
    </row>
    <row r="4998" spans="1:6" x14ac:dyDescent="0.35">
      <c r="A4998" t="s">
        <v>12240</v>
      </c>
      <c r="B4998" t="s">
        <v>11736</v>
      </c>
      <c r="C4998" t="s">
        <v>12240</v>
      </c>
      <c r="D4998" t="s">
        <v>12333</v>
      </c>
      <c r="E4998">
        <f>number_trained_module_inclusive_childcenter_nonteaching_f</f>
        <v>0</v>
      </c>
      <c r="F4998" t="b">
        <v>1</v>
      </c>
    </row>
    <row r="4999" spans="1:6" x14ac:dyDescent="0.35">
      <c r="A4999" t="s">
        <v>12241</v>
      </c>
      <c r="B4999" t="s">
        <v>11736</v>
      </c>
      <c r="C4999" t="s">
        <v>12241</v>
      </c>
      <c r="D4999" t="s">
        <v>12334</v>
      </c>
      <c r="E4999">
        <f>number_trained_module_eie_teaching_m</f>
        <v>0</v>
      </c>
      <c r="F4999" t="b">
        <v>1</v>
      </c>
    </row>
    <row r="5000" spans="1:6" x14ac:dyDescent="0.35">
      <c r="A5000" t="s">
        <v>12242</v>
      </c>
      <c r="B5000" t="s">
        <v>11736</v>
      </c>
      <c r="C5000" t="s">
        <v>12242</v>
      </c>
      <c r="D5000" t="s">
        <v>12335</v>
      </c>
      <c r="E5000">
        <f>number_trained_module_eie_teaching_f</f>
        <v>0</v>
      </c>
      <c r="F5000" t="b">
        <v>1</v>
      </c>
    </row>
    <row r="5001" spans="1:6" x14ac:dyDescent="0.35">
      <c r="A5001" t="s">
        <v>12243</v>
      </c>
      <c r="B5001" t="s">
        <v>11736</v>
      </c>
      <c r="C5001" t="s">
        <v>12243</v>
      </c>
      <c r="D5001" t="s">
        <v>12336</v>
      </c>
      <c r="E5001">
        <f>number_trained_module_eie_nonteaching_m</f>
        <v>0</v>
      </c>
      <c r="F5001" t="b">
        <v>1</v>
      </c>
    </row>
    <row r="5002" spans="1:6" x14ac:dyDescent="0.35">
      <c r="A5002" t="s">
        <v>12244</v>
      </c>
      <c r="B5002" t="s">
        <v>11736</v>
      </c>
      <c r="C5002" t="s">
        <v>12244</v>
      </c>
      <c r="D5002" t="s">
        <v>12337</v>
      </c>
      <c r="E5002">
        <f>number_trained_module_eie_nonteaching_f</f>
        <v>0</v>
      </c>
      <c r="F5002" t="b">
        <v>1</v>
      </c>
    </row>
    <row r="5003" spans="1:6" x14ac:dyDescent="0.35">
      <c r="A5003" t="s">
        <v>12245</v>
      </c>
      <c r="B5003" t="s">
        <v>11736</v>
      </c>
      <c r="C5003" t="s">
        <v>12245</v>
      </c>
      <c r="D5003" t="s">
        <v>12338</v>
      </c>
      <c r="E5003">
        <f>number_trained_module_adm_teaching_m</f>
        <v>0</v>
      </c>
      <c r="F5003" t="b">
        <v>1</v>
      </c>
    </row>
    <row r="5004" spans="1:6" x14ac:dyDescent="0.35">
      <c r="A5004" t="s">
        <v>12246</v>
      </c>
      <c r="B5004" t="s">
        <v>11736</v>
      </c>
      <c r="C5004" t="s">
        <v>12246</v>
      </c>
      <c r="D5004" t="s">
        <v>12339</v>
      </c>
      <c r="E5004">
        <f>number_trained_module_adm_teaching_f</f>
        <v>0</v>
      </c>
      <c r="F5004" t="b">
        <v>1</v>
      </c>
    </row>
    <row r="5005" spans="1:6" x14ac:dyDescent="0.35">
      <c r="A5005" t="s">
        <v>12247</v>
      </c>
      <c r="B5005" t="s">
        <v>11736</v>
      </c>
      <c r="C5005" t="s">
        <v>12247</v>
      </c>
      <c r="D5005" t="s">
        <v>12340</v>
      </c>
      <c r="E5005">
        <f>number_trained_module_adm_nonteaching_m</f>
        <v>0</v>
      </c>
      <c r="F5005" t="b">
        <v>1</v>
      </c>
    </row>
    <row r="5006" spans="1:6" x14ac:dyDescent="0.35">
      <c r="A5006" t="s">
        <v>12248</v>
      </c>
      <c r="B5006" t="s">
        <v>11736</v>
      </c>
      <c r="C5006" t="s">
        <v>12248</v>
      </c>
      <c r="D5006" t="s">
        <v>12341</v>
      </c>
      <c r="E5006">
        <f>number_trained_module_adm_nonteaching_f</f>
        <v>0</v>
      </c>
      <c r="F5006" t="b">
        <v>1</v>
      </c>
    </row>
    <row r="5007" spans="1:6" x14ac:dyDescent="0.35">
      <c r="A5007" t="s">
        <v>12249</v>
      </c>
      <c r="B5007" t="s">
        <v>11736</v>
      </c>
      <c r="C5007" t="s">
        <v>12249</v>
      </c>
      <c r="D5007" t="s">
        <v>12342</v>
      </c>
      <c r="E5007">
        <f>number_trained_module_im_teaching_m</f>
        <v>0</v>
      </c>
      <c r="F5007" t="b">
        <v>1</v>
      </c>
    </row>
    <row r="5008" spans="1:6" x14ac:dyDescent="0.35">
      <c r="A5008" t="s">
        <v>12250</v>
      </c>
      <c r="B5008" t="s">
        <v>11736</v>
      </c>
      <c r="C5008" t="s">
        <v>12250</v>
      </c>
      <c r="D5008" t="s">
        <v>12343</v>
      </c>
      <c r="E5008">
        <f>number_trained_module_im_teaching_f</f>
        <v>0</v>
      </c>
      <c r="F5008" t="b">
        <v>1</v>
      </c>
    </row>
    <row r="5009" spans="1:6" x14ac:dyDescent="0.35">
      <c r="A5009" t="s">
        <v>12251</v>
      </c>
      <c r="B5009" t="s">
        <v>11736</v>
      </c>
      <c r="C5009" t="s">
        <v>12251</v>
      </c>
      <c r="D5009" t="s">
        <v>12344</v>
      </c>
      <c r="E5009">
        <f>number_trained_module_im_nonteaching_m</f>
        <v>0</v>
      </c>
      <c r="F5009" t="b">
        <v>1</v>
      </c>
    </row>
    <row r="5010" spans="1:6" x14ac:dyDescent="0.35">
      <c r="A5010" t="s">
        <v>12252</v>
      </c>
      <c r="B5010" t="s">
        <v>11736</v>
      </c>
      <c r="C5010" t="s">
        <v>12252</v>
      </c>
      <c r="D5010" t="s">
        <v>12345</v>
      </c>
      <c r="E5010">
        <f>number_trained_module_im_nonteaching_f</f>
        <v>0</v>
      </c>
      <c r="F5010" t="b">
        <v>1</v>
      </c>
    </row>
    <row r="5011" spans="1:6" x14ac:dyDescent="0.35">
      <c r="A5011" t="s">
        <v>12253</v>
      </c>
      <c r="B5011" t="s">
        <v>11736</v>
      </c>
      <c r="C5011" t="s">
        <v>12253</v>
      </c>
      <c r="D5011" t="s">
        <v>12346</v>
      </c>
      <c r="E5011">
        <f>number_trained_module_schoolbased_teaching_m</f>
        <v>0</v>
      </c>
      <c r="F5011" t="b">
        <v>1</v>
      </c>
    </row>
    <row r="5012" spans="1:6" x14ac:dyDescent="0.35">
      <c r="A5012" t="s">
        <v>12254</v>
      </c>
      <c r="B5012" t="s">
        <v>11736</v>
      </c>
      <c r="C5012" t="s">
        <v>12254</v>
      </c>
      <c r="D5012" t="s">
        <v>12347</v>
      </c>
      <c r="E5012">
        <f>number_trained_module_schoolbased_teaching_f</f>
        <v>0</v>
      </c>
      <c r="F5012" t="b">
        <v>1</v>
      </c>
    </row>
    <row r="5013" spans="1:6" x14ac:dyDescent="0.35">
      <c r="A5013" t="s">
        <v>12255</v>
      </c>
      <c r="B5013" t="s">
        <v>11736</v>
      </c>
      <c r="C5013" t="s">
        <v>12255</v>
      </c>
      <c r="D5013" t="s">
        <v>12348</v>
      </c>
      <c r="E5013">
        <f>number_trained_module_schoolbased_nonteaching_m</f>
        <v>0</v>
      </c>
      <c r="F5013" t="b">
        <v>1</v>
      </c>
    </row>
    <row r="5014" spans="1:6" x14ac:dyDescent="0.35">
      <c r="A5014" t="s">
        <v>12256</v>
      </c>
      <c r="B5014" t="s">
        <v>11736</v>
      </c>
      <c r="C5014" t="s">
        <v>12256</v>
      </c>
      <c r="D5014" t="s">
        <v>12349</v>
      </c>
      <c r="E5014">
        <f>number_trained_module_schoolbased_nonteaching_f</f>
        <v>0</v>
      </c>
      <c r="F5014" t="b">
        <v>1</v>
      </c>
    </row>
    <row r="5015" spans="1:6" x14ac:dyDescent="0.35">
      <c r="A5015" t="s">
        <v>12257</v>
      </c>
      <c r="B5015" t="s">
        <v>11736</v>
      </c>
      <c r="C5015" t="s">
        <v>12257</v>
      </c>
      <c r="D5015" t="s">
        <v>12350</v>
      </c>
      <c r="E5015">
        <f>number_trained_module_camp_mgmt_teaching_m</f>
        <v>0</v>
      </c>
      <c r="F5015" t="b">
        <v>1</v>
      </c>
    </row>
    <row r="5016" spans="1:6" x14ac:dyDescent="0.35">
      <c r="A5016" t="s">
        <v>12258</v>
      </c>
      <c r="B5016" t="s">
        <v>11736</v>
      </c>
      <c r="C5016" t="s">
        <v>12258</v>
      </c>
      <c r="D5016" t="s">
        <v>12351</v>
      </c>
      <c r="E5016">
        <f>number_trained_module_camp_mgmt_teaching_f</f>
        <v>0</v>
      </c>
      <c r="F5016" t="b">
        <v>1</v>
      </c>
    </row>
    <row r="5017" spans="1:6" x14ac:dyDescent="0.35">
      <c r="A5017" t="s">
        <v>12259</v>
      </c>
      <c r="B5017" t="s">
        <v>11736</v>
      </c>
      <c r="C5017" t="s">
        <v>12259</v>
      </c>
      <c r="D5017" t="s">
        <v>12352</v>
      </c>
      <c r="E5017">
        <f>number_trained_module_camp_mgmt_nonteaching_m</f>
        <v>0</v>
      </c>
      <c r="F5017" t="b">
        <v>1</v>
      </c>
    </row>
    <row r="5018" spans="1:6" x14ac:dyDescent="0.35">
      <c r="A5018" t="s">
        <v>12260</v>
      </c>
      <c r="B5018" t="s">
        <v>11736</v>
      </c>
      <c r="C5018" t="s">
        <v>12260</v>
      </c>
      <c r="D5018" t="s">
        <v>12353</v>
      </c>
      <c r="E5018">
        <f>number_trained_module_camp_mgmt_nonteaching_f</f>
        <v>0</v>
      </c>
      <c r="F5018" t="b">
        <v>1</v>
      </c>
    </row>
    <row r="5019" spans="1:6" x14ac:dyDescent="0.35">
      <c r="A5019" t="s">
        <v>12261</v>
      </c>
      <c r="B5019" t="s">
        <v>11736</v>
      </c>
      <c r="C5019" t="s">
        <v>12261</v>
      </c>
      <c r="D5019" t="s">
        <v>12354</v>
      </c>
      <c r="E5019">
        <f>number_trained_module_tls_teaching_m</f>
        <v>0</v>
      </c>
      <c r="F5019" t="b">
        <v>1</v>
      </c>
    </row>
    <row r="5020" spans="1:6" x14ac:dyDescent="0.35">
      <c r="A5020" t="s">
        <v>12262</v>
      </c>
      <c r="B5020" t="s">
        <v>11736</v>
      </c>
      <c r="C5020" t="s">
        <v>12262</v>
      </c>
      <c r="D5020" t="s">
        <v>12355</v>
      </c>
      <c r="E5020">
        <f>number_trained_module_tls_teaching_f</f>
        <v>0</v>
      </c>
      <c r="F5020" t="b">
        <v>1</v>
      </c>
    </row>
    <row r="5021" spans="1:6" x14ac:dyDescent="0.35">
      <c r="A5021" t="s">
        <v>12263</v>
      </c>
      <c r="B5021" t="s">
        <v>11736</v>
      </c>
      <c r="C5021" t="s">
        <v>12263</v>
      </c>
      <c r="D5021" t="s">
        <v>12356</v>
      </c>
      <c r="E5021">
        <f>number_trained_module_tls_nonteaching_m</f>
        <v>0</v>
      </c>
      <c r="F5021" t="b">
        <v>1</v>
      </c>
    </row>
    <row r="5022" spans="1:6" x14ac:dyDescent="0.35">
      <c r="A5022" t="s">
        <v>12264</v>
      </c>
      <c r="B5022" t="s">
        <v>11736</v>
      </c>
      <c r="C5022" t="s">
        <v>12264</v>
      </c>
      <c r="D5022" t="s">
        <v>12357</v>
      </c>
      <c r="E5022">
        <f>number_trained_module_tls_nonteaching_f</f>
        <v>0</v>
      </c>
      <c r="F5022" t="b">
        <v>1</v>
      </c>
    </row>
    <row r="5023" spans="1:6" x14ac:dyDescent="0.35">
      <c r="A5023" t="s">
        <v>12265</v>
      </c>
      <c r="B5023" t="s">
        <v>11736</v>
      </c>
      <c r="C5023" t="s">
        <v>12265</v>
      </c>
      <c r="D5023" t="s">
        <v>12358</v>
      </c>
      <c r="E5023">
        <f>number_trained_module_beie_teaching_m</f>
        <v>0</v>
      </c>
      <c r="F5023" t="b">
        <v>1</v>
      </c>
    </row>
    <row r="5024" spans="1:6" x14ac:dyDescent="0.35">
      <c r="A5024" t="s">
        <v>12266</v>
      </c>
      <c r="B5024" t="s">
        <v>11736</v>
      </c>
      <c r="C5024" t="s">
        <v>12266</v>
      </c>
      <c r="D5024" t="s">
        <v>12359</v>
      </c>
      <c r="E5024">
        <f>number_trained_module_beie_teaching_f</f>
        <v>0</v>
      </c>
      <c r="F5024" t="b">
        <v>1</v>
      </c>
    </row>
    <row r="5025" spans="1:6" x14ac:dyDescent="0.35">
      <c r="A5025" t="s">
        <v>12267</v>
      </c>
      <c r="B5025" t="s">
        <v>11736</v>
      </c>
      <c r="C5025" t="s">
        <v>12267</v>
      </c>
      <c r="D5025" t="s">
        <v>12360</v>
      </c>
      <c r="E5025">
        <f>number_trained_module_beie_nonteaching_m</f>
        <v>0</v>
      </c>
      <c r="F5025" t="b">
        <v>1</v>
      </c>
    </row>
    <row r="5026" spans="1:6" x14ac:dyDescent="0.35">
      <c r="A5026" t="s">
        <v>12268</v>
      </c>
      <c r="B5026" t="s">
        <v>11736</v>
      </c>
      <c r="C5026" t="s">
        <v>12268</v>
      </c>
      <c r="D5026" t="s">
        <v>12361</v>
      </c>
      <c r="E5026">
        <f>number_trained_module_beie_nonteaching_f</f>
        <v>0</v>
      </c>
      <c r="F5026" t="b">
        <v>1</v>
      </c>
    </row>
    <row r="5027" spans="1:6" x14ac:dyDescent="0.35">
      <c r="A5027" t="s">
        <v>12269</v>
      </c>
      <c r="B5027" t="s">
        <v>11736</v>
      </c>
      <c r="C5027" t="s">
        <v>12269</v>
      </c>
      <c r="D5027" t="s">
        <v>12362</v>
      </c>
      <c r="E5027">
        <f>number_trained_module_resource_mobil_teaching_m</f>
        <v>0</v>
      </c>
      <c r="F5027" t="b">
        <v>1</v>
      </c>
    </row>
    <row r="5028" spans="1:6" x14ac:dyDescent="0.35">
      <c r="A5028" t="s">
        <v>12270</v>
      </c>
      <c r="B5028" t="s">
        <v>11736</v>
      </c>
      <c r="C5028" t="s">
        <v>12270</v>
      </c>
      <c r="D5028" t="s">
        <v>12363</v>
      </c>
      <c r="E5028">
        <f>number_trained_module_resource_mobil_teaching_f</f>
        <v>0</v>
      </c>
      <c r="F5028" t="b">
        <v>1</v>
      </c>
    </row>
    <row r="5029" spans="1:6" x14ac:dyDescent="0.35">
      <c r="A5029" t="s">
        <v>12271</v>
      </c>
      <c r="B5029" t="s">
        <v>11736</v>
      </c>
      <c r="C5029" t="s">
        <v>12271</v>
      </c>
      <c r="D5029" t="s">
        <v>12364</v>
      </c>
      <c r="E5029">
        <f>number_trained_module_resource_mobil_nonteaching_m</f>
        <v>0</v>
      </c>
      <c r="F5029" t="b">
        <v>1</v>
      </c>
    </row>
    <row r="5030" spans="1:6" x14ac:dyDescent="0.35">
      <c r="A5030" t="s">
        <v>12272</v>
      </c>
      <c r="B5030" t="s">
        <v>11736</v>
      </c>
      <c r="C5030" t="s">
        <v>12272</v>
      </c>
      <c r="D5030" t="s">
        <v>12365</v>
      </c>
      <c r="E5030">
        <f>number_trained_module_resource_mobil_nonteaching_f</f>
        <v>0</v>
      </c>
      <c r="F5030" t="b">
        <v>1</v>
      </c>
    </row>
    <row r="5031" spans="1:6" x14ac:dyDescent="0.35">
      <c r="A5031" t="s">
        <v>12273</v>
      </c>
      <c r="B5031" t="s">
        <v>11736</v>
      </c>
      <c r="C5031" t="s">
        <v>12273</v>
      </c>
      <c r="D5031" t="s">
        <v>12366</v>
      </c>
      <c r="E5031">
        <f>number_trained_module_contingency_teaching_m</f>
        <v>0</v>
      </c>
      <c r="F5031" t="b">
        <v>1</v>
      </c>
    </row>
    <row r="5032" spans="1:6" x14ac:dyDescent="0.35">
      <c r="A5032" t="s">
        <v>12274</v>
      </c>
      <c r="B5032" t="s">
        <v>11736</v>
      </c>
      <c r="C5032" t="s">
        <v>12274</v>
      </c>
      <c r="D5032" t="s">
        <v>12367</v>
      </c>
      <c r="E5032">
        <f>number_trained_module_contingency_teaching_f</f>
        <v>0</v>
      </c>
      <c r="F5032" t="b">
        <v>1</v>
      </c>
    </row>
    <row r="5033" spans="1:6" x14ac:dyDescent="0.35">
      <c r="A5033" t="s">
        <v>12275</v>
      </c>
      <c r="B5033" t="s">
        <v>11736</v>
      </c>
      <c r="C5033" t="s">
        <v>12275</v>
      </c>
      <c r="D5033" t="s">
        <v>12368</v>
      </c>
      <c r="E5033">
        <f>number_trained_module_contingency_nonteaching_m</f>
        <v>0</v>
      </c>
      <c r="F5033" t="b">
        <v>1</v>
      </c>
    </row>
    <row r="5034" spans="1:6" x14ac:dyDescent="0.35">
      <c r="A5034" t="s">
        <v>12276</v>
      </c>
      <c r="B5034" t="s">
        <v>11736</v>
      </c>
      <c r="C5034" t="s">
        <v>12276</v>
      </c>
      <c r="D5034" t="s">
        <v>12369</v>
      </c>
      <c r="E5034">
        <f>number_trained_module_contingency_nonteaching_f</f>
        <v>0</v>
      </c>
      <c r="F5034" t="b">
        <v>1</v>
      </c>
    </row>
    <row r="5035" spans="1:6" x14ac:dyDescent="0.35">
      <c r="A5035" t="s">
        <v>12277</v>
      </c>
      <c r="B5035" t="s">
        <v>11736</v>
      </c>
      <c r="C5035" t="s">
        <v>12277</v>
      </c>
      <c r="D5035" t="s">
        <v>12370</v>
      </c>
      <c r="E5035">
        <f>number_trained_module_common_hazards_teaching_m</f>
        <v>0</v>
      </c>
      <c r="F5035" t="b">
        <v>1</v>
      </c>
    </row>
    <row r="5036" spans="1:6" x14ac:dyDescent="0.35">
      <c r="A5036" t="s">
        <v>12278</v>
      </c>
      <c r="B5036" t="s">
        <v>11736</v>
      </c>
      <c r="C5036" t="s">
        <v>12278</v>
      </c>
      <c r="D5036" t="s">
        <v>12371</v>
      </c>
      <c r="E5036">
        <f>number_trained_module_common_hazards_teaching_f</f>
        <v>0</v>
      </c>
      <c r="F5036" t="b">
        <v>1</v>
      </c>
    </row>
    <row r="5037" spans="1:6" x14ac:dyDescent="0.35">
      <c r="A5037" t="s">
        <v>12279</v>
      </c>
      <c r="B5037" t="s">
        <v>11736</v>
      </c>
      <c r="C5037" t="s">
        <v>12279</v>
      </c>
      <c r="D5037" t="s">
        <v>12372</v>
      </c>
      <c r="E5037">
        <f>number_trained_module_common_hazards_nonteaching_m</f>
        <v>0</v>
      </c>
      <c r="F5037" t="b">
        <v>1</v>
      </c>
    </row>
    <row r="5038" spans="1:6" x14ac:dyDescent="0.35">
      <c r="A5038" t="s">
        <v>12280</v>
      </c>
      <c r="B5038" t="s">
        <v>11736</v>
      </c>
      <c r="C5038" t="s">
        <v>12280</v>
      </c>
      <c r="D5038" t="s">
        <v>12373</v>
      </c>
      <c r="E5038">
        <f>number_trained_module_common_hazards_nonteaching_f</f>
        <v>0</v>
      </c>
      <c r="F5038" t="b">
        <v>1</v>
      </c>
    </row>
    <row r="5039" spans="1:6" x14ac:dyDescent="0.35">
      <c r="A5039" t="s">
        <v>12281</v>
      </c>
      <c r="B5039" t="s">
        <v>11736</v>
      </c>
      <c r="C5039" t="s">
        <v>12281</v>
      </c>
      <c r="D5039" t="s">
        <v>12374</v>
      </c>
      <c r="E5039">
        <f>number_trained_module_mainstream_planning_teaching_m</f>
        <v>0</v>
      </c>
      <c r="F5039" t="b">
        <v>1</v>
      </c>
    </row>
    <row r="5040" spans="1:6" x14ac:dyDescent="0.35">
      <c r="A5040" t="s">
        <v>12282</v>
      </c>
      <c r="B5040" t="s">
        <v>11736</v>
      </c>
      <c r="C5040" t="s">
        <v>12282</v>
      </c>
      <c r="D5040" t="s">
        <v>12375</v>
      </c>
      <c r="E5040">
        <f>number_trained_module_mainstream_planning_teaching_f</f>
        <v>0</v>
      </c>
      <c r="F5040" t="b">
        <v>1</v>
      </c>
    </row>
    <row r="5041" spans="1:6" x14ac:dyDescent="0.35">
      <c r="A5041" t="s">
        <v>12283</v>
      </c>
      <c r="B5041" t="s">
        <v>11736</v>
      </c>
      <c r="C5041" t="s">
        <v>12283</v>
      </c>
      <c r="D5041" t="s">
        <v>12376</v>
      </c>
      <c r="E5041">
        <f>number_trained_module_mainstream_planning_nonteaching_m</f>
        <v>0</v>
      </c>
      <c r="F5041" t="b">
        <v>1</v>
      </c>
    </row>
    <row r="5042" spans="1:6" x14ac:dyDescent="0.35">
      <c r="A5042" t="s">
        <v>12284</v>
      </c>
      <c r="B5042" t="s">
        <v>11736</v>
      </c>
      <c r="C5042" t="s">
        <v>12284</v>
      </c>
      <c r="D5042" t="s">
        <v>12377</v>
      </c>
      <c r="E5042">
        <f>number_trained_module_mainstream_planning_nonteaching_f</f>
        <v>0</v>
      </c>
      <c r="F5042" t="b">
        <v>1</v>
      </c>
    </row>
    <row r="5043" spans="1:6" x14ac:dyDescent="0.35">
      <c r="A5043" t="s">
        <v>12285</v>
      </c>
      <c r="B5043" t="s">
        <v>11736</v>
      </c>
      <c r="C5043" t="s">
        <v>12285</v>
      </c>
      <c r="D5043" t="s">
        <v>12378</v>
      </c>
      <c r="E5043">
        <f>number_trained_module_understand_cchange_teaching_m</f>
        <v>0</v>
      </c>
      <c r="F5043" t="b">
        <v>1</v>
      </c>
    </row>
    <row r="5044" spans="1:6" x14ac:dyDescent="0.35">
      <c r="A5044" t="s">
        <v>12286</v>
      </c>
      <c r="B5044" t="s">
        <v>11736</v>
      </c>
      <c r="C5044" t="s">
        <v>12286</v>
      </c>
      <c r="D5044" t="s">
        <v>12379</v>
      </c>
      <c r="E5044">
        <f>number_trained_module_understand_cchange_teaching_f</f>
        <v>0</v>
      </c>
      <c r="F5044" t="b">
        <v>1</v>
      </c>
    </row>
    <row r="5045" spans="1:6" x14ac:dyDescent="0.35">
      <c r="A5045" t="s">
        <v>12287</v>
      </c>
      <c r="B5045" t="s">
        <v>11736</v>
      </c>
      <c r="C5045" t="s">
        <v>12287</v>
      </c>
      <c r="D5045" t="s">
        <v>12380</v>
      </c>
      <c r="E5045">
        <f>number_trained_module_understand_cchange_nonteaching_m</f>
        <v>0</v>
      </c>
      <c r="F5045" t="b">
        <v>1</v>
      </c>
    </row>
    <row r="5046" spans="1:6" x14ac:dyDescent="0.35">
      <c r="A5046" t="s">
        <v>12288</v>
      </c>
      <c r="B5046" t="s">
        <v>11736</v>
      </c>
      <c r="C5046" t="s">
        <v>12288</v>
      </c>
      <c r="D5046" t="s">
        <v>12381</v>
      </c>
      <c r="E5046">
        <f>number_trained_module_understand_cchange_nonteaching_f</f>
        <v>0</v>
      </c>
      <c r="F5046" t="b">
        <v>1</v>
      </c>
    </row>
    <row r="5047" spans="1:6" x14ac:dyDescent="0.35">
      <c r="A5047" t="s">
        <v>12289</v>
      </c>
      <c r="B5047" t="s">
        <v>11736</v>
      </c>
      <c r="C5047" t="s">
        <v>12289</v>
      </c>
      <c r="D5047" t="s">
        <v>12382</v>
      </c>
      <c r="E5047">
        <f>number_trained_module_cchange_global_teaching_m</f>
        <v>0</v>
      </c>
      <c r="F5047" t="b">
        <v>1</v>
      </c>
    </row>
    <row r="5048" spans="1:6" x14ac:dyDescent="0.35">
      <c r="A5048" t="s">
        <v>12290</v>
      </c>
      <c r="B5048" t="s">
        <v>11736</v>
      </c>
      <c r="C5048" t="s">
        <v>12290</v>
      </c>
      <c r="D5048" t="s">
        <v>12383</v>
      </c>
      <c r="E5048">
        <f>number_trained_module_cchange_global_teaching_f</f>
        <v>0</v>
      </c>
      <c r="F5048" t="b">
        <v>1</v>
      </c>
    </row>
    <row r="5049" spans="1:6" x14ac:dyDescent="0.35">
      <c r="A5049" t="s">
        <v>12291</v>
      </c>
      <c r="B5049" t="s">
        <v>11736</v>
      </c>
      <c r="C5049" t="s">
        <v>12291</v>
      </c>
      <c r="D5049" t="s">
        <v>12384</v>
      </c>
      <c r="E5049">
        <f>number_trained_module_cchange_global_nonteaching_m</f>
        <v>0</v>
      </c>
      <c r="F5049" t="b">
        <v>1</v>
      </c>
    </row>
    <row r="5050" spans="1:6" x14ac:dyDescent="0.35">
      <c r="A5050" t="s">
        <v>12292</v>
      </c>
      <c r="B5050" t="s">
        <v>11736</v>
      </c>
      <c r="C5050" t="s">
        <v>12292</v>
      </c>
      <c r="D5050" t="s">
        <v>12385</v>
      </c>
      <c r="E5050">
        <f>number_trained_module_cchange_global_nonteaching_f</f>
        <v>0</v>
      </c>
      <c r="F5050" t="b">
        <v>1</v>
      </c>
    </row>
    <row r="5051" spans="1:6" x14ac:dyDescent="0.35">
      <c r="A5051" t="s">
        <v>12293</v>
      </c>
      <c r="B5051" t="s">
        <v>11736</v>
      </c>
      <c r="C5051" t="s">
        <v>12293</v>
      </c>
      <c r="D5051" t="s">
        <v>12386</v>
      </c>
      <c r="E5051">
        <f>number_trained_module_peace_conflict_teaching_m</f>
        <v>0</v>
      </c>
      <c r="F5051" t="b">
        <v>1</v>
      </c>
    </row>
    <row r="5052" spans="1:6" x14ac:dyDescent="0.35">
      <c r="A5052" t="s">
        <v>12294</v>
      </c>
      <c r="B5052" t="s">
        <v>11736</v>
      </c>
      <c r="C5052" t="s">
        <v>12294</v>
      </c>
      <c r="D5052" t="s">
        <v>12387</v>
      </c>
      <c r="E5052">
        <f>number_trained_module_peace_conflict_teaching_f</f>
        <v>0</v>
      </c>
      <c r="F5052" t="b">
        <v>1</v>
      </c>
    </row>
    <row r="5053" spans="1:6" x14ac:dyDescent="0.35">
      <c r="A5053" t="s">
        <v>12295</v>
      </c>
      <c r="B5053" t="s">
        <v>11736</v>
      </c>
      <c r="C5053" t="s">
        <v>12295</v>
      </c>
      <c r="D5053" t="s">
        <v>12388</v>
      </c>
      <c r="E5053">
        <f>number_trained_module_peace_conflict_nonteaching_m</f>
        <v>0</v>
      </c>
      <c r="F5053" t="b">
        <v>1</v>
      </c>
    </row>
    <row r="5054" spans="1:6" x14ac:dyDescent="0.35">
      <c r="A5054" t="s">
        <v>12296</v>
      </c>
      <c r="B5054" t="s">
        <v>11736</v>
      </c>
      <c r="C5054" t="s">
        <v>12296</v>
      </c>
      <c r="D5054" t="s">
        <v>12389</v>
      </c>
      <c r="E5054">
        <f>number_trained_module_peace_conflict_nonteaching_f</f>
        <v>0</v>
      </c>
      <c r="F5054" t="b">
        <v>1</v>
      </c>
    </row>
    <row r="5055" spans="1:6" x14ac:dyDescent="0.35">
      <c r="A5055" t="s">
        <v>12297</v>
      </c>
      <c r="B5055" t="s">
        <v>11736</v>
      </c>
      <c r="C5055" t="s">
        <v>12297</v>
      </c>
      <c r="D5055" t="s">
        <v>12390</v>
      </c>
      <c r="E5055">
        <f>number_trained_module_sensitive_educ_teaching_m</f>
        <v>0</v>
      </c>
      <c r="F5055" t="b">
        <v>1</v>
      </c>
    </row>
    <row r="5056" spans="1:6" x14ac:dyDescent="0.35">
      <c r="A5056" t="s">
        <v>12298</v>
      </c>
      <c r="B5056" t="s">
        <v>11736</v>
      </c>
      <c r="C5056" t="s">
        <v>12298</v>
      </c>
      <c r="D5056" t="s">
        <v>12391</v>
      </c>
      <c r="E5056">
        <f>number_trained_module_sensitive_educ_teaching_f</f>
        <v>0</v>
      </c>
      <c r="F5056" t="b">
        <v>1</v>
      </c>
    </row>
    <row r="5057" spans="1:6" x14ac:dyDescent="0.35">
      <c r="A5057" t="s">
        <v>12299</v>
      </c>
      <c r="B5057" t="s">
        <v>11736</v>
      </c>
      <c r="C5057" t="s">
        <v>12299</v>
      </c>
      <c r="D5057" t="s">
        <v>12392</v>
      </c>
      <c r="E5057">
        <f>number_trained_module_sensitive_educ_nonteaching_m</f>
        <v>0</v>
      </c>
      <c r="F5057" t="b">
        <v>1</v>
      </c>
    </row>
    <row r="5058" spans="1:6" x14ac:dyDescent="0.35">
      <c r="A5058" t="s">
        <v>12300</v>
      </c>
      <c r="B5058" t="s">
        <v>11736</v>
      </c>
      <c r="C5058" t="s">
        <v>12300</v>
      </c>
      <c r="D5058" t="s">
        <v>12393</v>
      </c>
      <c r="E5058">
        <f>number_trained_module_sensitive_educ_nonteaching_f</f>
        <v>0</v>
      </c>
      <c r="F5058" t="b">
        <v>1</v>
      </c>
    </row>
    <row r="5059" spans="1:6" x14ac:dyDescent="0.35">
      <c r="A5059" t="s">
        <v>12301</v>
      </c>
      <c r="B5059" t="s">
        <v>11736</v>
      </c>
      <c r="C5059" t="s">
        <v>12301</v>
      </c>
      <c r="D5059" t="s">
        <v>12394</v>
      </c>
      <c r="E5059">
        <f>number_trained_module_mhpss_teaching_m</f>
        <v>0</v>
      </c>
      <c r="F5059" t="b">
        <v>1</v>
      </c>
    </row>
    <row r="5060" spans="1:6" x14ac:dyDescent="0.35">
      <c r="A5060" t="s">
        <v>12302</v>
      </c>
      <c r="B5060" t="s">
        <v>11736</v>
      </c>
      <c r="C5060" t="s">
        <v>12302</v>
      </c>
      <c r="D5060" t="s">
        <v>12395</v>
      </c>
      <c r="E5060">
        <f>number_trained_module_mhpss_teaching_f</f>
        <v>0</v>
      </c>
      <c r="F5060" t="b">
        <v>1</v>
      </c>
    </row>
    <row r="5061" spans="1:6" x14ac:dyDescent="0.35">
      <c r="A5061" t="s">
        <v>12303</v>
      </c>
      <c r="B5061" t="s">
        <v>11736</v>
      </c>
      <c r="C5061" t="s">
        <v>12303</v>
      </c>
      <c r="D5061" t="s">
        <v>12396</v>
      </c>
      <c r="E5061">
        <f>number_trained_module_mhpss_nonteaching_m</f>
        <v>0</v>
      </c>
      <c r="F5061" t="b">
        <v>1</v>
      </c>
    </row>
    <row r="5062" spans="1:6" x14ac:dyDescent="0.35">
      <c r="A5062" t="s">
        <v>12304</v>
      </c>
      <c r="B5062" t="s">
        <v>11736</v>
      </c>
      <c r="C5062" t="s">
        <v>12304</v>
      </c>
      <c r="D5062" t="s">
        <v>12397</v>
      </c>
      <c r="E5062">
        <f>number_trained_module_mhpss_nonteaching_f</f>
        <v>0</v>
      </c>
      <c r="F5062" t="b">
        <v>1</v>
      </c>
    </row>
    <row r="5063" spans="1:6" x14ac:dyDescent="0.35">
      <c r="A5063" t="s">
        <v>12305</v>
      </c>
      <c r="B5063" t="s">
        <v>11736</v>
      </c>
      <c r="C5063" t="s">
        <v>12305</v>
      </c>
      <c r="D5063" t="s">
        <v>12398</v>
      </c>
      <c r="E5063">
        <f>number_trained_module_life_support_teaching_m</f>
        <v>0</v>
      </c>
      <c r="F5063" t="b">
        <v>1</v>
      </c>
    </row>
    <row r="5064" spans="1:6" x14ac:dyDescent="0.35">
      <c r="A5064" t="s">
        <v>12306</v>
      </c>
      <c r="B5064" t="s">
        <v>11736</v>
      </c>
      <c r="C5064" t="s">
        <v>12306</v>
      </c>
      <c r="D5064" t="s">
        <v>12399</v>
      </c>
      <c r="E5064">
        <f>number_trained_module_life_support_teaching_f</f>
        <v>0</v>
      </c>
      <c r="F5064" t="b">
        <v>1</v>
      </c>
    </row>
    <row r="5065" spans="1:6" x14ac:dyDescent="0.35">
      <c r="A5065" t="s">
        <v>12307</v>
      </c>
      <c r="B5065" t="s">
        <v>11736</v>
      </c>
      <c r="C5065" t="s">
        <v>12307</v>
      </c>
      <c r="D5065" t="s">
        <v>12400</v>
      </c>
      <c r="E5065">
        <f>number_trained_module_life_support_nonteaching_m</f>
        <v>0</v>
      </c>
      <c r="F5065" t="b">
        <v>1</v>
      </c>
    </row>
    <row r="5066" spans="1:6" x14ac:dyDescent="0.35">
      <c r="A5066" t="s">
        <v>12308</v>
      </c>
      <c r="B5066" t="s">
        <v>11736</v>
      </c>
      <c r="C5066" t="s">
        <v>12308</v>
      </c>
      <c r="D5066" t="s">
        <v>12401</v>
      </c>
      <c r="E5066">
        <f>number_trained_module_life_support_nonteaching_f</f>
        <v>0</v>
      </c>
      <c r="F5066" t="b">
        <v>1</v>
      </c>
    </row>
    <row r="5067" spans="1:6" x14ac:dyDescent="0.35">
      <c r="A5067" t="s">
        <v>12309</v>
      </c>
      <c r="B5067" t="s">
        <v>11736</v>
      </c>
      <c r="C5067" t="s">
        <v>12309</v>
      </c>
      <c r="D5067" t="s">
        <v>12402</v>
      </c>
      <c r="E5067">
        <f>number_trained_module_staff_safety_teaching_m</f>
        <v>0</v>
      </c>
      <c r="F5067" t="b">
        <v>1</v>
      </c>
    </row>
    <row r="5068" spans="1:6" x14ac:dyDescent="0.35">
      <c r="A5068" t="s">
        <v>12310</v>
      </c>
      <c r="B5068" t="s">
        <v>11736</v>
      </c>
      <c r="C5068" t="s">
        <v>12310</v>
      </c>
      <c r="D5068" t="s">
        <v>12403</v>
      </c>
      <c r="E5068">
        <f>number_trained_module_staff_safety_teaching_f</f>
        <v>0</v>
      </c>
      <c r="F5068" t="b">
        <v>1</v>
      </c>
    </row>
    <row r="5069" spans="1:6" x14ac:dyDescent="0.35">
      <c r="A5069" t="s">
        <v>12311</v>
      </c>
      <c r="B5069" t="s">
        <v>11736</v>
      </c>
      <c r="C5069" t="s">
        <v>12311</v>
      </c>
      <c r="D5069" t="s">
        <v>12404</v>
      </c>
      <c r="E5069">
        <f>number_trained_module_staff_safety_nonteaching_m</f>
        <v>0</v>
      </c>
      <c r="F5069" t="b">
        <v>1</v>
      </c>
    </row>
    <row r="5070" spans="1:6" x14ac:dyDescent="0.35">
      <c r="A5070" t="s">
        <v>12312</v>
      </c>
      <c r="B5070" t="s">
        <v>11736</v>
      </c>
      <c r="C5070" t="s">
        <v>12312</v>
      </c>
      <c r="D5070" t="s">
        <v>12405</v>
      </c>
      <c r="E5070">
        <f>number_trained_module_staff_safety_nonteaching_f</f>
        <v>0</v>
      </c>
      <c r="F5070" t="b">
        <v>1</v>
      </c>
    </row>
    <row r="5071" spans="1:6" x14ac:dyDescent="0.35">
      <c r="A5071" t="s">
        <v>12313</v>
      </c>
      <c r="B5071" t="s">
        <v>11736</v>
      </c>
      <c r="C5071" t="s">
        <v>12313</v>
      </c>
      <c r="D5071" t="s">
        <v>12406</v>
      </c>
      <c r="E5071">
        <f>number_trained_module_others_specify</f>
        <v>0</v>
      </c>
      <c r="F5071" t="b">
        <v>1</v>
      </c>
    </row>
    <row r="5072" spans="1:6" x14ac:dyDescent="0.35">
      <c r="A5072" t="s">
        <v>12314</v>
      </c>
      <c r="B5072" t="s">
        <v>11736</v>
      </c>
      <c r="C5072" t="s">
        <v>12314</v>
      </c>
      <c r="D5072" t="s">
        <v>12407</v>
      </c>
      <c r="E5072">
        <f>number_trained_module_others_teaching_m</f>
        <v>0</v>
      </c>
      <c r="F5072" t="b">
        <v>1</v>
      </c>
    </row>
    <row r="5073" spans="1:7" x14ac:dyDescent="0.35">
      <c r="A5073" t="s">
        <v>12315</v>
      </c>
      <c r="B5073" t="s">
        <v>11736</v>
      </c>
      <c r="C5073" t="s">
        <v>12315</v>
      </c>
      <c r="D5073" t="s">
        <v>12408</v>
      </c>
      <c r="E5073">
        <f>number_trained_module_others_teaching_f</f>
        <v>0</v>
      </c>
      <c r="F5073" t="b">
        <v>1</v>
      </c>
    </row>
    <row r="5074" spans="1:7" x14ac:dyDescent="0.35">
      <c r="A5074" t="s">
        <v>12316</v>
      </c>
      <c r="B5074" t="s">
        <v>11736</v>
      </c>
      <c r="C5074" t="s">
        <v>12316</v>
      </c>
      <c r="D5074" t="s">
        <v>12409</v>
      </c>
      <c r="E5074">
        <f>number_trained_module_others_nonteaching_m</f>
        <v>0</v>
      </c>
      <c r="F5074" t="b">
        <v>1</v>
      </c>
    </row>
    <row r="5075" spans="1:7" x14ac:dyDescent="0.35">
      <c r="A5075" t="s">
        <v>12317</v>
      </c>
      <c r="B5075" t="s">
        <v>11736</v>
      </c>
      <c r="C5075" t="s">
        <v>12317</v>
      </c>
      <c r="D5075" t="s">
        <v>12410</v>
      </c>
      <c r="E5075">
        <f>number_trained_module_others_nonteaching_f</f>
        <v>0</v>
      </c>
      <c r="F5075" t="b">
        <v>1</v>
      </c>
    </row>
    <row r="5076" spans="1:7" x14ac:dyDescent="0.35">
      <c r="A5076" t="s">
        <v>8428</v>
      </c>
      <c r="B5076" t="s">
        <v>11736</v>
      </c>
      <c r="C5076" t="s">
        <v>8428</v>
      </c>
      <c r="D5076" t="s">
        <v>12447</v>
      </c>
      <c r="E5076" cm="1">
        <f t="array" ref="E5076">completed_acceidited_course_m_teach</f>
        <v>0</v>
      </c>
      <c r="F5076" t="b">
        <v>1</v>
      </c>
    </row>
    <row r="5077" spans="1:7" x14ac:dyDescent="0.35">
      <c r="A5077" t="s">
        <v>8429</v>
      </c>
      <c r="B5077" t="s">
        <v>11736</v>
      </c>
      <c r="C5077" t="s">
        <v>8429</v>
      </c>
      <c r="D5077" t="s">
        <v>12448</v>
      </c>
      <c r="E5077" cm="1">
        <f t="array" ref="E5077">completed_acceidited_course_f_teach</f>
        <v>0</v>
      </c>
      <c r="F5077" t="b">
        <v>1</v>
      </c>
    </row>
    <row r="5078" spans="1:7" x14ac:dyDescent="0.35">
      <c r="A5078" t="s">
        <v>8430</v>
      </c>
      <c r="B5078" t="s">
        <v>11736</v>
      </c>
      <c r="C5078" t="s">
        <v>8430</v>
      </c>
      <c r="D5078" t="s">
        <v>12449</v>
      </c>
      <c r="E5078" cm="1">
        <f t="array" ref="E5078">completed_acceidited_course_m_nonteach</f>
        <v>0</v>
      </c>
      <c r="F5078" t="b">
        <v>1</v>
      </c>
    </row>
    <row r="5079" spans="1:7" x14ac:dyDescent="0.35">
      <c r="A5079" t="s">
        <v>8431</v>
      </c>
      <c r="B5079" t="s">
        <v>11736</v>
      </c>
      <c r="C5079" t="s">
        <v>8431</v>
      </c>
      <c r="D5079" t="s">
        <v>12450</v>
      </c>
      <c r="E5079" cm="1">
        <f t="array" ref="E5079">completed_acceidited_course_f_nonteach</f>
        <v>0</v>
      </c>
      <c r="F5079" t="b">
        <v>1</v>
      </c>
    </row>
    <row r="5080" spans="1:7" x14ac:dyDescent="0.35">
      <c r="A5080" t="s">
        <v>8432</v>
      </c>
      <c r="B5080" t="s">
        <v>11736</v>
      </c>
      <c r="C5080" t="s">
        <v>8432</v>
      </c>
      <c r="D5080" t="s">
        <v>12451</v>
      </c>
      <c r="E5080" cm="1">
        <f t="array" ref="E5080">teachers_trained_integratingdrrmccampeace_male</f>
        <v>0</v>
      </c>
      <c r="F5080" t="b">
        <v>1</v>
      </c>
    </row>
    <row r="5081" spans="1:7" x14ac:dyDescent="0.35">
      <c r="A5081" t="s">
        <v>8433</v>
      </c>
      <c r="B5081" t="s">
        <v>11736</v>
      </c>
      <c r="C5081" t="s">
        <v>8433</v>
      </c>
      <c r="D5081" t="s">
        <v>12452</v>
      </c>
      <c r="E5081" cm="1">
        <f t="array" ref="E5081">teachers_trained_integratingdrrmccampeace_female</f>
        <v>0</v>
      </c>
      <c r="F5081" t="b">
        <v>1</v>
      </c>
    </row>
    <row r="5082" spans="1:7" x14ac:dyDescent="0.35">
      <c r="A5082" t="s">
        <v>8639</v>
      </c>
      <c r="B5082" t="s">
        <v>11736</v>
      </c>
      <c r="C5082" t="s">
        <v>8639</v>
      </c>
      <c r="D5082" t="s">
        <v>12453</v>
      </c>
      <c r="E5082" t="b" cm="1">
        <f t="array" ref="E5082">sch_depeddeveloped_mhpssmanual</f>
        <v>0</v>
      </c>
      <c r="F5082" t="b">
        <f>ISLOGICAL(E5082)</f>
        <v>1</v>
      </c>
      <c r="G5082" t="s">
        <v>12516</v>
      </c>
    </row>
    <row r="5083" spans="1:7" x14ac:dyDescent="0.35">
      <c r="A5083" t="s">
        <v>8434</v>
      </c>
      <c r="B5083" t="s">
        <v>11736</v>
      </c>
      <c r="C5083" t="s">
        <v>8434</v>
      </c>
      <c r="D5083" t="s">
        <v>12454</v>
      </c>
      <c r="E5083" cm="1">
        <f t="array" ref="E5083">mhpss_conducted_drrm_learner</f>
        <v>0</v>
      </c>
      <c r="F5083" t="b">
        <v>1</v>
      </c>
    </row>
    <row r="5084" spans="1:7" x14ac:dyDescent="0.35">
      <c r="A5084" t="s">
        <v>8435</v>
      </c>
      <c r="B5084" t="s">
        <v>11736</v>
      </c>
      <c r="C5084" t="s">
        <v>8435</v>
      </c>
      <c r="D5084" t="s">
        <v>12455</v>
      </c>
      <c r="E5084" cm="1">
        <f t="array" ref="E5084">mhpss_conducted_drrm_teacher</f>
        <v>0</v>
      </c>
      <c r="F5084" t="b">
        <v>1</v>
      </c>
    </row>
    <row r="5085" spans="1:7" x14ac:dyDescent="0.35">
      <c r="A5085" t="s">
        <v>8436</v>
      </c>
      <c r="B5085" t="s">
        <v>11736</v>
      </c>
      <c r="C5085" t="s">
        <v>8436</v>
      </c>
      <c r="D5085" t="s">
        <v>12456</v>
      </c>
      <c r="E5085" cm="1">
        <f t="array" ref="E5085">mhpss_conducted_ccam_learner</f>
        <v>0</v>
      </c>
      <c r="F5085" t="b">
        <v>1</v>
      </c>
    </row>
    <row r="5086" spans="1:7" x14ac:dyDescent="0.35">
      <c r="A5086" t="s">
        <v>8437</v>
      </c>
      <c r="B5086" t="s">
        <v>11736</v>
      </c>
      <c r="C5086" t="s">
        <v>8437</v>
      </c>
      <c r="D5086" t="s">
        <v>12457</v>
      </c>
      <c r="E5086" cm="1">
        <f t="array" ref="E5086">mhpss_conducted_ccam_teacher</f>
        <v>0</v>
      </c>
      <c r="F5086" t="b">
        <v>1</v>
      </c>
    </row>
    <row r="5087" spans="1:7" x14ac:dyDescent="0.35">
      <c r="A5087" t="s">
        <v>8438</v>
      </c>
      <c r="B5087" t="s">
        <v>11736</v>
      </c>
      <c r="C5087" t="s">
        <v>8438</v>
      </c>
      <c r="D5087" t="s">
        <v>12458</v>
      </c>
      <c r="E5087" cm="1">
        <f t="array" ref="E5087">mhpss_conducted_peacebuilding_learner</f>
        <v>0</v>
      </c>
      <c r="F5087" t="b">
        <v>1</v>
      </c>
    </row>
    <row r="5088" spans="1:7" x14ac:dyDescent="0.35">
      <c r="A5088" t="s">
        <v>8439</v>
      </c>
      <c r="B5088" t="s">
        <v>11736</v>
      </c>
      <c r="C5088" t="s">
        <v>8439</v>
      </c>
      <c r="D5088" t="s">
        <v>12459</v>
      </c>
      <c r="E5088" cm="1">
        <f t="array" ref="E5088">mhpss_conducted_peacebuilding_teacher</f>
        <v>0</v>
      </c>
      <c r="F5088" t="b">
        <v>1</v>
      </c>
    </row>
    <row r="5089" spans="1:14" x14ac:dyDescent="0.35">
      <c r="A5089" t="s">
        <v>8440</v>
      </c>
      <c r="B5089" t="s">
        <v>11736</v>
      </c>
      <c r="C5089" t="s">
        <v>8440</v>
      </c>
      <c r="D5089" t="s">
        <v>12460</v>
      </c>
      <c r="E5089" cm="1">
        <f t="array" ref="E5089">trained_mhpss_pfa_teaching_m</f>
        <v>0</v>
      </c>
      <c r="F5089" t="b">
        <v>1</v>
      </c>
    </row>
    <row r="5090" spans="1:14" x14ac:dyDescent="0.35">
      <c r="A5090" t="s">
        <v>8441</v>
      </c>
      <c r="B5090" t="s">
        <v>11736</v>
      </c>
      <c r="C5090" t="s">
        <v>8441</v>
      </c>
      <c r="D5090" t="s">
        <v>12461</v>
      </c>
      <c r="E5090" cm="1">
        <f t="array" ref="E5090">trained_mhpss_pfa_teaching_f</f>
        <v>0</v>
      </c>
      <c r="F5090" t="b">
        <v>1</v>
      </c>
    </row>
    <row r="5091" spans="1:14" x14ac:dyDescent="0.35">
      <c r="A5091" t="s">
        <v>8442</v>
      </c>
      <c r="B5091" t="s">
        <v>11736</v>
      </c>
      <c r="C5091" t="s">
        <v>8442</v>
      </c>
      <c r="D5091" t="s">
        <v>12462</v>
      </c>
      <c r="E5091" cm="1">
        <f t="array" ref="E5091">trained_mhpss_pfa_nonteaching_m</f>
        <v>0</v>
      </c>
      <c r="F5091" t="b">
        <v>1</v>
      </c>
    </row>
    <row r="5092" spans="1:14" x14ac:dyDescent="0.35">
      <c r="A5092" t="s">
        <v>8443</v>
      </c>
      <c r="B5092" t="s">
        <v>11736</v>
      </c>
      <c r="C5092" t="s">
        <v>8443</v>
      </c>
      <c r="D5092" t="s">
        <v>12463</v>
      </c>
      <c r="E5092" cm="1">
        <f t="array" ref="E5092">trained_mhpss_pfa_nonteaching_f</f>
        <v>0</v>
      </c>
      <c r="F5092" t="b">
        <v>1</v>
      </c>
    </row>
    <row r="5093" spans="1:14" x14ac:dyDescent="0.35">
      <c r="A5093" t="s">
        <v>8444</v>
      </c>
      <c r="B5093" t="s">
        <v>11736</v>
      </c>
      <c r="C5093" t="s">
        <v>8444</v>
      </c>
      <c r="D5093" t="s">
        <v>12464</v>
      </c>
      <c r="E5093" cm="1">
        <f t="array" ref="E5093">lrnrs_ptop_mhpss_m_excluding</f>
        <v>0</v>
      </c>
      <c r="F5093" t="b">
        <v>1</v>
      </c>
    </row>
    <row r="5094" spans="1:14" x14ac:dyDescent="0.35">
      <c r="A5094" t="s">
        <v>8445</v>
      </c>
      <c r="B5094" t="s">
        <v>11736</v>
      </c>
      <c r="C5094" t="s">
        <v>8445</v>
      </c>
      <c r="D5094" t="s">
        <v>12466</v>
      </c>
      <c r="E5094" cm="1">
        <f t="array" ref="E5094">lrnrs_ptop_mhpss_f_excluding</f>
        <v>0</v>
      </c>
      <c r="F5094" t="b">
        <v>1</v>
      </c>
    </row>
    <row r="5095" spans="1:14" x14ac:dyDescent="0.35">
      <c r="A5095" t="s">
        <v>8446</v>
      </c>
      <c r="B5095" t="s">
        <v>11736</v>
      </c>
      <c r="C5095" t="s">
        <v>8446</v>
      </c>
      <c r="D5095" t="s">
        <v>12465</v>
      </c>
      <c r="E5095" cm="1">
        <f t="array" ref="E5095">lrnrs_ptop_mhpss_m_ip</f>
        <v>0</v>
      </c>
      <c r="F5095" t="b">
        <v>1</v>
      </c>
    </row>
    <row r="5096" spans="1:14" x14ac:dyDescent="0.35">
      <c r="A5096" t="s">
        <v>8447</v>
      </c>
      <c r="B5096" t="s">
        <v>11736</v>
      </c>
      <c r="C5096" t="s">
        <v>8447</v>
      </c>
      <c r="D5096" t="s">
        <v>12467</v>
      </c>
      <c r="E5096" cm="1">
        <f t="array" ref="E5096">lrnrs_ptop_mhpss_f_ip</f>
        <v>0</v>
      </c>
      <c r="F5096" t="b">
        <v>1</v>
      </c>
    </row>
    <row r="5097" spans="1:14" x14ac:dyDescent="0.35">
      <c r="A5097" t="s">
        <v>8448</v>
      </c>
      <c r="B5097" t="s">
        <v>11736</v>
      </c>
      <c r="C5097" t="s">
        <v>8448</v>
      </c>
      <c r="D5097" t="s">
        <v>12468</v>
      </c>
      <c r="E5097" cm="1">
        <f t="array" ref="E5097">lrnrs_ptop_mhpss_m_muslim</f>
        <v>0</v>
      </c>
      <c r="F5097" t="b">
        <v>1</v>
      </c>
    </row>
    <row r="5098" spans="1:14" x14ac:dyDescent="0.35">
      <c r="A5098" t="s">
        <v>8449</v>
      </c>
      <c r="B5098" t="s">
        <v>11736</v>
      </c>
      <c r="C5098" t="s">
        <v>8449</v>
      </c>
      <c r="D5098" t="s">
        <v>12469</v>
      </c>
      <c r="E5098" cm="1">
        <f t="array" ref="E5098">lrnrs_ptop_mhpss_f_muslim</f>
        <v>0</v>
      </c>
      <c r="F5098" t="b">
        <v>1</v>
      </c>
    </row>
    <row r="5099" spans="1:14" x14ac:dyDescent="0.35">
      <c r="A5099" t="s">
        <v>8450</v>
      </c>
      <c r="B5099" t="s">
        <v>11736</v>
      </c>
      <c r="C5099" t="s">
        <v>8450</v>
      </c>
      <c r="D5099" t="s">
        <v>12470</v>
      </c>
      <c r="E5099" cm="1">
        <f t="array" ref="E5099">lrnrs_ptop_mhpss_m_pwd</f>
        <v>0</v>
      </c>
      <c r="F5099" t="b">
        <v>1</v>
      </c>
    </row>
    <row r="5100" spans="1:14" s="1348" customFormat="1" ht="16" thickBot="1" x14ac:dyDescent="0.4">
      <c r="A5100" s="1348" t="s">
        <v>8451</v>
      </c>
      <c r="B5100" s="1348" t="s">
        <v>11736</v>
      </c>
      <c r="C5100" s="1348" t="s">
        <v>8451</v>
      </c>
      <c r="D5100" s="1348" t="s">
        <v>12471</v>
      </c>
      <c r="E5100" s="1348" cm="1">
        <f t="array" ref="E5100">lrnrs_ptop_mhpss_f_pwd</f>
        <v>0</v>
      </c>
      <c r="F5100" s="1348" t="b">
        <v>1</v>
      </c>
      <c r="N5100" s="1358"/>
    </row>
    <row r="5101" spans="1:14" x14ac:dyDescent="0.35">
      <c r="A5101" t="s">
        <v>6663</v>
      </c>
      <c r="B5101" t="s">
        <v>6664</v>
      </c>
      <c r="C5101" t="s">
        <v>6663</v>
      </c>
      <c r="D5101" t="s">
        <v>12474</v>
      </c>
      <c r="E5101" t="b">
        <f>iped_peace_educ</f>
        <v>0</v>
      </c>
      <c r="F5101" t="b">
        <f>ISLOGICAL(E5101)</f>
        <v>1</v>
      </c>
      <c r="G5101" t="s">
        <v>12516</v>
      </c>
      <c r="N5101" s="1346"/>
    </row>
    <row r="5102" spans="1:14" x14ac:dyDescent="0.35">
      <c r="A5102" t="s">
        <v>6665</v>
      </c>
      <c r="B5102" t="s">
        <v>6664</v>
      </c>
      <c r="C5102" t="s">
        <v>6665</v>
      </c>
      <c r="D5102" t="s">
        <v>12475</v>
      </c>
      <c r="E5102" t="b">
        <f>iped_cannotbereach_loc</f>
        <v>0</v>
      </c>
      <c r="F5102" t="b">
        <f>ISLOGICAL(E5102)</f>
        <v>1</v>
      </c>
      <c r="G5102" t="s">
        <v>12516</v>
      </c>
      <c r="N5102" s="1346"/>
    </row>
    <row r="5103" spans="1:14" x14ac:dyDescent="0.35">
      <c r="A5103" t="s">
        <v>6666</v>
      </c>
      <c r="B5103" t="s">
        <v>6664</v>
      </c>
      <c r="C5103" t="s">
        <v>6666</v>
      </c>
      <c r="D5103" s="1353" t="s">
        <v>12476</v>
      </c>
      <c r="E5103" t="b">
        <f>iped_occationaldangerous</f>
        <v>0</v>
      </c>
      <c r="F5103" t="b">
        <f>ISLOGICAL(E5103)</f>
        <v>1</v>
      </c>
      <c r="G5103" t="s">
        <v>12516</v>
      </c>
      <c r="N5103" s="1346"/>
    </row>
    <row r="5104" spans="1:14" x14ac:dyDescent="0.35">
      <c r="A5104" t="s">
        <v>6667</v>
      </c>
      <c r="B5104" t="s">
        <v>6664</v>
      </c>
      <c r="C5104" t="s">
        <v>6667</v>
      </c>
      <c r="D5104" s="1353" t="s">
        <v>12477</v>
      </c>
      <c r="E5104">
        <f>iped_teachres_wtnsch_m_g7</f>
        <v>0</v>
      </c>
      <c r="F5104" t="b">
        <v>1</v>
      </c>
      <c r="N5104" s="1346"/>
    </row>
    <row r="5105" spans="1:14" x14ac:dyDescent="0.35">
      <c r="A5105" t="s">
        <v>6669</v>
      </c>
      <c r="B5105" t="s">
        <v>6664</v>
      </c>
      <c r="C5105" t="s">
        <v>6669</v>
      </c>
      <c r="D5105" s="1353" t="s">
        <v>12478</v>
      </c>
      <c r="E5105">
        <f>iped_teachres_wtnsch_f_g7</f>
        <v>0</v>
      </c>
      <c r="F5105" t="b">
        <v>1</v>
      </c>
      <c r="N5105" s="1346"/>
    </row>
    <row r="5106" spans="1:14" x14ac:dyDescent="0.35">
      <c r="A5106" t="s">
        <v>6671</v>
      </c>
      <c r="B5106" t="s">
        <v>6664</v>
      </c>
      <c r="C5106" t="s">
        <v>6671</v>
      </c>
      <c r="D5106" s="1353" t="s">
        <v>12479</v>
      </c>
      <c r="E5106">
        <f>iped_teachres_wtnsch_m_g8</f>
        <v>0</v>
      </c>
      <c r="F5106" t="b">
        <v>1</v>
      </c>
      <c r="N5106" s="1346"/>
    </row>
    <row r="5107" spans="1:14" x14ac:dyDescent="0.35">
      <c r="A5107" t="s">
        <v>6673</v>
      </c>
      <c r="B5107" t="s">
        <v>6664</v>
      </c>
      <c r="C5107" t="s">
        <v>6673</v>
      </c>
      <c r="D5107" s="1353" t="s">
        <v>12480</v>
      </c>
      <c r="E5107">
        <f>iped_teachres_wtnsch_f_g8</f>
        <v>0</v>
      </c>
      <c r="F5107" t="b">
        <v>1</v>
      </c>
      <c r="N5107" s="1346"/>
    </row>
    <row r="5108" spans="1:14" x14ac:dyDescent="0.35">
      <c r="A5108" t="s">
        <v>6675</v>
      </c>
      <c r="B5108" t="s">
        <v>6664</v>
      </c>
      <c r="C5108" t="s">
        <v>6675</v>
      </c>
      <c r="D5108" s="1353" t="s">
        <v>12481</v>
      </c>
      <c r="E5108">
        <f>iped_teachres_wtnsch_m_g9</f>
        <v>0</v>
      </c>
      <c r="F5108" t="b">
        <v>1</v>
      </c>
      <c r="N5108" s="1346"/>
    </row>
    <row r="5109" spans="1:14" x14ac:dyDescent="0.35">
      <c r="A5109" t="s">
        <v>6677</v>
      </c>
      <c r="B5109" t="s">
        <v>6664</v>
      </c>
      <c r="C5109" t="s">
        <v>6677</v>
      </c>
      <c r="D5109" s="1353" t="s">
        <v>12482</v>
      </c>
      <c r="E5109">
        <f>iped_teachres_wtnsch_f_g9</f>
        <v>0</v>
      </c>
      <c r="F5109" t="b">
        <v>1</v>
      </c>
      <c r="N5109" s="1346"/>
    </row>
    <row r="5110" spans="1:14" x14ac:dyDescent="0.35">
      <c r="A5110" t="s">
        <v>6679</v>
      </c>
      <c r="B5110" t="s">
        <v>6664</v>
      </c>
      <c r="C5110" t="s">
        <v>6679</v>
      </c>
      <c r="D5110" s="1353" t="s">
        <v>12483</v>
      </c>
      <c r="E5110">
        <f>iped_teachres_wtnsch_m_g10</f>
        <v>0</v>
      </c>
      <c r="F5110" t="b">
        <v>1</v>
      </c>
      <c r="N5110" s="1346"/>
    </row>
    <row r="5111" spans="1:14" x14ac:dyDescent="0.35">
      <c r="A5111" t="s">
        <v>6681</v>
      </c>
      <c r="B5111" t="s">
        <v>6664</v>
      </c>
      <c r="C5111" t="s">
        <v>6681</v>
      </c>
      <c r="D5111" s="1353" t="s">
        <v>12484</v>
      </c>
      <c r="E5111">
        <f>iped_teachres_wtnsch_f_g10</f>
        <v>0</v>
      </c>
      <c r="F5111" t="b">
        <v>1</v>
      </c>
      <c r="N5111" s="1346"/>
    </row>
    <row r="5112" spans="1:14" x14ac:dyDescent="0.35">
      <c r="A5112" t="s">
        <v>6668</v>
      </c>
      <c r="B5112" t="s">
        <v>6664</v>
      </c>
      <c r="C5112" t="s">
        <v>6668</v>
      </c>
      <c r="D5112" s="1353" t="s">
        <v>12485</v>
      </c>
      <c r="E5112">
        <f>iped_teachres_outsch_m_g7</f>
        <v>0</v>
      </c>
      <c r="F5112" t="b">
        <v>1</v>
      </c>
      <c r="N5112" s="1346"/>
    </row>
    <row r="5113" spans="1:14" x14ac:dyDescent="0.35">
      <c r="A5113" t="s">
        <v>6670</v>
      </c>
      <c r="B5113" t="s">
        <v>6664</v>
      </c>
      <c r="C5113" t="s">
        <v>6670</v>
      </c>
      <c r="D5113" s="1353" t="s">
        <v>12486</v>
      </c>
      <c r="E5113">
        <f>iped_teachres_outsch_f_g7</f>
        <v>0</v>
      </c>
      <c r="F5113" t="b">
        <v>1</v>
      </c>
      <c r="N5113" s="1346"/>
    </row>
    <row r="5114" spans="1:14" x14ac:dyDescent="0.35">
      <c r="A5114" t="s">
        <v>6672</v>
      </c>
      <c r="B5114" t="s">
        <v>6664</v>
      </c>
      <c r="C5114" t="s">
        <v>6672</v>
      </c>
      <c r="D5114" s="1353" t="s">
        <v>12487</v>
      </c>
      <c r="E5114">
        <f>iped_teachres_outsch_m_g8</f>
        <v>0</v>
      </c>
      <c r="F5114" t="b">
        <v>1</v>
      </c>
      <c r="N5114" s="1346"/>
    </row>
    <row r="5115" spans="1:14" x14ac:dyDescent="0.35">
      <c r="A5115" t="s">
        <v>6674</v>
      </c>
      <c r="B5115" t="s">
        <v>6664</v>
      </c>
      <c r="C5115" t="s">
        <v>6674</v>
      </c>
      <c r="D5115" s="1353" t="s">
        <v>12488</v>
      </c>
      <c r="E5115">
        <f>iped_teachres_outsch_f_g8</f>
        <v>0</v>
      </c>
      <c r="F5115" t="b">
        <v>1</v>
      </c>
      <c r="N5115" s="1346"/>
    </row>
    <row r="5116" spans="1:14" x14ac:dyDescent="0.35">
      <c r="A5116" t="s">
        <v>6676</v>
      </c>
      <c r="B5116" t="s">
        <v>6664</v>
      </c>
      <c r="C5116" t="s">
        <v>6676</v>
      </c>
      <c r="D5116" s="1353" t="s">
        <v>12489</v>
      </c>
      <c r="E5116">
        <f>iped_teachres_outsch_m_g9</f>
        <v>0</v>
      </c>
      <c r="F5116" t="b">
        <v>1</v>
      </c>
      <c r="N5116" s="1346"/>
    </row>
    <row r="5117" spans="1:14" x14ac:dyDescent="0.35">
      <c r="A5117" t="s">
        <v>6678</v>
      </c>
      <c r="B5117" t="s">
        <v>6664</v>
      </c>
      <c r="C5117" t="s">
        <v>6678</v>
      </c>
      <c r="D5117" s="1353" t="s">
        <v>12490</v>
      </c>
      <c r="E5117">
        <f>iped_teachres_outsch_f_g9</f>
        <v>0</v>
      </c>
      <c r="F5117" t="b">
        <v>1</v>
      </c>
      <c r="N5117" s="1346"/>
    </row>
    <row r="5118" spans="1:14" x14ac:dyDescent="0.35">
      <c r="A5118" t="s">
        <v>6680</v>
      </c>
      <c r="B5118" t="s">
        <v>6664</v>
      </c>
      <c r="C5118" t="s">
        <v>6680</v>
      </c>
      <c r="D5118" s="1353" t="s">
        <v>12491</v>
      </c>
      <c r="E5118">
        <f>iped_teachres_outsch_m_g10</f>
        <v>0</v>
      </c>
      <c r="F5118" t="b">
        <v>1</v>
      </c>
      <c r="N5118" s="1346"/>
    </row>
    <row r="5119" spans="1:14" x14ac:dyDescent="0.35">
      <c r="A5119" t="s">
        <v>6682</v>
      </c>
      <c r="B5119" t="s">
        <v>6664</v>
      </c>
      <c r="C5119" t="s">
        <v>6682</v>
      </c>
      <c r="D5119" s="1353" t="s">
        <v>12492</v>
      </c>
      <c r="E5119">
        <f>iped_teachres_outsch_f_g10</f>
        <v>0</v>
      </c>
      <c r="F5119" t="b">
        <v>1</v>
      </c>
      <c r="N5119" s="1346"/>
    </row>
    <row r="5120" spans="1:14" ht="16.25" customHeight="1" x14ac:dyDescent="0.35">
      <c r="A5120" t="s">
        <v>6683</v>
      </c>
      <c r="B5120" t="s">
        <v>6664</v>
      </c>
      <c r="C5120" t="s">
        <v>6683</v>
      </c>
      <c r="D5120" s="1353" t="s">
        <v>12493</v>
      </c>
      <c r="E5120" t="b">
        <f>iped_schexp_teaching</f>
        <v>0</v>
      </c>
      <c r="F5120" t="b">
        <f>ISLOGICAL(E5120)</f>
        <v>1</v>
      </c>
      <c r="G5120" t="s">
        <v>12516</v>
      </c>
      <c r="N5120" s="1346"/>
    </row>
    <row r="5121" spans="1:14" x14ac:dyDescent="0.35">
      <c r="A5121" t="s">
        <v>8640</v>
      </c>
      <c r="B5121" t="s">
        <v>6664</v>
      </c>
      <c r="C5121" t="s">
        <v>8640</v>
      </c>
      <c r="D5121" s="1353" t="s">
        <v>12494</v>
      </c>
      <c r="E5121" t="b" cm="1">
        <f t="array" ref="E5121">iped_celebrate_ipday</f>
        <v>0</v>
      </c>
      <c r="F5121" t="b">
        <f t="shared" ref="F5121:F5125" si="32">ISLOGICAL(E5121)</f>
        <v>1</v>
      </c>
      <c r="G5121" t="s">
        <v>12516</v>
      </c>
      <c r="N5121" s="1346"/>
    </row>
    <row r="5122" spans="1:14" x14ac:dyDescent="0.35">
      <c r="A5122" t="s">
        <v>8641</v>
      </c>
      <c r="B5122" t="s">
        <v>6664</v>
      </c>
      <c r="C5122" t="s">
        <v>8641</v>
      </c>
      <c r="D5122" s="1353" t="s">
        <v>12495</v>
      </c>
      <c r="E5122" t="b" cm="1">
        <f t="array" ref="E5122">iped_schhead_ip</f>
        <v>0</v>
      </c>
      <c r="F5122" t="b">
        <f t="shared" si="32"/>
        <v>1</v>
      </c>
      <c r="G5122" t="s">
        <v>12516</v>
      </c>
      <c r="N5122" s="1346"/>
    </row>
    <row r="5123" spans="1:14" x14ac:dyDescent="0.35">
      <c r="A5123" t="s">
        <v>8642</v>
      </c>
      <c r="B5123" t="s">
        <v>6664</v>
      </c>
      <c r="C5123" t="s">
        <v>8642</v>
      </c>
      <c r="D5123" s="1353" t="s">
        <v>12498</v>
      </c>
      <c r="E5123" cm="1">
        <f t="array" ref="E5123">iped_schhead_specify</f>
        <v>0</v>
      </c>
      <c r="F5123" t="b">
        <v>1</v>
      </c>
      <c r="N5123" s="1346"/>
    </row>
    <row r="5124" spans="1:14" x14ac:dyDescent="0.35">
      <c r="A5124" t="s">
        <v>8643</v>
      </c>
      <c r="B5124" t="s">
        <v>6664</v>
      </c>
      <c r="C5124" t="s">
        <v>8643</v>
      </c>
      <c r="D5124" s="1353" t="s">
        <v>12496</v>
      </c>
      <c r="E5124" t="b" cm="1">
        <f t="array" ref="E5124">iped_celebrate_ipmonth</f>
        <v>0</v>
      </c>
      <c r="F5124" t="b">
        <f t="shared" si="32"/>
        <v>1</v>
      </c>
      <c r="G5124" t="s">
        <v>12516</v>
      </c>
      <c r="N5124" s="1346"/>
    </row>
    <row r="5125" spans="1:14" x14ac:dyDescent="0.35">
      <c r="A5125" t="s">
        <v>8644</v>
      </c>
      <c r="B5125" t="s">
        <v>6664</v>
      </c>
      <c r="C5125" t="s">
        <v>8644</v>
      </c>
      <c r="D5125" s="1353" t="s">
        <v>12497</v>
      </c>
      <c r="E5125" t="b" cm="1">
        <f t="array" ref="E5125">iped_orientation_deped</f>
        <v>0</v>
      </c>
      <c r="F5125" t="b">
        <f t="shared" si="32"/>
        <v>1</v>
      </c>
      <c r="G5125" t="s">
        <v>12516</v>
      </c>
      <c r="N5125" s="1346"/>
    </row>
    <row r="5126" spans="1:14" x14ac:dyDescent="0.35">
      <c r="A5126" t="s">
        <v>8452</v>
      </c>
      <c r="B5126" t="s">
        <v>6664</v>
      </c>
      <c r="C5126" t="s">
        <v>8452</v>
      </c>
      <c r="D5126" s="1353" t="s">
        <v>12499</v>
      </c>
      <c r="E5126" cm="1">
        <f t="array" ref="E5126">teachers_ip_m_g7</f>
        <v>0</v>
      </c>
      <c r="F5126" t="b">
        <v>1</v>
      </c>
      <c r="N5126" s="1346"/>
    </row>
    <row r="5127" spans="1:14" x14ac:dyDescent="0.35">
      <c r="A5127" t="s">
        <v>8453</v>
      </c>
      <c r="B5127" t="s">
        <v>6664</v>
      </c>
      <c r="C5127" t="s">
        <v>8453</v>
      </c>
      <c r="D5127" s="1353" t="s">
        <v>12500</v>
      </c>
      <c r="E5127" cm="1">
        <f t="array" ref="E5127">teachers_ip_f_g7</f>
        <v>0</v>
      </c>
      <c r="F5127" t="b">
        <v>1</v>
      </c>
      <c r="N5127" s="1346"/>
    </row>
    <row r="5128" spans="1:14" x14ac:dyDescent="0.35">
      <c r="A5128" t="s">
        <v>8454</v>
      </c>
      <c r="B5128" t="s">
        <v>6664</v>
      </c>
      <c r="C5128" t="s">
        <v>8454</v>
      </c>
      <c r="D5128" s="1353" t="s">
        <v>12501</v>
      </c>
      <c r="E5128" cm="1">
        <f t="array" ref="E5128">teachers_ip_m_g8</f>
        <v>0</v>
      </c>
      <c r="F5128" t="b">
        <v>1</v>
      </c>
      <c r="N5128" s="1346"/>
    </row>
    <row r="5129" spans="1:14" x14ac:dyDescent="0.35">
      <c r="A5129" t="s">
        <v>8455</v>
      </c>
      <c r="B5129" t="s">
        <v>6664</v>
      </c>
      <c r="C5129" t="s">
        <v>8455</v>
      </c>
      <c r="D5129" s="1353" t="s">
        <v>12502</v>
      </c>
      <c r="E5129" cm="1">
        <f t="array" ref="E5129">teachers_ip_f_g8</f>
        <v>0</v>
      </c>
      <c r="F5129" t="b">
        <v>1</v>
      </c>
      <c r="N5129" s="1346"/>
    </row>
    <row r="5130" spans="1:14" x14ac:dyDescent="0.35">
      <c r="A5130" t="s">
        <v>8456</v>
      </c>
      <c r="B5130" t="s">
        <v>6664</v>
      </c>
      <c r="C5130" t="s">
        <v>8456</v>
      </c>
      <c r="D5130" s="1353" t="s">
        <v>12503</v>
      </c>
      <c r="E5130" cm="1">
        <f t="array" ref="E5130">teachers_ip_m_g9</f>
        <v>0</v>
      </c>
      <c r="F5130" t="b">
        <v>1</v>
      </c>
      <c r="N5130" s="1346"/>
    </row>
    <row r="5131" spans="1:14" x14ac:dyDescent="0.35">
      <c r="A5131" t="s">
        <v>8457</v>
      </c>
      <c r="B5131" t="s">
        <v>6664</v>
      </c>
      <c r="C5131" t="s">
        <v>8457</v>
      </c>
      <c r="D5131" s="1353" t="s">
        <v>12504</v>
      </c>
      <c r="E5131" cm="1">
        <f t="array" ref="E5131">teachers_ip_f_g9</f>
        <v>0</v>
      </c>
      <c r="F5131" t="b">
        <v>1</v>
      </c>
      <c r="N5131" s="1346"/>
    </row>
    <row r="5132" spans="1:14" x14ac:dyDescent="0.35">
      <c r="A5132" t="s">
        <v>8458</v>
      </c>
      <c r="B5132" t="s">
        <v>6664</v>
      </c>
      <c r="C5132" t="s">
        <v>8458</v>
      </c>
      <c r="D5132" s="1353" t="s">
        <v>12505</v>
      </c>
      <c r="E5132" cm="1">
        <f t="array" ref="E5132">teachers_ip_m_g10</f>
        <v>0</v>
      </c>
      <c r="F5132" t="b">
        <v>1</v>
      </c>
      <c r="N5132" s="1346"/>
    </row>
    <row r="5133" spans="1:14" x14ac:dyDescent="0.35">
      <c r="A5133" t="s">
        <v>8459</v>
      </c>
      <c r="B5133" t="s">
        <v>6664</v>
      </c>
      <c r="C5133" t="s">
        <v>8459</v>
      </c>
      <c r="D5133" s="1353" t="s">
        <v>12506</v>
      </c>
      <c r="E5133" cm="1">
        <f t="array" ref="E5133">teachers_ip_f_g10</f>
        <v>0</v>
      </c>
      <c r="F5133" t="b">
        <v>1</v>
      </c>
      <c r="N5133" s="1346"/>
    </row>
    <row r="5134" spans="1:14" x14ac:dyDescent="0.35">
      <c r="A5134" t="s">
        <v>8460</v>
      </c>
      <c r="B5134" t="s">
        <v>6664</v>
      </c>
      <c r="C5134" t="s">
        <v>8460</v>
      </c>
      <c r="D5134" s="1353" t="s">
        <v>12507</v>
      </c>
      <c r="E5134" cm="1">
        <f t="array" ref="E5134">teachers_iped_orientation_m</f>
        <v>0</v>
      </c>
      <c r="F5134" t="b">
        <v>1</v>
      </c>
      <c r="N5134" s="1346"/>
    </row>
    <row r="5135" spans="1:14" x14ac:dyDescent="0.35">
      <c r="A5135" t="s">
        <v>8461</v>
      </c>
      <c r="B5135" t="s">
        <v>6664</v>
      </c>
      <c r="C5135" t="s">
        <v>8461</v>
      </c>
      <c r="D5135" s="1353" t="s">
        <v>12508</v>
      </c>
      <c r="E5135" cm="1">
        <f t="array" ref="E5135">teachers_iped_orientation_f</f>
        <v>0</v>
      </c>
      <c r="F5135" t="b">
        <v>1</v>
      </c>
      <c r="N5135" s="1346"/>
    </row>
    <row r="5136" spans="1:14" x14ac:dyDescent="0.35">
      <c r="A5136" t="s">
        <v>8462</v>
      </c>
      <c r="B5136" t="s">
        <v>6664</v>
      </c>
      <c r="C5136" t="s">
        <v>8462</v>
      </c>
      <c r="D5136" s="1353" t="s">
        <v>12509</v>
      </c>
      <c r="E5136" cm="1">
        <f t="array" ref="E5136">teachers_iped_orientation_outdeped_m</f>
        <v>0</v>
      </c>
      <c r="F5136" t="b">
        <v>1</v>
      </c>
      <c r="N5136" s="1346"/>
    </row>
    <row r="5137" spans="1:14" x14ac:dyDescent="0.35">
      <c r="A5137" t="s">
        <v>8463</v>
      </c>
      <c r="B5137" t="s">
        <v>6664</v>
      </c>
      <c r="C5137" t="s">
        <v>8463</v>
      </c>
      <c r="D5137" s="1353" t="s">
        <v>12510</v>
      </c>
      <c r="E5137" cm="1">
        <f t="array" ref="E5137">teachers_iped_orientation_outdeped_f</f>
        <v>0</v>
      </c>
      <c r="F5137" t="b">
        <v>1</v>
      </c>
      <c r="N5137" s="1346"/>
    </row>
    <row r="5138" spans="1:14" x14ac:dyDescent="0.35">
      <c r="A5138" t="s">
        <v>8464</v>
      </c>
      <c r="B5138" t="s">
        <v>6664</v>
      </c>
      <c r="C5138" t="s">
        <v>8464</v>
      </c>
      <c r="D5138" s="1353" t="s">
        <v>12511</v>
      </c>
      <c r="E5138" cm="1">
        <f t="array" ref="E5138">iplrnrs_measlesvaccine_m</f>
        <v>0</v>
      </c>
      <c r="F5138" t="b">
        <v>1</v>
      </c>
      <c r="N5138" s="1346"/>
    </row>
    <row r="5139" spans="1:14" x14ac:dyDescent="0.35">
      <c r="A5139" t="s">
        <v>8465</v>
      </c>
      <c r="B5139" t="s">
        <v>6664</v>
      </c>
      <c r="C5139" t="s">
        <v>8465</v>
      </c>
      <c r="D5139" s="1353" t="s">
        <v>12512</v>
      </c>
      <c r="E5139" cm="1">
        <f t="array" ref="E5139">iplrnrs_measlesvaccine_f</f>
        <v>0</v>
      </c>
      <c r="F5139" t="b">
        <v>1</v>
      </c>
      <c r="N5139" s="1346"/>
    </row>
    <row r="5140" spans="1:14" x14ac:dyDescent="0.35">
      <c r="A5140" t="s">
        <v>8466</v>
      </c>
      <c r="B5140" t="s">
        <v>6664</v>
      </c>
      <c r="C5140" t="s">
        <v>8466</v>
      </c>
      <c r="D5140" s="1353" t="s">
        <v>12513</v>
      </c>
      <c r="E5140" cm="1">
        <f t="array" ref="E5140">iplrnrs_tetanusvaccine_m</f>
        <v>0</v>
      </c>
      <c r="F5140" t="b">
        <v>1</v>
      </c>
      <c r="N5140" s="1346"/>
    </row>
    <row r="5141" spans="1:14" x14ac:dyDescent="0.35">
      <c r="A5141" t="s">
        <v>8467</v>
      </c>
      <c r="B5141" t="s">
        <v>6664</v>
      </c>
      <c r="C5141" t="s">
        <v>8467</v>
      </c>
      <c r="D5141" s="1353" t="s">
        <v>12514</v>
      </c>
      <c r="E5141" cm="1">
        <f t="array" ref="E5141">iplrnrs_tetanusvaccine_f</f>
        <v>0</v>
      </c>
      <c r="F5141" t="b">
        <v>1</v>
      </c>
      <c r="N5141" s="1346"/>
    </row>
    <row r="5142" spans="1:14" x14ac:dyDescent="0.35">
      <c r="A5142" t="s">
        <v>8645</v>
      </c>
      <c r="B5142" t="s">
        <v>6664</v>
      </c>
      <c r="C5142" t="s">
        <v>8645</v>
      </c>
      <c r="D5142" s="1353" t="s">
        <v>12515</v>
      </c>
      <c r="E5142" t="b" cm="1">
        <f t="array" ref="E5142">iped_sch_anscdom_armedconflict</f>
        <v>0</v>
      </c>
      <c r="F5142" t="b">
        <f>ISLOGICAL(E5142)</f>
        <v>1</v>
      </c>
      <c r="G5142" t="s">
        <v>12516</v>
      </c>
      <c r="N5142" s="1346"/>
    </row>
    <row r="5143" spans="1:14" x14ac:dyDescent="0.35">
      <c r="A5143" t="s">
        <v>6684</v>
      </c>
      <c r="B5143" t="s">
        <v>6664</v>
      </c>
      <c r="C5143" t="s">
        <v>6684</v>
      </c>
      <c r="D5143" t="s">
        <v>6685</v>
      </c>
      <c r="E5143" t="str">
        <f>do_iped_coor_name</f>
        <v>RONE RAY M. PORTACION  /  March 17, 2023</v>
      </c>
      <c r="F5143" t="b">
        <v>1</v>
      </c>
      <c r="N5143" s="1346"/>
    </row>
    <row r="5144" spans="1:14" s="1348" customFormat="1" ht="16" thickBot="1" x14ac:dyDescent="0.4">
      <c r="A5144" s="1348" t="s">
        <v>6686</v>
      </c>
      <c r="B5144" s="1348" t="s">
        <v>6664</v>
      </c>
      <c r="C5144" s="1348" t="s">
        <v>6686</v>
      </c>
      <c r="D5144" s="1348" t="s">
        <v>6687</v>
      </c>
      <c r="E5144" s="1348" t="str">
        <f>do_iped_coor_pos</f>
        <v>Education Program Supervisor</v>
      </c>
      <c r="F5144" s="1348" t="b">
        <v>1</v>
      </c>
      <c r="N5144" s="1366"/>
    </row>
    <row r="5145" spans="1:14" x14ac:dyDescent="0.35">
      <c r="N5145" s="1346"/>
    </row>
    <row r="5146" spans="1:14" x14ac:dyDescent="0.35">
      <c r="N5146" s="1346"/>
    </row>
    <row r="5680" ht="12.65" customHeight="1" x14ac:dyDescent="0.35"/>
    <row r="6045" spans="4:14" x14ac:dyDescent="0.35">
      <c r="D6045" s="1353"/>
      <c r="N6045" s="1346"/>
    </row>
    <row r="6046" spans="4:14" x14ac:dyDescent="0.35">
      <c r="D6046" s="1353"/>
      <c r="N6046" s="1346"/>
    </row>
    <row r="6047" spans="4:14" x14ac:dyDescent="0.35">
      <c r="D6047" s="1353"/>
      <c r="N6047" s="1346"/>
    </row>
    <row r="6048" spans="4:14" x14ac:dyDescent="0.35">
      <c r="D6048" s="1353"/>
      <c r="N6048" s="1346"/>
    </row>
    <row r="6049" spans="4:14" x14ac:dyDescent="0.35">
      <c r="D6049" s="1353"/>
      <c r="N6049" s="1346"/>
    </row>
    <row r="6050" spans="4:14" x14ac:dyDescent="0.35">
      <c r="D6050" s="1353"/>
      <c r="N6050" s="1346"/>
    </row>
    <row r="6051" spans="4:14" x14ac:dyDescent="0.35">
      <c r="D6051" s="1353"/>
      <c r="N6051" s="1346"/>
    </row>
    <row r="6052" spans="4:14" x14ac:dyDescent="0.35">
      <c r="D6052" s="1353"/>
      <c r="N6052" s="1346"/>
    </row>
    <row r="6053" spans="4:14" x14ac:dyDescent="0.35">
      <c r="D6053" s="1353"/>
      <c r="N6053" s="1346"/>
    </row>
    <row r="6054" spans="4:14" x14ac:dyDescent="0.35">
      <c r="D6054" s="1353"/>
      <c r="N6054" s="1346"/>
    </row>
    <row r="6055" spans="4:14" x14ac:dyDescent="0.35">
      <c r="D6055" s="1353"/>
      <c r="N6055" s="1346"/>
    </row>
    <row r="6056" spans="4:14" x14ac:dyDescent="0.35">
      <c r="D6056" s="1353"/>
      <c r="N6056" s="1346"/>
    </row>
    <row r="6137" spans="4:14" x14ac:dyDescent="0.35">
      <c r="D6137" s="1353"/>
      <c r="N6137" s="1346"/>
    </row>
    <row r="6138" spans="4:14" x14ac:dyDescent="0.35">
      <c r="D6138" s="1353"/>
      <c r="N6138" s="1346"/>
    </row>
    <row r="6139" spans="4:14" x14ac:dyDescent="0.35">
      <c r="D6139" s="1353"/>
      <c r="N6139" s="1346"/>
    </row>
    <row r="6140" spans="4:14" x14ac:dyDescent="0.35">
      <c r="N6140" s="1346"/>
    </row>
    <row r="6141" spans="4:14" x14ac:dyDescent="0.35">
      <c r="N6141" s="1346"/>
    </row>
    <row r="6142" spans="4:14" x14ac:dyDescent="0.35">
      <c r="N6142" s="1346"/>
    </row>
    <row r="6143" spans="4:14" x14ac:dyDescent="0.35">
      <c r="N6143" s="1346"/>
    </row>
    <row r="6144" spans="4:14" x14ac:dyDescent="0.35">
      <c r="N6144" s="1346"/>
    </row>
    <row r="6145" spans="14:14" x14ac:dyDescent="0.35">
      <c r="N6145" s="1346"/>
    </row>
    <row r="6146" spans="14:14" x14ac:dyDescent="0.35">
      <c r="N6146" s="1346"/>
    </row>
    <row r="6147" spans="14:14" x14ac:dyDescent="0.35">
      <c r="N6147" s="1346"/>
    </row>
    <row r="6156" spans="14:14" x14ac:dyDescent="0.35">
      <c r="N6156" s="1346"/>
    </row>
    <row r="6157" spans="14:14" x14ac:dyDescent="0.35">
      <c r="N6157" s="1346"/>
    </row>
    <row r="6158" spans="14:14" x14ac:dyDescent="0.35">
      <c r="N6158" s="1346"/>
    </row>
    <row r="6159" spans="14:14" x14ac:dyDescent="0.35">
      <c r="N6159" s="1346"/>
    </row>
    <row r="6160" spans="14:14" x14ac:dyDescent="0.35">
      <c r="N6160" s="1346"/>
    </row>
    <row r="6161" spans="4:14" x14ac:dyDescent="0.35">
      <c r="N6161" s="1346"/>
    </row>
    <row r="6162" spans="4:14" x14ac:dyDescent="0.35">
      <c r="N6162" s="1346"/>
    </row>
    <row r="6163" spans="4:14" x14ac:dyDescent="0.35">
      <c r="N6163" s="1346"/>
    </row>
    <row r="6164" spans="4:14" x14ac:dyDescent="0.35">
      <c r="N6164" s="1346"/>
    </row>
    <row r="6165" spans="4:14" x14ac:dyDescent="0.35">
      <c r="N6165" s="1346"/>
    </row>
    <row r="6166" spans="4:14" x14ac:dyDescent="0.35">
      <c r="N6166" s="1346"/>
    </row>
    <row r="6167" spans="4:14" x14ac:dyDescent="0.35">
      <c r="N6167" s="1346"/>
    </row>
    <row r="6168" spans="4:14" x14ac:dyDescent="0.35">
      <c r="N6168" s="1346"/>
    </row>
    <row r="6169" spans="4:14" x14ac:dyDescent="0.35">
      <c r="N6169" s="1346"/>
    </row>
    <row r="6170" spans="4:14" x14ac:dyDescent="0.35">
      <c r="N6170" s="1346"/>
    </row>
    <row r="6171" spans="4:14" x14ac:dyDescent="0.35">
      <c r="D6171" s="1353"/>
      <c r="N6171" s="1346"/>
    </row>
    <row r="6172" spans="4:14" x14ac:dyDescent="0.35">
      <c r="N6172" s="1346"/>
    </row>
    <row r="6173" spans="4:14" x14ac:dyDescent="0.35">
      <c r="N6173" s="1346"/>
    </row>
    <row r="6174" spans="4:14" x14ac:dyDescent="0.35">
      <c r="N6174" s="1346"/>
    </row>
    <row r="6175" spans="4:14" x14ac:dyDescent="0.35">
      <c r="N6175" s="1346"/>
    </row>
    <row r="6176" spans="4:14" x14ac:dyDescent="0.35">
      <c r="N6176" s="1346"/>
    </row>
    <row r="6177" spans="14:14" x14ac:dyDescent="0.35">
      <c r="N6177" s="1346"/>
    </row>
    <row r="6178" spans="14:14" x14ac:dyDescent="0.35">
      <c r="N6178" s="1346"/>
    </row>
    <row r="6179" spans="14:14" x14ac:dyDescent="0.35">
      <c r="N6179" s="1346"/>
    </row>
    <row r="6180" spans="14:14" x14ac:dyDescent="0.35">
      <c r="N6180" s="1346"/>
    </row>
    <row r="6181" spans="14:14" x14ac:dyDescent="0.35">
      <c r="N6181" s="1346"/>
    </row>
    <row r="6182" spans="14:14" x14ac:dyDescent="0.35">
      <c r="N6182" s="1346"/>
    </row>
    <row r="6183" spans="14:14" x14ac:dyDescent="0.35">
      <c r="N6183" s="1346"/>
    </row>
    <row r="6184" spans="14:14" x14ac:dyDescent="0.35">
      <c r="N6184" s="1346"/>
    </row>
    <row r="6185" spans="14:14" x14ac:dyDescent="0.35">
      <c r="N6185" s="1346"/>
    </row>
    <row r="6186" spans="14:14" x14ac:dyDescent="0.35">
      <c r="N6186" s="1346"/>
    </row>
    <row r="6187" spans="14:14" x14ac:dyDescent="0.35">
      <c r="N6187" s="1346"/>
    </row>
    <row r="6188" spans="14:14" x14ac:dyDescent="0.35">
      <c r="N6188" s="1346"/>
    </row>
    <row r="6189" spans="14:14" x14ac:dyDescent="0.35">
      <c r="N6189" s="1346"/>
    </row>
    <row r="6190" spans="14:14" x14ac:dyDescent="0.35">
      <c r="N6190" s="1346"/>
    </row>
    <row r="6191" spans="14:14" x14ac:dyDescent="0.35">
      <c r="N6191" s="1346"/>
    </row>
    <row r="6192" spans="14:14" x14ac:dyDescent="0.35">
      <c r="N6192" s="1346"/>
    </row>
    <row r="6193" spans="14:14" x14ac:dyDescent="0.35">
      <c r="N6193" s="1346"/>
    </row>
    <row r="6194" spans="14:14" x14ac:dyDescent="0.35">
      <c r="N6194" s="1346"/>
    </row>
    <row r="6195" spans="14:14" x14ac:dyDescent="0.35">
      <c r="N6195" s="1346"/>
    </row>
    <row r="6196" spans="14:14" x14ac:dyDescent="0.35">
      <c r="N6196" s="1346"/>
    </row>
    <row r="6197" spans="14:14" x14ac:dyDescent="0.35">
      <c r="N6197" s="1346"/>
    </row>
    <row r="6198" spans="14:14" x14ac:dyDescent="0.35">
      <c r="N6198" s="1346"/>
    </row>
    <row r="6199" spans="14:14" x14ac:dyDescent="0.35">
      <c r="N6199" s="1346"/>
    </row>
    <row r="6200" spans="14:14" x14ac:dyDescent="0.35">
      <c r="N6200" s="1346"/>
    </row>
    <row r="6201" spans="14:14" x14ac:dyDescent="0.35">
      <c r="N6201" s="1346"/>
    </row>
    <row r="6202" spans="14:14" x14ac:dyDescent="0.35">
      <c r="N6202" s="1346"/>
    </row>
    <row r="6203" spans="14:14" x14ac:dyDescent="0.35">
      <c r="N6203" s="1346"/>
    </row>
    <row r="6204" spans="14:14" x14ac:dyDescent="0.35">
      <c r="N6204" s="1346"/>
    </row>
    <row r="6205" spans="14:14" x14ac:dyDescent="0.35">
      <c r="N6205" s="1346"/>
    </row>
    <row r="6206" spans="14:14" x14ac:dyDescent="0.35">
      <c r="N6206" s="1346"/>
    </row>
    <row r="6207" spans="14:14" x14ac:dyDescent="0.35">
      <c r="N6207" s="1346"/>
    </row>
    <row r="6208" spans="14:14" x14ac:dyDescent="0.35">
      <c r="N6208" s="1346"/>
    </row>
    <row r="6209" spans="14:14" x14ac:dyDescent="0.35">
      <c r="N6209" s="1346"/>
    </row>
    <row r="6210" spans="14:14" x14ac:dyDescent="0.35">
      <c r="N6210" s="1346"/>
    </row>
    <row r="6211" spans="14:14" x14ac:dyDescent="0.35">
      <c r="N6211" s="1346"/>
    </row>
    <row r="6212" spans="14:14" x14ac:dyDescent="0.35">
      <c r="N6212" s="1346"/>
    </row>
    <row r="6213" spans="14:14" x14ac:dyDescent="0.35">
      <c r="N6213" s="1346"/>
    </row>
    <row r="6214" spans="14:14" x14ac:dyDescent="0.35">
      <c r="N6214" s="1346"/>
    </row>
    <row r="6215" spans="14:14" x14ac:dyDescent="0.35">
      <c r="N6215" s="1346"/>
    </row>
    <row r="6216" spans="14:14" x14ac:dyDescent="0.35">
      <c r="N6216" s="1346"/>
    </row>
    <row r="6217" spans="14:14" x14ac:dyDescent="0.35">
      <c r="N6217" s="1346"/>
    </row>
    <row r="6218" spans="14:14" x14ac:dyDescent="0.35">
      <c r="N6218" s="1346"/>
    </row>
    <row r="6219" spans="14:14" x14ac:dyDescent="0.35">
      <c r="N6219" s="1346"/>
    </row>
    <row r="6220" spans="14:14" x14ac:dyDescent="0.35">
      <c r="N6220" s="1346"/>
    </row>
    <row r="6221" spans="14:14" x14ac:dyDescent="0.35">
      <c r="N6221" s="1346"/>
    </row>
    <row r="6222" spans="14:14" x14ac:dyDescent="0.35">
      <c r="N6222" s="1346"/>
    </row>
    <row r="6223" spans="14:14" x14ac:dyDescent="0.35">
      <c r="N6223" s="1346"/>
    </row>
    <row r="6224" spans="14:14" x14ac:dyDescent="0.35">
      <c r="N6224" s="1346"/>
    </row>
    <row r="6225" spans="14:14" x14ac:dyDescent="0.35">
      <c r="N6225" s="1346"/>
    </row>
    <row r="6226" spans="14:14" x14ac:dyDescent="0.35">
      <c r="N6226" s="1346"/>
    </row>
    <row r="6227" spans="14:14" x14ac:dyDescent="0.35">
      <c r="N6227" s="1346"/>
    </row>
    <row r="6228" spans="14:14" x14ac:dyDescent="0.35">
      <c r="N6228" s="1346"/>
    </row>
    <row r="6229" spans="14:14" x14ac:dyDescent="0.35">
      <c r="N6229" s="1346"/>
    </row>
    <row r="6230" spans="14:14" x14ac:dyDescent="0.35">
      <c r="N6230" s="1346"/>
    </row>
    <row r="6231" spans="14:14" x14ac:dyDescent="0.35">
      <c r="N6231" s="1346"/>
    </row>
    <row r="6232" spans="14:14" x14ac:dyDescent="0.35">
      <c r="N6232" s="1346"/>
    </row>
    <row r="6233" spans="14:14" x14ac:dyDescent="0.35">
      <c r="N6233" s="1346"/>
    </row>
    <row r="6234" spans="14:14" x14ac:dyDescent="0.35">
      <c r="N6234" s="1346"/>
    </row>
    <row r="6235" spans="14:14" x14ac:dyDescent="0.35">
      <c r="N6235" s="1346"/>
    </row>
    <row r="6236" spans="14:14" x14ac:dyDescent="0.35">
      <c r="N6236" s="1346"/>
    </row>
    <row r="6237" spans="14:14" x14ac:dyDescent="0.35">
      <c r="N6237" s="1346"/>
    </row>
    <row r="6238" spans="14:14" x14ac:dyDescent="0.35">
      <c r="N6238" s="1346"/>
    </row>
    <row r="6239" spans="14:14" x14ac:dyDescent="0.35">
      <c r="N6239" s="1346"/>
    </row>
    <row r="6240" spans="14:14" x14ac:dyDescent="0.35">
      <c r="N6240" s="1346"/>
    </row>
    <row r="6241" spans="14:14" x14ac:dyDescent="0.35">
      <c r="N6241" s="1346"/>
    </row>
    <row r="6242" spans="14:14" x14ac:dyDescent="0.35">
      <c r="N6242" s="1346"/>
    </row>
    <row r="6243" spans="14:14" x14ac:dyDescent="0.35">
      <c r="N6243" s="1346"/>
    </row>
    <row r="6244" spans="14:14" x14ac:dyDescent="0.35">
      <c r="N6244" s="1346"/>
    </row>
    <row r="6245" spans="14:14" x14ac:dyDescent="0.35">
      <c r="N6245" s="1346"/>
    </row>
    <row r="6246" spans="14:14" x14ac:dyDescent="0.35">
      <c r="N6246" s="1346"/>
    </row>
    <row r="6247" spans="14:14" x14ac:dyDescent="0.35">
      <c r="N6247" s="1346"/>
    </row>
    <row r="6248" spans="14:14" x14ac:dyDescent="0.35">
      <c r="N6248" s="1346"/>
    </row>
    <row r="6249" spans="14:14" x14ac:dyDescent="0.35">
      <c r="N6249" s="1346"/>
    </row>
    <row r="6250" spans="14:14" x14ac:dyDescent="0.35">
      <c r="N6250" s="1346"/>
    </row>
    <row r="6251" spans="14:14" x14ac:dyDescent="0.35">
      <c r="N6251" s="1346"/>
    </row>
    <row r="6252" spans="14:14" x14ac:dyDescent="0.35">
      <c r="N6252" s="1346"/>
    </row>
    <row r="6253" spans="14:14" x14ac:dyDescent="0.35">
      <c r="N6253" s="1346"/>
    </row>
    <row r="6254" spans="14:14" x14ac:dyDescent="0.35">
      <c r="N6254" s="1346"/>
    </row>
    <row r="6255" spans="14:14" x14ac:dyDescent="0.35">
      <c r="N6255" s="1346"/>
    </row>
    <row r="6256" spans="14:14" x14ac:dyDescent="0.35">
      <c r="N6256" s="1346"/>
    </row>
    <row r="6257" spans="4:14" x14ac:dyDescent="0.35">
      <c r="N6257" s="1346"/>
    </row>
    <row r="6258" spans="4:14" x14ac:dyDescent="0.35">
      <c r="N6258" s="1346"/>
    </row>
    <row r="6259" spans="4:14" x14ac:dyDescent="0.35">
      <c r="N6259" s="1346"/>
    </row>
    <row r="6260" spans="4:14" x14ac:dyDescent="0.35">
      <c r="N6260" s="1346"/>
    </row>
    <row r="6261" spans="4:14" x14ac:dyDescent="0.35">
      <c r="N6261" s="1346"/>
    </row>
    <row r="6262" spans="4:14" x14ac:dyDescent="0.35">
      <c r="D6262" s="1353"/>
      <c r="N6262" s="1346"/>
    </row>
    <row r="6263" spans="4:14" x14ac:dyDescent="0.35">
      <c r="N6263" s="1346"/>
    </row>
    <row r="6264" spans="4:14" x14ac:dyDescent="0.35">
      <c r="N6264" s="1346"/>
    </row>
    <row r="6265" spans="4:14" x14ac:dyDescent="0.35">
      <c r="N6265" s="1346"/>
    </row>
    <row r="6266" spans="4:14" x14ac:dyDescent="0.35">
      <c r="N6266" s="1346"/>
    </row>
    <row r="6267" spans="4:14" s="1348" customFormat="1" ht="16" thickBot="1" x14ac:dyDescent="0.4">
      <c r="N6267" s="1366"/>
    </row>
    <row r="6268" spans="4:14" x14ac:dyDescent="0.35">
      <c r="N6268" s="1346"/>
    </row>
    <row r="6269" spans="4:14" x14ac:dyDescent="0.35">
      <c r="N6269" s="1346"/>
    </row>
    <row r="6270" spans="4:14" x14ac:dyDescent="0.35">
      <c r="N6270" s="1346"/>
    </row>
    <row r="6271" spans="4:14" x14ac:dyDescent="0.35">
      <c r="N6271" s="1346"/>
    </row>
    <row r="6272" spans="4:14" x14ac:dyDescent="0.35">
      <c r="N6272" s="1346"/>
    </row>
    <row r="6273" spans="14:14" x14ac:dyDescent="0.35">
      <c r="N6273" s="1346"/>
    </row>
    <row r="6274" spans="14:14" x14ac:dyDescent="0.35">
      <c r="N6274" s="1346"/>
    </row>
    <row r="6275" spans="14:14" x14ac:dyDescent="0.35">
      <c r="N6275" s="1346"/>
    </row>
    <row r="6276" spans="14:14" x14ac:dyDescent="0.35">
      <c r="N6276" s="1346"/>
    </row>
    <row r="6277" spans="14:14" x14ac:dyDescent="0.35">
      <c r="N6277" s="1346"/>
    </row>
    <row r="6278" spans="14:14" x14ac:dyDescent="0.35">
      <c r="N6278" s="1346"/>
    </row>
    <row r="6279" spans="14:14" x14ac:dyDescent="0.35">
      <c r="N6279" s="1346"/>
    </row>
    <row r="6280" spans="14:14" x14ac:dyDescent="0.35">
      <c r="N6280" s="1346"/>
    </row>
    <row r="6281" spans="14:14" x14ac:dyDescent="0.35">
      <c r="N6281" s="1346"/>
    </row>
    <row r="6282" spans="14:14" x14ac:dyDescent="0.35">
      <c r="N6282" s="1346"/>
    </row>
    <row r="6283" spans="14:14" x14ac:dyDescent="0.35">
      <c r="N6283" s="1346"/>
    </row>
    <row r="6284" spans="14:14" x14ac:dyDescent="0.35">
      <c r="N6284" s="1346"/>
    </row>
    <row r="6285" spans="14:14" x14ac:dyDescent="0.35">
      <c r="N6285" s="1346"/>
    </row>
    <row r="6286" spans="14:14" x14ac:dyDescent="0.35">
      <c r="N6286" s="1346"/>
    </row>
    <row r="6287" spans="14:14" x14ac:dyDescent="0.35">
      <c r="N6287" s="1346"/>
    </row>
    <row r="6288" spans="14:14" x14ac:dyDescent="0.35">
      <c r="N6288" s="1346"/>
    </row>
    <row r="6289" spans="14:14" x14ac:dyDescent="0.35">
      <c r="N6289" s="1346"/>
    </row>
    <row r="6290" spans="14:14" x14ac:dyDescent="0.35">
      <c r="N6290" s="1346"/>
    </row>
    <row r="6291" spans="14:14" x14ac:dyDescent="0.35">
      <c r="N6291" s="1346"/>
    </row>
    <row r="6292" spans="14:14" x14ac:dyDescent="0.35">
      <c r="N6292" s="1346"/>
    </row>
    <row r="6293" spans="14:14" x14ac:dyDescent="0.35">
      <c r="N6293" s="1346"/>
    </row>
    <row r="6294" spans="14:14" x14ac:dyDescent="0.35">
      <c r="N6294" s="1346"/>
    </row>
    <row r="6295" spans="14:14" x14ac:dyDescent="0.35">
      <c r="N6295" s="1346"/>
    </row>
    <row r="6296" spans="14:14" x14ac:dyDescent="0.35">
      <c r="N6296" s="1346"/>
    </row>
    <row r="6297" spans="14:14" x14ac:dyDescent="0.35">
      <c r="N6297" s="1346"/>
    </row>
    <row r="6298" spans="14:14" x14ac:dyDescent="0.35">
      <c r="N6298" s="1346"/>
    </row>
    <row r="6299" spans="14:14" x14ac:dyDescent="0.35">
      <c r="N6299" s="1346"/>
    </row>
    <row r="6300" spans="14:14" x14ac:dyDescent="0.35">
      <c r="N6300" s="1346"/>
    </row>
    <row r="6301" spans="14:14" x14ac:dyDescent="0.35">
      <c r="N6301" s="1346"/>
    </row>
    <row r="6302" spans="14:14" x14ac:dyDescent="0.35">
      <c r="N6302" s="1346"/>
    </row>
    <row r="6303" spans="14:14" x14ac:dyDescent="0.35">
      <c r="N6303" s="1346"/>
    </row>
    <row r="6304" spans="14:14" x14ac:dyDescent="0.35">
      <c r="N6304" s="1346"/>
    </row>
    <row r="6305" spans="14:14" x14ac:dyDescent="0.35">
      <c r="N6305" s="1346"/>
    </row>
    <row r="6306" spans="14:14" x14ac:dyDescent="0.35">
      <c r="N6306" s="1346"/>
    </row>
    <row r="6307" spans="14:14" x14ac:dyDescent="0.35">
      <c r="N6307" s="1346"/>
    </row>
    <row r="6308" spans="14:14" x14ac:dyDescent="0.35">
      <c r="N6308" s="1346"/>
    </row>
    <row r="6309" spans="14:14" x14ac:dyDescent="0.35">
      <c r="N6309" s="1346"/>
    </row>
    <row r="6310" spans="14:14" x14ac:dyDescent="0.35">
      <c r="N6310" s="1346"/>
    </row>
    <row r="6311" spans="14:14" x14ac:dyDescent="0.35">
      <c r="N6311" s="1346"/>
    </row>
    <row r="6312" spans="14:14" x14ac:dyDescent="0.35">
      <c r="N6312" s="1346"/>
    </row>
    <row r="6313" spans="14:14" x14ac:dyDescent="0.35">
      <c r="N6313" s="1346"/>
    </row>
    <row r="6314" spans="14:14" x14ac:dyDescent="0.35">
      <c r="N6314" s="1346"/>
    </row>
    <row r="6315" spans="14:14" x14ac:dyDescent="0.35">
      <c r="N6315" s="1346"/>
    </row>
    <row r="6316" spans="14:14" x14ac:dyDescent="0.35">
      <c r="N6316" s="1346"/>
    </row>
    <row r="6317" spans="14:14" x14ac:dyDescent="0.35">
      <c r="N6317" s="1346"/>
    </row>
    <row r="6318" spans="14:14" x14ac:dyDescent="0.35">
      <c r="N6318" s="1346"/>
    </row>
    <row r="6319" spans="14:14" x14ac:dyDescent="0.35">
      <c r="N6319" s="1346"/>
    </row>
    <row r="6320" spans="14:14" x14ac:dyDescent="0.35">
      <c r="N6320" s="1346"/>
    </row>
    <row r="6321" spans="14:14" x14ac:dyDescent="0.35">
      <c r="N6321" s="1346"/>
    </row>
    <row r="6322" spans="14:14" x14ac:dyDescent="0.35">
      <c r="N6322" s="1346"/>
    </row>
    <row r="6323" spans="14:14" x14ac:dyDescent="0.35">
      <c r="N6323" s="1346"/>
    </row>
    <row r="6324" spans="14:14" x14ac:dyDescent="0.35">
      <c r="N6324" s="1346"/>
    </row>
    <row r="6325" spans="14:14" x14ac:dyDescent="0.35">
      <c r="N6325" s="1346"/>
    </row>
    <row r="6326" spans="14:14" x14ac:dyDescent="0.35">
      <c r="N6326" s="1346"/>
    </row>
    <row r="6327" spans="14:14" x14ac:dyDescent="0.35">
      <c r="N6327" s="1346"/>
    </row>
    <row r="6328" spans="14:14" x14ac:dyDescent="0.35">
      <c r="N6328" s="1346"/>
    </row>
    <row r="6329" spans="14:14" x14ac:dyDescent="0.35">
      <c r="N6329" s="1346"/>
    </row>
    <row r="6330" spans="14:14" x14ac:dyDescent="0.35">
      <c r="N6330" s="1346"/>
    </row>
    <row r="6331" spans="14:14" x14ac:dyDescent="0.35">
      <c r="N6331" s="1346"/>
    </row>
    <row r="6332" spans="14:14" x14ac:dyDescent="0.35">
      <c r="N6332" s="1346"/>
    </row>
    <row r="6333" spans="14:14" x14ac:dyDescent="0.35">
      <c r="N6333" s="1346"/>
    </row>
    <row r="6334" spans="14:14" x14ac:dyDescent="0.35">
      <c r="N6334" s="1346"/>
    </row>
    <row r="6335" spans="14:14" x14ac:dyDescent="0.35">
      <c r="N6335" s="1346"/>
    </row>
    <row r="6336" spans="14:14" x14ac:dyDescent="0.35">
      <c r="N6336" s="1346"/>
    </row>
    <row r="6337" spans="14:14" x14ac:dyDescent="0.35">
      <c r="N6337" s="1346"/>
    </row>
    <row r="6338" spans="14:14" x14ac:dyDescent="0.35">
      <c r="N6338" s="1346"/>
    </row>
    <row r="6339" spans="14:14" x14ac:dyDescent="0.35">
      <c r="N6339" s="1346"/>
    </row>
    <row r="6340" spans="14:14" x14ac:dyDescent="0.35">
      <c r="N6340" s="1346"/>
    </row>
    <row r="6341" spans="14:14" x14ac:dyDescent="0.35">
      <c r="N6341" s="1346"/>
    </row>
    <row r="6342" spans="14:14" x14ac:dyDescent="0.35">
      <c r="N6342" s="1346"/>
    </row>
    <row r="6343" spans="14:14" x14ac:dyDescent="0.35">
      <c r="N6343" s="1346"/>
    </row>
    <row r="6344" spans="14:14" x14ac:dyDescent="0.35">
      <c r="N6344" s="1346"/>
    </row>
    <row r="6345" spans="14:14" x14ac:dyDescent="0.35">
      <c r="N6345" s="1346"/>
    </row>
    <row r="6346" spans="14:14" x14ac:dyDescent="0.35">
      <c r="N6346" s="1346"/>
    </row>
    <row r="6347" spans="14:14" x14ac:dyDescent="0.35">
      <c r="N6347" s="1346"/>
    </row>
    <row r="6348" spans="14:14" x14ac:dyDescent="0.35">
      <c r="N6348" s="1346"/>
    </row>
    <row r="6349" spans="14:14" x14ac:dyDescent="0.35">
      <c r="N6349" s="1346"/>
    </row>
    <row r="6350" spans="14:14" x14ac:dyDescent="0.35">
      <c r="N6350" s="1346"/>
    </row>
    <row r="6351" spans="14:14" x14ac:dyDescent="0.35">
      <c r="N6351" s="1346"/>
    </row>
    <row r="6352" spans="14:14" x14ac:dyDescent="0.35">
      <c r="N6352" s="1346"/>
    </row>
    <row r="6353" spans="14:14" x14ac:dyDescent="0.35">
      <c r="N6353" s="1346"/>
    </row>
    <row r="6354" spans="14:14" x14ac:dyDescent="0.35">
      <c r="N6354" s="1346"/>
    </row>
    <row r="6355" spans="14:14" x14ac:dyDescent="0.35">
      <c r="N6355" s="1346"/>
    </row>
    <row r="6356" spans="14:14" x14ac:dyDescent="0.35">
      <c r="N6356" s="1346"/>
    </row>
    <row r="6357" spans="14:14" x14ac:dyDescent="0.35">
      <c r="N6357" s="1346"/>
    </row>
    <row r="6358" spans="14:14" x14ac:dyDescent="0.35">
      <c r="N6358" s="1346"/>
    </row>
    <row r="6359" spans="14:14" x14ac:dyDescent="0.35">
      <c r="N6359" s="1346"/>
    </row>
    <row r="6360" spans="14:14" x14ac:dyDescent="0.35">
      <c r="N6360" s="1346"/>
    </row>
    <row r="6361" spans="14:14" x14ac:dyDescent="0.35">
      <c r="N6361" s="1346"/>
    </row>
    <row r="6362" spans="14:14" x14ac:dyDescent="0.35">
      <c r="N6362" s="1346"/>
    </row>
    <row r="6363" spans="14:14" x14ac:dyDescent="0.35">
      <c r="N6363" s="1346"/>
    </row>
    <row r="6364" spans="14:14" x14ac:dyDescent="0.35">
      <c r="N6364" s="1346"/>
    </row>
    <row r="6365" spans="14:14" x14ac:dyDescent="0.35">
      <c r="N6365" s="1346"/>
    </row>
    <row r="6366" spans="14:14" x14ac:dyDescent="0.35">
      <c r="N6366" s="1346"/>
    </row>
    <row r="6367" spans="14:14" x14ac:dyDescent="0.35">
      <c r="N6367" s="1346"/>
    </row>
    <row r="6368" spans="14:14" x14ac:dyDescent="0.35">
      <c r="N6368" s="1346"/>
    </row>
    <row r="6369" spans="14:14" x14ac:dyDescent="0.35">
      <c r="N6369" s="1346"/>
    </row>
    <row r="6370" spans="14:14" x14ac:dyDescent="0.35">
      <c r="N6370" s="1346"/>
    </row>
    <row r="6371" spans="14:14" x14ac:dyDescent="0.35">
      <c r="N6371" s="1346"/>
    </row>
    <row r="6372" spans="14:14" x14ac:dyDescent="0.35">
      <c r="N6372" s="1346"/>
    </row>
    <row r="6373" spans="14:14" x14ac:dyDescent="0.35">
      <c r="N6373" s="1346"/>
    </row>
    <row r="6374" spans="14:14" x14ac:dyDescent="0.35">
      <c r="N6374" s="1346"/>
    </row>
    <row r="6375" spans="14:14" x14ac:dyDescent="0.35">
      <c r="N6375" s="1346"/>
    </row>
    <row r="6376" spans="14:14" x14ac:dyDescent="0.35">
      <c r="N6376" s="1346"/>
    </row>
    <row r="6377" spans="14:14" x14ac:dyDescent="0.35">
      <c r="N6377" s="1346"/>
    </row>
    <row r="6378" spans="14:14" x14ac:dyDescent="0.35">
      <c r="N6378" s="1346"/>
    </row>
    <row r="6379" spans="14:14" x14ac:dyDescent="0.35">
      <c r="N6379" s="1346"/>
    </row>
    <row r="6380" spans="14:14" x14ac:dyDescent="0.35">
      <c r="N6380" s="1346"/>
    </row>
    <row r="6381" spans="14:14" x14ac:dyDescent="0.35">
      <c r="N6381" s="1346"/>
    </row>
    <row r="6382" spans="14:14" x14ac:dyDescent="0.35">
      <c r="N6382" s="1346"/>
    </row>
    <row r="6383" spans="14:14" x14ac:dyDescent="0.35">
      <c r="N6383" s="1346"/>
    </row>
    <row r="6384" spans="14:14" x14ac:dyDescent="0.35">
      <c r="N6384" s="1346"/>
    </row>
    <row r="6385" spans="14:14" x14ac:dyDescent="0.35">
      <c r="N6385" s="1346"/>
    </row>
    <row r="6386" spans="14:14" x14ac:dyDescent="0.35">
      <c r="N6386" s="1346"/>
    </row>
    <row r="6387" spans="14:14" x14ac:dyDescent="0.35">
      <c r="N6387" s="1346"/>
    </row>
    <row r="6388" spans="14:14" x14ac:dyDescent="0.35">
      <c r="N6388" s="1346"/>
    </row>
    <row r="6389" spans="14:14" x14ac:dyDescent="0.35">
      <c r="N6389" s="1346"/>
    </row>
    <row r="6390" spans="14:14" x14ac:dyDescent="0.35">
      <c r="N6390" s="1346"/>
    </row>
    <row r="6391" spans="14:14" x14ac:dyDescent="0.35">
      <c r="N6391" s="1346"/>
    </row>
    <row r="6392" spans="14:14" x14ac:dyDescent="0.35">
      <c r="N6392" s="1346"/>
    </row>
    <row r="6393" spans="14:14" x14ac:dyDescent="0.35">
      <c r="N6393" s="1346"/>
    </row>
    <row r="6394" spans="14:14" x14ac:dyDescent="0.35">
      <c r="N6394" s="1346"/>
    </row>
    <row r="6395" spans="14:14" x14ac:dyDescent="0.35">
      <c r="N6395" s="1346"/>
    </row>
    <row r="6396" spans="14:14" x14ac:dyDescent="0.35">
      <c r="N6396" s="1346"/>
    </row>
    <row r="6397" spans="14:14" x14ac:dyDescent="0.35">
      <c r="N6397" s="1346"/>
    </row>
    <row r="6398" spans="14:14" x14ac:dyDescent="0.35">
      <c r="N6398" s="1346"/>
    </row>
    <row r="6399" spans="14:14" x14ac:dyDescent="0.35">
      <c r="N6399" s="1346"/>
    </row>
    <row r="6400" spans="14:14" x14ac:dyDescent="0.35">
      <c r="N6400" s="1346"/>
    </row>
    <row r="6401" spans="14:14" x14ac:dyDescent="0.35">
      <c r="N6401" s="1346"/>
    </row>
    <row r="6402" spans="14:14" x14ac:dyDescent="0.35">
      <c r="N6402" s="1346"/>
    </row>
    <row r="6403" spans="14:14" x14ac:dyDescent="0.35">
      <c r="N6403" s="1346"/>
    </row>
    <row r="6404" spans="14:14" x14ac:dyDescent="0.35">
      <c r="N6404" s="1346"/>
    </row>
    <row r="6405" spans="14:14" x14ac:dyDescent="0.35">
      <c r="N6405" s="1346"/>
    </row>
    <row r="6406" spans="14:14" x14ac:dyDescent="0.35">
      <c r="N6406" s="1346"/>
    </row>
    <row r="6407" spans="14:14" x14ac:dyDescent="0.35">
      <c r="N6407" s="1346"/>
    </row>
    <row r="6408" spans="14:14" x14ac:dyDescent="0.35">
      <c r="N6408" s="1346"/>
    </row>
    <row r="6409" spans="14:14" x14ac:dyDescent="0.35">
      <c r="N6409" s="1346"/>
    </row>
    <row r="6410" spans="14:14" x14ac:dyDescent="0.35">
      <c r="N6410" s="1346"/>
    </row>
    <row r="6411" spans="14:14" x14ac:dyDescent="0.35">
      <c r="N6411" s="1346"/>
    </row>
    <row r="6412" spans="14:14" x14ac:dyDescent="0.35">
      <c r="N6412" s="1346"/>
    </row>
    <row r="6413" spans="14:14" x14ac:dyDescent="0.35">
      <c r="N6413" s="1346"/>
    </row>
    <row r="6414" spans="14:14" x14ac:dyDescent="0.35">
      <c r="N6414" s="1346"/>
    </row>
    <row r="6415" spans="14:14" x14ac:dyDescent="0.35">
      <c r="N6415" s="1346"/>
    </row>
    <row r="6416" spans="14:14" x14ac:dyDescent="0.35">
      <c r="N6416" s="1346"/>
    </row>
    <row r="6417" spans="14:14" x14ac:dyDescent="0.35">
      <c r="N6417" s="1346"/>
    </row>
    <row r="6418" spans="14:14" x14ac:dyDescent="0.35">
      <c r="N6418" s="1346"/>
    </row>
    <row r="6419" spans="14:14" x14ac:dyDescent="0.35">
      <c r="N6419" s="1346"/>
    </row>
    <row r="6420" spans="14:14" x14ac:dyDescent="0.35">
      <c r="N6420" s="1346"/>
    </row>
    <row r="6421" spans="14:14" x14ac:dyDescent="0.35">
      <c r="N6421" s="1346"/>
    </row>
    <row r="6422" spans="14:14" x14ac:dyDescent="0.35">
      <c r="N6422" s="1346"/>
    </row>
    <row r="6423" spans="14:14" x14ac:dyDescent="0.35">
      <c r="N6423" s="1346"/>
    </row>
    <row r="6424" spans="14:14" x14ac:dyDescent="0.35">
      <c r="N6424" s="1346"/>
    </row>
    <row r="6425" spans="14:14" x14ac:dyDescent="0.35">
      <c r="N6425" s="1346"/>
    </row>
    <row r="6426" spans="14:14" x14ac:dyDescent="0.35">
      <c r="N6426" s="1346"/>
    </row>
    <row r="6427" spans="14:14" x14ac:dyDescent="0.35">
      <c r="N6427" s="1346"/>
    </row>
    <row r="6428" spans="14:14" x14ac:dyDescent="0.35">
      <c r="N6428" s="1346"/>
    </row>
    <row r="6429" spans="14:14" x14ac:dyDescent="0.35">
      <c r="N6429" s="1346"/>
    </row>
    <row r="6430" spans="14:14" x14ac:dyDescent="0.35">
      <c r="N6430" s="1346"/>
    </row>
    <row r="6431" spans="14:14" x14ac:dyDescent="0.35">
      <c r="N6431" s="1346"/>
    </row>
    <row r="6432" spans="14:14" x14ac:dyDescent="0.35">
      <c r="N6432" s="1346"/>
    </row>
    <row r="6433" spans="14:14" x14ac:dyDescent="0.35">
      <c r="N6433" s="1346"/>
    </row>
    <row r="6434" spans="14:14" x14ac:dyDescent="0.35">
      <c r="N6434" s="1346"/>
    </row>
    <row r="6435" spans="14:14" x14ac:dyDescent="0.35">
      <c r="N6435" s="1346"/>
    </row>
    <row r="6436" spans="14:14" x14ac:dyDescent="0.35">
      <c r="N6436" s="1346"/>
    </row>
    <row r="6437" spans="14:14" x14ac:dyDescent="0.35">
      <c r="N6437" s="1346"/>
    </row>
    <row r="6438" spans="14:14" x14ac:dyDescent="0.35">
      <c r="N6438" s="1346"/>
    </row>
    <row r="6439" spans="14:14" x14ac:dyDescent="0.35">
      <c r="N6439" s="1346"/>
    </row>
    <row r="6440" spans="14:14" x14ac:dyDescent="0.35">
      <c r="N6440" s="1346"/>
    </row>
    <row r="6441" spans="14:14" x14ac:dyDescent="0.35">
      <c r="N6441" s="1346"/>
    </row>
    <row r="6442" spans="14:14" x14ac:dyDescent="0.35">
      <c r="N6442" s="1346"/>
    </row>
    <row r="6443" spans="14:14" x14ac:dyDescent="0.35">
      <c r="N6443" s="1346"/>
    </row>
    <row r="6444" spans="14:14" x14ac:dyDescent="0.35">
      <c r="N6444" s="1346"/>
    </row>
    <row r="6445" spans="14:14" x14ac:dyDescent="0.35">
      <c r="N6445" s="1346"/>
    </row>
    <row r="6446" spans="14:14" x14ac:dyDescent="0.35">
      <c r="N6446" s="1346"/>
    </row>
    <row r="6447" spans="14:14" x14ac:dyDescent="0.35">
      <c r="N6447" s="1346"/>
    </row>
    <row r="6448" spans="14:14" x14ac:dyDescent="0.35">
      <c r="N6448" s="1346"/>
    </row>
    <row r="6449" spans="14:14" x14ac:dyDescent="0.35">
      <c r="N6449" s="1346"/>
    </row>
    <row r="6450" spans="14:14" x14ac:dyDescent="0.35">
      <c r="N6450" s="1346"/>
    </row>
    <row r="6451" spans="14:14" x14ac:dyDescent="0.35">
      <c r="N6451" s="1346"/>
    </row>
    <row r="6452" spans="14:14" s="1348" customFormat="1" ht="16" thickBot="1" x14ac:dyDescent="0.4">
      <c r="N6452" s="1366"/>
    </row>
    <row r="6453" spans="14:14" x14ac:dyDescent="0.35">
      <c r="N6453" s="1346"/>
    </row>
    <row r="6454" spans="14:14" x14ac:dyDescent="0.35">
      <c r="N6454" s="1346"/>
    </row>
    <row r="6455" spans="14:14" x14ac:dyDescent="0.35">
      <c r="N6455" s="1346"/>
    </row>
    <row r="6456" spans="14:14" x14ac:dyDescent="0.35">
      <c r="N6456" s="1346"/>
    </row>
    <row r="6457" spans="14:14" x14ac:dyDescent="0.35">
      <c r="N6457" s="1346"/>
    </row>
    <row r="6458" spans="14:14" x14ac:dyDescent="0.35">
      <c r="N6458" s="1346"/>
    </row>
    <row r="6459" spans="14:14" x14ac:dyDescent="0.35">
      <c r="N6459" s="1346"/>
    </row>
    <row r="6460" spans="14:14" x14ac:dyDescent="0.35">
      <c r="N6460" s="1346"/>
    </row>
    <row r="6461" spans="14:14" x14ac:dyDescent="0.35">
      <c r="N6461" s="1346"/>
    </row>
    <row r="6462" spans="14:14" x14ac:dyDescent="0.35">
      <c r="N6462" s="1346"/>
    </row>
    <row r="6463" spans="14:14" x14ac:dyDescent="0.35">
      <c r="N6463" s="1346"/>
    </row>
    <row r="6464" spans="14:14" x14ac:dyDescent="0.35">
      <c r="N6464" s="1346"/>
    </row>
    <row r="6465" spans="14:14" x14ac:dyDescent="0.35">
      <c r="N6465" s="1346"/>
    </row>
    <row r="6466" spans="14:14" x14ac:dyDescent="0.35">
      <c r="N6466" s="1346"/>
    </row>
    <row r="6467" spans="14:14" s="1348" customFormat="1" ht="16" thickBot="1" x14ac:dyDescent="0.4">
      <c r="N6467" s="1366"/>
    </row>
    <row r="6468" spans="14:14" x14ac:dyDescent="0.35">
      <c r="N6468" s="1346"/>
    </row>
    <row r="6469" spans="14:14" x14ac:dyDescent="0.35">
      <c r="N6469" s="1346"/>
    </row>
    <row r="6470" spans="14:14" x14ac:dyDescent="0.35">
      <c r="N6470" s="1346"/>
    </row>
    <row r="6471" spans="14:14" x14ac:dyDescent="0.35">
      <c r="N6471" s="1346"/>
    </row>
    <row r="6472" spans="14:14" x14ac:dyDescent="0.35">
      <c r="N6472" s="1346"/>
    </row>
    <row r="6473" spans="14:14" x14ac:dyDescent="0.35">
      <c r="N6473" s="1346"/>
    </row>
    <row r="6474" spans="14:14" x14ac:dyDescent="0.35">
      <c r="N6474" s="1346"/>
    </row>
    <row r="6475" spans="14:14" x14ac:dyDescent="0.35">
      <c r="N6475" s="1346"/>
    </row>
    <row r="6476" spans="14:14" x14ac:dyDescent="0.35">
      <c r="N6476" s="1346"/>
    </row>
    <row r="6477" spans="14:14" x14ac:dyDescent="0.35">
      <c r="N6477" s="1346"/>
    </row>
    <row r="6478" spans="14:14" x14ac:dyDescent="0.35">
      <c r="N6478" s="1346"/>
    </row>
    <row r="6479" spans="14:14" x14ac:dyDescent="0.35">
      <c r="N6479" s="1346"/>
    </row>
    <row r="6480" spans="14:14" x14ac:dyDescent="0.35">
      <c r="N6480" s="1346"/>
    </row>
    <row r="6481" spans="14:14" x14ac:dyDescent="0.35">
      <c r="N6481" s="1346"/>
    </row>
    <row r="6482" spans="14:14" x14ac:dyDescent="0.35">
      <c r="N6482" s="1346"/>
    </row>
    <row r="6483" spans="14:14" x14ac:dyDescent="0.35">
      <c r="N6483" s="1346"/>
    </row>
    <row r="6484" spans="14:14" x14ac:dyDescent="0.35">
      <c r="N6484" s="1346"/>
    </row>
    <row r="6485" spans="14:14" x14ac:dyDescent="0.35">
      <c r="N6485" s="1346"/>
    </row>
    <row r="6486" spans="14:14" s="1348" customFormat="1" ht="16" thickBot="1" x14ac:dyDescent="0.4">
      <c r="N6486" s="1366"/>
    </row>
  </sheetData>
  <sheetProtection algorithmName="SHA-512" hashValue="awZ6XSbZwAAf486xScepuh7/fP2S61DMVJvWk2NiXGVR7KgUBWMDWoyRXv+sGMdGp76DNZJWWBEDgVpft1NJ4g==" saltValue="H5+T7fERl5d1p6RR/XE2Fg==" spinCount="100000" sheet="1" objects="1" scenarios="1"/>
  <autoFilter ref="A1:P5144" xr:uid="{07FAE08F-11F6-4FFB-BD29-C402BB196BBA}"/>
  <sortState xmlns:xlrd2="http://schemas.microsoft.com/office/spreadsheetml/2017/richdata2" ref="A5104:AH5119">
    <sortCondition ref="E5104:E5119"/>
  </sortState>
  <phoneticPr fontId="41"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976A5-FE6E-448A-B94A-E5D075A3067F}">
  <sheetPr codeName="Sheet28">
    <pageSetUpPr fitToPage="1"/>
  </sheetPr>
  <dimension ref="A1:P95"/>
  <sheetViews>
    <sheetView showGridLines="0" zoomScale="90" zoomScaleNormal="90" workbookViewId="0">
      <pane xSplit="4" ySplit="3" topLeftCell="E85" activePane="bottomRight" state="frozen"/>
      <selection pane="topRight" activeCell="E1" sqref="E1"/>
      <selection pane="bottomLeft" activeCell="A4" sqref="A4"/>
      <selection pane="bottomRight" activeCell="D47" sqref="D47"/>
    </sheetView>
  </sheetViews>
  <sheetFormatPr defaultColWidth="9" defaultRowHeight="15.5" x14ac:dyDescent="0.35"/>
  <cols>
    <col min="1" max="1" width="8.08203125" style="2" customWidth="1"/>
    <col min="2" max="3" width="6.08203125" style="2" customWidth="1"/>
    <col min="4" max="4" width="120.58203125" style="1" customWidth="1"/>
    <col min="5" max="5" width="27.83203125" style="1" bestFit="1" customWidth="1"/>
    <col min="6" max="16384" width="9" style="1"/>
  </cols>
  <sheetData>
    <row r="1" spans="1:16" ht="12" customHeight="1" x14ac:dyDescent="0.35"/>
    <row r="2" spans="1:16" ht="30.5" thickBot="1" x14ac:dyDescent="0.4">
      <c r="A2" s="1436" t="s">
        <v>12673</v>
      </c>
      <c r="B2" s="1436"/>
      <c r="C2" s="1436"/>
      <c r="D2" s="1436"/>
    </row>
    <row r="3" spans="1:16" s="7" customFormat="1" ht="36" customHeight="1" thickTop="1" thickBot="1" x14ac:dyDescent="0.4">
      <c r="A3" s="21" t="s">
        <v>325</v>
      </c>
      <c r="B3" s="23" t="s">
        <v>326</v>
      </c>
      <c r="C3" s="24" t="s">
        <v>327</v>
      </c>
      <c r="D3" s="20" t="s">
        <v>328</v>
      </c>
      <c r="E3" s="22" t="s">
        <v>733</v>
      </c>
    </row>
    <row r="4" spans="1:16" s="8" customFormat="1" ht="16" thickTop="1" x14ac:dyDescent="0.35">
      <c r="A4" s="25"/>
      <c r="B4" s="26"/>
      <c r="C4" s="27">
        <v>1</v>
      </c>
      <c r="D4" s="28" t="s">
        <v>3</v>
      </c>
      <c r="E4" s="29" t="s">
        <v>12674</v>
      </c>
    </row>
    <row r="5" spans="1:16" s="8" customFormat="1" x14ac:dyDescent="0.35">
      <c r="A5" s="35">
        <v>1</v>
      </c>
      <c r="B5" s="36"/>
      <c r="C5" s="37">
        <v>2</v>
      </c>
      <c r="D5" s="38" t="s">
        <v>12679</v>
      </c>
      <c r="E5" s="39" t="s">
        <v>12674</v>
      </c>
    </row>
    <row r="6" spans="1:16" s="8" customFormat="1" x14ac:dyDescent="0.35">
      <c r="A6" s="35">
        <v>2</v>
      </c>
      <c r="B6" s="36"/>
      <c r="C6" s="37">
        <v>3</v>
      </c>
      <c r="D6" s="38" t="s">
        <v>12680</v>
      </c>
      <c r="E6" s="39" t="s">
        <v>12674</v>
      </c>
    </row>
    <row r="7" spans="1:16" s="8" customFormat="1" x14ac:dyDescent="0.35">
      <c r="A7" s="35">
        <v>3</v>
      </c>
      <c r="B7" s="36"/>
      <c r="C7" s="37">
        <v>4</v>
      </c>
      <c r="D7" s="38" t="s">
        <v>12681</v>
      </c>
      <c r="E7" s="39" t="s">
        <v>12674</v>
      </c>
    </row>
    <row r="8" spans="1:16" s="8" customFormat="1" x14ac:dyDescent="0.35">
      <c r="A8" s="35">
        <v>4</v>
      </c>
      <c r="B8" s="36"/>
      <c r="C8" s="37">
        <v>5</v>
      </c>
      <c r="D8" s="38" t="s">
        <v>12682</v>
      </c>
      <c r="E8" s="39" t="s">
        <v>12674</v>
      </c>
    </row>
    <row r="9" spans="1:16" s="8" customFormat="1" x14ac:dyDescent="0.35">
      <c r="A9" s="35">
        <v>5</v>
      </c>
      <c r="B9" s="36"/>
      <c r="C9" s="40" t="s">
        <v>1360</v>
      </c>
      <c r="D9" s="38" t="s">
        <v>12683</v>
      </c>
      <c r="E9" s="39" t="s">
        <v>12674</v>
      </c>
    </row>
    <row r="10" spans="1:16" s="8" customFormat="1" ht="31" x14ac:dyDescent="0.35">
      <c r="A10" s="35">
        <v>6</v>
      </c>
      <c r="B10" s="36"/>
      <c r="C10" s="37">
        <v>7</v>
      </c>
      <c r="D10" s="38" t="s">
        <v>12752</v>
      </c>
      <c r="E10" s="39" t="s">
        <v>12674</v>
      </c>
    </row>
    <row r="11" spans="1:16" s="8" customFormat="1" x14ac:dyDescent="0.35">
      <c r="A11" s="35">
        <v>7</v>
      </c>
      <c r="B11" s="36"/>
      <c r="C11" s="37">
        <v>8</v>
      </c>
      <c r="D11" s="38" t="s">
        <v>12753</v>
      </c>
      <c r="E11" s="39" t="s">
        <v>12674</v>
      </c>
    </row>
    <row r="12" spans="1:16" s="8" customFormat="1" x14ac:dyDescent="0.35">
      <c r="A12" s="35">
        <v>8</v>
      </c>
      <c r="B12" s="36"/>
      <c r="C12" s="37">
        <v>8</v>
      </c>
      <c r="D12" s="38" t="s">
        <v>12754</v>
      </c>
      <c r="E12" s="39" t="s">
        <v>12674</v>
      </c>
    </row>
    <row r="13" spans="1:16" s="8" customFormat="1" x14ac:dyDescent="0.35">
      <c r="A13" s="35">
        <v>9</v>
      </c>
      <c r="B13" s="36"/>
      <c r="C13" s="37">
        <v>9</v>
      </c>
      <c r="D13" s="38" t="s">
        <v>12685</v>
      </c>
      <c r="E13" s="39" t="s">
        <v>12674</v>
      </c>
    </row>
    <row r="14" spans="1:16" s="8" customFormat="1" x14ac:dyDescent="0.35">
      <c r="A14" s="35">
        <v>10</v>
      </c>
      <c r="B14" s="36"/>
      <c r="C14" s="37">
        <v>10</v>
      </c>
      <c r="D14" s="38" t="s">
        <v>12686</v>
      </c>
      <c r="E14" s="39" t="s">
        <v>12674</v>
      </c>
    </row>
    <row r="15" spans="1:16" s="8" customFormat="1" x14ac:dyDescent="0.35">
      <c r="A15" s="35">
        <v>11</v>
      </c>
      <c r="B15" s="36"/>
      <c r="C15" s="37">
        <v>11</v>
      </c>
      <c r="D15" s="38" t="s">
        <v>12687</v>
      </c>
      <c r="E15" s="39" t="s">
        <v>12674</v>
      </c>
      <c r="F15" s="9"/>
      <c r="G15" s="9"/>
      <c r="H15" s="9"/>
      <c r="I15" s="9"/>
      <c r="J15" s="9"/>
      <c r="K15" s="9"/>
      <c r="L15" s="9"/>
      <c r="M15" s="9"/>
      <c r="N15" s="9"/>
      <c r="O15" s="9"/>
      <c r="P15" s="9"/>
    </row>
    <row r="16" spans="1:16" s="8" customFormat="1" x14ac:dyDescent="0.35">
      <c r="A16" s="35">
        <v>12</v>
      </c>
      <c r="B16" s="36"/>
      <c r="C16" s="37">
        <v>12</v>
      </c>
      <c r="D16" s="38" t="s">
        <v>1363</v>
      </c>
      <c r="E16" s="39" t="s">
        <v>12674</v>
      </c>
    </row>
    <row r="17" spans="1:5" s="8" customFormat="1" ht="31" x14ac:dyDescent="0.35">
      <c r="A17" s="35">
        <v>13</v>
      </c>
      <c r="B17" s="36"/>
      <c r="C17" s="37">
        <v>12</v>
      </c>
      <c r="D17" s="38" t="s">
        <v>12755</v>
      </c>
      <c r="E17" s="39" t="s">
        <v>12674</v>
      </c>
    </row>
    <row r="18" spans="1:5" s="8" customFormat="1" x14ac:dyDescent="0.35">
      <c r="A18" s="35">
        <v>14</v>
      </c>
      <c r="B18" s="36"/>
      <c r="C18" s="37">
        <v>12</v>
      </c>
      <c r="D18" s="38" t="s">
        <v>12756</v>
      </c>
      <c r="E18" s="39" t="s">
        <v>12674</v>
      </c>
    </row>
    <row r="19" spans="1:5" s="8" customFormat="1" ht="31" x14ac:dyDescent="0.35">
      <c r="A19" s="35">
        <v>15</v>
      </c>
      <c r="B19" s="36"/>
      <c r="C19" s="37">
        <v>12</v>
      </c>
      <c r="D19" s="38" t="s">
        <v>12757</v>
      </c>
      <c r="E19" s="39" t="s">
        <v>12674</v>
      </c>
    </row>
    <row r="20" spans="1:5" s="8" customFormat="1" ht="31" x14ac:dyDescent="0.35">
      <c r="A20" s="35">
        <v>16</v>
      </c>
      <c r="B20" s="36"/>
      <c r="C20" s="37">
        <v>13</v>
      </c>
      <c r="D20" s="38" t="s">
        <v>12758</v>
      </c>
      <c r="E20" s="39" t="s">
        <v>1364</v>
      </c>
    </row>
    <row r="21" spans="1:5" s="8" customFormat="1" ht="31" x14ac:dyDescent="0.35">
      <c r="A21" s="35">
        <v>17</v>
      </c>
      <c r="B21" s="36"/>
      <c r="C21" s="37">
        <v>13</v>
      </c>
      <c r="D21" s="38" t="s">
        <v>12759</v>
      </c>
      <c r="E21" s="39" t="s">
        <v>12674</v>
      </c>
    </row>
    <row r="22" spans="1:5" s="8" customFormat="1" x14ac:dyDescent="0.35">
      <c r="A22" s="35">
        <v>18</v>
      </c>
      <c r="B22" s="36"/>
      <c r="C22" s="37">
        <v>14</v>
      </c>
      <c r="D22" s="38" t="s">
        <v>12760</v>
      </c>
      <c r="E22" s="39" t="s">
        <v>12674</v>
      </c>
    </row>
    <row r="23" spans="1:5" s="8" customFormat="1" ht="31" x14ac:dyDescent="0.35">
      <c r="A23" s="35">
        <v>19</v>
      </c>
      <c r="B23" s="36"/>
      <c r="C23" s="37">
        <v>14</v>
      </c>
      <c r="D23" s="38" t="s">
        <v>12761</v>
      </c>
      <c r="E23" s="39" t="s">
        <v>12674</v>
      </c>
    </row>
    <row r="24" spans="1:5" s="8" customFormat="1" ht="31" x14ac:dyDescent="0.35">
      <c r="A24" s="35">
        <v>20</v>
      </c>
      <c r="B24" s="36"/>
      <c r="C24" s="37">
        <v>14</v>
      </c>
      <c r="D24" s="38" t="s">
        <v>12762</v>
      </c>
      <c r="E24" s="39" t="s">
        <v>12675</v>
      </c>
    </row>
    <row r="25" spans="1:5" s="8" customFormat="1" ht="31" x14ac:dyDescent="0.35">
      <c r="A25" s="35">
        <v>21</v>
      </c>
      <c r="B25" s="36"/>
      <c r="C25" s="37">
        <v>14</v>
      </c>
      <c r="D25" s="38" t="s">
        <v>12763</v>
      </c>
      <c r="E25" s="39" t="s">
        <v>12674</v>
      </c>
    </row>
    <row r="26" spans="1:5" s="8" customFormat="1" x14ac:dyDescent="0.35">
      <c r="A26" s="35">
        <v>22</v>
      </c>
      <c r="B26" s="36"/>
      <c r="C26" s="37">
        <v>15</v>
      </c>
      <c r="D26" s="38" t="s">
        <v>12697</v>
      </c>
      <c r="E26" s="39" t="s">
        <v>12674</v>
      </c>
    </row>
    <row r="27" spans="1:5" s="8" customFormat="1" ht="31" x14ac:dyDescent="0.35">
      <c r="A27" s="35">
        <v>23</v>
      </c>
      <c r="B27" s="36"/>
      <c r="C27" s="37">
        <v>16</v>
      </c>
      <c r="D27" s="38" t="s">
        <v>12764</v>
      </c>
      <c r="E27" s="39" t="s">
        <v>12674</v>
      </c>
    </row>
    <row r="28" spans="1:5" s="8" customFormat="1" x14ac:dyDescent="0.35">
      <c r="A28" s="35"/>
      <c r="B28" s="36">
        <v>1</v>
      </c>
      <c r="C28" s="37">
        <v>16</v>
      </c>
      <c r="D28" s="38" t="s">
        <v>12699</v>
      </c>
      <c r="E28" s="39" t="s">
        <v>12674</v>
      </c>
    </row>
    <row r="29" spans="1:5" s="8" customFormat="1" x14ac:dyDescent="0.35">
      <c r="A29" s="35"/>
      <c r="B29" s="36">
        <v>2</v>
      </c>
      <c r="C29" s="37">
        <v>16</v>
      </c>
      <c r="D29" s="38" t="s">
        <v>12703</v>
      </c>
      <c r="E29" s="39" t="s">
        <v>12674</v>
      </c>
    </row>
    <row r="30" spans="1:5" s="8" customFormat="1" ht="31" x14ac:dyDescent="0.35">
      <c r="A30" s="35">
        <v>24</v>
      </c>
      <c r="B30" s="36"/>
      <c r="C30" s="37">
        <v>17</v>
      </c>
      <c r="D30" s="38" t="s">
        <v>12765</v>
      </c>
      <c r="E30" s="39" t="s">
        <v>12674</v>
      </c>
    </row>
    <row r="31" spans="1:5" s="8" customFormat="1" ht="31" x14ac:dyDescent="0.35">
      <c r="A31" s="35"/>
      <c r="B31" s="36">
        <v>3</v>
      </c>
      <c r="C31" s="37">
        <v>17</v>
      </c>
      <c r="D31" s="38" t="s">
        <v>12766</v>
      </c>
      <c r="E31" s="39" t="s">
        <v>12674</v>
      </c>
    </row>
    <row r="32" spans="1:5" s="8" customFormat="1" x14ac:dyDescent="0.35">
      <c r="A32" s="35"/>
      <c r="B32" s="36">
        <v>4</v>
      </c>
      <c r="C32" s="37">
        <v>18</v>
      </c>
      <c r="D32" s="38" t="s">
        <v>12706</v>
      </c>
      <c r="E32" s="39" t="s">
        <v>12674</v>
      </c>
    </row>
    <row r="33" spans="1:5" s="8" customFormat="1" x14ac:dyDescent="0.35">
      <c r="A33" s="35"/>
      <c r="B33" s="36">
        <v>5</v>
      </c>
      <c r="C33" s="37">
        <v>18</v>
      </c>
      <c r="D33" s="38" t="s">
        <v>12707</v>
      </c>
      <c r="E33" s="39" t="s">
        <v>12674</v>
      </c>
    </row>
    <row r="34" spans="1:5" s="8" customFormat="1" x14ac:dyDescent="0.35">
      <c r="A34" s="35"/>
      <c r="B34" s="36">
        <v>6</v>
      </c>
      <c r="C34" s="37">
        <v>18</v>
      </c>
      <c r="D34" s="38" t="s">
        <v>12708</v>
      </c>
      <c r="E34" s="39" t="s">
        <v>12674</v>
      </c>
    </row>
    <row r="35" spans="1:5" s="8" customFormat="1" x14ac:dyDescent="0.35">
      <c r="A35" s="35">
        <v>25</v>
      </c>
      <c r="B35" s="36"/>
      <c r="C35" s="37">
        <v>19</v>
      </c>
      <c r="D35" s="38" t="s">
        <v>12709</v>
      </c>
      <c r="E35" s="39" t="s">
        <v>12674</v>
      </c>
    </row>
    <row r="36" spans="1:5" s="8" customFormat="1" x14ac:dyDescent="0.35">
      <c r="A36" s="35">
        <v>26</v>
      </c>
      <c r="B36" s="36"/>
      <c r="C36" s="37">
        <v>20</v>
      </c>
      <c r="D36" s="38" t="s">
        <v>12710</v>
      </c>
      <c r="E36" s="39" t="s">
        <v>12674</v>
      </c>
    </row>
    <row r="37" spans="1:5" s="8" customFormat="1" x14ac:dyDescent="0.35">
      <c r="A37" s="35"/>
      <c r="B37" s="36">
        <v>7</v>
      </c>
      <c r="C37" s="37">
        <v>21</v>
      </c>
      <c r="D37" s="38" t="s">
        <v>12711</v>
      </c>
      <c r="E37" s="39" t="s">
        <v>12674</v>
      </c>
    </row>
    <row r="38" spans="1:5" s="8" customFormat="1" x14ac:dyDescent="0.35">
      <c r="A38" s="35">
        <v>27</v>
      </c>
      <c r="B38" s="36"/>
      <c r="C38" s="37">
        <v>21</v>
      </c>
      <c r="D38" s="38" t="s">
        <v>12712</v>
      </c>
      <c r="E38" s="39" t="s">
        <v>12674</v>
      </c>
    </row>
    <row r="39" spans="1:5" s="8" customFormat="1" x14ac:dyDescent="0.35">
      <c r="A39" s="35">
        <v>28</v>
      </c>
      <c r="B39" s="36"/>
      <c r="C39" s="37">
        <v>22</v>
      </c>
      <c r="D39" s="38" t="s">
        <v>12713</v>
      </c>
      <c r="E39" s="39" t="s">
        <v>12674</v>
      </c>
    </row>
    <row r="40" spans="1:5" s="8" customFormat="1" x14ac:dyDescent="0.35">
      <c r="A40" s="35">
        <v>29</v>
      </c>
      <c r="B40" s="36"/>
      <c r="C40" s="37">
        <v>23</v>
      </c>
      <c r="D40" s="38" t="s">
        <v>12714</v>
      </c>
      <c r="E40" s="39" t="s">
        <v>12674</v>
      </c>
    </row>
    <row r="41" spans="1:5" s="8" customFormat="1" x14ac:dyDescent="0.35">
      <c r="A41" s="35">
        <v>30</v>
      </c>
      <c r="B41" s="36"/>
      <c r="C41" s="41">
        <v>24</v>
      </c>
      <c r="D41" s="38" t="s">
        <v>12715</v>
      </c>
      <c r="E41" s="39" t="s">
        <v>12674</v>
      </c>
    </row>
    <row r="42" spans="1:5" s="8" customFormat="1" x14ac:dyDescent="0.35">
      <c r="A42" s="35">
        <v>31</v>
      </c>
      <c r="B42" s="36"/>
      <c r="C42" s="37">
        <v>25</v>
      </c>
      <c r="D42" s="38" t="s">
        <v>12716</v>
      </c>
      <c r="E42" s="39" t="s">
        <v>12674</v>
      </c>
    </row>
    <row r="43" spans="1:5" s="8" customFormat="1" x14ac:dyDescent="0.35">
      <c r="A43" s="35">
        <v>32</v>
      </c>
      <c r="B43" s="36"/>
      <c r="C43" s="37">
        <v>26</v>
      </c>
      <c r="D43" s="38" t="s">
        <v>12769</v>
      </c>
      <c r="E43" s="39" t="s">
        <v>12674</v>
      </c>
    </row>
    <row r="44" spans="1:5" s="8" customFormat="1" x14ac:dyDescent="0.35">
      <c r="A44" s="35"/>
      <c r="B44" s="36">
        <v>8</v>
      </c>
      <c r="C44" s="37">
        <v>26</v>
      </c>
      <c r="D44" s="38" t="s">
        <v>12718</v>
      </c>
      <c r="E44" s="39" t="s">
        <v>12674</v>
      </c>
    </row>
    <row r="45" spans="1:5" s="8" customFormat="1" x14ac:dyDescent="0.35">
      <c r="A45" s="35"/>
      <c r="B45" s="36">
        <v>9</v>
      </c>
      <c r="C45" s="41" t="s">
        <v>1511</v>
      </c>
      <c r="D45" s="38" t="s">
        <v>12719</v>
      </c>
      <c r="E45" s="39" t="s">
        <v>12674</v>
      </c>
    </row>
    <row r="46" spans="1:5" s="8" customFormat="1" x14ac:dyDescent="0.35">
      <c r="A46" s="35"/>
      <c r="B46" s="36">
        <v>10</v>
      </c>
      <c r="C46" s="37">
        <v>28</v>
      </c>
      <c r="D46" s="38" t="s">
        <v>12720</v>
      </c>
      <c r="E46" s="39" t="s">
        <v>12674</v>
      </c>
    </row>
    <row r="47" spans="1:5" s="8" customFormat="1" x14ac:dyDescent="0.35">
      <c r="A47" s="35">
        <v>33</v>
      </c>
      <c r="B47" s="36"/>
      <c r="C47" s="37"/>
      <c r="D47" s="38" t="s">
        <v>12767</v>
      </c>
      <c r="E47" s="39"/>
    </row>
    <row r="48" spans="1:5" s="8" customFormat="1" x14ac:dyDescent="0.35">
      <c r="A48" s="35"/>
      <c r="B48" s="36"/>
      <c r="C48" s="37">
        <v>29</v>
      </c>
      <c r="D48" s="38" t="s">
        <v>12770</v>
      </c>
      <c r="E48" s="39" t="s">
        <v>12674</v>
      </c>
    </row>
    <row r="49" spans="1:5" s="8" customFormat="1" x14ac:dyDescent="0.35">
      <c r="A49" s="35"/>
      <c r="B49" s="36"/>
      <c r="C49" s="37">
        <v>29</v>
      </c>
      <c r="D49" s="38" t="s">
        <v>1101</v>
      </c>
      <c r="E49" s="39" t="s">
        <v>12674</v>
      </c>
    </row>
    <row r="50" spans="1:5" s="8" customFormat="1" x14ac:dyDescent="0.35">
      <c r="A50" s="35"/>
      <c r="B50" s="36"/>
      <c r="C50" s="37">
        <v>30</v>
      </c>
      <c r="D50" s="38" t="s">
        <v>1914</v>
      </c>
      <c r="E50" s="39" t="s">
        <v>12674</v>
      </c>
    </row>
    <row r="51" spans="1:5" s="8" customFormat="1" x14ac:dyDescent="0.35">
      <c r="A51" s="35"/>
      <c r="B51" s="36"/>
      <c r="C51" s="37">
        <v>30</v>
      </c>
      <c r="D51" s="38" t="s">
        <v>12768</v>
      </c>
      <c r="E51" s="39" t="s">
        <v>12674</v>
      </c>
    </row>
    <row r="52" spans="1:5" s="8" customFormat="1" x14ac:dyDescent="0.35">
      <c r="A52" s="35"/>
      <c r="B52" s="36">
        <v>11</v>
      </c>
      <c r="C52" s="37">
        <v>30</v>
      </c>
      <c r="D52" s="38" t="s">
        <v>12722</v>
      </c>
      <c r="E52" s="39" t="s">
        <v>12674</v>
      </c>
    </row>
    <row r="53" spans="1:5" s="8" customFormat="1" x14ac:dyDescent="0.35">
      <c r="A53" s="35"/>
      <c r="B53" s="36">
        <v>12</v>
      </c>
      <c r="C53" s="37">
        <v>31</v>
      </c>
      <c r="D53" s="38" t="s">
        <v>12723</v>
      </c>
      <c r="E53" s="39" t="s">
        <v>12674</v>
      </c>
    </row>
    <row r="54" spans="1:5" s="8" customFormat="1" x14ac:dyDescent="0.35">
      <c r="A54" s="35">
        <v>34</v>
      </c>
      <c r="B54" s="36"/>
      <c r="C54" s="37">
        <v>31</v>
      </c>
      <c r="D54" s="38" t="s">
        <v>12724</v>
      </c>
      <c r="E54" s="39" t="s">
        <v>12674</v>
      </c>
    </row>
    <row r="55" spans="1:5" s="8" customFormat="1" x14ac:dyDescent="0.35">
      <c r="A55" s="35">
        <v>35</v>
      </c>
      <c r="B55" s="36"/>
      <c r="C55" s="37">
        <v>32</v>
      </c>
      <c r="D55" s="38" t="s">
        <v>12725</v>
      </c>
      <c r="E55" s="39" t="s">
        <v>12674</v>
      </c>
    </row>
    <row r="56" spans="1:5" s="8" customFormat="1" x14ac:dyDescent="0.35">
      <c r="A56" s="35">
        <v>36</v>
      </c>
      <c r="B56" s="36"/>
      <c r="C56" s="37">
        <v>32</v>
      </c>
      <c r="D56" s="38" t="s">
        <v>12726</v>
      </c>
      <c r="E56" s="39" t="s">
        <v>12674</v>
      </c>
    </row>
    <row r="57" spans="1:5" s="8" customFormat="1" x14ac:dyDescent="0.35">
      <c r="A57" s="35">
        <v>37</v>
      </c>
      <c r="B57" s="36"/>
      <c r="C57" s="37">
        <v>32</v>
      </c>
      <c r="D57" s="38" t="s">
        <v>12771</v>
      </c>
      <c r="E57" s="39" t="s">
        <v>12676</v>
      </c>
    </row>
    <row r="58" spans="1:5" s="8" customFormat="1" x14ac:dyDescent="0.35">
      <c r="A58" s="35"/>
      <c r="B58" s="36">
        <v>13</v>
      </c>
      <c r="C58" s="37">
        <v>33</v>
      </c>
      <c r="D58" s="38" t="s">
        <v>12727</v>
      </c>
      <c r="E58" s="39" t="s">
        <v>12674</v>
      </c>
    </row>
    <row r="59" spans="1:5" s="8" customFormat="1" x14ac:dyDescent="0.35">
      <c r="A59" s="35"/>
      <c r="B59" s="36">
        <v>14</v>
      </c>
      <c r="C59" s="37">
        <v>34</v>
      </c>
      <c r="D59" s="38" t="s">
        <v>12728</v>
      </c>
      <c r="E59" s="39" t="s">
        <v>12674</v>
      </c>
    </row>
    <row r="60" spans="1:5" s="8" customFormat="1" x14ac:dyDescent="0.35">
      <c r="A60" s="35"/>
      <c r="B60" s="36">
        <v>15</v>
      </c>
      <c r="C60" s="37">
        <v>35</v>
      </c>
      <c r="D60" s="38" t="s">
        <v>12729</v>
      </c>
      <c r="E60" s="39" t="s">
        <v>12674</v>
      </c>
    </row>
    <row r="61" spans="1:5" s="8" customFormat="1" x14ac:dyDescent="0.35">
      <c r="A61" s="35"/>
      <c r="B61" s="36">
        <v>16</v>
      </c>
      <c r="C61" s="37">
        <v>36</v>
      </c>
      <c r="D61" s="38" t="s">
        <v>12730</v>
      </c>
      <c r="E61" s="39" t="s">
        <v>12674</v>
      </c>
    </row>
    <row r="62" spans="1:5" s="8" customFormat="1" x14ac:dyDescent="0.35">
      <c r="A62" s="35"/>
      <c r="B62" s="36">
        <v>17</v>
      </c>
      <c r="C62" s="37">
        <v>37</v>
      </c>
      <c r="D62" s="38" t="s">
        <v>12732</v>
      </c>
      <c r="E62" s="39" t="s">
        <v>12674</v>
      </c>
    </row>
    <row r="63" spans="1:5" s="8" customFormat="1" x14ac:dyDescent="0.35">
      <c r="A63" s="35"/>
      <c r="B63" s="36">
        <v>18</v>
      </c>
      <c r="C63" s="37">
        <v>37</v>
      </c>
      <c r="D63" s="38" t="s">
        <v>12733</v>
      </c>
      <c r="E63" s="39" t="s">
        <v>12674</v>
      </c>
    </row>
    <row r="64" spans="1:5" s="8" customFormat="1" x14ac:dyDescent="0.35">
      <c r="A64" s="35"/>
      <c r="B64" s="36">
        <v>19</v>
      </c>
      <c r="C64" s="37">
        <v>38</v>
      </c>
      <c r="D64" s="38" t="s">
        <v>12734</v>
      </c>
      <c r="E64" s="39" t="s">
        <v>12674</v>
      </c>
    </row>
    <row r="65" spans="1:5" s="8" customFormat="1" x14ac:dyDescent="0.35">
      <c r="A65" s="35"/>
      <c r="B65" s="36">
        <v>20</v>
      </c>
      <c r="C65" s="37">
        <v>38</v>
      </c>
      <c r="D65" s="38" t="s">
        <v>12735</v>
      </c>
      <c r="E65" s="39" t="s">
        <v>12674</v>
      </c>
    </row>
    <row r="66" spans="1:5" s="8" customFormat="1" x14ac:dyDescent="0.35">
      <c r="A66" s="35"/>
      <c r="B66" s="36">
        <v>21</v>
      </c>
      <c r="C66" s="37">
        <v>39</v>
      </c>
      <c r="D66" s="38" t="s">
        <v>12736</v>
      </c>
      <c r="E66" s="39" t="s">
        <v>12674</v>
      </c>
    </row>
    <row r="67" spans="1:5" s="8" customFormat="1" x14ac:dyDescent="0.35">
      <c r="A67" s="35"/>
      <c r="B67" s="36">
        <v>22</v>
      </c>
      <c r="C67" s="37">
        <v>39</v>
      </c>
      <c r="D67" s="38" t="s">
        <v>12737</v>
      </c>
      <c r="E67" s="39" t="s">
        <v>12674</v>
      </c>
    </row>
    <row r="68" spans="1:5" s="8" customFormat="1" x14ac:dyDescent="0.35">
      <c r="A68" s="35"/>
      <c r="B68" s="36">
        <v>23</v>
      </c>
      <c r="C68" s="37">
        <v>39</v>
      </c>
      <c r="D68" s="38" t="s">
        <v>12738</v>
      </c>
      <c r="E68" s="39" t="s">
        <v>12674</v>
      </c>
    </row>
    <row r="69" spans="1:5" s="8" customFormat="1" x14ac:dyDescent="0.35">
      <c r="A69" s="35"/>
      <c r="B69" s="36">
        <v>24</v>
      </c>
      <c r="C69" s="37">
        <v>40</v>
      </c>
      <c r="D69" s="38" t="s">
        <v>12739</v>
      </c>
      <c r="E69" s="39" t="s">
        <v>12674</v>
      </c>
    </row>
    <row r="70" spans="1:5" s="8" customFormat="1" x14ac:dyDescent="0.35">
      <c r="A70" s="35"/>
      <c r="B70" s="36">
        <v>25</v>
      </c>
      <c r="C70" s="37">
        <v>40</v>
      </c>
      <c r="D70" s="38" t="s">
        <v>12740</v>
      </c>
      <c r="E70" s="39" t="s">
        <v>12674</v>
      </c>
    </row>
    <row r="71" spans="1:5" s="8" customFormat="1" x14ac:dyDescent="0.35">
      <c r="A71" s="35"/>
      <c r="B71" s="36">
        <v>26</v>
      </c>
      <c r="C71" s="37">
        <v>41</v>
      </c>
      <c r="D71" s="38" t="s">
        <v>12741</v>
      </c>
      <c r="E71" s="39" t="s">
        <v>12674</v>
      </c>
    </row>
    <row r="72" spans="1:5" s="8" customFormat="1" x14ac:dyDescent="0.35">
      <c r="A72" s="35"/>
      <c r="B72" s="36">
        <v>27</v>
      </c>
      <c r="C72" s="37">
        <v>42</v>
      </c>
      <c r="D72" s="38" t="s">
        <v>12742</v>
      </c>
      <c r="E72" s="39" t="s">
        <v>12674</v>
      </c>
    </row>
    <row r="73" spans="1:5" s="8" customFormat="1" x14ac:dyDescent="0.35">
      <c r="A73" s="35">
        <v>38</v>
      </c>
      <c r="B73" s="36"/>
      <c r="C73" s="37">
        <v>43</v>
      </c>
      <c r="D73" s="38" t="s">
        <v>12743</v>
      </c>
      <c r="E73" s="39" t="s">
        <v>12674</v>
      </c>
    </row>
    <row r="74" spans="1:5" s="8" customFormat="1" x14ac:dyDescent="0.35">
      <c r="A74" s="35">
        <v>39</v>
      </c>
      <c r="B74" s="36"/>
      <c r="C74" s="41" t="s">
        <v>1881</v>
      </c>
      <c r="D74" s="38" t="s">
        <v>1950</v>
      </c>
      <c r="E74" s="39" t="s">
        <v>12674</v>
      </c>
    </row>
    <row r="75" spans="1:5" s="8" customFormat="1" x14ac:dyDescent="0.35">
      <c r="A75" s="35">
        <v>40</v>
      </c>
      <c r="B75" s="36"/>
      <c r="C75" s="41" t="s">
        <v>1882</v>
      </c>
      <c r="D75" s="38" t="s">
        <v>12666</v>
      </c>
      <c r="E75" s="39" t="s">
        <v>12674</v>
      </c>
    </row>
    <row r="76" spans="1:5" s="8" customFormat="1" x14ac:dyDescent="0.35">
      <c r="A76" s="35">
        <v>41</v>
      </c>
      <c r="B76" s="36"/>
      <c r="C76" s="37">
        <v>47</v>
      </c>
      <c r="D76" s="38" t="s">
        <v>1885</v>
      </c>
      <c r="E76" s="39" t="s">
        <v>12674</v>
      </c>
    </row>
    <row r="77" spans="1:5" s="8" customFormat="1" x14ac:dyDescent="0.35">
      <c r="A77" s="35"/>
      <c r="B77" s="36">
        <v>28</v>
      </c>
      <c r="C77" s="41"/>
      <c r="D77" s="38" t="s">
        <v>1886</v>
      </c>
      <c r="E77" s="39" t="s">
        <v>12674</v>
      </c>
    </row>
    <row r="78" spans="1:5" s="8" customFormat="1" x14ac:dyDescent="0.35">
      <c r="A78" s="35"/>
      <c r="B78" s="36"/>
      <c r="C78" s="41">
        <v>48</v>
      </c>
      <c r="D78" s="38" t="s">
        <v>1541</v>
      </c>
      <c r="E78" s="39"/>
    </row>
    <row r="79" spans="1:5" s="8" customFormat="1" x14ac:dyDescent="0.35">
      <c r="A79" s="35"/>
      <c r="B79" s="36"/>
      <c r="C79" s="41">
        <v>49</v>
      </c>
      <c r="D79" s="38" t="s">
        <v>1557</v>
      </c>
      <c r="E79" s="39"/>
    </row>
    <row r="80" spans="1:5" s="8" customFormat="1" x14ac:dyDescent="0.35">
      <c r="A80" s="35"/>
      <c r="B80" s="36"/>
      <c r="C80" s="41">
        <v>49</v>
      </c>
      <c r="D80" s="38" t="s">
        <v>1565</v>
      </c>
      <c r="E80" s="39"/>
    </row>
    <row r="81" spans="1:5" s="8" customFormat="1" x14ac:dyDescent="0.35">
      <c r="A81" s="35"/>
      <c r="B81" s="36"/>
      <c r="C81" s="41">
        <v>49</v>
      </c>
      <c r="D81" s="38" t="s">
        <v>1574</v>
      </c>
      <c r="E81" s="39"/>
    </row>
    <row r="82" spans="1:5" s="8" customFormat="1" x14ac:dyDescent="0.35">
      <c r="A82" s="35"/>
      <c r="B82" s="36"/>
      <c r="C82" s="41">
        <v>50</v>
      </c>
      <c r="D82" s="38" t="s">
        <v>1580</v>
      </c>
      <c r="E82" s="39"/>
    </row>
    <row r="83" spans="1:5" s="8" customFormat="1" x14ac:dyDescent="0.35">
      <c r="A83" s="35"/>
      <c r="B83" s="36">
        <v>29</v>
      </c>
      <c r="C83" s="41"/>
      <c r="D83" s="38" t="s">
        <v>1888</v>
      </c>
      <c r="E83" s="39" t="s">
        <v>12674</v>
      </c>
    </row>
    <row r="84" spans="1:5" s="8" customFormat="1" x14ac:dyDescent="0.35">
      <c r="A84" s="35"/>
      <c r="B84" s="36"/>
      <c r="C84" s="41">
        <v>51</v>
      </c>
      <c r="D84" s="38" t="s">
        <v>1598</v>
      </c>
      <c r="E84" s="39"/>
    </row>
    <row r="85" spans="1:5" s="8" customFormat="1" x14ac:dyDescent="0.35">
      <c r="A85" s="35"/>
      <c r="B85" s="36"/>
      <c r="C85" s="41">
        <v>52</v>
      </c>
      <c r="D85" s="38" t="s">
        <v>1620</v>
      </c>
      <c r="E85" s="39"/>
    </row>
    <row r="86" spans="1:5" s="8" customFormat="1" x14ac:dyDescent="0.35">
      <c r="A86" s="35"/>
      <c r="B86" s="36">
        <v>30</v>
      </c>
      <c r="C86" s="41"/>
      <c r="D86" s="38" t="s">
        <v>1889</v>
      </c>
      <c r="E86" s="39" t="s">
        <v>12674</v>
      </c>
    </row>
    <row r="87" spans="1:5" s="8" customFormat="1" x14ac:dyDescent="0.35">
      <c r="A87" s="35"/>
      <c r="B87" s="36"/>
      <c r="C87" s="41">
        <v>53</v>
      </c>
      <c r="D87" s="38" t="s">
        <v>1635</v>
      </c>
      <c r="E87" s="39"/>
    </row>
    <row r="88" spans="1:5" s="8" customFormat="1" x14ac:dyDescent="0.35">
      <c r="A88" s="35"/>
      <c r="B88" s="36"/>
      <c r="C88" s="41">
        <v>54</v>
      </c>
      <c r="D88" s="38" t="s">
        <v>1671</v>
      </c>
      <c r="E88" s="39"/>
    </row>
    <row r="89" spans="1:5" s="8" customFormat="1" x14ac:dyDescent="0.35">
      <c r="A89" s="35"/>
      <c r="B89" s="36"/>
      <c r="C89" s="41" t="s">
        <v>1893</v>
      </c>
      <c r="D89" s="38" t="s">
        <v>1892</v>
      </c>
      <c r="E89" s="39"/>
    </row>
    <row r="90" spans="1:5" s="8" customFormat="1" x14ac:dyDescent="0.35">
      <c r="A90" s="35"/>
      <c r="B90" s="36">
        <v>31</v>
      </c>
      <c r="C90" s="41"/>
      <c r="D90" s="38" t="s">
        <v>1894</v>
      </c>
      <c r="E90" s="39" t="s">
        <v>12674</v>
      </c>
    </row>
    <row r="91" spans="1:5" s="8" customFormat="1" x14ac:dyDescent="0.35">
      <c r="A91" s="35"/>
      <c r="B91" s="36"/>
      <c r="C91" s="41">
        <v>58</v>
      </c>
      <c r="D91" s="38" t="s">
        <v>1779</v>
      </c>
      <c r="E91" s="39"/>
    </row>
    <row r="92" spans="1:5" s="8" customFormat="1" x14ac:dyDescent="0.35">
      <c r="A92" s="35"/>
      <c r="B92" s="36"/>
      <c r="C92" s="41">
        <v>58</v>
      </c>
      <c r="D92" s="38" t="s">
        <v>1790</v>
      </c>
      <c r="E92" s="39"/>
    </row>
    <row r="93" spans="1:5" s="8" customFormat="1" x14ac:dyDescent="0.35">
      <c r="A93" s="35"/>
      <c r="B93" s="36"/>
      <c r="C93" s="41" t="s">
        <v>1897</v>
      </c>
      <c r="D93" s="38" t="s">
        <v>1896</v>
      </c>
      <c r="E93" s="39"/>
    </row>
    <row r="94" spans="1:5" s="8" customFormat="1" ht="16" thickBot="1" x14ac:dyDescent="0.4">
      <c r="A94" s="30"/>
      <c r="B94" s="31">
        <v>32</v>
      </c>
      <c r="C94" s="32">
        <v>63</v>
      </c>
      <c r="D94" s="33" t="s">
        <v>12751</v>
      </c>
      <c r="E94" s="34" t="s">
        <v>12674</v>
      </c>
    </row>
    <row r="95" spans="1:5" ht="16" thickTop="1" x14ac:dyDescent="0.35">
      <c r="A95" s="2">
        <f>COUNTA(A4:A94)</f>
        <v>41</v>
      </c>
      <c r="B95" s="2">
        <f>COUNTA(B4:B94)+1</f>
        <v>33</v>
      </c>
    </row>
  </sheetData>
  <sheetProtection algorithmName="SHA-512" hashValue="BUW4z1QUxKXcfjvs/qs7mo2rPxnikpi/qFuGO3A325D2yM7fooNOLj4HMakizS+J3Jr0OCQAA4Vb72OFW7IPLw==" saltValue="kswhyNrGKzIADVIsQq9fdw==" spinCount="100000" sheet="1" objects="1" scenarios="1"/>
  <mergeCells count="1">
    <mergeCell ref="A2:D2"/>
  </mergeCells>
  <printOptions horizontalCentered="1" verticalCentered="1"/>
  <pageMargins left="0.25" right="0.25" top="0.2" bottom="0.2" header="0" footer="0.1"/>
  <pageSetup paperSize="9" scale="42"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B1:AV41"/>
  <sheetViews>
    <sheetView showGridLines="0" topLeftCell="I22" zoomScaleNormal="100" workbookViewId="0">
      <selection activeCell="AH28" sqref="AH28:AV28"/>
    </sheetView>
  </sheetViews>
  <sheetFormatPr defaultColWidth="9" defaultRowHeight="15.5" x14ac:dyDescent="0.35"/>
  <cols>
    <col min="1" max="1" width="2.08203125" style="44" customWidth="1"/>
    <col min="2" max="19" width="3.58203125" style="44" customWidth="1"/>
    <col min="20" max="20" width="3.9140625" style="44" customWidth="1"/>
    <col min="21" max="48" width="3.58203125" style="44" customWidth="1"/>
    <col min="49" max="49" width="2.08203125" style="44" customWidth="1"/>
    <col min="50" max="50" width="7" style="44" customWidth="1"/>
    <col min="51" max="16384" width="9" style="44"/>
  </cols>
  <sheetData>
    <row r="1" spans="2:48" ht="12" customHeight="1" x14ac:dyDescent="0.35"/>
    <row r="2" spans="2:48" ht="21.75" customHeight="1" x14ac:dyDescent="0.35">
      <c r="B2" s="81" t="s">
        <v>12677</v>
      </c>
      <c r="C2" s="45"/>
      <c r="D2" s="45"/>
      <c r="E2" s="45"/>
      <c r="F2" s="45"/>
      <c r="AO2" s="46" t="s">
        <v>745</v>
      </c>
      <c r="AQ2" s="1437">
        <v>304024</v>
      </c>
      <c r="AR2" s="1438"/>
      <c r="AS2" s="1438"/>
      <c r="AT2" s="1438"/>
      <c r="AU2" s="1438"/>
      <c r="AV2" s="1439"/>
    </row>
    <row r="3" spans="2:48" ht="15.75" customHeight="1" x14ac:dyDescent="0.35">
      <c r="B3" s="45"/>
      <c r="C3" s="45"/>
      <c r="D3" s="45"/>
      <c r="E3" s="45"/>
      <c r="F3" s="45"/>
      <c r="AL3" s="46"/>
      <c r="AM3" s="47"/>
      <c r="AN3" s="46"/>
      <c r="AO3" s="46"/>
      <c r="AQ3" s="46"/>
      <c r="AR3" s="46"/>
      <c r="AS3" s="46"/>
      <c r="AT3" s="48"/>
      <c r="AU3" s="47"/>
      <c r="AV3" s="47"/>
    </row>
    <row r="4" spans="2:48" ht="15.75" customHeight="1" x14ac:dyDescent="0.35">
      <c r="B4" s="45"/>
      <c r="C4" s="45"/>
      <c r="D4" s="45"/>
      <c r="E4" s="45"/>
      <c r="F4" s="45"/>
    </row>
    <row r="5" spans="2:48" ht="4.75" customHeight="1" x14ac:dyDescent="0.35"/>
    <row r="6" spans="2:48" x14ac:dyDescent="0.35">
      <c r="B6" s="1440" t="s">
        <v>0</v>
      </c>
      <c r="C6" s="1440"/>
      <c r="D6" s="1440"/>
      <c r="E6" s="1440"/>
      <c r="F6" s="1440"/>
      <c r="G6" s="1440"/>
      <c r="H6" s="1440"/>
      <c r="I6" s="1440"/>
      <c r="J6" s="1440"/>
      <c r="K6" s="1440"/>
      <c r="L6" s="1440"/>
      <c r="M6" s="1440"/>
      <c r="N6" s="1440"/>
      <c r="O6" s="1440"/>
      <c r="P6" s="1440"/>
      <c r="Q6" s="1440"/>
      <c r="R6" s="1440"/>
      <c r="S6" s="1440"/>
      <c r="T6" s="1440"/>
      <c r="U6" s="1440"/>
      <c r="V6" s="1440"/>
      <c r="W6" s="1440"/>
      <c r="X6" s="1440"/>
      <c r="Y6" s="1440"/>
      <c r="Z6" s="1440"/>
      <c r="AA6" s="1440"/>
      <c r="AB6" s="1440"/>
      <c r="AC6" s="1440"/>
      <c r="AD6" s="1440"/>
      <c r="AE6" s="1440"/>
      <c r="AF6" s="1440"/>
      <c r="AG6" s="1440"/>
      <c r="AH6" s="1440"/>
      <c r="AI6" s="1440"/>
      <c r="AJ6" s="1440"/>
      <c r="AK6" s="1440"/>
      <c r="AL6" s="1440"/>
      <c r="AM6" s="1440"/>
      <c r="AN6" s="1440"/>
      <c r="AO6" s="1440"/>
      <c r="AP6" s="1440"/>
      <c r="AQ6" s="1440"/>
      <c r="AR6" s="1440"/>
      <c r="AS6" s="1440"/>
      <c r="AT6" s="1440"/>
      <c r="AU6" s="1440"/>
      <c r="AV6" s="1440"/>
    </row>
    <row r="7" spans="2:48" s="49" customFormat="1" ht="15" x14ac:dyDescent="0.3">
      <c r="B7" s="1441" t="s">
        <v>1</v>
      </c>
      <c r="C7" s="1441"/>
      <c r="D7" s="1441"/>
      <c r="E7" s="1441"/>
      <c r="F7" s="1441"/>
      <c r="G7" s="1441"/>
      <c r="H7" s="1441"/>
      <c r="I7" s="1441"/>
      <c r="J7" s="1441"/>
      <c r="K7" s="1441"/>
      <c r="L7" s="1441"/>
      <c r="M7" s="1441"/>
      <c r="N7" s="1441"/>
      <c r="O7" s="1441"/>
      <c r="P7" s="1441"/>
      <c r="Q7" s="1441"/>
      <c r="R7" s="1441"/>
      <c r="S7" s="1441"/>
      <c r="T7" s="1441"/>
      <c r="U7" s="1441"/>
      <c r="V7" s="1441"/>
      <c r="W7" s="1441"/>
      <c r="X7" s="1441"/>
      <c r="Y7" s="1441"/>
      <c r="Z7" s="1441"/>
      <c r="AA7" s="1441"/>
      <c r="AB7" s="1441"/>
      <c r="AC7" s="1441"/>
      <c r="AD7" s="1441"/>
      <c r="AE7" s="1441"/>
      <c r="AF7" s="1441"/>
      <c r="AG7" s="1441"/>
      <c r="AH7" s="1441"/>
      <c r="AI7" s="1441"/>
      <c r="AJ7" s="1441"/>
      <c r="AK7" s="1441"/>
      <c r="AL7" s="1441"/>
      <c r="AM7" s="1441"/>
      <c r="AN7" s="1441"/>
      <c r="AO7" s="1441"/>
      <c r="AP7" s="1441"/>
      <c r="AQ7" s="1441"/>
      <c r="AR7" s="1441"/>
      <c r="AS7" s="1441"/>
      <c r="AT7" s="1441"/>
      <c r="AU7" s="1441"/>
      <c r="AV7" s="1441"/>
    </row>
    <row r="8" spans="2:48" s="50" customFormat="1" ht="13" x14ac:dyDescent="0.3">
      <c r="B8" s="1442" t="s">
        <v>232</v>
      </c>
      <c r="C8" s="1442"/>
      <c r="D8" s="1442"/>
      <c r="E8" s="1442"/>
      <c r="F8" s="1442"/>
      <c r="G8" s="1442"/>
      <c r="H8" s="1442"/>
      <c r="I8" s="1442"/>
      <c r="J8" s="1442"/>
      <c r="K8" s="1442"/>
      <c r="L8" s="1442"/>
      <c r="M8" s="1442"/>
      <c r="N8" s="1442"/>
      <c r="O8" s="1442"/>
      <c r="P8" s="1442"/>
      <c r="Q8" s="1442"/>
      <c r="R8" s="1442"/>
      <c r="S8" s="1442"/>
      <c r="T8" s="1442"/>
      <c r="U8" s="1442"/>
      <c r="V8" s="1442"/>
      <c r="W8" s="1442"/>
      <c r="X8" s="1442"/>
      <c r="Y8" s="1442"/>
      <c r="Z8" s="1442"/>
      <c r="AA8" s="1442"/>
      <c r="AB8" s="1442"/>
      <c r="AC8" s="1442"/>
      <c r="AD8" s="1442"/>
      <c r="AE8" s="1442"/>
      <c r="AF8" s="1442"/>
      <c r="AG8" s="1442"/>
      <c r="AH8" s="1442"/>
      <c r="AI8" s="1442"/>
      <c r="AJ8" s="1442"/>
      <c r="AK8" s="1442"/>
      <c r="AL8" s="1442"/>
      <c r="AM8" s="1442"/>
      <c r="AN8" s="1442"/>
      <c r="AO8" s="1442"/>
      <c r="AP8" s="1442"/>
      <c r="AQ8" s="1442"/>
      <c r="AR8" s="1442"/>
      <c r="AS8" s="1442"/>
      <c r="AT8" s="1442"/>
      <c r="AU8" s="1442"/>
      <c r="AV8" s="1442"/>
    </row>
    <row r="9" spans="2:48" s="51" customFormat="1" ht="14" x14ac:dyDescent="0.3">
      <c r="B9" s="1443" t="s">
        <v>230</v>
      </c>
      <c r="C9" s="1443"/>
      <c r="D9" s="1443"/>
      <c r="E9" s="1443"/>
      <c r="F9" s="1443"/>
      <c r="G9" s="1443"/>
      <c r="H9" s="1443"/>
      <c r="I9" s="1443"/>
      <c r="J9" s="1443"/>
      <c r="K9" s="1443"/>
      <c r="L9" s="1443"/>
      <c r="M9" s="1443"/>
      <c r="N9" s="1443"/>
      <c r="O9" s="1443"/>
      <c r="P9" s="1443"/>
      <c r="Q9" s="1443"/>
      <c r="R9" s="1443"/>
      <c r="S9" s="1443"/>
      <c r="T9" s="1443"/>
      <c r="U9" s="1443"/>
      <c r="V9" s="1443"/>
      <c r="W9" s="1443"/>
      <c r="X9" s="1443"/>
      <c r="Y9" s="1443"/>
      <c r="Z9" s="1443"/>
      <c r="AA9" s="1443"/>
      <c r="AB9" s="1443"/>
      <c r="AC9" s="1443"/>
      <c r="AD9" s="1443"/>
      <c r="AE9" s="1443"/>
      <c r="AF9" s="1443"/>
      <c r="AG9" s="1443"/>
      <c r="AH9" s="1443"/>
      <c r="AI9" s="1443"/>
      <c r="AJ9" s="1443"/>
      <c r="AK9" s="1443"/>
      <c r="AL9" s="1443"/>
      <c r="AM9" s="1443"/>
      <c r="AN9" s="1443"/>
      <c r="AO9" s="1443"/>
      <c r="AP9" s="1443"/>
      <c r="AQ9" s="1443"/>
      <c r="AR9" s="1443"/>
      <c r="AS9" s="1443"/>
      <c r="AT9" s="1443"/>
      <c r="AU9" s="1443"/>
      <c r="AV9" s="1443"/>
    </row>
    <row r="10" spans="2:48" s="49" customFormat="1" ht="9" customHeight="1" x14ac:dyDescent="0.3">
      <c r="C10" s="52"/>
      <c r="D10" s="52"/>
      <c r="E10" s="52"/>
      <c r="F10" s="52"/>
      <c r="G10" s="52"/>
      <c r="H10" s="52"/>
      <c r="I10" s="52"/>
      <c r="J10" s="52"/>
      <c r="K10" s="52"/>
      <c r="L10" s="52"/>
      <c r="M10" s="52"/>
      <c r="N10" s="52"/>
      <c r="O10" s="52"/>
      <c r="P10" s="52"/>
      <c r="Q10" s="52"/>
      <c r="R10" s="52"/>
      <c r="S10" s="52"/>
      <c r="T10" s="52"/>
      <c r="U10" s="52"/>
      <c r="V10" s="52"/>
      <c r="W10" s="52"/>
      <c r="X10" s="52"/>
      <c r="Y10" s="52"/>
      <c r="Z10" s="52"/>
      <c r="AA10" s="52"/>
      <c r="AB10" s="52"/>
      <c r="AC10" s="52"/>
      <c r="AD10" s="52"/>
      <c r="AE10" s="52"/>
      <c r="AF10" s="52"/>
      <c r="AG10" s="52"/>
      <c r="AH10" s="52"/>
      <c r="AI10" s="52"/>
      <c r="AJ10" s="52"/>
      <c r="AK10" s="52"/>
      <c r="AL10" s="52"/>
      <c r="AM10" s="52"/>
      <c r="AN10" s="52"/>
      <c r="AO10" s="52"/>
      <c r="AP10" s="52"/>
      <c r="AQ10" s="52"/>
      <c r="AR10" s="52"/>
      <c r="AS10" s="52"/>
      <c r="AT10" s="52"/>
      <c r="AU10" s="52"/>
      <c r="AV10" s="52"/>
    </row>
    <row r="11" spans="2:48" s="53" customFormat="1" ht="25" x14ac:dyDescent="0.5">
      <c r="B11" s="1445" t="s">
        <v>233</v>
      </c>
      <c r="C11" s="1445"/>
      <c r="D11" s="1445"/>
      <c r="E11" s="1445"/>
      <c r="F11" s="1445"/>
      <c r="G11" s="1445"/>
      <c r="H11" s="1445"/>
      <c r="I11" s="1445"/>
      <c r="J11" s="1445"/>
      <c r="K11" s="1445"/>
      <c r="L11" s="1445"/>
      <c r="M11" s="1445"/>
      <c r="N11" s="1445"/>
      <c r="O11" s="1445"/>
      <c r="P11" s="1445"/>
      <c r="Q11" s="1445"/>
      <c r="R11" s="1445"/>
      <c r="S11" s="1445"/>
      <c r="T11" s="1445"/>
      <c r="U11" s="1445"/>
      <c r="V11" s="1445"/>
      <c r="W11" s="1445"/>
      <c r="X11" s="1445"/>
      <c r="Y11" s="1445"/>
      <c r="Z11" s="1445"/>
      <c r="AA11" s="1445"/>
      <c r="AB11" s="1445"/>
      <c r="AC11" s="1445"/>
      <c r="AD11" s="1445"/>
      <c r="AE11" s="1445"/>
      <c r="AF11" s="1445"/>
      <c r="AG11" s="1445"/>
      <c r="AH11" s="1445"/>
      <c r="AI11" s="1445"/>
      <c r="AJ11" s="1445"/>
      <c r="AK11" s="1445"/>
      <c r="AL11" s="1445"/>
      <c r="AM11" s="1445"/>
      <c r="AN11" s="1445"/>
      <c r="AO11" s="1445"/>
      <c r="AP11" s="1445"/>
      <c r="AQ11" s="1445"/>
      <c r="AR11" s="1445"/>
      <c r="AS11" s="1445"/>
      <c r="AT11" s="1445"/>
      <c r="AU11" s="1445"/>
      <c r="AV11" s="1445"/>
    </row>
    <row r="12" spans="2:48" ht="9" customHeight="1" thickBot="1" x14ac:dyDescent="0.4"/>
    <row r="13" spans="2:48" s="55" customFormat="1" ht="31.75" customHeight="1" thickTop="1" x14ac:dyDescent="0.35">
      <c r="B13" s="54"/>
      <c r="C13" s="1446" t="s">
        <v>2</v>
      </c>
      <c r="D13" s="1446"/>
      <c r="E13" s="1446"/>
      <c r="F13" s="1446"/>
      <c r="G13" s="1446"/>
      <c r="H13" s="1446"/>
      <c r="I13" s="1446"/>
      <c r="J13" s="1446"/>
      <c r="K13" s="1446"/>
      <c r="L13" s="1446"/>
      <c r="M13" s="1446"/>
      <c r="N13" s="1446"/>
      <c r="O13" s="1446"/>
      <c r="P13" s="1446"/>
      <c r="Q13" s="1446"/>
      <c r="R13" s="1446"/>
      <c r="S13" s="1446"/>
      <c r="T13" s="1446"/>
      <c r="U13" s="1446"/>
      <c r="V13" s="1446"/>
      <c r="W13" s="1446"/>
      <c r="X13" s="1446"/>
      <c r="Y13" s="1446"/>
      <c r="Z13" s="1446"/>
      <c r="AA13" s="1446"/>
      <c r="AB13" s="1446"/>
      <c r="AC13" s="1446"/>
      <c r="AD13" s="1446"/>
      <c r="AE13" s="1446"/>
      <c r="AF13" s="1446"/>
      <c r="AG13" s="1446"/>
      <c r="AH13" s="1446"/>
      <c r="AI13" s="1446"/>
      <c r="AJ13" s="1446"/>
      <c r="AK13" s="1446"/>
      <c r="AL13" s="1446"/>
      <c r="AM13" s="1446"/>
      <c r="AN13" s="1446"/>
      <c r="AO13" s="1446"/>
      <c r="AP13" s="1446"/>
      <c r="AQ13" s="1446"/>
      <c r="AR13" s="1446"/>
      <c r="AS13" s="1446"/>
      <c r="AT13" s="1446"/>
      <c r="AU13" s="1446"/>
      <c r="AV13" s="1447"/>
    </row>
    <row r="14" spans="2:48" s="55" customFormat="1" ht="31.75" customHeight="1" x14ac:dyDescent="0.35">
      <c r="B14" s="56"/>
      <c r="C14" s="1448" t="s">
        <v>1231</v>
      </c>
      <c r="D14" s="1448"/>
      <c r="E14" s="1448"/>
      <c r="F14" s="1448"/>
      <c r="G14" s="1448"/>
      <c r="H14" s="1448"/>
      <c r="I14" s="1448"/>
      <c r="J14" s="1448"/>
      <c r="K14" s="1448"/>
      <c r="L14" s="1448"/>
      <c r="M14" s="1448"/>
      <c r="N14" s="1448"/>
      <c r="O14" s="1448"/>
      <c r="P14" s="1448"/>
      <c r="Q14" s="1448"/>
      <c r="R14" s="1448"/>
      <c r="S14" s="1448"/>
      <c r="T14" s="1448"/>
      <c r="U14" s="1448"/>
      <c r="V14" s="1448"/>
      <c r="W14" s="1448"/>
      <c r="X14" s="1448"/>
      <c r="Y14" s="1448"/>
      <c r="Z14" s="1448"/>
      <c r="AA14" s="1448"/>
      <c r="AB14" s="1448"/>
      <c r="AC14" s="1448"/>
      <c r="AD14" s="1448"/>
      <c r="AE14" s="1448"/>
      <c r="AF14" s="1448"/>
      <c r="AG14" s="1448"/>
      <c r="AH14" s="1448"/>
      <c r="AI14" s="1448"/>
      <c r="AJ14" s="1448"/>
      <c r="AK14" s="1448"/>
      <c r="AL14" s="1448"/>
      <c r="AM14" s="1448"/>
      <c r="AN14" s="1448"/>
      <c r="AO14" s="1448"/>
      <c r="AP14" s="1448"/>
      <c r="AQ14" s="1448"/>
      <c r="AR14" s="1448"/>
      <c r="AS14" s="1448"/>
      <c r="AT14" s="1448"/>
      <c r="AU14" s="1448"/>
      <c r="AV14" s="57"/>
    </row>
    <row r="15" spans="2:48" s="55" customFormat="1" ht="31.75" customHeight="1" x14ac:dyDescent="0.35">
      <c r="B15" s="56"/>
      <c r="C15" s="1448" t="s">
        <v>1232</v>
      </c>
      <c r="D15" s="1448"/>
      <c r="E15" s="1448"/>
      <c r="F15" s="1448"/>
      <c r="G15" s="1448"/>
      <c r="H15" s="1448"/>
      <c r="I15" s="1448"/>
      <c r="J15" s="1448"/>
      <c r="K15" s="1448"/>
      <c r="L15" s="1448"/>
      <c r="M15" s="1448"/>
      <c r="N15" s="1448"/>
      <c r="O15" s="1448"/>
      <c r="P15" s="1448"/>
      <c r="Q15" s="1448"/>
      <c r="R15" s="1448"/>
      <c r="S15" s="1448"/>
      <c r="T15" s="1448"/>
      <c r="U15" s="1448"/>
      <c r="V15" s="1448"/>
      <c r="W15" s="1448"/>
      <c r="X15" s="1448"/>
      <c r="Y15" s="1448"/>
      <c r="Z15" s="1448"/>
      <c r="AA15" s="1448"/>
      <c r="AB15" s="1448"/>
      <c r="AC15" s="1448"/>
      <c r="AD15" s="1448"/>
      <c r="AE15" s="1448"/>
      <c r="AF15" s="1448"/>
      <c r="AG15" s="1448"/>
      <c r="AH15" s="1448"/>
      <c r="AI15" s="1448"/>
      <c r="AJ15" s="1448"/>
      <c r="AK15" s="1448"/>
      <c r="AL15" s="1448"/>
      <c r="AM15" s="1448"/>
      <c r="AN15" s="1448"/>
      <c r="AO15" s="1448"/>
      <c r="AP15" s="1448"/>
      <c r="AQ15" s="1448"/>
      <c r="AR15" s="1448"/>
      <c r="AS15" s="1448"/>
      <c r="AT15" s="1448"/>
      <c r="AU15" s="1448"/>
      <c r="AV15" s="57"/>
    </row>
    <row r="16" spans="2:48" s="55" customFormat="1" ht="41.25" customHeight="1" thickBot="1" x14ac:dyDescent="0.4">
      <c r="B16" s="58"/>
      <c r="C16" s="1449" t="s">
        <v>12589</v>
      </c>
      <c r="D16" s="1449"/>
      <c r="E16" s="1449"/>
      <c r="F16" s="1449"/>
      <c r="G16" s="1449"/>
      <c r="H16" s="1449"/>
      <c r="I16" s="1449"/>
      <c r="J16" s="1449"/>
      <c r="K16" s="1449"/>
      <c r="L16" s="1449"/>
      <c r="M16" s="1449"/>
      <c r="N16" s="1449"/>
      <c r="O16" s="1449"/>
      <c r="P16" s="1449"/>
      <c r="Q16" s="1449"/>
      <c r="R16" s="1449"/>
      <c r="S16" s="1449"/>
      <c r="T16" s="1449"/>
      <c r="U16" s="1449"/>
      <c r="V16" s="1449"/>
      <c r="W16" s="1449"/>
      <c r="X16" s="1449"/>
      <c r="Y16" s="1449"/>
      <c r="Z16" s="1449"/>
      <c r="AA16" s="1449"/>
      <c r="AB16" s="1449"/>
      <c r="AC16" s="1449"/>
      <c r="AD16" s="1449"/>
      <c r="AE16" s="1449"/>
      <c r="AF16" s="1449"/>
      <c r="AG16" s="1449"/>
      <c r="AH16" s="1449"/>
      <c r="AI16" s="1449"/>
      <c r="AJ16" s="1449"/>
      <c r="AK16" s="1449"/>
      <c r="AL16" s="1449"/>
      <c r="AM16" s="1449"/>
      <c r="AN16" s="1449"/>
      <c r="AO16" s="1449"/>
      <c r="AP16" s="1449"/>
      <c r="AQ16" s="1449"/>
      <c r="AR16" s="1449"/>
      <c r="AS16" s="1449"/>
      <c r="AT16" s="1449"/>
      <c r="AU16" s="1449"/>
      <c r="AV16" s="59"/>
    </row>
    <row r="17" spans="2:48" ht="7.5" customHeight="1" thickTop="1" x14ac:dyDescent="0.35"/>
    <row r="18" spans="2:48" x14ac:dyDescent="0.35">
      <c r="B18" s="1450" t="s">
        <v>3</v>
      </c>
      <c r="C18" s="1450"/>
      <c r="D18" s="1450"/>
      <c r="E18" s="1450"/>
      <c r="F18" s="1450"/>
      <c r="G18" s="1450"/>
      <c r="H18" s="1450"/>
      <c r="I18" s="1450"/>
      <c r="J18" s="1450"/>
      <c r="K18" s="1450"/>
      <c r="L18" s="1450"/>
      <c r="M18" s="1450"/>
      <c r="N18" s="1450"/>
      <c r="O18" s="1450"/>
      <c r="P18" s="1450"/>
      <c r="Q18" s="1450"/>
      <c r="R18" s="1450"/>
      <c r="S18" s="1450"/>
      <c r="T18" s="1450"/>
      <c r="U18" s="1450"/>
      <c r="V18" s="1450"/>
      <c r="W18" s="1450"/>
      <c r="X18" s="1450"/>
      <c r="Y18" s="1450"/>
      <c r="Z18" s="1450"/>
      <c r="AA18" s="1450"/>
      <c r="AB18" s="1450"/>
      <c r="AC18" s="1450"/>
      <c r="AD18" s="1450"/>
      <c r="AE18" s="1450"/>
      <c r="AF18" s="1450"/>
      <c r="AG18" s="1450"/>
      <c r="AH18" s="1450"/>
      <c r="AI18" s="1450"/>
      <c r="AJ18" s="1450"/>
      <c r="AK18" s="1450"/>
      <c r="AL18" s="1450"/>
      <c r="AM18" s="1450"/>
      <c r="AN18" s="1450"/>
      <c r="AO18" s="1450"/>
      <c r="AP18" s="1450"/>
      <c r="AQ18" s="1450"/>
      <c r="AR18" s="1450"/>
      <c r="AS18" s="1450"/>
      <c r="AT18" s="1450"/>
      <c r="AU18" s="1450"/>
      <c r="AV18" s="1450"/>
    </row>
    <row r="19" spans="2:48" x14ac:dyDescent="0.35">
      <c r="B19" s="1450" t="s">
        <v>12678</v>
      </c>
      <c r="C19" s="1450"/>
      <c r="D19" s="1450"/>
      <c r="E19" s="1450"/>
      <c r="F19" s="1450"/>
      <c r="G19" s="1450"/>
      <c r="H19" s="1450"/>
      <c r="I19" s="1450"/>
      <c r="J19" s="1450"/>
      <c r="K19" s="1450"/>
      <c r="L19" s="1450"/>
      <c r="M19" s="1450"/>
      <c r="N19" s="1450"/>
      <c r="O19" s="1450"/>
      <c r="P19" s="1450"/>
      <c r="Q19" s="1450"/>
      <c r="R19" s="1450"/>
      <c r="S19" s="1450"/>
      <c r="T19" s="1450"/>
      <c r="U19" s="1450"/>
      <c r="V19" s="1450"/>
      <c r="W19" s="1450"/>
      <c r="X19" s="1450"/>
      <c r="Y19" s="1450"/>
      <c r="Z19" s="1450"/>
      <c r="AA19" s="1450"/>
      <c r="AB19" s="1450"/>
      <c r="AC19" s="1450"/>
      <c r="AD19" s="1450"/>
      <c r="AE19" s="1450"/>
      <c r="AF19" s="1450"/>
      <c r="AG19" s="1450"/>
      <c r="AH19" s="1450"/>
      <c r="AI19" s="1450"/>
      <c r="AJ19" s="1450"/>
      <c r="AK19" s="1450"/>
      <c r="AL19" s="1450"/>
      <c r="AM19" s="1450"/>
      <c r="AN19" s="1450"/>
      <c r="AO19" s="1450"/>
      <c r="AP19" s="1450"/>
      <c r="AQ19" s="1450"/>
      <c r="AR19" s="1450"/>
      <c r="AS19" s="1450"/>
      <c r="AT19" s="1450"/>
      <c r="AU19" s="1450"/>
      <c r="AV19" s="1450"/>
    </row>
    <row r="20" spans="2:48" ht="7.5" customHeight="1" x14ac:dyDescent="0.35"/>
    <row r="21" spans="2:48" ht="25" customHeight="1" x14ac:dyDescent="0.35">
      <c r="B21" s="60" t="s">
        <v>329</v>
      </c>
      <c r="F21" s="61" t="s">
        <v>4</v>
      </c>
      <c r="G21" s="1444" t="s">
        <v>12794</v>
      </c>
      <c r="H21" s="1444"/>
      <c r="I21" s="1444"/>
      <c r="J21" s="1444"/>
      <c r="K21" s="1444"/>
      <c r="L21" s="1444"/>
      <c r="M21" s="1444"/>
      <c r="N21" s="1444"/>
      <c r="O21" s="1444"/>
      <c r="P21" s="1444"/>
      <c r="Q21" s="1444"/>
      <c r="R21" s="1444"/>
      <c r="S21" s="1444"/>
      <c r="T21" s="1444"/>
      <c r="U21" s="1444"/>
      <c r="AA21" s="60" t="s">
        <v>5</v>
      </c>
      <c r="AG21" s="60" t="s">
        <v>4</v>
      </c>
      <c r="AH21" s="1444" t="s">
        <v>1961</v>
      </c>
      <c r="AI21" s="1444"/>
      <c r="AJ21" s="1444"/>
      <c r="AK21" s="1444"/>
      <c r="AL21" s="1444"/>
      <c r="AM21" s="1444"/>
      <c r="AN21" s="1444"/>
      <c r="AO21" s="1444"/>
      <c r="AP21" s="1444"/>
      <c r="AQ21" s="1444"/>
      <c r="AR21" s="1444"/>
      <c r="AS21" s="1444"/>
      <c r="AT21" s="1444"/>
      <c r="AU21" s="1444"/>
      <c r="AV21" s="1444"/>
    </row>
    <row r="22" spans="2:48" ht="25" customHeight="1" x14ac:dyDescent="0.35">
      <c r="B22" s="60"/>
      <c r="F22" s="61"/>
      <c r="G22" s="1451" t="s">
        <v>454</v>
      </c>
      <c r="H22" s="1451"/>
      <c r="I22" s="1451"/>
      <c r="J22" s="1451"/>
      <c r="K22" s="1451"/>
      <c r="L22" s="1451"/>
      <c r="M22" s="1451"/>
      <c r="N22" s="1451"/>
      <c r="O22" s="1451"/>
      <c r="P22" s="1451"/>
      <c r="Q22" s="1451"/>
      <c r="R22" s="1451"/>
      <c r="S22" s="1451"/>
      <c r="T22" s="1451"/>
      <c r="U22" s="1451"/>
      <c r="AA22" s="60" t="s">
        <v>6</v>
      </c>
      <c r="AG22" s="60" t="s">
        <v>4</v>
      </c>
      <c r="AH22" s="1444" t="s">
        <v>2111</v>
      </c>
      <c r="AI22" s="1444"/>
      <c r="AJ22" s="1444"/>
      <c r="AK22" s="1444"/>
      <c r="AL22" s="1444"/>
      <c r="AM22" s="1444"/>
      <c r="AN22" s="1444"/>
      <c r="AO22" s="1444"/>
      <c r="AP22" s="1444"/>
      <c r="AQ22" s="1444"/>
      <c r="AR22" s="1444"/>
      <c r="AS22" s="1444"/>
      <c r="AT22" s="1444"/>
      <c r="AU22" s="1444"/>
      <c r="AV22" s="1444"/>
    </row>
    <row r="23" spans="2:48" ht="25" customHeight="1" x14ac:dyDescent="0.35">
      <c r="B23" s="60"/>
      <c r="F23" s="61"/>
      <c r="G23" s="1444" t="s">
        <v>12795</v>
      </c>
      <c r="H23" s="1444"/>
      <c r="I23" s="1444"/>
      <c r="J23" s="1444"/>
      <c r="K23" s="1444"/>
      <c r="L23" s="1444"/>
      <c r="M23" s="1444"/>
      <c r="N23" s="1444"/>
      <c r="O23" s="1444"/>
      <c r="P23" s="1444"/>
      <c r="Q23" s="1444"/>
      <c r="R23" s="1444"/>
      <c r="S23" s="1444"/>
      <c r="T23" s="1444"/>
      <c r="U23" s="1444"/>
      <c r="AA23" s="60" t="s">
        <v>7</v>
      </c>
      <c r="AG23" s="60" t="s">
        <v>4</v>
      </c>
      <c r="AH23" s="1444" t="s">
        <v>2205</v>
      </c>
      <c r="AI23" s="1444"/>
      <c r="AJ23" s="1444"/>
      <c r="AK23" s="1444"/>
      <c r="AL23" s="1444"/>
      <c r="AM23" s="1444"/>
      <c r="AN23" s="1444"/>
      <c r="AO23" s="1444"/>
      <c r="AP23" s="1444"/>
      <c r="AQ23" s="1444"/>
      <c r="AR23" s="1444"/>
      <c r="AS23" s="1444"/>
      <c r="AT23" s="1444"/>
      <c r="AU23" s="1444"/>
      <c r="AV23" s="1444"/>
    </row>
    <row r="24" spans="2:48" ht="25" customHeight="1" x14ac:dyDescent="0.35">
      <c r="B24" s="60"/>
      <c r="F24" s="61"/>
      <c r="G24" s="1451" t="s">
        <v>330</v>
      </c>
      <c r="H24" s="1451"/>
      <c r="I24" s="1451"/>
      <c r="J24" s="1451"/>
      <c r="K24" s="1451"/>
      <c r="L24" s="1451"/>
      <c r="M24" s="1451"/>
      <c r="N24" s="1451"/>
      <c r="O24" s="1451"/>
      <c r="P24" s="1451"/>
      <c r="Q24" s="1451"/>
      <c r="R24" s="1451"/>
      <c r="S24" s="1451"/>
      <c r="T24" s="1451"/>
      <c r="U24" s="1451"/>
      <c r="AA24" s="60" t="s">
        <v>750</v>
      </c>
      <c r="AG24" s="60" t="s">
        <v>4</v>
      </c>
      <c r="AH24" s="1444" t="s">
        <v>12798</v>
      </c>
      <c r="AI24" s="1444"/>
      <c r="AJ24" s="1444"/>
      <c r="AK24" s="1444"/>
      <c r="AL24" s="1444"/>
      <c r="AM24" s="1444"/>
      <c r="AN24" s="1444"/>
      <c r="AO24" s="1444"/>
      <c r="AP24" s="1444"/>
      <c r="AQ24" s="1444"/>
      <c r="AR24" s="1444"/>
      <c r="AS24" s="1444"/>
      <c r="AT24" s="1444"/>
      <c r="AU24" s="1444"/>
      <c r="AV24" s="1444"/>
    </row>
    <row r="25" spans="2:48" ht="25" customHeight="1" x14ac:dyDescent="0.35">
      <c r="B25" s="60" t="s">
        <v>8</v>
      </c>
      <c r="F25" s="61" t="s">
        <v>4</v>
      </c>
      <c r="G25" s="83"/>
      <c r="H25" s="62"/>
      <c r="I25" s="1444" t="s">
        <v>12830</v>
      </c>
      <c r="J25" s="1444"/>
      <c r="K25" s="1444"/>
      <c r="L25" s="1444"/>
      <c r="M25" s="62"/>
      <c r="N25" s="1444" t="s">
        <v>12796</v>
      </c>
      <c r="O25" s="1444"/>
      <c r="P25" s="1444"/>
      <c r="Q25" s="1444"/>
      <c r="R25" s="1444"/>
      <c r="S25" s="1444"/>
      <c r="T25" s="1444"/>
      <c r="U25" s="1444"/>
      <c r="AA25" s="60" t="s">
        <v>334</v>
      </c>
      <c r="AG25" s="60" t="s">
        <v>4</v>
      </c>
      <c r="AH25" s="1444">
        <v>9609006095</v>
      </c>
      <c r="AI25" s="1444"/>
      <c r="AJ25" s="1444"/>
      <c r="AK25" s="1444"/>
      <c r="AL25" s="1444"/>
      <c r="AM25" s="1444"/>
      <c r="AN25" s="1444"/>
      <c r="AO25" s="1444"/>
      <c r="AP25" s="1444"/>
      <c r="AQ25" s="1444"/>
      <c r="AR25" s="1444"/>
      <c r="AS25" s="1444"/>
      <c r="AT25" s="1444"/>
      <c r="AU25" s="1444"/>
      <c r="AV25" s="1444"/>
    </row>
    <row r="26" spans="2:48" ht="25" customHeight="1" x14ac:dyDescent="0.35">
      <c r="B26" s="49"/>
      <c r="F26" s="62"/>
      <c r="G26" s="63" t="s">
        <v>336</v>
      </c>
      <c r="H26" s="64"/>
      <c r="I26" s="1451" t="s">
        <v>55</v>
      </c>
      <c r="J26" s="1451"/>
      <c r="K26" s="1451"/>
      <c r="L26" s="1451"/>
      <c r="M26" s="65"/>
      <c r="N26" s="1451" t="s">
        <v>9</v>
      </c>
      <c r="O26" s="1451"/>
      <c r="P26" s="1451"/>
      <c r="Q26" s="1451"/>
      <c r="R26" s="1451"/>
      <c r="S26" s="1451"/>
      <c r="T26" s="1451"/>
      <c r="U26" s="1451"/>
      <c r="AA26" s="60" t="s">
        <v>335</v>
      </c>
      <c r="AG26" s="60" t="s">
        <v>4</v>
      </c>
      <c r="AH26" s="1444" t="s">
        <v>12799</v>
      </c>
      <c r="AI26" s="1444"/>
      <c r="AJ26" s="1444"/>
      <c r="AK26" s="1444"/>
      <c r="AL26" s="1444"/>
      <c r="AM26" s="1444"/>
      <c r="AN26" s="1444"/>
      <c r="AO26" s="1444"/>
      <c r="AP26" s="1444"/>
      <c r="AQ26" s="1444"/>
      <c r="AR26" s="1444"/>
      <c r="AS26" s="1444"/>
      <c r="AT26" s="1444"/>
      <c r="AU26" s="1444"/>
      <c r="AV26" s="1444"/>
    </row>
    <row r="27" spans="2:48" ht="25" customHeight="1" x14ac:dyDescent="0.35">
      <c r="G27" s="1444" t="s">
        <v>12797</v>
      </c>
      <c r="H27" s="1444"/>
      <c r="I27" s="1444"/>
      <c r="J27" s="1444"/>
      <c r="K27" s="1444"/>
      <c r="L27" s="1444"/>
      <c r="M27" s="62"/>
      <c r="N27" s="1444" t="s">
        <v>2111</v>
      </c>
      <c r="O27" s="1444"/>
      <c r="P27" s="1444"/>
      <c r="Q27" s="1444"/>
      <c r="R27" s="1444"/>
      <c r="S27" s="62"/>
      <c r="T27" s="1444">
        <v>7206</v>
      </c>
      <c r="U27" s="1444"/>
      <c r="AA27" s="60" t="s">
        <v>337</v>
      </c>
      <c r="AG27" s="60" t="s">
        <v>4</v>
      </c>
      <c r="AH27" s="1444" t="s">
        <v>12799</v>
      </c>
      <c r="AI27" s="1444"/>
      <c r="AJ27" s="1444"/>
      <c r="AK27" s="1444"/>
      <c r="AL27" s="1444"/>
      <c r="AM27" s="1444"/>
      <c r="AN27" s="1444"/>
      <c r="AO27" s="1444"/>
      <c r="AP27" s="1444"/>
      <c r="AQ27" s="1444"/>
      <c r="AR27" s="1444"/>
      <c r="AS27" s="1444"/>
      <c r="AT27" s="1444"/>
      <c r="AU27" s="1444"/>
      <c r="AV27" s="1444"/>
    </row>
    <row r="28" spans="2:48" ht="25" customHeight="1" x14ac:dyDescent="0.35">
      <c r="G28" s="1451" t="s">
        <v>331</v>
      </c>
      <c r="H28" s="1451"/>
      <c r="I28" s="1451"/>
      <c r="J28" s="1451"/>
      <c r="K28" s="1451"/>
      <c r="L28" s="1451"/>
      <c r="M28" s="65"/>
      <c r="N28" s="1451" t="s">
        <v>332</v>
      </c>
      <c r="O28" s="1451"/>
      <c r="P28" s="1451"/>
      <c r="Q28" s="1451"/>
      <c r="R28" s="1451"/>
      <c r="T28" s="1451" t="s">
        <v>333</v>
      </c>
      <c r="U28" s="1451"/>
      <c r="AA28" s="60" t="s">
        <v>10</v>
      </c>
      <c r="AG28" s="60" t="s">
        <v>4</v>
      </c>
      <c r="AH28" s="1444" t="s">
        <v>12831</v>
      </c>
      <c r="AI28" s="1444"/>
      <c r="AJ28" s="1444"/>
      <c r="AK28" s="1444"/>
      <c r="AL28" s="1444"/>
      <c r="AM28" s="1444"/>
      <c r="AN28" s="1444"/>
      <c r="AO28" s="1444"/>
      <c r="AP28" s="1444"/>
      <c r="AQ28" s="1444"/>
      <c r="AR28" s="1444"/>
      <c r="AS28" s="1444"/>
      <c r="AT28" s="1444"/>
      <c r="AU28" s="1444"/>
      <c r="AV28" s="1444"/>
    </row>
    <row r="29" spans="2:48" ht="25" customHeight="1" x14ac:dyDescent="0.35">
      <c r="B29" s="66" t="s">
        <v>1946</v>
      </c>
      <c r="C29" s="67"/>
      <c r="D29" s="67"/>
      <c r="E29" s="67"/>
      <c r="F29" s="67"/>
      <c r="G29" s="67"/>
      <c r="H29" s="67"/>
      <c r="I29" s="67"/>
      <c r="J29" s="63"/>
      <c r="K29" s="63"/>
      <c r="L29" s="68"/>
      <c r="M29" s="63"/>
      <c r="N29" s="63"/>
      <c r="O29" s="63"/>
      <c r="P29" s="63"/>
      <c r="Q29" s="63"/>
      <c r="R29" s="69"/>
      <c r="S29" s="63"/>
      <c r="T29" s="63"/>
      <c r="AA29" s="60" t="s">
        <v>1329</v>
      </c>
      <c r="AG29" s="60" t="s">
        <v>4</v>
      </c>
      <c r="AH29" s="1444">
        <v>1947</v>
      </c>
      <c r="AI29" s="1444"/>
      <c r="AJ29" s="1444"/>
      <c r="AK29" s="1444"/>
      <c r="AL29" s="1444"/>
      <c r="AM29" s="1444"/>
      <c r="AN29" s="1444"/>
      <c r="AO29" s="1444"/>
      <c r="AP29" s="1444"/>
      <c r="AQ29" s="1444"/>
      <c r="AR29" s="1444"/>
      <c r="AS29" s="1444"/>
      <c r="AT29" s="1444"/>
      <c r="AU29" s="1444"/>
      <c r="AV29" s="1444"/>
    </row>
    <row r="30" spans="2:48" ht="25" customHeight="1" x14ac:dyDescent="0.35">
      <c r="B30" s="70"/>
      <c r="C30" s="82" t="b">
        <v>0</v>
      </c>
      <c r="D30" s="71" t="s">
        <v>1907</v>
      </c>
      <c r="E30" s="70"/>
      <c r="F30" s="70"/>
      <c r="G30" s="70"/>
      <c r="H30" s="70"/>
      <c r="I30" s="70"/>
    </row>
    <row r="31" spans="2:48" ht="25" customHeight="1" x14ac:dyDescent="0.35">
      <c r="B31" s="70"/>
      <c r="C31" s="82" t="b">
        <v>0</v>
      </c>
      <c r="D31" s="71" t="s">
        <v>1911</v>
      </c>
      <c r="E31" s="70"/>
      <c r="F31" s="70"/>
      <c r="G31" s="70"/>
      <c r="H31" s="70"/>
      <c r="I31" s="70"/>
    </row>
    <row r="32" spans="2:48" ht="25" customHeight="1" x14ac:dyDescent="0.35">
      <c r="B32" s="70"/>
      <c r="C32" s="82"/>
      <c r="D32" s="71" t="s">
        <v>338</v>
      </c>
      <c r="E32" s="70"/>
      <c r="F32" s="70"/>
      <c r="G32" s="70"/>
      <c r="H32" s="70"/>
      <c r="I32" s="70"/>
    </row>
    <row r="33" spans="2:48" ht="25" customHeight="1" x14ac:dyDescent="0.35">
      <c r="B33" s="70"/>
      <c r="C33" s="82" t="b">
        <v>1</v>
      </c>
      <c r="D33" s="71" t="s">
        <v>1908</v>
      </c>
      <c r="E33" s="70"/>
      <c r="F33" s="70"/>
      <c r="G33" s="70"/>
      <c r="H33" s="70"/>
      <c r="I33" s="70"/>
    </row>
    <row r="34" spans="2:48" ht="25" customHeight="1" x14ac:dyDescent="0.35">
      <c r="B34" s="72"/>
      <c r="C34" s="82" t="b">
        <v>0</v>
      </c>
      <c r="D34" s="71" t="s">
        <v>1909</v>
      </c>
      <c r="E34" s="70"/>
      <c r="J34" s="67"/>
      <c r="K34" s="67"/>
      <c r="L34" s="67"/>
      <c r="M34" s="67"/>
      <c r="N34" s="67"/>
      <c r="O34" s="67"/>
      <c r="P34" s="67"/>
      <c r="Q34" s="67"/>
      <c r="R34" s="1455"/>
      <c r="S34" s="1455"/>
      <c r="T34" s="1455"/>
      <c r="U34" s="1455"/>
      <c r="V34" s="1455"/>
      <c r="W34" s="1455"/>
      <c r="X34" s="1455"/>
      <c r="Y34" s="71" t="s">
        <v>747</v>
      </c>
      <c r="Z34" s="1386" t="str">
        <f>IF(AND(sch_annex_ext_sch=TRUE, ISBLANK(mother_sch_id)), "Please specify Mother School ID.","")</f>
        <v/>
      </c>
      <c r="AA34" s="67"/>
      <c r="AB34" s="67"/>
      <c r="AC34" s="67"/>
      <c r="AD34" s="67"/>
      <c r="AE34" s="67"/>
      <c r="AF34" s="67"/>
      <c r="AG34" s="67"/>
      <c r="AH34" s="67"/>
      <c r="AI34" s="67"/>
      <c r="AJ34" s="67"/>
      <c r="AK34" s="70"/>
    </row>
    <row r="35" spans="2:48" s="72" customFormat="1" ht="25" customHeight="1" x14ac:dyDescent="0.35">
      <c r="B35" s="70"/>
      <c r="C35" s="82" t="b">
        <v>1</v>
      </c>
      <c r="D35" s="71" t="s">
        <v>1910</v>
      </c>
      <c r="M35" s="70"/>
      <c r="N35" s="70"/>
      <c r="O35" s="70"/>
      <c r="P35" s="70"/>
      <c r="Q35" s="70"/>
      <c r="R35" s="70"/>
      <c r="S35" s="70"/>
      <c r="T35" s="70"/>
      <c r="U35" s="70"/>
      <c r="V35" s="70"/>
      <c r="W35" s="70"/>
      <c r="X35" s="70"/>
      <c r="Y35" s="70"/>
      <c r="Z35" s="70"/>
      <c r="AA35" s="70"/>
      <c r="AB35" s="70"/>
      <c r="AC35" s="70"/>
      <c r="AD35" s="70"/>
      <c r="AH35" s="70"/>
      <c r="AI35" s="70"/>
      <c r="AJ35" s="70"/>
      <c r="AK35" s="70"/>
      <c r="AL35" s="70"/>
      <c r="AM35" s="70"/>
      <c r="AN35" s="70"/>
      <c r="AO35" s="70"/>
      <c r="AP35" s="70"/>
      <c r="AQ35" s="70"/>
      <c r="AR35" s="70"/>
      <c r="AS35" s="70"/>
      <c r="AT35" s="70"/>
      <c r="AU35" s="70"/>
      <c r="AV35" s="70"/>
    </row>
    <row r="36" spans="2:48" ht="33.75" customHeight="1" x14ac:dyDescent="0.35">
      <c r="AA36" s="73"/>
    </row>
    <row r="37" spans="2:48" s="73" customFormat="1" ht="14" x14ac:dyDescent="0.3">
      <c r="B37" s="74" t="s">
        <v>913</v>
      </c>
      <c r="R37" s="74" t="s">
        <v>922</v>
      </c>
      <c r="AH37" s="75" t="s">
        <v>914</v>
      </c>
    </row>
    <row r="38" spans="2:48" s="73" customFormat="1" ht="21.75" customHeight="1" x14ac:dyDescent="0.3">
      <c r="B38" s="74" t="s">
        <v>13</v>
      </c>
      <c r="E38" s="76" t="s">
        <v>4</v>
      </c>
      <c r="F38" s="1453" t="s">
        <v>12829</v>
      </c>
      <c r="G38" s="1453"/>
      <c r="H38" s="1453"/>
      <c r="I38" s="1453"/>
      <c r="J38" s="1453"/>
      <c r="K38" s="1453"/>
      <c r="L38" s="1453"/>
      <c r="M38" s="1453"/>
      <c r="N38" s="1453"/>
      <c r="O38" s="1453"/>
      <c r="R38" s="1454" t="s">
        <v>12801</v>
      </c>
      <c r="S38" s="1454"/>
      <c r="T38" s="1454"/>
      <c r="U38" s="1454"/>
      <c r="V38" s="1454"/>
      <c r="W38" s="1454"/>
      <c r="X38" s="1454"/>
      <c r="Y38" s="1454"/>
      <c r="Z38" s="1454"/>
      <c r="AA38" s="1454"/>
      <c r="AB38" s="1454"/>
      <c r="AC38" s="1454"/>
      <c r="AD38" s="1454"/>
      <c r="AE38" s="1454"/>
      <c r="AH38" s="75" t="s">
        <v>783</v>
      </c>
      <c r="AL38" s="76"/>
      <c r="AM38" s="1453" t="s">
        <v>12802</v>
      </c>
      <c r="AN38" s="1453"/>
      <c r="AO38" s="1453"/>
      <c r="AP38" s="1453"/>
      <c r="AQ38" s="1453"/>
      <c r="AR38" s="1453"/>
      <c r="AS38" s="1453"/>
      <c r="AT38" s="1453"/>
      <c r="AU38" s="1453"/>
      <c r="AV38" s="1453"/>
    </row>
    <row r="39" spans="2:48" s="78" customFormat="1" ht="15" customHeight="1" x14ac:dyDescent="0.35">
      <c r="B39" s="77"/>
      <c r="E39" s="79"/>
      <c r="F39" s="1452" t="s">
        <v>779</v>
      </c>
      <c r="G39" s="1452"/>
      <c r="H39" s="1452"/>
      <c r="I39" s="1452"/>
      <c r="J39" s="1452"/>
      <c r="K39" s="1452"/>
      <c r="L39" s="1452"/>
      <c r="M39" s="1452"/>
      <c r="N39" s="1452"/>
      <c r="O39" s="1452"/>
      <c r="P39" s="77"/>
      <c r="Q39" s="77"/>
      <c r="R39" s="1453"/>
      <c r="S39" s="1453"/>
      <c r="T39" s="1453"/>
      <c r="U39" s="1453"/>
      <c r="V39" s="1453"/>
      <c r="W39" s="1453"/>
      <c r="X39" s="1453"/>
      <c r="Y39" s="1453"/>
      <c r="Z39" s="1453"/>
      <c r="AA39" s="1453"/>
      <c r="AB39" s="1453"/>
      <c r="AC39" s="1453"/>
      <c r="AD39" s="1453"/>
      <c r="AE39" s="1453"/>
      <c r="AF39" s="77"/>
      <c r="AG39" s="77"/>
      <c r="AH39" s="77"/>
      <c r="AL39" s="79"/>
      <c r="AM39" s="1452" t="s">
        <v>779</v>
      </c>
      <c r="AN39" s="1452"/>
      <c r="AO39" s="1452"/>
      <c r="AP39" s="1452"/>
      <c r="AQ39" s="1452"/>
      <c r="AR39" s="1452"/>
      <c r="AS39" s="1452"/>
      <c r="AT39" s="1452"/>
      <c r="AU39" s="1452"/>
      <c r="AV39" s="1452"/>
    </row>
    <row r="40" spans="2:48" s="73" customFormat="1" ht="21.75" customHeight="1" x14ac:dyDescent="0.3">
      <c r="B40" s="74" t="s">
        <v>23</v>
      </c>
      <c r="E40" s="76" t="s">
        <v>4</v>
      </c>
      <c r="F40" s="1453" t="s">
        <v>12800</v>
      </c>
      <c r="G40" s="1453"/>
      <c r="H40" s="1453"/>
      <c r="I40" s="1453"/>
      <c r="J40" s="1453"/>
      <c r="K40" s="1453"/>
      <c r="L40" s="1453"/>
      <c r="M40" s="1453"/>
      <c r="N40" s="1453"/>
      <c r="O40" s="1453"/>
      <c r="R40" s="1452" t="s">
        <v>779</v>
      </c>
      <c r="S40" s="1452"/>
      <c r="T40" s="1452"/>
      <c r="U40" s="1452"/>
      <c r="V40" s="1452"/>
      <c r="W40" s="1452"/>
      <c r="X40" s="1452"/>
      <c r="Y40" s="1452"/>
      <c r="Z40" s="1452"/>
      <c r="AA40" s="1452"/>
      <c r="AB40" s="1452"/>
      <c r="AC40" s="1452"/>
      <c r="AD40" s="1452"/>
      <c r="AE40" s="1452"/>
      <c r="AH40" s="74" t="s">
        <v>781</v>
      </c>
      <c r="AL40" s="76"/>
      <c r="AM40" s="1453" t="s">
        <v>12803</v>
      </c>
      <c r="AN40" s="1453"/>
      <c r="AO40" s="1453"/>
      <c r="AP40" s="1453"/>
      <c r="AQ40" s="1453"/>
      <c r="AR40" s="1453"/>
      <c r="AS40" s="1453"/>
      <c r="AT40" s="1453"/>
      <c r="AU40" s="1453"/>
      <c r="AV40" s="1453"/>
    </row>
    <row r="41" spans="2:48" x14ac:dyDescent="0.35">
      <c r="AH41" s="44" t="s">
        <v>268</v>
      </c>
    </row>
  </sheetData>
  <sheetProtection algorithmName="SHA-512" hashValue="IrI9tpN+XxLtY3F6rAjz5PiBU7hhL3V5et+v5NSsVAHDghIZa+xMRScBpL20FAQ6l6iZtVAuRk5P/gY5o/13qg==" saltValue="2ghzKcbSZ/ODADoWiQVgZg==" spinCount="100000" sheet="1" objects="1" scenarios="1"/>
  <mergeCells count="44">
    <mergeCell ref="I26:L26"/>
    <mergeCell ref="N26:U26"/>
    <mergeCell ref="T27:U27"/>
    <mergeCell ref="N27:R27"/>
    <mergeCell ref="N28:R28"/>
    <mergeCell ref="G27:L27"/>
    <mergeCell ref="G28:L28"/>
    <mergeCell ref="N25:U25"/>
    <mergeCell ref="B18:AV18"/>
    <mergeCell ref="R40:AE40"/>
    <mergeCell ref="AM39:AV39"/>
    <mergeCell ref="F38:O38"/>
    <mergeCell ref="F40:O40"/>
    <mergeCell ref="R38:AE39"/>
    <mergeCell ref="AM38:AV38"/>
    <mergeCell ref="AM40:AV40"/>
    <mergeCell ref="AH26:AV26"/>
    <mergeCell ref="AH27:AV27"/>
    <mergeCell ref="AH29:AV29"/>
    <mergeCell ref="AH28:AV28"/>
    <mergeCell ref="F39:O39"/>
    <mergeCell ref="R34:X34"/>
    <mergeCell ref="T28:U28"/>
    <mergeCell ref="AH24:AV24"/>
    <mergeCell ref="B11:AV11"/>
    <mergeCell ref="AH25:AV25"/>
    <mergeCell ref="C13:AV13"/>
    <mergeCell ref="C14:AU14"/>
    <mergeCell ref="C15:AU15"/>
    <mergeCell ref="C16:AU16"/>
    <mergeCell ref="AH23:AV23"/>
    <mergeCell ref="B19:AV19"/>
    <mergeCell ref="AH21:AV21"/>
    <mergeCell ref="AH22:AV22"/>
    <mergeCell ref="G21:U21"/>
    <mergeCell ref="G22:U22"/>
    <mergeCell ref="G23:U23"/>
    <mergeCell ref="G24:U24"/>
    <mergeCell ref="I25:L25"/>
    <mergeCell ref="AQ2:AV2"/>
    <mergeCell ref="B6:AV6"/>
    <mergeCell ref="B7:AV7"/>
    <mergeCell ref="B8:AV8"/>
    <mergeCell ref="B9:AV9"/>
  </mergeCells>
  <phoneticPr fontId="41" type="noConversion"/>
  <dataValidations count="4">
    <dataValidation type="list" allowBlank="1" showInputMessage="1" showErrorMessage="1" sqref="AH22:AV22" xr:uid="{8639A76D-0DF2-4EE5-9FA3-95F5D958250A}">
      <formula1>INDIRECT($AH$21)</formula1>
    </dataValidation>
    <dataValidation type="whole" allowBlank="1" showInputMessage="1" showErrorMessage="1" errorTitle="GJHSP SY 2022-2023" error="Please enter only the year school was established." sqref="AH29:AV29" xr:uid="{DD0611C1-7B83-4B81-BBFD-44F6EE41F32A}">
      <formula1>1600</formula1>
      <formula2>2022</formula2>
    </dataValidation>
    <dataValidation type="whole" allowBlank="1" showInputMessage="1" showErrorMessage="1" errorTitle="GJHSP SY 2021-2022" error="Please enter valid Zip Code." sqref="T27:U27" xr:uid="{6B5E2DE5-C918-43F0-B077-A22D9545E48A}">
      <formula1>0</formula1>
      <formula2>99999</formula2>
    </dataValidation>
    <dataValidation type="whole" allowBlank="1" showInputMessage="1" showErrorMessage="1" errorTitle="GJHSP SY 2022-2023" error="Please enter 6-digit valid School ID." sqref="R34:X34 AQ2:AV2" xr:uid="{F7FFFD05-39A6-4589-83CA-9C2A4772CD84}">
      <formula1>300000</formula1>
      <formula2>599999</formula2>
    </dataValidation>
  </dataValidations>
  <printOptions horizontalCentered="1" verticalCentered="1"/>
  <pageMargins left="0.23622047244094491" right="0.23622047244094491" top="0.19685039370078741" bottom="0.19685039370078741" header="0" footer="0.11811023622047245"/>
  <pageSetup paperSize="14" scale="70" orientation="landscape" r:id="rId1"/>
  <headerFooter alignWithMargins="0">
    <oddFooter>&amp;L&amp;10&amp;F &amp;A&amp;R&amp;10Page 1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031" r:id="rId4" name="Check Box 7">
              <controlPr defaultSize="0" autoFill="0" autoLine="0" autoPict="0">
                <anchor moveWithCells="1">
                  <from>
                    <xdr:col>2</xdr:col>
                    <xdr:colOff>31750</xdr:colOff>
                    <xdr:row>29</xdr:row>
                    <xdr:rowOff>50800</xdr:rowOff>
                  </from>
                  <to>
                    <xdr:col>3</xdr:col>
                    <xdr:colOff>25400</xdr:colOff>
                    <xdr:row>29</xdr:row>
                    <xdr:rowOff>298450</xdr:rowOff>
                  </to>
                </anchor>
              </controlPr>
            </control>
          </mc:Choice>
        </mc:AlternateContent>
        <mc:AlternateContent xmlns:mc="http://schemas.openxmlformats.org/markup-compatibility/2006">
          <mc:Choice Requires="x14">
            <control shapeId="1032" r:id="rId5" name="Check Box 8">
              <controlPr defaultSize="0" autoFill="0" autoLine="0" autoPict="0">
                <anchor moveWithCells="1">
                  <from>
                    <xdr:col>2</xdr:col>
                    <xdr:colOff>31750</xdr:colOff>
                    <xdr:row>30</xdr:row>
                    <xdr:rowOff>31750</xdr:rowOff>
                  </from>
                  <to>
                    <xdr:col>4</xdr:col>
                    <xdr:colOff>158750</xdr:colOff>
                    <xdr:row>30</xdr:row>
                    <xdr:rowOff>273050</xdr:rowOff>
                  </to>
                </anchor>
              </controlPr>
            </control>
          </mc:Choice>
        </mc:AlternateContent>
        <mc:AlternateContent xmlns:mc="http://schemas.openxmlformats.org/markup-compatibility/2006">
          <mc:Choice Requires="x14">
            <control shapeId="1033" r:id="rId6" name="Check Box 9">
              <controlPr defaultSize="0" autoFill="0" autoLine="0" autoPict="0">
                <anchor moveWithCells="1">
                  <from>
                    <xdr:col>2</xdr:col>
                    <xdr:colOff>31750</xdr:colOff>
                    <xdr:row>31</xdr:row>
                    <xdr:rowOff>44450</xdr:rowOff>
                  </from>
                  <to>
                    <xdr:col>4</xdr:col>
                    <xdr:colOff>31750</xdr:colOff>
                    <xdr:row>31</xdr:row>
                    <xdr:rowOff>266700</xdr:rowOff>
                  </to>
                </anchor>
              </controlPr>
            </control>
          </mc:Choice>
        </mc:AlternateContent>
        <mc:AlternateContent xmlns:mc="http://schemas.openxmlformats.org/markup-compatibility/2006">
          <mc:Choice Requires="x14">
            <control shapeId="1034" r:id="rId7" name="Check Box 10">
              <controlPr defaultSize="0" autoFill="0" autoLine="0" autoPict="0">
                <anchor moveWithCells="1">
                  <from>
                    <xdr:col>2</xdr:col>
                    <xdr:colOff>38100</xdr:colOff>
                    <xdr:row>32</xdr:row>
                    <xdr:rowOff>44450</xdr:rowOff>
                  </from>
                  <to>
                    <xdr:col>4</xdr:col>
                    <xdr:colOff>38100</xdr:colOff>
                    <xdr:row>32</xdr:row>
                    <xdr:rowOff>266700</xdr:rowOff>
                  </to>
                </anchor>
              </controlPr>
            </control>
          </mc:Choice>
        </mc:AlternateContent>
        <mc:AlternateContent xmlns:mc="http://schemas.openxmlformats.org/markup-compatibility/2006">
          <mc:Choice Requires="x14">
            <control shapeId="1035" r:id="rId8" name="Check Box 11">
              <controlPr defaultSize="0" autoFill="0" autoLine="0" autoPict="0">
                <anchor moveWithCells="1">
                  <from>
                    <xdr:col>2</xdr:col>
                    <xdr:colOff>38100</xdr:colOff>
                    <xdr:row>33</xdr:row>
                    <xdr:rowOff>63500</xdr:rowOff>
                  </from>
                  <to>
                    <xdr:col>4</xdr:col>
                    <xdr:colOff>38100</xdr:colOff>
                    <xdr:row>33</xdr:row>
                    <xdr:rowOff>279400</xdr:rowOff>
                  </to>
                </anchor>
              </controlPr>
            </control>
          </mc:Choice>
        </mc:AlternateContent>
        <mc:AlternateContent xmlns:mc="http://schemas.openxmlformats.org/markup-compatibility/2006">
          <mc:Choice Requires="x14">
            <control shapeId="1036" r:id="rId9" name="Check Box 12">
              <controlPr defaultSize="0" autoFill="0" autoLine="0" autoPict="0">
                <anchor moveWithCells="1">
                  <from>
                    <xdr:col>2</xdr:col>
                    <xdr:colOff>31750</xdr:colOff>
                    <xdr:row>34</xdr:row>
                    <xdr:rowOff>63500</xdr:rowOff>
                  </from>
                  <to>
                    <xdr:col>4</xdr:col>
                    <xdr:colOff>31750</xdr:colOff>
                    <xdr:row>34</xdr:row>
                    <xdr:rowOff>279400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r:uid="{FACD9256-DC28-43B8-B75D-76DC65185552}">
          <x14:formula1>
            <xm:f>dropdown!$A$13:$A$21</xm:f>
          </x14:formula1>
          <xm:sqref>AH23:AV23</xm:sqref>
        </x14:dataValidation>
        <x14:dataValidation type="list" allowBlank="1" showInputMessage="1" showErrorMessage="1" xr:uid="{208F902A-76CF-4A95-AC92-A899012EECCB}">
          <x14:formula1>
            <xm:f>list!$A$1:$Q$1</xm:f>
          </x14:formula1>
          <xm:sqref>AH21:AV21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5D56C-6C84-4D57-8C56-E83D90625BF1}">
  <sheetPr codeName="Sheet2"/>
  <dimension ref="B1:BY59"/>
  <sheetViews>
    <sheetView showGridLines="0" topLeftCell="A18" zoomScaleNormal="100" workbookViewId="0">
      <selection activeCell="T25" sqref="T25:V25"/>
    </sheetView>
  </sheetViews>
  <sheetFormatPr defaultRowHeight="15.5" x14ac:dyDescent="0.35"/>
  <cols>
    <col min="1" max="1" width="2.08203125" style="44" customWidth="1"/>
    <col min="2" max="36" width="3.58203125" style="44" customWidth="1"/>
    <col min="37" max="43" width="3.5" style="44" customWidth="1"/>
    <col min="44" max="44" width="2.08203125" style="44" customWidth="1"/>
    <col min="45" max="50" width="3.5" style="44" customWidth="1"/>
    <col min="51" max="248" width="8.6640625" style="44"/>
    <col min="249" max="249" width="1.83203125" style="44" customWidth="1"/>
    <col min="250" max="257" width="3.6640625" style="44" customWidth="1"/>
    <col min="258" max="258" width="4.58203125" style="44" customWidth="1"/>
    <col min="259" max="306" width="3.5" style="44" customWidth="1"/>
    <col min="307" max="504" width="8.6640625" style="44"/>
    <col min="505" max="505" width="1.83203125" style="44" customWidth="1"/>
    <col min="506" max="513" width="3.6640625" style="44" customWidth="1"/>
    <col min="514" max="514" width="4.58203125" style="44" customWidth="1"/>
    <col min="515" max="562" width="3.5" style="44" customWidth="1"/>
    <col min="563" max="760" width="8.6640625" style="44"/>
    <col min="761" max="761" width="1.83203125" style="44" customWidth="1"/>
    <col min="762" max="769" width="3.6640625" style="44" customWidth="1"/>
    <col min="770" max="770" width="4.58203125" style="44" customWidth="1"/>
    <col min="771" max="818" width="3.5" style="44" customWidth="1"/>
    <col min="819" max="1016" width="8.6640625" style="44"/>
    <col min="1017" max="1017" width="1.83203125" style="44" customWidth="1"/>
    <col min="1018" max="1025" width="3.6640625" style="44" customWidth="1"/>
    <col min="1026" max="1026" width="4.58203125" style="44" customWidth="1"/>
    <col min="1027" max="1074" width="3.5" style="44" customWidth="1"/>
    <col min="1075" max="1272" width="8.6640625" style="44"/>
    <col min="1273" max="1273" width="1.83203125" style="44" customWidth="1"/>
    <col min="1274" max="1281" width="3.6640625" style="44" customWidth="1"/>
    <col min="1282" max="1282" width="4.58203125" style="44" customWidth="1"/>
    <col min="1283" max="1330" width="3.5" style="44" customWidth="1"/>
    <col min="1331" max="1528" width="8.6640625" style="44"/>
    <col min="1529" max="1529" width="1.83203125" style="44" customWidth="1"/>
    <col min="1530" max="1537" width="3.6640625" style="44" customWidth="1"/>
    <col min="1538" max="1538" width="4.58203125" style="44" customWidth="1"/>
    <col min="1539" max="1586" width="3.5" style="44" customWidth="1"/>
    <col min="1587" max="1784" width="8.6640625" style="44"/>
    <col min="1785" max="1785" width="1.83203125" style="44" customWidth="1"/>
    <col min="1786" max="1793" width="3.6640625" style="44" customWidth="1"/>
    <col min="1794" max="1794" width="4.58203125" style="44" customWidth="1"/>
    <col min="1795" max="1842" width="3.5" style="44" customWidth="1"/>
    <col min="1843" max="2040" width="8.6640625" style="44"/>
    <col min="2041" max="2041" width="1.83203125" style="44" customWidth="1"/>
    <col min="2042" max="2049" width="3.6640625" style="44" customWidth="1"/>
    <col min="2050" max="2050" width="4.58203125" style="44" customWidth="1"/>
    <col min="2051" max="2098" width="3.5" style="44" customWidth="1"/>
    <col min="2099" max="2296" width="8.6640625" style="44"/>
    <col min="2297" max="2297" width="1.83203125" style="44" customWidth="1"/>
    <col min="2298" max="2305" width="3.6640625" style="44" customWidth="1"/>
    <col min="2306" max="2306" width="4.58203125" style="44" customWidth="1"/>
    <col min="2307" max="2354" width="3.5" style="44" customWidth="1"/>
    <col min="2355" max="2552" width="8.6640625" style="44"/>
    <col min="2553" max="2553" width="1.83203125" style="44" customWidth="1"/>
    <col min="2554" max="2561" width="3.6640625" style="44" customWidth="1"/>
    <col min="2562" max="2562" width="4.58203125" style="44" customWidth="1"/>
    <col min="2563" max="2610" width="3.5" style="44" customWidth="1"/>
    <col min="2611" max="2808" width="8.6640625" style="44"/>
    <col min="2809" max="2809" width="1.83203125" style="44" customWidth="1"/>
    <col min="2810" max="2817" width="3.6640625" style="44" customWidth="1"/>
    <col min="2818" max="2818" width="4.58203125" style="44" customWidth="1"/>
    <col min="2819" max="2866" width="3.5" style="44" customWidth="1"/>
    <col min="2867" max="3064" width="8.6640625" style="44"/>
    <col min="3065" max="3065" width="1.83203125" style="44" customWidth="1"/>
    <col min="3066" max="3073" width="3.6640625" style="44" customWidth="1"/>
    <col min="3074" max="3074" width="4.58203125" style="44" customWidth="1"/>
    <col min="3075" max="3122" width="3.5" style="44" customWidth="1"/>
    <col min="3123" max="3320" width="8.6640625" style="44"/>
    <col min="3321" max="3321" width="1.83203125" style="44" customWidth="1"/>
    <col min="3322" max="3329" width="3.6640625" style="44" customWidth="1"/>
    <col min="3330" max="3330" width="4.58203125" style="44" customWidth="1"/>
    <col min="3331" max="3378" width="3.5" style="44" customWidth="1"/>
    <col min="3379" max="3576" width="8.6640625" style="44"/>
    <col min="3577" max="3577" width="1.83203125" style="44" customWidth="1"/>
    <col min="3578" max="3585" width="3.6640625" style="44" customWidth="1"/>
    <col min="3586" max="3586" width="4.58203125" style="44" customWidth="1"/>
    <col min="3587" max="3634" width="3.5" style="44" customWidth="1"/>
    <col min="3635" max="3832" width="8.6640625" style="44"/>
    <col min="3833" max="3833" width="1.83203125" style="44" customWidth="1"/>
    <col min="3834" max="3841" width="3.6640625" style="44" customWidth="1"/>
    <col min="3842" max="3842" width="4.58203125" style="44" customWidth="1"/>
    <col min="3843" max="3890" width="3.5" style="44" customWidth="1"/>
    <col min="3891" max="4088" width="8.6640625" style="44"/>
    <col min="4089" max="4089" width="1.83203125" style="44" customWidth="1"/>
    <col min="4090" max="4097" width="3.6640625" style="44" customWidth="1"/>
    <col min="4098" max="4098" width="4.58203125" style="44" customWidth="1"/>
    <col min="4099" max="4146" width="3.5" style="44" customWidth="1"/>
    <col min="4147" max="4344" width="8.6640625" style="44"/>
    <col min="4345" max="4345" width="1.83203125" style="44" customWidth="1"/>
    <col min="4346" max="4353" width="3.6640625" style="44" customWidth="1"/>
    <col min="4354" max="4354" width="4.58203125" style="44" customWidth="1"/>
    <col min="4355" max="4402" width="3.5" style="44" customWidth="1"/>
    <col min="4403" max="4600" width="8.6640625" style="44"/>
    <col min="4601" max="4601" width="1.83203125" style="44" customWidth="1"/>
    <col min="4602" max="4609" width="3.6640625" style="44" customWidth="1"/>
    <col min="4610" max="4610" width="4.58203125" style="44" customWidth="1"/>
    <col min="4611" max="4658" width="3.5" style="44" customWidth="1"/>
    <col min="4659" max="4856" width="8.6640625" style="44"/>
    <col min="4857" max="4857" width="1.83203125" style="44" customWidth="1"/>
    <col min="4858" max="4865" width="3.6640625" style="44" customWidth="1"/>
    <col min="4866" max="4866" width="4.58203125" style="44" customWidth="1"/>
    <col min="4867" max="4914" width="3.5" style="44" customWidth="1"/>
    <col min="4915" max="5112" width="8.6640625" style="44"/>
    <col min="5113" max="5113" width="1.83203125" style="44" customWidth="1"/>
    <col min="5114" max="5121" width="3.6640625" style="44" customWidth="1"/>
    <col min="5122" max="5122" width="4.58203125" style="44" customWidth="1"/>
    <col min="5123" max="5170" width="3.5" style="44" customWidth="1"/>
    <col min="5171" max="5368" width="8.6640625" style="44"/>
    <col min="5369" max="5369" width="1.83203125" style="44" customWidth="1"/>
    <col min="5370" max="5377" width="3.6640625" style="44" customWidth="1"/>
    <col min="5378" max="5378" width="4.58203125" style="44" customWidth="1"/>
    <col min="5379" max="5426" width="3.5" style="44" customWidth="1"/>
    <col min="5427" max="5624" width="8.6640625" style="44"/>
    <col min="5625" max="5625" width="1.83203125" style="44" customWidth="1"/>
    <col min="5626" max="5633" width="3.6640625" style="44" customWidth="1"/>
    <col min="5634" max="5634" width="4.58203125" style="44" customWidth="1"/>
    <col min="5635" max="5682" width="3.5" style="44" customWidth="1"/>
    <col min="5683" max="5880" width="8.6640625" style="44"/>
    <col min="5881" max="5881" width="1.83203125" style="44" customWidth="1"/>
    <col min="5882" max="5889" width="3.6640625" style="44" customWidth="1"/>
    <col min="5890" max="5890" width="4.58203125" style="44" customWidth="1"/>
    <col min="5891" max="5938" width="3.5" style="44" customWidth="1"/>
    <col min="5939" max="6136" width="8.6640625" style="44"/>
    <col min="6137" max="6137" width="1.83203125" style="44" customWidth="1"/>
    <col min="6138" max="6145" width="3.6640625" style="44" customWidth="1"/>
    <col min="6146" max="6146" width="4.58203125" style="44" customWidth="1"/>
    <col min="6147" max="6194" width="3.5" style="44" customWidth="1"/>
    <col min="6195" max="6392" width="8.6640625" style="44"/>
    <col min="6393" max="6393" width="1.83203125" style="44" customWidth="1"/>
    <col min="6394" max="6401" width="3.6640625" style="44" customWidth="1"/>
    <col min="6402" max="6402" width="4.58203125" style="44" customWidth="1"/>
    <col min="6403" max="6450" width="3.5" style="44" customWidth="1"/>
    <col min="6451" max="6648" width="8.6640625" style="44"/>
    <col min="6649" max="6649" width="1.83203125" style="44" customWidth="1"/>
    <col min="6650" max="6657" width="3.6640625" style="44" customWidth="1"/>
    <col min="6658" max="6658" width="4.58203125" style="44" customWidth="1"/>
    <col min="6659" max="6706" width="3.5" style="44" customWidth="1"/>
    <col min="6707" max="6904" width="8.6640625" style="44"/>
    <col min="6905" max="6905" width="1.83203125" style="44" customWidth="1"/>
    <col min="6906" max="6913" width="3.6640625" style="44" customWidth="1"/>
    <col min="6914" max="6914" width="4.58203125" style="44" customWidth="1"/>
    <col min="6915" max="6962" width="3.5" style="44" customWidth="1"/>
    <col min="6963" max="7160" width="8.6640625" style="44"/>
    <col min="7161" max="7161" width="1.83203125" style="44" customWidth="1"/>
    <col min="7162" max="7169" width="3.6640625" style="44" customWidth="1"/>
    <col min="7170" max="7170" width="4.58203125" style="44" customWidth="1"/>
    <col min="7171" max="7218" width="3.5" style="44" customWidth="1"/>
    <col min="7219" max="7416" width="8.6640625" style="44"/>
    <col min="7417" max="7417" width="1.83203125" style="44" customWidth="1"/>
    <col min="7418" max="7425" width="3.6640625" style="44" customWidth="1"/>
    <col min="7426" max="7426" width="4.58203125" style="44" customWidth="1"/>
    <col min="7427" max="7474" width="3.5" style="44" customWidth="1"/>
    <col min="7475" max="7672" width="8.6640625" style="44"/>
    <col min="7673" max="7673" width="1.83203125" style="44" customWidth="1"/>
    <col min="7674" max="7681" width="3.6640625" style="44" customWidth="1"/>
    <col min="7682" max="7682" width="4.58203125" style="44" customWidth="1"/>
    <col min="7683" max="7730" width="3.5" style="44" customWidth="1"/>
    <col min="7731" max="7928" width="8.6640625" style="44"/>
    <col min="7929" max="7929" width="1.83203125" style="44" customWidth="1"/>
    <col min="7930" max="7937" width="3.6640625" style="44" customWidth="1"/>
    <col min="7938" max="7938" width="4.58203125" style="44" customWidth="1"/>
    <col min="7939" max="7986" width="3.5" style="44" customWidth="1"/>
    <col min="7987" max="8184" width="8.6640625" style="44"/>
    <col min="8185" max="8185" width="1.83203125" style="44" customWidth="1"/>
    <col min="8186" max="8193" width="3.6640625" style="44" customWidth="1"/>
    <col min="8194" max="8194" width="4.58203125" style="44" customWidth="1"/>
    <col min="8195" max="8242" width="3.5" style="44" customWidth="1"/>
    <col min="8243" max="8440" width="8.6640625" style="44"/>
    <col min="8441" max="8441" width="1.83203125" style="44" customWidth="1"/>
    <col min="8442" max="8449" width="3.6640625" style="44" customWidth="1"/>
    <col min="8450" max="8450" width="4.58203125" style="44" customWidth="1"/>
    <col min="8451" max="8498" width="3.5" style="44" customWidth="1"/>
    <col min="8499" max="8696" width="8.6640625" style="44"/>
    <col min="8697" max="8697" width="1.83203125" style="44" customWidth="1"/>
    <col min="8698" max="8705" width="3.6640625" style="44" customWidth="1"/>
    <col min="8706" max="8706" width="4.58203125" style="44" customWidth="1"/>
    <col min="8707" max="8754" width="3.5" style="44" customWidth="1"/>
    <col min="8755" max="8952" width="8.6640625" style="44"/>
    <col min="8953" max="8953" width="1.83203125" style="44" customWidth="1"/>
    <col min="8954" max="8961" width="3.6640625" style="44" customWidth="1"/>
    <col min="8962" max="8962" width="4.58203125" style="44" customWidth="1"/>
    <col min="8963" max="9010" width="3.5" style="44" customWidth="1"/>
    <col min="9011" max="9208" width="8.6640625" style="44"/>
    <col min="9209" max="9209" width="1.83203125" style="44" customWidth="1"/>
    <col min="9210" max="9217" width="3.6640625" style="44" customWidth="1"/>
    <col min="9218" max="9218" width="4.58203125" style="44" customWidth="1"/>
    <col min="9219" max="9266" width="3.5" style="44" customWidth="1"/>
    <col min="9267" max="9464" width="8.6640625" style="44"/>
    <col min="9465" max="9465" width="1.83203125" style="44" customWidth="1"/>
    <col min="9466" max="9473" width="3.6640625" style="44" customWidth="1"/>
    <col min="9474" max="9474" width="4.58203125" style="44" customWidth="1"/>
    <col min="9475" max="9522" width="3.5" style="44" customWidth="1"/>
    <col min="9523" max="9720" width="8.6640625" style="44"/>
    <col min="9721" max="9721" width="1.83203125" style="44" customWidth="1"/>
    <col min="9722" max="9729" width="3.6640625" style="44" customWidth="1"/>
    <col min="9730" max="9730" width="4.58203125" style="44" customWidth="1"/>
    <col min="9731" max="9778" width="3.5" style="44" customWidth="1"/>
    <col min="9779" max="9976" width="8.6640625" style="44"/>
    <col min="9977" max="9977" width="1.83203125" style="44" customWidth="1"/>
    <col min="9978" max="9985" width="3.6640625" style="44" customWidth="1"/>
    <col min="9986" max="9986" width="4.58203125" style="44" customWidth="1"/>
    <col min="9987" max="10034" width="3.5" style="44" customWidth="1"/>
    <col min="10035" max="10232" width="8.6640625" style="44"/>
    <col min="10233" max="10233" width="1.83203125" style="44" customWidth="1"/>
    <col min="10234" max="10241" width="3.6640625" style="44" customWidth="1"/>
    <col min="10242" max="10242" width="4.58203125" style="44" customWidth="1"/>
    <col min="10243" max="10290" width="3.5" style="44" customWidth="1"/>
    <col min="10291" max="10488" width="8.6640625" style="44"/>
    <col min="10489" max="10489" width="1.83203125" style="44" customWidth="1"/>
    <col min="10490" max="10497" width="3.6640625" style="44" customWidth="1"/>
    <col min="10498" max="10498" width="4.58203125" style="44" customWidth="1"/>
    <col min="10499" max="10546" width="3.5" style="44" customWidth="1"/>
    <col min="10547" max="10744" width="8.6640625" style="44"/>
    <col min="10745" max="10745" width="1.83203125" style="44" customWidth="1"/>
    <col min="10746" max="10753" width="3.6640625" style="44" customWidth="1"/>
    <col min="10754" max="10754" width="4.58203125" style="44" customWidth="1"/>
    <col min="10755" max="10802" width="3.5" style="44" customWidth="1"/>
    <col min="10803" max="11000" width="8.6640625" style="44"/>
    <col min="11001" max="11001" width="1.83203125" style="44" customWidth="1"/>
    <col min="11002" max="11009" width="3.6640625" style="44" customWidth="1"/>
    <col min="11010" max="11010" width="4.58203125" style="44" customWidth="1"/>
    <col min="11011" max="11058" width="3.5" style="44" customWidth="1"/>
    <col min="11059" max="11256" width="8.6640625" style="44"/>
    <col min="11257" max="11257" width="1.83203125" style="44" customWidth="1"/>
    <col min="11258" max="11265" width="3.6640625" style="44" customWidth="1"/>
    <col min="11266" max="11266" width="4.58203125" style="44" customWidth="1"/>
    <col min="11267" max="11314" width="3.5" style="44" customWidth="1"/>
    <col min="11315" max="11512" width="8.6640625" style="44"/>
    <col min="11513" max="11513" width="1.83203125" style="44" customWidth="1"/>
    <col min="11514" max="11521" width="3.6640625" style="44" customWidth="1"/>
    <col min="11522" max="11522" width="4.58203125" style="44" customWidth="1"/>
    <col min="11523" max="11570" width="3.5" style="44" customWidth="1"/>
    <col min="11571" max="11768" width="8.6640625" style="44"/>
    <col min="11769" max="11769" width="1.83203125" style="44" customWidth="1"/>
    <col min="11770" max="11777" width="3.6640625" style="44" customWidth="1"/>
    <col min="11778" max="11778" width="4.58203125" style="44" customWidth="1"/>
    <col min="11779" max="11826" width="3.5" style="44" customWidth="1"/>
    <col min="11827" max="12024" width="8.6640625" style="44"/>
    <col min="12025" max="12025" width="1.83203125" style="44" customWidth="1"/>
    <col min="12026" max="12033" width="3.6640625" style="44" customWidth="1"/>
    <col min="12034" max="12034" width="4.58203125" style="44" customWidth="1"/>
    <col min="12035" max="12082" width="3.5" style="44" customWidth="1"/>
    <col min="12083" max="12280" width="8.6640625" style="44"/>
    <col min="12281" max="12281" width="1.83203125" style="44" customWidth="1"/>
    <col min="12282" max="12289" width="3.6640625" style="44" customWidth="1"/>
    <col min="12290" max="12290" width="4.58203125" style="44" customWidth="1"/>
    <col min="12291" max="12338" width="3.5" style="44" customWidth="1"/>
    <col min="12339" max="12536" width="8.6640625" style="44"/>
    <col min="12537" max="12537" width="1.83203125" style="44" customWidth="1"/>
    <col min="12538" max="12545" width="3.6640625" style="44" customWidth="1"/>
    <col min="12546" max="12546" width="4.58203125" style="44" customWidth="1"/>
    <col min="12547" max="12594" width="3.5" style="44" customWidth="1"/>
    <col min="12595" max="12792" width="8.6640625" style="44"/>
    <col min="12793" max="12793" width="1.83203125" style="44" customWidth="1"/>
    <col min="12794" max="12801" width="3.6640625" style="44" customWidth="1"/>
    <col min="12802" max="12802" width="4.58203125" style="44" customWidth="1"/>
    <col min="12803" max="12850" width="3.5" style="44" customWidth="1"/>
    <col min="12851" max="13048" width="8.6640625" style="44"/>
    <col min="13049" max="13049" width="1.83203125" style="44" customWidth="1"/>
    <col min="13050" max="13057" width="3.6640625" style="44" customWidth="1"/>
    <col min="13058" max="13058" width="4.58203125" style="44" customWidth="1"/>
    <col min="13059" max="13106" width="3.5" style="44" customWidth="1"/>
    <col min="13107" max="13304" width="8.6640625" style="44"/>
    <col min="13305" max="13305" width="1.83203125" style="44" customWidth="1"/>
    <col min="13306" max="13313" width="3.6640625" style="44" customWidth="1"/>
    <col min="13314" max="13314" width="4.58203125" style="44" customWidth="1"/>
    <col min="13315" max="13362" width="3.5" style="44" customWidth="1"/>
    <col min="13363" max="13560" width="8.6640625" style="44"/>
    <col min="13561" max="13561" width="1.83203125" style="44" customWidth="1"/>
    <col min="13562" max="13569" width="3.6640625" style="44" customWidth="1"/>
    <col min="13570" max="13570" width="4.58203125" style="44" customWidth="1"/>
    <col min="13571" max="13618" width="3.5" style="44" customWidth="1"/>
    <col min="13619" max="13816" width="8.6640625" style="44"/>
    <col min="13817" max="13817" width="1.83203125" style="44" customWidth="1"/>
    <col min="13818" max="13825" width="3.6640625" style="44" customWidth="1"/>
    <col min="13826" max="13826" width="4.58203125" style="44" customWidth="1"/>
    <col min="13827" max="13874" width="3.5" style="44" customWidth="1"/>
    <col min="13875" max="14072" width="8.6640625" style="44"/>
    <col min="14073" max="14073" width="1.83203125" style="44" customWidth="1"/>
    <col min="14074" max="14081" width="3.6640625" style="44" customWidth="1"/>
    <col min="14082" max="14082" width="4.58203125" style="44" customWidth="1"/>
    <col min="14083" max="14130" width="3.5" style="44" customWidth="1"/>
    <col min="14131" max="14328" width="8.6640625" style="44"/>
    <col min="14329" max="14329" width="1.83203125" style="44" customWidth="1"/>
    <col min="14330" max="14337" width="3.6640625" style="44" customWidth="1"/>
    <col min="14338" max="14338" width="4.58203125" style="44" customWidth="1"/>
    <col min="14339" max="14386" width="3.5" style="44" customWidth="1"/>
    <col min="14387" max="14584" width="8.6640625" style="44"/>
    <col min="14585" max="14585" width="1.83203125" style="44" customWidth="1"/>
    <col min="14586" max="14593" width="3.6640625" style="44" customWidth="1"/>
    <col min="14594" max="14594" width="4.58203125" style="44" customWidth="1"/>
    <col min="14595" max="14642" width="3.5" style="44" customWidth="1"/>
    <col min="14643" max="14840" width="8.6640625" style="44"/>
    <col min="14841" max="14841" width="1.83203125" style="44" customWidth="1"/>
    <col min="14842" max="14849" width="3.6640625" style="44" customWidth="1"/>
    <col min="14850" max="14850" width="4.58203125" style="44" customWidth="1"/>
    <col min="14851" max="14898" width="3.5" style="44" customWidth="1"/>
    <col min="14899" max="15096" width="8.6640625" style="44"/>
    <col min="15097" max="15097" width="1.83203125" style="44" customWidth="1"/>
    <col min="15098" max="15105" width="3.6640625" style="44" customWidth="1"/>
    <col min="15106" max="15106" width="4.58203125" style="44" customWidth="1"/>
    <col min="15107" max="15154" width="3.5" style="44" customWidth="1"/>
    <col min="15155" max="15352" width="8.6640625" style="44"/>
    <col min="15353" max="15353" width="1.83203125" style="44" customWidth="1"/>
    <col min="15354" max="15361" width="3.6640625" style="44" customWidth="1"/>
    <col min="15362" max="15362" width="4.58203125" style="44" customWidth="1"/>
    <col min="15363" max="15410" width="3.5" style="44" customWidth="1"/>
    <col min="15411" max="15608" width="8.6640625" style="44"/>
    <col min="15609" max="15609" width="1.83203125" style="44" customWidth="1"/>
    <col min="15610" max="15617" width="3.6640625" style="44" customWidth="1"/>
    <col min="15618" max="15618" width="4.58203125" style="44" customWidth="1"/>
    <col min="15619" max="15666" width="3.5" style="44" customWidth="1"/>
    <col min="15667" max="15864" width="8.6640625" style="44"/>
    <col min="15865" max="15865" width="1.83203125" style="44" customWidth="1"/>
    <col min="15866" max="15873" width="3.6640625" style="44" customWidth="1"/>
    <col min="15874" max="15874" width="4.58203125" style="44" customWidth="1"/>
    <col min="15875" max="15922" width="3.5" style="44" customWidth="1"/>
    <col min="15923" max="16120" width="8.6640625" style="44"/>
    <col min="16121" max="16121" width="1.83203125" style="44" customWidth="1"/>
    <col min="16122" max="16129" width="3.6640625" style="44" customWidth="1"/>
    <col min="16130" max="16130" width="4.58203125" style="44" customWidth="1"/>
    <col min="16131" max="16178" width="3.5" style="44" customWidth="1"/>
    <col min="16179" max="16384" width="8.6640625" style="44"/>
  </cols>
  <sheetData>
    <row r="1" spans="2:43" ht="12" customHeight="1" x14ac:dyDescent="0.35"/>
    <row r="2" spans="2:43" s="110" customFormat="1" ht="17" thickBot="1" x14ac:dyDescent="0.4">
      <c r="B2" s="111" t="s">
        <v>12679</v>
      </c>
    </row>
    <row r="3" spans="2:43" s="112" customFormat="1" ht="16.5" customHeight="1" x14ac:dyDescent="0.35">
      <c r="B3" s="1522" t="s">
        <v>1056</v>
      </c>
      <c r="C3" s="1523"/>
      <c r="D3" s="1523"/>
      <c r="E3" s="1523"/>
      <c r="F3" s="1523"/>
      <c r="G3" s="1523"/>
      <c r="H3" s="1523"/>
      <c r="I3" s="1523"/>
      <c r="J3" s="1523"/>
      <c r="K3" s="1523"/>
      <c r="L3" s="1523"/>
      <c r="M3" s="1524"/>
      <c r="N3" s="1522" t="s">
        <v>87</v>
      </c>
      <c r="O3" s="1523"/>
      <c r="P3" s="1523"/>
      <c r="Q3" s="1523"/>
      <c r="R3" s="1523"/>
      <c r="S3" s="1524"/>
      <c r="T3" s="1522" t="s">
        <v>88</v>
      </c>
      <c r="U3" s="1523"/>
      <c r="V3" s="1523"/>
      <c r="W3" s="1523"/>
      <c r="X3" s="1523"/>
      <c r="Y3" s="1524"/>
      <c r="Z3" s="1522" t="s">
        <v>89</v>
      </c>
      <c r="AA3" s="1523"/>
      <c r="AB3" s="1523"/>
      <c r="AC3" s="1523"/>
      <c r="AD3" s="1523"/>
      <c r="AE3" s="1524"/>
      <c r="AF3" s="1522" t="s">
        <v>90</v>
      </c>
      <c r="AG3" s="1523"/>
      <c r="AH3" s="1523"/>
      <c r="AI3" s="1523"/>
      <c r="AJ3" s="1523"/>
      <c r="AK3" s="1534"/>
      <c r="AL3" s="1511" t="s">
        <v>16</v>
      </c>
      <c r="AM3" s="1512"/>
      <c r="AN3" s="1512"/>
      <c r="AO3" s="1512"/>
      <c r="AP3" s="1512"/>
      <c r="AQ3" s="1513"/>
    </row>
    <row r="4" spans="2:43" s="112" customFormat="1" ht="16.5" customHeight="1" x14ac:dyDescent="0.35">
      <c r="B4" s="1525"/>
      <c r="C4" s="1526"/>
      <c r="D4" s="1526"/>
      <c r="E4" s="1526"/>
      <c r="F4" s="1526"/>
      <c r="G4" s="1526"/>
      <c r="H4" s="1526"/>
      <c r="I4" s="1526"/>
      <c r="J4" s="1526"/>
      <c r="K4" s="1526"/>
      <c r="L4" s="1526"/>
      <c r="M4" s="1527"/>
      <c r="N4" s="1531"/>
      <c r="O4" s="1532"/>
      <c r="P4" s="1532"/>
      <c r="Q4" s="1532"/>
      <c r="R4" s="1532"/>
      <c r="S4" s="1533"/>
      <c r="T4" s="1531"/>
      <c r="U4" s="1532"/>
      <c r="V4" s="1532"/>
      <c r="W4" s="1532"/>
      <c r="X4" s="1532"/>
      <c r="Y4" s="1533"/>
      <c r="Z4" s="1531"/>
      <c r="AA4" s="1532"/>
      <c r="AB4" s="1532"/>
      <c r="AC4" s="1532"/>
      <c r="AD4" s="1532"/>
      <c r="AE4" s="1533"/>
      <c r="AF4" s="1531"/>
      <c r="AG4" s="1532"/>
      <c r="AH4" s="1532"/>
      <c r="AI4" s="1532"/>
      <c r="AJ4" s="1532"/>
      <c r="AK4" s="1535"/>
      <c r="AL4" s="1514" t="s">
        <v>1307</v>
      </c>
      <c r="AM4" s="1515"/>
      <c r="AN4" s="1515"/>
      <c r="AO4" s="1515"/>
      <c r="AP4" s="1515"/>
      <c r="AQ4" s="1516"/>
    </row>
    <row r="5" spans="2:43" s="112" customFormat="1" ht="17" thickBot="1" x14ac:dyDescent="0.4">
      <c r="B5" s="1528"/>
      <c r="C5" s="1529"/>
      <c r="D5" s="1529"/>
      <c r="E5" s="1529"/>
      <c r="F5" s="1529"/>
      <c r="G5" s="1529"/>
      <c r="H5" s="1529"/>
      <c r="I5" s="1529"/>
      <c r="J5" s="1529"/>
      <c r="K5" s="1529"/>
      <c r="L5" s="1529"/>
      <c r="M5" s="1530"/>
      <c r="N5" s="1517" t="s">
        <v>14</v>
      </c>
      <c r="O5" s="1518"/>
      <c r="P5" s="1519"/>
      <c r="Q5" s="1520" t="s">
        <v>15</v>
      </c>
      <c r="R5" s="1518"/>
      <c r="S5" s="1521"/>
      <c r="T5" s="1517" t="s">
        <v>14</v>
      </c>
      <c r="U5" s="1518"/>
      <c r="V5" s="1519"/>
      <c r="W5" s="1520" t="s">
        <v>15</v>
      </c>
      <c r="X5" s="1518"/>
      <c r="Y5" s="1521"/>
      <c r="Z5" s="1517" t="s">
        <v>14</v>
      </c>
      <c r="AA5" s="1518"/>
      <c r="AB5" s="1519"/>
      <c r="AC5" s="1520" t="s">
        <v>15</v>
      </c>
      <c r="AD5" s="1518"/>
      <c r="AE5" s="1521"/>
      <c r="AF5" s="1517" t="s">
        <v>14</v>
      </c>
      <c r="AG5" s="1518"/>
      <c r="AH5" s="1519"/>
      <c r="AI5" s="1520" t="s">
        <v>15</v>
      </c>
      <c r="AJ5" s="1518"/>
      <c r="AK5" s="1536"/>
      <c r="AL5" s="1537" t="s">
        <v>14</v>
      </c>
      <c r="AM5" s="1518"/>
      <c r="AN5" s="1519"/>
      <c r="AO5" s="1520" t="s">
        <v>15</v>
      </c>
      <c r="AP5" s="1518"/>
      <c r="AQ5" s="1521"/>
    </row>
    <row r="6" spans="2:43" ht="30" customHeight="1" thickBot="1" x14ac:dyDescent="0.4">
      <c r="B6" s="105" t="s">
        <v>150</v>
      </c>
      <c r="C6" s="1492" t="s">
        <v>217</v>
      </c>
      <c r="D6" s="1492"/>
      <c r="E6" s="1492"/>
      <c r="F6" s="1492"/>
      <c r="G6" s="1492"/>
      <c r="H6" s="1492"/>
      <c r="I6" s="1492"/>
      <c r="J6" s="1492"/>
      <c r="K6" s="1492"/>
      <c r="L6" s="1492"/>
      <c r="M6" s="1493"/>
      <c r="N6" s="1494"/>
      <c r="O6" s="1487"/>
      <c r="P6" s="1495"/>
      <c r="Q6" s="1486"/>
      <c r="R6" s="1487"/>
      <c r="S6" s="1496"/>
      <c r="T6" s="1494"/>
      <c r="U6" s="1487"/>
      <c r="V6" s="1495"/>
      <c r="W6" s="1486"/>
      <c r="X6" s="1487"/>
      <c r="Y6" s="1496"/>
      <c r="Z6" s="1494"/>
      <c r="AA6" s="1487"/>
      <c r="AB6" s="1495"/>
      <c r="AC6" s="1486"/>
      <c r="AD6" s="1487"/>
      <c r="AE6" s="1496"/>
      <c r="AF6" s="1494"/>
      <c r="AG6" s="1487"/>
      <c r="AH6" s="1495"/>
      <c r="AI6" s="1486"/>
      <c r="AJ6" s="1487"/>
      <c r="AK6" s="1488"/>
      <c r="AL6" s="1489">
        <f>SUM(N6,T6,Z6,AF6)</f>
        <v>0</v>
      </c>
      <c r="AM6" s="1490"/>
      <c r="AN6" s="1491"/>
      <c r="AO6" s="1506">
        <f>SUM(Q6,W6,AC6,AI6)</f>
        <v>0</v>
      </c>
      <c r="AP6" s="1490"/>
      <c r="AQ6" s="1507"/>
    </row>
    <row r="7" spans="2:43" ht="30" customHeight="1" x14ac:dyDescent="0.35">
      <c r="B7" s="105"/>
      <c r="C7" s="106" t="s">
        <v>107</v>
      </c>
      <c r="D7" s="107" t="s">
        <v>966</v>
      </c>
      <c r="E7" s="107"/>
      <c r="F7" s="107"/>
      <c r="G7" s="107"/>
      <c r="H7" s="107"/>
      <c r="I7" s="107"/>
      <c r="J7" s="107"/>
      <c r="K7" s="107"/>
      <c r="L7" s="107"/>
      <c r="M7" s="108"/>
      <c r="N7" s="1464">
        <v>0</v>
      </c>
      <c r="O7" s="1462"/>
      <c r="P7" s="1465"/>
      <c r="Q7" s="1461">
        <v>0</v>
      </c>
      <c r="R7" s="1462"/>
      <c r="S7" s="1471"/>
      <c r="T7" s="1464">
        <v>0</v>
      </c>
      <c r="U7" s="1462"/>
      <c r="V7" s="1465"/>
      <c r="W7" s="1461">
        <v>0</v>
      </c>
      <c r="X7" s="1462"/>
      <c r="Y7" s="1471"/>
      <c r="Z7" s="1464">
        <v>0</v>
      </c>
      <c r="AA7" s="1462"/>
      <c r="AB7" s="1465"/>
      <c r="AC7" s="1461">
        <v>0</v>
      </c>
      <c r="AD7" s="1462"/>
      <c r="AE7" s="1471"/>
      <c r="AF7" s="1464">
        <v>0</v>
      </c>
      <c r="AG7" s="1462"/>
      <c r="AH7" s="1465"/>
      <c r="AI7" s="1461">
        <v>0</v>
      </c>
      <c r="AJ7" s="1462"/>
      <c r="AK7" s="1463"/>
      <c r="AL7" s="1479">
        <f t="shared" ref="AL7:AL12" si="0">SUM(N7,T7,Z7,AF7)</f>
        <v>0</v>
      </c>
      <c r="AM7" s="1477"/>
      <c r="AN7" s="1480"/>
      <c r="AO7" s="1476">
        <f t="shared" ref="AO7:AO12" si="1">SUM(Q7,W7,AC7,AI7)</f>
        <v>0</v>
      </c>
      <c r="AP7" s="1477"/>
      <c r="AQ7" s="1478"/>
    </row>
    <row r="8" spans="2:43" ht="30" customHeight="1" x14ac:dyDescent="0.35">
      <c r="B8" s="105"/>
      <c r="C8" s="107" t="s">
        <v>108</v>
      </c>
      <c r="D8" s="107" t="s">
        <v>967</v>
      </c>
      <c r="E8" s="107"/>
      <c r="F8" s="107"/>
      <c r="G8" s="107"/>
      <c r="H8" s="107"/>
      <c r="I8" s="107"/>
      <c r="J8" s="107"/>
      <c r="K8" s="107"/>
      <c r="L8" s="107"/>
      <c r="M8" s="108"/>
      <c r="N8" s="1464">
        <v>0</v>
      </c>
      <c r="O8" s="1462"/>
      <c r="P8" s="1465"/>
      <c r="Q8" s="1461">
        <v>0</v>
      </c>
      <c r="R8" s="1462"/>
      <c r="S8" s="1471"/>
      <c r="T8" s="1464">
        <v>0</v>
      </c>
      <c r="U8" s="1462"/>
      <c r="V8" s="1465"/>
      <c r="W8" s="1461">
        <v>0</v>
      </c>
      <c r="X8" s="1462"/>
      <c r="Y8" s="1471"/>
      <c r="Z8" s="1464">
        <v>0</v>
      </c>
      <c r="AA8" s="1462"/>
      <c r="AB8" s="1465"/>
      <c r="AC8" s="1461">
        <v>0</v>
      </c>
      <c r="AD8" s="1462"/>
      <c r="AE8" s="1471"/>
      <c r="AF8" s="1464">
        <v>0</v>
      </c>
      <c r="AG8" s="1462"/>
      <c r="AH8" s="1465"/>
      <c r="AI8" s="1461">
        <v>0</v>
      </c>
      <c r="AJ8" s="1462"/>
      <c r="AK8" s="1463"/>
      <c r="AL8" s="1459">
        <f t="shared" si="0"/>
        <v>0</v>
      </c>
      <c r="AM8" s="1457"/>
      <c r="AN8" s="1460"/>
      <c r="AO8" s="1456">
        <f t="shared" si="1"/>
        <v>0</v>
      </c>
      <c r="AP8" s="1457"/>
      <c r="AQ8" s="1458"/>
    </row>
    <row r="9" spans="2:43" ht="30" customHeight="1" x14ac:dyDescent="0.35">
      <c r="B9" s="105"/>
      <c r="C9" s="107" t="s">
        <v>131</v>
      </c>
      <c r="D9" s="107" t="s">
        <v>968</v>
      </c>
      <c r="E9" s="107"/>
      <c r="F9" s="107"/>
      <c r="G9" s="107"/>
      <c r="H9" s="107"/>
      <c r="I9" s="107"/>
      <c r="J9" s="107"/>
      <c r="K9" s="107"/>
      <c r="L9" s="107"/>
      <c r="M9" s="108"/>
      <c r="N9" s="1464">
        <v>0</v>
      </c>
      <c r="O9" s="1462"/>
      <c r="P9" s="1465"/>
      <c r="Q9" s="1461">
        <v>0</v>
      </c>
      <c r="R9" s="1462"/>
      <c r="S9" s="1471"/>
      <c r="T9" s="1464">
        <v>0</v>
      </c>
      <c r="U9" s="1462"/>
      <c r="V9" s="1465"/>
      <c r="W9" s="1461">
        <v>0</v>
      </c>
      <c r="X9" s="1462"/>
      <c r="Y9" s="1471"/>
      <c r="Z9" s="1464">
        <v>0</v>
      </c>
      <c r="AA9" s="1462"/>
      <c r="AB9" s="1465"/>
      <c r="AC9" s="1461">
        <v>0</v>
      </c>
      <c r="AD9" s="1462"/>
      <c r="AE9" s="1471"/>
      <c r="AF9" s="1464">
        <v>0</v>
      </c>
      <c r="AG9" s="1462"/>
      <c r="AH9" s="1465"/>
      <c r="AI9" s="1461">
        <v>0</v>
      </c>
      <c r="AJ9" s="1462"/>
      <c r="AK9" s="1463"/>
      <c r="AL9" s="1459">
        <f t="shared" si="0"/>
        <v>0</v>
      </c>
      <c r="AM9" s="1457"/>
      <c r="AN9" s="1460"/>
      <c r="AO9" s="1456">
        <f t="shared" si="1"/>
        <v>0</v>
      </c>
      <c r="AP9" s="1457"/>
      <c r="AQ9" s="1458"/>
    </row>
    <row r="10" spans="2:43" ht="30" customHeight="1" x14ac:dyDescent="0.35">
      <c r="B10" s="105"/>
      <c r="C10" s="107" t="s">
        <v>132</v>
      </c>
      <c r="D10" s="107" t="s">
        <v>969</v>
      </c>
      <c r="E10" s="107"/>
      <c r="F10" s="107"/>
      <c r="G10" s="107"/>
      <c r="H10" s="107"/>
      <c r="I10" s="107"/>
      <c r="J10" s="107"/>
      <c r="K10" s="107"/>
      <c r="L10" s="107"/>
      <c r="M10" s="108"/>
      <c r="N10" s="1464">
        <v>0</v>
      </c>
      <c r="O10" s="1462"/>
      <c r="P10" s="1465"/>
      <c r="Q10" s="1461">
        <v>0</v>
      </c>
      <c r="R10" s="1462"/>
      <c r="S10" s="1471"/>
      <c r="T10" s="1464">
        <v>0</v>
      </c>
      <c r="U10" s="1462"/>
      <c r="V10" s="1465"/>
      <c r="W10" s="1461">
        <v>0</v>
      </c>
      <c r="X10" s="1462"/>
      <c r="Y10" s="1471"/>
      <c r="Z10" s="1464">
        <v>0</v>
      </c>
      <c r="AA10" s="1462"/>
      <c r="AB10" s="1465"/>
      <c r="AC10" s="1461">
        <v>0</v>
      </c>
      <c r="AD10" s="1462"/>
      <c r="AE10" s="1471"/>
      <c r="AF10" s="1464">
        <v>0</v>
      </c>
      <c r="AG10" s="1462"/>
      <c r="AH10" s="1465"/>
      <c r="AI10" s="1461">
        <v>0</v>
      </c>
      <c r="AJ10" s="1462"/>
      <c r="AK10" s="1463"/>
      <c r="AL10" s="1459">
        <f t="shared" si="0"/>
        <v>0</v>
      </c>
      <c r="AM10" s="1457"/>
      <c r="AN10" s="1460"/>
      <c r="AO10" s="1456">
        <f t="shared" si="1"/>
        <v>0</v>
      </c>
      <c r="AP10" s="1457"/>
      <c r="AQ10" s="1458"/>
    </row>
    <row r="11" spans="2:43" ht="30" customHeight="1" x14ac:dyDescent="0.35">
      <c r="B11" s="105"/>
      <c r="C11" s="107" t="s">
        <v>133</v>
      </c>
      <c r="D11" s="107" t="s">
        <v>970</v>
      </c>
      <c r="E11" s="107"/>
      <c r="F11" s="107"/>
      <c r="G11" s="107"/>
      <c r="H11" s="107"/>
      <c r="I11" s="107"/>
      <c r="J11" s="107"/>
      <c r="K11" s="107"/>
      <c r="L11" s="107"/>
      <c r="M11" s="108"/>
      <c r="N11" s="1464">
        <v>0</v>
      </c>
      <c r="O11" s="1462"/>
      <c r="P11" s="1465"/>
      <c r="Q11" s="1461">
        <v>0</v>
      </c>
      <c r="R11" s="1462"/>
      <c r="S11" s="1471"/>
      <c r="T11" s="1464">
        <v>0</v>
      </c>
      <c r="U11" s="1462"/>
      <c r="V11" s="1465"/>
      <c r="W11" s="1461">
        <v>0</v>
      </c>
      <c r="X11" s="1462"/>
      <c r="Y11" s="1471"/>
      <c r="Z11" s="1464">
        <v>0</v>
      </c>
      <c r="AA11" s="1462"/>
      <c r="AB11" s="1465"/>
      <c r="AC11" s="1461">
        <v>0</v>
      </c>
      <c r="AD11" s="1462"/>
      <c r="AE11" s="1471"/>
      <c r="AF11" s="1464">
        <v>0</v>
      </c>
      <c r="AG11" s="1462"/>
      <c r="AH11" s="1465"/>
      <c r="AI11" s="1461">
        <v>0</v>
      </c>
      <c r="AJ11" s="1462"/>
      <c r="AK11" s="1463"/>
      <c r="AL11" s="1459">
        <f t="shared" si="0"/>
        <v>0</v>
      </c>
      <c r="AM11" s="1457"/>
      <c r="AN11" s="1460"/>
      <c r="AO11" s="1456">
        <f t="shared" si="1"/>
        <v>0</v>
      </c>
      <c r="AP11" s="1457"/>
      <c r="AQ11" s="1458"/>
    </row>
    <row r="12" spans="2:43" ht="30" customHeight="1" x14ac:dyDescent="0.35">
      <c r="B12" s="105"/>
      <c r="C12" s="107" t="s">
        <v>207</v>
      </c>
      <c r="D12" s="107" t="s">
        <v>971</v>
      </c>
      <c r="E12" s="107"/>
      <c r="F12" s="107"/>
      <c r="G12" s="107"/>
      <c r="H12" s="107"/>
      <c r="I12" s="107"/>
      <c r="J12" s="107"/>
      <c r="K12" s="107"/>
      <c r="L12" s="107"/>
      <c r="M12" s="108"/>
      <c r="N12" s="1464">
        <v>0</v>
      </c>
      <c r="O12" s="1462"/>
      <c r="P12" s="1465"/>
      <c r="Q12" s="1461">
        <v>0</v>
      </c>
      <c r="R12" s="1462"/>
      <c r="S12" s="1471"/>
      <c r="T12" s="1464">
        <v>0</v>
      </c>
      <c r="U12" s="1462"/>
      <c r="V12" s="1465"/>
      <c r="W12" s="1461">
        <v>0</v>
      </c>
      <c r="X12" s="1462"/>
      <c r="Y12" s="1471"/>
      <c r="Z12" s="1464">
        <v>0</v>
      </c>
      <c r="AA12" s="1462"/>
      <c r="AB12" s="1465"/>
      <c r="AC12" s="1461">
        <v>0</v>
      </c>
      <c r="AD12" s="1462"/>
      <c r="AE12" s="1471"/>
      <c r="AF12" s="1464">
        <v>0</v>
      </c>
      <c r="AG12" s="1462"/>
      <c r="AH12" s="1465"/>
      <c r="AI12" s="1461">
        <v>0</v>
      </c>
      <c r="AJ12" s="1462"/>
      <c r="AK12" s="1463"/>
      <c r="AL12" s="1459">
        <f t="shared" si="0"/>
        <v>0</v>
      </c>
      <c r="AM12" s="1457"/>
      <c r="AN12" s="1460"/>
      <c r="AO12" s="1456">
        <f t="shared" si="1"/>
        <v>0</v>
      </c>
      <c r="AP12" s="1457"/>
      <c r="AQ12" s="1458"/>
    </row>
    <row r="13" spans="2:43" ht="30" customHeight="1" x14ac:dyDescent="0.35">
      <c r="B13" s="105" t="s">
        <v>151</v>
      </c>
      <c r="C13" s="1492" t="s">
        <v>218</v>
      </c>
      <c r="D13" s="1492"/>
      <c r="E13" s="1492"/>
      <c r="F13" s="1492"/>
      <c r="G13" s="1492"/>
      <c r="H13" s="1492"/>
      <c r="I13" s="1492"/>
      <c r="J13" s="1492"/>
      <c r="K13" s="1492"/>
      <c r="L13" s="1492"/>
      <c r="M13" s="1493"/>
      <c r="N13" s="1503"/>
      <c r="O13" s="1504"/>
      <c r="P13" s="1504"/>
      <c r="Q13" s="1504"/>
      <c r="R13" s="1504"/>
      <c r="S13" s="1504"/>
      <c r="T13" s="1504"/>
      <c r="U13" s="1504"/>
      <c r="V13" s="1504"/>
      <c r="W13" s="1504"/>
      <c r="X13" s="1504"/>
      <c r="Y13" s="1504"/>
      <c r="Z13" s="1504"/>
      <c r="AA13" s="1504"/>
      <c r="AB13" s="1504"/>
      <c r="AC13" s="1504"/>
      <c r="AD13" s="1504"/>
      <c r="AE13" s="1504"/>
      <c r="AF13" s="1504"/>
      <c r="AG13" s="1504"/>
      <c r="AH13" s="1504"/>
      <c r="AI13" s="1504"/>
      <c r="AJ13" s="1504"/>
      <c r="AK13" s="1504"/>
      <c r="AL13" s="1504"/>
      <c r="AM13" s="1504"/>
      <c r="AN13" s="1504"/>
      <c r="AO13" s="1504"/>
      <c r="AP13" s="1504"/>
      <c r="AQ13" s="1505"/>
    </row>
    <row r="14" spans="2:43" ht="30" customHeight="1" x14ac:dyDescent="0.35">
      <c r="B14" s="105"/>
      <c r="C14" s="106" t="s">
        <v>107</v>
      </c>
      <c r="D14" s="107" t="s">
        <v>980</v>
      </c>
      <c r="E14" s="107"/>
      <c r="F14" s="107"/>
      <c r="G14" s="107"/>
      <c r="H14" s="107"/>
      <c r="I14" s="107"/>
      <c r="J14" s="107"/>
      <c r="K14" s="107"/>
      <c r="L14" s="107"/>
      <c r="M14" s="108"/>
      <c r="N14" s="1464">
        <v>0</v>
      </c>
      <c r="O14" s="1462"/>
      <c r="P14" s="1465"/>
      <c r="Q14" s="1461">
        <v>0</v>
      </c>
      <c r="R14" s="1462"/>
      <c r="S14" s="1471"/>
      <c r="T14" s="1464">
        <v>0</v>
      </c>
      <c r="U14" s="1462"/>
      <c r="V14" s="1465"/>
      <c r="W14" s="1461">
        <v>0</v>
      </c>
      <c r="X14" s="1462"/>
      <c r="Y14" s="1471"/>
      <c r="Z14" s="1464">
        <v>0</v>
      </c>
      <c r="AA14" s="1462"/>
      <c r="AB14" s="1465"/>
      <c r="AC14" s="1461">
        <v>0</v>
      </c>
      <c r="AD14" s="1462"/>
      <c r="AE14" s="1471"/>
      <c r="AF14" s="1464">
        <v>0</v>
      </c>
      <c r="AG14" s="1462"/>
      <c r="AH14" s="1465"/>
      <c r="AI14" s="1461">
        <v>0</v>
      </c>
      <c r="AJ14" s="1462"/>
      <c r="AK14" s="1463"/>
      <c r="AL14" s="1459">
        <f>SUM(N14,T14,Z14,AF14)</f>
        <v>0</v>
      </c>
      <c r="AM14" s="1457"/>
      <c r="AN14" s="1460"/>
      <c r="AO14" s="1456">
        <f>SUM(Q14,W14,AC14,AI14)</f>
        <v>0</v>
      </c>
      <c r="AP14" s="1457"/>
      <c r="AQ14" s="1458"/>
    </row>
    <row r="15" spans="2:43" ht="30" customHeight="1" x14ac:dyDescent="0.35">
      <c r="B15" s="105"/>
      <c r="C15" s="107" t="s">
        <v>108</v>
      </c>
      <c r="D15" s="107" t="s">
        <v>974</v>
      </c>
      <c r="E15" s="107"/>
      <c r="F15" s="107"/>
      <c r="G15" s="107"/>
      <c r="H15" s="107"/>
      <c r="I15" s="107"/>
      <c r="J15" s="107"/>
      <c r="K15" s="107"/>
      <c r="L15" s="107"/>
      <c r="M15" s="108"/>
      <c r="N15" s="1464">
        <v>0</v>
      </c>
      <c r="O15" s="1462"/>
      <c r="P15" s="1465"/>
      <c r="Q15" s="1461">
        <v>0</v>
      </c>
      <c r="R15" s="1462"/>
      <c r="S15" s="1471"/>
      <c r="T15" s="1464">
        <v>0</v>
      </c>
      <c r="U15" s="1462"/>
      <c r="V15" s="1465"/>
      <c r="W15" s="1461">
        <v>0</v>
      </c>
      <c r="X15" s="1462"/>
      <c r="Y15" s="1471"/>
      <c r="Z15" s="1464">
        <v>0</v>
      </c>
      <c r="AA15" s="1462"/>
      <c r="AB15" s="1465"/>
      <c r="AC15" s="1461">
        <v>0</v>
      </c>
      <c r="AD15" s="1462"/>
      <c r="AE15" s="1471"/>
      <c r="AF15" s="1464">
        <v>0</v>
      </c>
      <c r="AG15" s="1462"/>
      <c r="AH15" s="1465"/>
      <c r="AI15" s="1461">
        <v>0</v>
      </c>
      <c r="AJ15" s="1462"/>
      <c r="AK15" s="1463"/>
      <c r="AL15" s="1459">
        <f t="shared" ref="AL15:AL20" si="2">SUM(N15,T15,Z15,AF15)</f>
        <v>0</v>
      </c>
      <c r="AM15" s="1457"/>
      <c r="AN15" s="1460"/>
      <c r="AO15" s="1456">
        <f t="shared" ref="AO15:AO21" si="3">SUM(Q15,W15,AC15,AI15)</f>
        <v>0</v>
      </c>
      <c r="AP15" s="1457"/>
      <c r="AQ15" s="1458"/>
    </row>
    <row r="16" spans="2:43" ht="30" customHeight="1" x14ac:dyDescent="0.35">
      <c r="B16" s="105"/>
      <c r="C16" s="107" t="s">
        <v>131</v>
      </c>
      <c r="D16" s="107" t="s">
        <v>975</v>
      </c>
      <c r="E16" s="107"/>
      <c r="F16" s="107"/>
      <c r="G16" s="107"/>
      <c r="H16" s="107"/>
      <c r="I16" s="107"/>
      <c r="J16" s="107"/>
      <c r="K16" s="107"/>
      <c r="L16" s="107"/>
      <c r="M16" s="108"/>
      <c r="N16" s="1464">
        <v>0</v>
      </c>
      <c r="O16" s="1462"/>
      <c r="P16" s="1465"/>
      <c r="Q16" s="1461">
        <v>0</v>
      </c>
      <c r="R16" s="1462"/>
      <c r="S16" s="1471"/>
      <c r="T16" s="1464">
        <v>0</v>
      </c>
      <c r="U16" s="1462"/>
      <c r="V16" s="1465"/>
      <c r="W16" s="1461">
        <v>0</v>
      </c>
      <c r="X16" s="1462"/>
      <c r="Y16" s="1471"/>
      <c r="Z16" s="1464">
        <v>0</v>
      </c>
      <c r="AA16" s="1462"/>
      <c r="AB16" s="1465"/>
      <c r="AC16" s="1461">
        <v>0</v>
      </c>
      <c r="AD16" s="1462"/>
      <c r="AE16" s="1471"/>
      <c r="AF16" s="1464">
        <v>0</v>
      </c>
      <c r="AG16" s="1462"/>
      <c r="AH16" s="1465"/>
      <c r="AI16" s="1461">
        <v>0</v>
      </c>
      <c r="AJ16" s="1462"/>
      <c r="AK16" s="1463"/>
      <c r="AL16" s="1459">
        <f t="shared" si="2"/>
        <v>0</v>
      </c>
      <c r="AM16" s="1457"/>
      <c r="AN16" s="1460"/>
      <c r="AO16" s="1456">
        <f t="shared" si="3"/>
        <v>0</v>
      </c>
      <c r="AP16" s="1457"/>
      <c r="AQ16" s="1458"/>
    </row>
    <row r="17" spans="2:43" ht="30" customHeight="1" x14ac:dyDescent="0.35">
      <c r="B17" s="105"/>
      <c r="C17" s="107" t="s">
        <v>132</v>
      </c>
      <c r="D17" s="107" t="s">
        <v>985</v>
      </c>
      <c r="E17" s="107"/>
      <c r="F17" s="107"/>
      <c r="G17" s="107"/>
      <c r="H17" s="107"/>
      <c r="I17" s="107"/>
      <c r="J17" s="107"/>
      <c r="K17" s="107"/>
      <c r="L17" s="107"/>
      <c r="M17" s="108"/>
      <c r="N17" s="1464">
        <v>0</v>
      </c>
      <c r="O17" s="1462"/>
      <c r="P17" s="1465"/>
      <c r="Q17" s="1461">
        <v>0</v>
      </c>
      <c r="R17" s="1462"/>
      <c r="S17" s="1471"/>
      <c r="T17" s="1464">
        <v>0</v>
      </c>
      <c r="U17" s="1462"/>
      <c r="V17" s="1465"/>
      <c r="W17" s="1461">
        <v>0</v>
      </c>
      <c r="X17" s="1462"/>
      <c r="Y17" s="1471"/>
      <c r="Z17" s="1464">
        <v>0</v>
      </c>
      <c r="AA17" s="1462"/>
      <c r="AB17" s="1465"/>
      <c r="AC17" s="1461">
        <v>0</v>
      </c>
      <c r="AD17" s="1462"/>
      <c r="AE17" s="1471"/>
      <c r="AF17" s="1464">
        <v>0</v>
      </c>
      <c r="AG17" s="1462"/>
      <c r="AH17" s="1465"/>
      <c r="AI17" s="1461">
        <v>0</v>
      </c>
      <c r="AJ17" s="1462"/>
      <c r="AK17" s="1463"/>
      <c r="AL17" s="1459">
        <f t="shared" si="2"/>
        <v>0</v>
      </c>
      <c r="AM17" s="1457"/>
      <c r="AN17" s="1460"/>
      <c r="AO17" s="1456">
        <f t="shared" si="3"/>
        <v>0</v>
      </c>
      <c r="AP17" s="1457"/>
      <c r="AQ17" s="1458"/>
    </row>
    <row r="18" spans="2:43" ht="30" customHeight="1" x14ac:dyDescent="0.35">
      <c r="B18" s="105"/>
      <c r="C18" s="107" t="s">
        <v>133</v>
      </c>
      <c r="D18" s="107" t="s">
        <v>976</v>
      </c>
      <c r="E18" s="107"/>
      <c r="F18" s="107"/>
      <c r="G18" s="107"/>
      <c r="H18" s="107"/>
      <c r="I18" s="107"/>
      <c r="J18" s="107"/>
      <c r="K18" s="107"/>
      <c r="L18" s="107"/>
      <c r="M18" s="108"/>
      <c r="N18" s="1464">
        <v>0</v>
      </c>
      <c r="O18" s="1462"/>
      <c r="P18" s="1465"/>
      <c r="Q18" s="1461">
        <v>0</v>
      </c>
      <c r="R18" s="1462"/>
      <c r="S18" s="1471"/>
      <c r="T18" s="1464">
        <v>0</v>
      </c>
      <c r="U18" s="1462"/>
      <c r="V18" s="1465"/>
      <c r="W18" s="1461">
        <v>0</v>
      </c>
      <c r="X18" s="1462"/>
      <c r="Y18" s="1471"/>
      <c r="Z18" s="1464">
        <v>0</v>
      </c>
      <c r="AA18" s="1462"/>
      <c r="AB18" s="1465"/>
      <c r="AC18" s="1461">
        <v>0</v>
      </c>
      <c r="AD18" s="1462"/>
      <c r="AE18" s="1471"/>
      <c r="AF18" s="1464">
        <v>0</v>
      </c>
      <c r="AG18" s="1462"/>
      <c r="AH18" s="1465"/>
      <c r="AI18" s="1461">
        <v>0</v>
      </c>
      <c r="AJ18" s="1462"/>
      <c r="AK18" s="1463"/>
      <c r="AL18" s="1459">
        <f t="shared" si="2"/>
        <v>0</v>
      </c>
      <c r="AM18" s="1457"/>
      <c r="AN18" s="1460"/>
      <c r="AO18" s="1456">
        <f t="shared" si="3"/>
        <v>0</v>
      </c>
      <c r="AP18" s="1457"/>
      <c r="AQ18" s="1458"/>
    </row>
    <row r="19" spans="2:43" ht="30" customHeight="1" x14ac:dyDescent="0.35">
      <c r="B19" s="105"/>
      <c r="C19" s="107" t="s">
        <v>207</v>
      </c>
      <c r="D19" s="107" t="s">
        <v>973</v>
      </c>
      <c r="E19" s="107"/>
      <c r="F19" s="107"/>
      <c r="G19" s="107"/>
      <c r="H19" s="107"/>
      <c r="I19" s="107"/>
      <c r="J19" s="107"/>
      <c r="K19" s="107"/>
      <c r="L19" s="107"/>
      <c r="M19" s="108"/>
      <c r="N19" s="1464">
        <v>0</v>
      </c>
      <c r="O19" s="1462"/>
      <c r="P19" s="1465"/>
      <c r="Q19" s="1461">
        <v>0</v>
      </c>
      <c r="R19" s="1462"/>
      <c r="S19" s="1471"/>
      <c r="T19" s="1464">
        <v>0</v>
      </c>
      <c r="U19" s="1462"/>
      <c r="V19" s="1465"/>
      <c r="W19" s="1461">
        <v>0</v>
      </c>
      <c r="X19" s="1462"/>
      <c r="Y19" s="1471"/>
      <c r="Z19" s="1464">
        <v>0</v>
      </c>
      <c r="AA19" s="1462"/>
      <c r="AB19" s="1465"/>
      <c r="AC19" s="1461">
        <v>0</v>
      </c>
      <c r="AD19" s="1462"/>
      <c r="AE19" s="1471"/>
      <c r="AF19" s="1464">
        <v>0</v>
      </c>
      <c r="AG19" s="1462"/>
      <c r="AH19" s="1465"/>
      <c r="AI19" s="1461">
        <v>0</v>
      </c>
      <c r="AJ19" s="1462"/>
      <c r="AK19" s="1463"/>
      <c r="AL19" s="1459">
        <f t="shared" si="2"/>
        <v>0</v>
      </c>
      <c r="AM19" s="1457"/>
      <c r="AN19" s="1460"/>
      <c r="AO19" s="1456">
        <f t="shared" si="3"/>
        <v>0</v>
      </c>
      <c r="AP19" s="1457"/>
      <c r="AQ19" s="1458"/>
    </row>
    <row r="20" spans="2:43" ht="30" customHeight="1" x14ac:dyDescent="0.35">
      <c r="B20" s="105" t="s">
        <v>152</v>
      </c>
      <c r="C20" s="1492" t="s">
        <v>219</v>
      </c>
      <c r="D20" s="1492"/>
      <c r="E20" s="1492"/>
      <c r="F20" s="1492"/>
      <c r="G20" s="1492"/>
      <c r="H20" s="1492"/>
      <c r="I20" s="1492"/>
      <c r="J20" s="1492"/>
      <c r="K20" s="1492"/>
      <c r="L20" s="1492"/>
      <c r="M20" s="1493"/>
      <c r="N20" s="1464">
        <v>10</v>
      </c>
      <c r="O20" s="1462"/>
      <c r="P20" s="1465"/>
      <c r="Q20" s="1461">
        <v>25</v>
      </c>
      <c r="R20" s="1462"/>
      <c r="S20" s="1471"/>
      <c r="T20" s="1464">
        <v>6</v>
      </c>
      <c r="U20" s="1462"/>
      <c r="V20" s="1465"/>
      <c r="W20" s="1461">
        <v>27</v>
      </c>
      <c r="X20" s="1462"/>
      <c r="Y20" s="1471"/>
      <c r="Z20" s="1464">
        <v>7</v>
      </c>
      <c r="AA20" s="1462"/>
      <c r="AB20" s="1465"/>
      <c r="AC20" s="1461">
        <v>27</v>
      </c>
      <c r="AD20" s="1462"/>
      <c r="AE20" s="1471"/>
      <c r="AF20" s="1464">
        <v>13</v>
      </c>
      <c r="AG20" s="1462"/>
      <c r="AH20" s="1465"/>
      <c r="AI20" s="1461">
        <v>31</v>
      </c>
      <c r="AJ20" s="1462"/>
      <c r="AK20" s="1463"/>
      <c r="AL20" s="1459">
        <f t="shared" si="2"/>
        <v>36</v>
      </c>
      <c r="AM20" s="1457"/>
      <c r="AN20" s="1460"/>
      <c r="AO20" s="1456">
        <f t="shared" si="3"/>
        <v>110</v>
      </c>
      <c r="AP20" s="1457"/>
      <c r="AQ20" s="1458"/>
    </row>
    <row r="21" spans="2:43" ht="35" customHeight="1" x14ac:dyDescent="0.35">
      <c r="B21" s="109" t="s">
        <v>155</v>
      </c>
      <c r="C21" s="1497" t="s">
        <v>220</v>
      </c>
      <c r="D21" s="1497"/>
      <c r="E21" s="1497"/>
      <c r="F21" s="1497"/>
      <c r="G21" s="1497"/>
      <c r="H21" s="1497"/>
      <c r="I21" s="1497"/>
      <c r="J21" s="1497"/>
      <c r="K21" s="1497"/>
      <c r="L21" s="1497"/>
      <c r="M21" s="1498"/>
      <c r="N21" s="1464">
        <v>14</v>
      </c>
      <c r="O21" s="1462"/>
      <c r="P21" s="1465"/>
      <c r="Q21" s="1461">
        <v>25</v>
      </c>
      <c r="R21" s="1462"/>
      <c r="S21" s="1471"/>
      <c r="T21" s="1464">
        <v>0</v>
      </c>
      <c r="U21" s="1462"/>
      <c r="V21" s="1465"/>
      <c r="W21" s="1461">
        <v>0</v>
      </c>
      <c r="X21" s="1462"/>
      <c r="Y21" s="1471"/>
      <c r="Z21" s="1464">
        <v>0</v>
      </c>
      <c r="AA21" s="1462"/>
      <c r="AB21" s="1465"/>
      <c r="AC21" s="1461">
        <v>0</v>
      </c>
      <c r="AD21" s="1462"/>
      <c r="AE21" s="1471"/>
      <c r="AF21" s="1464">
        <v>0</v>
      </c>
      <c r="AG21" s="1462"/>
      <c r="AH21" s="1465"/>
      <c r="AI21" s="1461">
        <v>0</v>
      </c>
      <c r="AJ21" s="1462"/>
      <c r="AK21" s="1463"/>
      <c r="AL21" s="1459">
        <f t="shared" ref="AL21" si="4">SUM(N21,T21,Z21,AF21)</f>
        <v>14</v>
      </c>
      <c r="AM21" s="1457"/>
      <c r="AN21" s="1460"/>
      <c r="AO21" s="1456">
        <f t="shared" si="3"/>
        <v>25</v>
      </c>
      <c r="AP21" s="1457"/>
      <c r="AQ21" s="1458"/>
    </row>
    <row r="22" spans="2:43" ht="30" customHeight="1" x14ac:dyDescent="0.35">
      <c r="B22" s="105" t="s">
        <v>156</v>
      </c>
      <c r="C22" s="1492" t="s">
        <v>221</v>
      </c>
      <c r="D22" s="1492"/>
      <c r="E22" s="1492"/>
      <c r="F22" s="1492"/>
      <c r="G22" s="1492"/>
      <c r="H22" s="1492"/>
      <c r="I22" s="1492"/>
      <c r="J22" s="1492"/>
      <c r="K22" s="1492"/>
      <c r="L22" s="1492"/>
      <c r="M22" s="1493"/>
      <c r="N22" s="113"/>
      <c r="O22" s="114"/>
      <c r="P22" s="115"/>
      <c r="Q22" s="116"/>
      <c r="R22" s="114"/>
      <c r="S22" s="117"/>
      <c r="T22" s="113"/>
      <c r="U22" s="114"/>
      <c r="V22" s="115"/>
      <c r="W22" s="116"/>
      <c r="X22" s="114"/>
      <c r="Y22" s="117"/>
      <c r="Z22" s="113"/>
      <c r="AA22" s="114"/>
      <c r="AB22" s="115"/>
      <c r="AC22" s="116"/>
      <c r="AD22" s="114"/>
      <c r="AE22" s="117"/>
      <c r="AF22" s="113"/>
      <c r="AG22" s="114"/>
      <c r="AH22" s="115"/>
      <c r="AI22" s="116"/>
      <c r="AJ22" s="114"/>
      <c r="AK22" s="118"/>
      <c r="AL22" s="1509">
        <f t="shared" ref="AL22" si="5">SUM(N22,T22,Z22,AF22)</f>
        <v>0</v>
      </c>
      <c r="AM22" s="1504"/>
      <c r="AN22" s="1510"/>
      <c r="AO22" s="1508">
        <f t="shared" ref="AO22" si="6">SUM(Q22,W22,AC22,AI22)</f>
        <v>0</v>
      </c>
      <c r="AP22" s="1504"/>
      <c r="AQ22" s="1505"/>
    </row>
    <row r="23" spans="2:43" ht="30" customHeight="1" x14ac:dyDescent="0.35">
      <c r="B23" s="105"/>
      <c r="C23" s="106" t="s">
        <v>107</v>
      </c>
      <c r="D23" s="107" t="s">
        <v>977</v>
      </c>
      <c r="E23" s="107"/>
      <c r="F23" s="107"/>
      <c r="G23" s="107"/>
      <c r="H23" s="107"/>
      <c r="I23" s="107"/>
      <c r="J23" s="107"/>
      <c r="K23" s="107"/>
      <c r="L23" s="107"/>
      <c r="M23" s="108"/>
      <c r="N23" s="1464">
        <v>0</v>
      </c>
      <c r="O23" s="1462"/>
      <c r="P23" s="1465"/>
      <c r="Q23" s="1461">
        <v>0</v>
      </c>
      <c r="R23" s="1462"/>
      <c r="S23" s="1471"/>
      <c r="T23" s="1464">
        <v>0</v>
      </c>
      <c r="U23" s="1462"/>
      <c r="V23" s="1465"/>
      <c r="W23" s="1461">
        <v>0</v>
      </c>
      <c r="X23" s="1462"/>
      <c r="Y23" s="1471"/>
      <c r="Z23" s="1464">
        <v>0</v>
      </c>
      <c r="AA23" s="1462"/>
      <c r="AB23" s="1465"/>
      <c r="AC23" s="1461">
        <v>0</v>
      </c>
      <c r="AD23" s="1462"/>
      <c r="AE23" s="1471"/>
      <c r="AF23" s="1464">
        <v>0</v>
      </c>
      <c r="AG23" s="1462"/>
      <c r="AH23" s="1465"/>
      <c r="AI23" s="1461">
        <v>0</v>
      </c>
      <c r="AJ23" s="1462"/>
      <c r="AK23" s="1463"/>
      <c r="AL23" s="1459">
        <f t="shared" ref="AL23:AL24" si="7">SUM(N23,T23,Z23,AF23)</f>
        <v>0</v>
      </c>
      <c r="AM23" s="1457"/>
      <c r="AN23" s="1460"/>
      <c r="AO23" s="1456">
        <f t="shared" ref="AO23:AO25" si="8">SUM(Q23,W23,AC23,AI23)</f>
        <v>0</v>
      </c>
      <c r="AP23" s="1457"/>
      <c r="AQ23" s="1458"/>
    </row>
    <row r="24" spans="2:43" ht="30" customHeight="1" x14ac:dyDescent="0.35">
      <c r="B24" s="105"/>
      <c r="C24" s="107" t="s">
        <v>108</v>
      </c>
      <c r="D24" s="107" t="s">
        <v>978</v>
      </c>
      <c r="E24" s="107"/>
      <c r="F24" s="107"/>
      <c r="G24" s="107"/>
      <c r="H24" s="107"/>
      <c r="I24" s="107"/>
      <c r="J24" s="107"/>
      <c r="K24" s="107"/>
      <c r="L24" s="107"/>
      <c r="M24" s="108"/>
      <c r="N24" s="1464">
        <v>0</v>
      </c>
      <c r="O24" s="1462"/>
      <c r="P24" s="1465"/>
      <c r="Q24" s="1461">
        <v>0</v>
      </c>
      <c r="R24" s="1462"/>
      <c r="S24" s="1471"/>
      <c r="T24" s="1464">
        <v>0</v>
      </c>
      <c r="U24" s="1462"/>
      <c r="V24" s="1465"/>
      <c r="W24" s="1461">
        <v>0</v>
      </c>
      <c r="X24" s="1462"/>
      <c r="Y24" s="1471"/>
      <c r="Z24" s="1464">
        <v>0</v>
      </c>
      <c r="AA24" s="1462"/>
      <c r="AB24" s="1465"/>
      <c r="AC24" s="1461">
        <v>0</v>
      </c>
      <c r="AD24" s="1462"/>
      <c r="AE24" s="1471"/>
      <c r="AF24" s="1464">
        <v>0</v>
      </c>
      <c r="AG24" s="1462"/>
      <c r="AH24" s="1465"/>
      <c r="AI24" s="1461">
        <v>0</v>
      </c>
      <c r="AJ24" s="1462"/>
      <c r="AK24" s="1463"/>
      <c r="AL24" s="1459">
        <f t="shared" si="7"/>
        <v>0</v>
      </c>
      <c r="AM24" s="1457"/>
      <c r="AN24" s="1460"/>
      <c r="AO24" s="1456">
        <f t="shared" si="8"/>
        <v>0</v>
      </c>
      <c r="AP24" s="1457"/>
      <c r="AQ24" s="1458"/>
    </row>
    <row r="25" spans="2:43" ht="30" customHeight="1" thickBot="1" x14ac:dyDescent="0.4">
      <c r="B25" s="102"/>
      <c r="C25" s="103" t="s">
        <v>131</v>
      </c>
      <c r="D25" s="103" t="s">
        <v>979</v>
      </c>
      <c r="E25" s="103"/>
      <c r="F25" s="103"/>
      <c r="G25" s="103"/>
      <c r="H25" s="103"/>
      <c r="I25" s="103"/>
      <c r="J25" s="103"/>
      <c r="K25" s="103"/>
      <c r="L25" s="103"/>
      <c r="M25" s="104"/>
      <c r="N25" s="1469">
        <v>0</v>
      </c>
      <c r="O25" s="1467"/>
      <c r="P25" s="1470"/>
      <c r="Q25" s="1466">
        <v>0</v>
      </c>
      <c r="R25" s="1467"/>
      <c r="S25" s="1472"/>
      <c r="T25" s="1469">
        <v>0</v>
      </c>
      <c r="U25" s="1467"/>
      <c r="V25" s="1470"/>
      <c r="W25" s="1466">
        <v>0</v>
      </c>
      <c r="X25" s="1467"/>
      <c r="Y25" s="1472"/>
      <c r="Z25" s="1469">
        <v>0</v>
      </c>
      <c r="AA25" s="1467"/>
      <c r="AB25" s="1470"/>
      <c r="AC25" s="1466">
        <v>0</v>
      </c>
      <c r="AD25" s="1467"/>
      <c r="AE25" s="1472"/>
      <c r="AF25" s="1469">
        <v>0</v>
      </c>
      <c r="AG25" s="1467"/>
      <c r="AH25" s="1470"/>
      <c r="AI25" s="1466">
        <v>0</v>
      </c>
      <c r="AJ25" s="1467"/>
      <c r="AK25" s="1468"/>
      <c r="AL25" s="1473">
        <f t="shared" ref="AL25" si="9">SUM(N25,T25,Z25,AF25)</f>
        <v>0</v>
      </c>
      <c r="AM25" s="1474"/>
      <c r="AN25" s="1475"/>
      <c r="AO25" s="1500">
        <f t="shared" si="8"/>
        <v>0</v>
      </c>
      <c r="AP25" s="1474"/>
      <c r="AQ25" s="1501"/>
    </row>
    <row r="26" spans="2:43" s="84" customFormat="1" ht="4.5" customHeight="1" x14ac:dyDescent="0.35">
      <c r="B26" s="85"/>
      <c r="F26" s="86"/>
      <c r="G26" s="86"/>
      <c r="H26" s="86"/>
      <c r="I26" s="86"/>
      <c r="J26" s="86"/>
      <c r="K26" s="86"/>
      <c r="L26" s="86"/>
      <c r="O26" s="86"/>
    </row>
    <row r="27" spans="2:43" s="87" customFormat="1" ht="15" customHeight="1" x14ac:dyDescent="0.3">
      <c r="B27" s="1499" t="s">
        <v>1210</v>
      </c>
      <c r="C27" s="1499"/>
      <c r="D27" s="1499"/>
      <c r="E27" s="1499"/>
      <c r="F27" s="1499"/>
      <c r="G27" s="1499"/>
      <c r="H27" s="1499"/>
      <c r="I27" s="1499"/>
      <c r="J27" s="1499"/>
      <c r="K27" s="1499"/>
      <c r="L27" s="1499"/>
      <c r="M27" s="1499"/>
      <c r="N27" s="1499"/>
      <c r="O27" s="1499"/>
      <c r="P27" s="1499"/>
      <c r="Q27" s="1499"/>
      <c r="R27" s="1499"/>
      <c r="S27" s="1499"/>
      <c r="T27" s="1499"/>
      <c r="U27" s="1499"/>
      <c r="V27" s="1499"/>
      <c r="W27" s="1499"/>
      <c r="X27" s="1499"/>
      <c r="Y27" s="1499"/>
      <c r="Z27" s="1499"/>
      <c r="AA27" s="1499"/>
      <c r="AB27" s="1499"/>
      <c r="AC27" s="1499"/>
      <c r="AD27" s="1499"/>
      <c r="AE27" s="1499"/>
      <c r="AF27" s="1499"/>
      <c r="AG27" s="1499"/>
      <c r="AH27" s="1499"/>
      <c r="AI27" s="1499"/>
      <c r="AJ27" s="1499"/>
      <c r="AK27" s="1499"/>
      <c r="AL27" s="1499"/>
      <c r="AM27" s="1499"/>
      <c r="AN27" s="1499"/>
      <c r="AO27" s="1499"/>
      <c r="AP27" s="1499"/>
      <c r="AQ27" s="1499"/>
    </row>
    <row r="28" spans="2:43" s="87" customFormat="1" ht="10" customHeight="1" x14ac:dyDescent="0.3">
      <c r="B28" s="88"/>
      <c r="C28" s="88"/>
      <c r="D28" s="88"/>
      <c r="E28" s="88"/>
      <c r="F28" s="88"/>
      <c r="G28" s="88"/>
      <c r="H28" s="88"/>
      <c r="I28" s="88"/>
      <c r="J28" s="88"/>
      <c r="K28" s="88"/>
      <c r="L28" s="88"/>
      <c r="M28" s="88"/>
      <c r="N28" s="88"/>
      <c r="O28" s="88"/>
      <c r="P28" s="88"/>
      <c r="Q28" s="88"/>
      <c r="R28" s="88"/>
      <c r="S28" s="88"/>
      <c r="T28" s="88"/>
      <c r="U28" s="88"/>
      <c r="V28" s="88"/>
      <c r="W28" s="88"/>
      <c r="X28" s="88"/>
      <c r="Y28" s="88"/>
      <c r="Z28" s="88"/>
      <c r="AA28" s="88"/>
      <c r="AB28" s="88"/>
      <c r="AC28" s="88"/>
      <c r="AD28" s="88"/>
      <c r="AE28" s="88"/>
      <c r="AF28" s="88"/>
      <c r="AG28" s="88"/>
      <c r="AH28" s="88"/>
    </row>
    <row r="29" spans="2:43" s="89" customFormat="1" x14ac:dyDescent="0.35">
      <c r="B29" s="90" t="s">
        <v>1061</v>
      </c>
    </row>
    <row r="30" spans="2:43" s="89" customFormat="1" x14ac:dyDescent="0.35">
      <c r="C30" s="91" t="s">
        <v>150</v>
      </c>
      <c r="D30" s="1481" t="s">
        <v>1341</v>
      </c>
      <c r="E30" s="1481"/>
      <c r="F30" s="1481"/>
      <c r="G30" s="1481"/>
      <c r="H30" s="1481"/>
      <c r="I30" s="1481"/>
      <c r="J30" s="1481"/>
      <c r="K30" s="1481"/>
      <c r="L30" s="1481"/>
      <c r="M30" s="1481"/>
      <c r="N30" s="1481"/>
      <c r="O30" s="1481"/>
      <c r="P30" s="1481"/>
      <c r="Q30" s="1481"/>
      <c r="R30" s="1481"/>
      <c r="S30" s="1481"/>
      <c r="T30" s="1481"/>
      <c r="U30" s="1481"/>
      <c r="V30" s="1481"/>
      <c r="W30" s="1481"/>
      <c r="X30" s="1481"/>
      <c r="Y30" s="1481"/>
      <c r="Z30" s="1481"/>
      <c r="AA30" s="1481"/>
      <c r="AB30" s="1481"/>
      <c r="AC30" s="1481"/>
      <c r="AD30" s="1481"/>
      <c r="AE30" s="1481"/>
      <c r="AF30" s="1481"/>
      <c r="AG30" s="1481"/>
      <c r="AH30" s="1481"/>
      <c r="AI30" s="1481"/>
      <c r="AJ30" s="1481"/>
      <c r="AK30" s="1481"/>
      <c r="AL30" s="1481"/>
      <c r="AM30" s="1481"/>
      <c r="AN30" s="1481"/>
      <c r="AO30" s="1481"/>
      <c r="AP30" s="1481"/>
      <c r="AQ30" s="1481"/>
    </row>
    <row r="31" spans="2:43" s="89" customFormat="1" ht="31" customHeight="1" x14ac:dyDescent="0.35">
      <c r="D31" s="91" t="s">
        <v>107</v>
      </c>
      <c r="E31" s="1481" t="s">
        <v>1211</v>
      </c>
      <c r="F31" s="1481"/>
      <c r="G31" s="1481"/>
      <c r="H31" s="1481"/>
      <c r="I31" s="1481"/>
      <c r="J31" s="1481"/>
      <c r="K31" s="1481"/>
      <c r="L31" s="1481"/>
      <c r="M31" s="1481"/>
      <c r="N31" s="1481"/>
      <c r="O31" s="1481"/>
      <c r="P31" s="1481"/>
      <c r="Q31" s="1481"/>
      <c r="R31" s="1481"/>
      <c r="S31" s="1481"/>
      <c r="T31" s="1481"/>
      <c r="U31" s="1481"/>
      <c r="V31" s="1481"/>
      <c r="W31" s="1481"/>
      <c r="X31" s="1481"/>
      <c r="Y31" s="1481"/>
      <c r="Z31" s="1481"/>
      <c r="AA31" s="1481"/>
      <c r="AB31" s="1481"/>
      <c r="AC31" s="1481"/>
      <c r="AD31" s="1481"/>
      <c r="AE31" s="1481"/>
      <c r="AF31" s="1481"/>
      <c r="AG31" s="1481"/>
      <c r="AH31" s="1481"/>
      <c r="AI31" s="1481"/>
      <c r="AJ31" s="1481"/>
      <c r="AK31" s="1481"/>
      <c r="AL31" s="1481"/>
      <c r="AM31" s="1481"/>
      <c r="AN31" s="1481"/>
      <c r="AO31" s="1481"/>
      <c r="AP31" s="1481"/>
      <c r="AQ31" s="1481"/>
    </row>
    <row r="32" spans="2:43" s="89" customFormat="1" ht="31" customHeight="1" x14ac:dyDescent="0.35">
      <c r="D32" s="91" t="s">
        <v>108</v>
      </c>
      <c r="E32" s="1481" t="s">
        <v>1212</v>
      </c>
      <c r="F32" s="1481"/>
      <c r="G32" s="1481"/>
      <c r="H32" s="1481"/>
      <c r="I32" s="1481"/>
      <c r="J32" s="1481"/>
      <c r="K32" s="1481"/>
      <c r="L32" s="1481"/>
      <c r="M32" s="1481"/>
      <c r="N32" s="1481"/>
      <c r="O32" s="1481"/>
      <c r="P32" s="1481"/>
      <c r="Q32" s="1481"/>
      <c r="R32" s="1481"/>
      <c r="S32" s="1481"/>
      <c r="T32" s="1481"/>
      <c r="U32" s="1481"/>
      <c r="V32" s="1481"/>
      <c r="W32" s="1481"/>
      <c r="X32" s="1481"/>
      <c r="Y32" s="1481"/>
      <c r="Z32" s="1481"/>
      <c r="AA32" s="1481"/>
      <c r="AB32" s="1481"/>
      <c r="AC32" s="1481"/>
      <c r="AD32" s="1481"/>
      <c r="AE32" s="1481"/>
      <c r="AF32" s="1481"/>
      <c r="AG32" s="1481"/>
      <c r="AH32" s="1481"/>
      <c r="AI32" s="1481"/>
      <c r="AJ32" s="1481"/>
      <c r="AK32" s="1481"/>
      <c r="AL32" s="1481"/>
      <c r="AM32" s="1481"/>
      <c r="AN32" s="1481"/>
      <c r="AO32" s="1481"/>
      <c r="AP32" s="1481"/>
      <c r="AQ32" s="1481"/>
    </row>
    <row r="33" spans="3:43" s="89" customFormat="1" ht="31" customHeight="1" x14ac:dyDescent="0.35">
      <c r="D33" s="91" t="s">
        <v>131</v>
      </c>
      <c r="E33" s="1481" t="s">
        <v>1213</v>
      </c>
      <c r="F33" s="1481"/>
      <c r="G33" s="1481"/>
      <c r="H33" s="1481"/>
      <c r="I33" s="1481"/>
      <c r="J33" s="1481"/>
      <c r="K33" s="1481"/>
      <c r="L33" s="1481"/>
      <c r="M33" s="1481"/>
      <c r="N33" s="1481"/>
      <c r="O33" s="1481"/>
      <c r="P33" s="1481"/>
      <c r="Q33" s="1481"/>
      <c r="R33" s="1481"/>
      <c r="S33" s="1481"/>
      <c r="T33" s="1481"/>
      <c r="U33" s="1481"/>
      <c r="V33" s="1481"/>
      <c r="W33" s="1481"/>
      <c r="X33" s="1481"/>
      <c r="Y33" s="1481"/>
      <c r="Z33" s="1481"/>
      <c r="AA33" s="1481"/>
      <c r="AB33" s="1481"/>
      <c r="AC33" s="1481"/>
      <c r="AD33" s="1481"/>
      <c r="AE33" s="1481"/>
      <c r="AF33" s="1481"/>
      <c r="AG33" s="1481"/>
      <c r="AH33" s="1481"/>
      <c r="AI33" s="1481"/>
      <c r="AJ33" s="1481"/>
      <c r="AK33" s="1481"/>
      <c r="AL33" s="1481"/>
      <c r="AM33" s="1481"/>
      <c r="AN33" s="1481"/>
      <c r="AO33" s="1481"/>
      <c r="AP33" s="1481"/>
      <c r="AQ33" s="1481"/>
    </row>
    <row r="34" spans="3:43" s="89" customFormat="1" ht="31" customHeight="1" x14ac:dyDescent="0.35">
      <c r="D34" s="91" t="s">
        <v>132</v>
      </c>
      <c r="E34" s="1481" t="s">
        <v>1214</v>
      </c>
      <c r="F34" s="1481"/>
      <c r="G34" s="1481"/>
      <c r="H34" s="1481"/>
      <c r="I34" s="1481"/>
      <c r="J34" s="1481"/>
      <c r="K34" s="1481"/>
      <c r="L34" s="1481"/>
      <c r="M34" s="1481"/>
      <c r="N34" s="1481"/>
      <c r="O34" s="1481"/>
      <c r="P34" s="1481"/>
      <c r="Q34" s="1481"/>
      <c r="R34" s="1481"/>
      <c r="S34" s="1481"/>
      <c r="T34" s="1481"/>
      <c r="U34" s="1481"/>
      <c r="V34" s="1481"/>
      <c r="W34" s="1481"/>
      <c r="X34" s="1481"/>
      <c r="Y34" s="1481"/>
      <c r="Z34" s="1481"/>
      <c r="AA34" s="1481"/>
      <c r="AB34" s="1481"/>
      <c r="AC34" s="1481"/>
      <c r="AD34" s="1481"/>
      <c r="AE34" s="1481"/>
      <c r="AF34" s="1481"/>
      <c r="AG34" s="1481"/>
      <c r="AH34" s="1481"/>
      <c r="AI34" s="1481"/>
      <c r="AJ34" s="1481"/>
      <c r="AK34" s="1481"/>
      <c r="AL34" s="1481"/>
      <c r="AM34" s="1481"/>
      <c r="AN34" s="1481"/>
      <c r="AO34" s="1481"/>
      <c r="AP34" s="1481"/>
      <c r="AQ34" s="1481"/>
    </row>
    <row r="35" spans="3:43" s="89" customFormat="1" ht="31" customHeight="1" x14ac:dyDescent="0.35">
      <c r="D35" s="91" t="s">
        <v>133</v>
      </c>
      <c r="E35" s="1481" t="s">
        <v>1215</v>
      </c>
      <c r="F35" s="1481"/>
      <c r="G35" s="1481"/>
      <c r="H35" s="1481"/>
      <c r="I35" s="1481"/>
      <c r="J35" s="1481"/>
      <c r="K35" s="1481"/>
      <c r="L35" s="1481"/>
      <c r="M35" s="1481"/>
      <c r="N35" s="1481"/>
      <c r="O35" s="1481"/>
      <c r="P35" s="1481"/>
      <c r="Q35" s="1481"/>
      <c r="R35" s="1481"/>
      <c r="S35" s="1481"/>
      <c r="T35" s="1481"/>
      <c r="U35" s="1481"/>
      <c r="V35" s="1481"/>
      <c r="W35" s="1481"/>
      <c r="X35" s="1481"/>
      <c r="Y35" s="1481"/>
      <c r="Z35" s="1481"/>
      <c r="AA35" s="1481"/>
      <c r="AB35" s="1481"/>
      <c r="AC35" s="1481"/>
      <c r="AD35" s="1481"/>
      <c r="AE35" s="1481"/>
      <c r="AF35" s="1481"/>
      <c r="AG35" s="1481"/>
      <c r="AH35" s="1481"/>
      <c r="AI35" s="1481"/>
      <c r="AJ35" s="1481"/>
      <c r="AK35" s="1481"/>
      <c r="AL35" s="1481"/>
      <c r="AM35" s="1481"/>
      <c r="AN35" s="1481"/>
      <c r="AO35" s="1481"/>
      <c r="AP35" s="1481"/>
      <c r="AQ35" s="1481"/>
    </row>
    <row r="36" spans="3:43" s="89" customFormat="1" ht="31" customHeight="1" x14ac:dyDescent="0.35">
      <c r="D36" s="91" t="s">
        <v>207</v>
      </c>
      <c r="E36" s="1481" t="s">
        <v>1216</v>
      </c>
      <c r="F36" s="1481"/>
      <c r="G36" s="1481"/>
      <c r="H36" s="1481"/>
      <c r="I36" s="1481"/>
      <c r="J36" s="1481"/>
      <c r="K36" s="1481"/>
      <c r="L36" s="1481"/>
      <c r="M36" s="1481"/>
      <c r="N36" s="1481"/>
      <c r="O36" s="1481"/>
      <c r="P36" s="1481"/>
      <c r="Q36" s="1481"/>
      <c r="R36" s="1481"/>
      <c r="S36" s="1481"/>
      <c r="T36" s="1481"/>
      <c r="U36" s="1481"/>
      <c r="V36" s="1481"/>
      <c r="W36" s="1481"/>
      <c r="X36" s="1481"/>
      <c r="Y36" s="1481"/>
      <c r="Z36" s="1481"/>
      <c r="AA36" s="1481"/>
      <c r="AB36" s="1481"/>
      <c r="AC36" s="1481"/>
      <c r="AD36" s="1481"/>
      <c r="AE36" s="1481"/>
      <c r="AF36" s="1481"/>
      <c r="AG36" s="1481"/>
      <c r="AH36" s="1481"/>
      <c r="AI36" s="1481"/>
      <c r="AJ36" s="1481"/>
      <c r="AK36" s="1481"/>
      <c r="AL36" s="1481"/>
      <c r="AM36" s="1481"/>
      <c r="AN36" s="1481"/>
      <c r="AO36" s="1481"/>
      <c r="AP36" s="1481"/>
      <c r="AQ36" s="1481"/>
    </row>
    <row r="37" spans="3:43" s="89" customFormat="1" ht="78.5" customHeight="1" x14ac:dyDescent="0.35">
      <c r="C37" s="91" t="s">
        <v>151</v>
      </c>
      <c r="D37" s="1481" t="s">
        <v>1340</v>
      </c>
      <c r="E37" s="1481"/>
      <c r="F37" s="1481"/>
      <c r="G37" s="1481"/>
      <c r="H37" s="1481"/>
      <c r="I37" s="1481"/>
      <c r="J37" s="1481"/>
      <c r="K37" s="1481"/>
      <c r="L37" s="1481"/>
      <c r="M37" s="1481"/>
      <c r="N37" s="1481"/>
      <c r="O37" s="1481"/>
      <c r="P37" s="1481"/>
      <c r="Q37" s="1481"/>
      <c r="R37" s="1481"/>
      <c r="S37" s="1481"/>
      <c r="T37" s="1481"/>
      <c r="U37" s="1481"/>
      <c r="V37" s="1481"/>
      <c r="W37" s="1481"/>
      <c r="X37" s="1481"/>
      <c r="Y37" s="1481"/>
      <c r="Z37" s="1481"/>
      <c r="AA37" s="1481"/>
      <c r="AB37" s="1481"/>
      <c r="AC37" s="1481"/>
      <c r="AD37" s="1481"/>
      <c r="AE37" s="1481"/>
      <c r="AF37" s="1481"/>
      <c r="AG37" s="1481"/>
      <c r="AH37" s="1481"/>
      <c r="AI37" s="1481"/>
      <c r="AJ37" s="1481"/>
      <c r="AK37" s="1481"/>
      <c r="AL37" s="1481"/>
      <c r="AM37" s="1481"/>
      <c r="AN37" s="1481"/>
      <c r="AO37" s="1481"/>
      <c r="AP37" s="1481"/>
      <c r="AQ37" s="1481"/>
    </row>
    <row r="38" spans="3:43" s="89" customFormat="1" x14ac:dyDescent="0.35">
      <c r="D38" s="91" t="s">
        <v>107</v>
      </c>
      <c r="E38" s="1481" t="s">
        <v>1222</v>
      </c>
      <c r="F38" s="1481"/>
      <c r="G38" s="1481"/>
      <c r="H38" s="1481"/>
      <c r="I38" s="1481"/>
      <c r="J38" s="1481"/>
      <c r="K38" s="1481"/>
      <c r="L38" s="1481"/>
      <c r="M38" s="1481"/>
      <c r="N38" s="1481"/>
      <c r="O38" s="1481"/>
      <c r="P38" s="1481"/>
      <c r="Q38" s="1481"/>
      <c r="R38" s="1481"/>
      <c r="S38" s="1481"/>
      <c r="T38" s="1481"/>
      <c r="U38" s="1481"/>
      <c r="V38" s="1481"/>
      <c r="W38" s="1481"/>
      <c r="X38" s="1481"/>
      <c r="Y38" s="1481"/>
      <c r="Z38" s="1481"/>
      <c r="AA38" s="1481"/>
      <c r="AB38" s="1481"/>
      <c r="AC38" s="1481"/>
      <c r="AD38" s="1481"/>
      <c r="AE38" s="1481"/>
      <c r="AF38" s="1481"/>
      <c r="AG38" s="1481"/>
      <c r="AH38" s="1481"/>
      <c r="AI38" s="1481"/>
      <c r="AJ38" s="1481"/>
      <c r="AK38" s="1481"/>
      <c r="AL38" s="1481"/>
      <c r="AM38" s="1481"/>
      <c r="AN38" s="1481"/>
      <c r="AO38" s="1481"/>
      <c r="AP38" s="1481"/>
      <c r="AQ38" s="1481"/>
    </row>
    <row r="39" spans="3:43" s="89" customFormat="1" x14ac:dyDescent="0.35">
      <c r="D39" s="91" t="s">
        <v>108</v>
      </c>
      <c r="E39" s="1481" t="s">
        <v>1219</v>
      </c>
      <c r="F39" s="1481"/>
      <c r="G39" s="1481"/>
      <c r="H39" s="1481"/>
      <c r="I39" s="1481"/>
      <c r="J39" s="1481"/>
      <c r="K39" s="1481"/>
      <c r="L39" s="1481"/>
      <c r="M39" s="1481"/>
      <c r="N39" s="1481"/>
      <c r="O39" s="1481"/>
      <c r="P39" s="1481"/>
      <c r="Q39" s="1481"/>
      <c r="R39" s="1481"/>
      <c r="S39" s="1481"/>
      <c r="T39" s="1481"/>
      <c r="U39" s="1481"/>
      <c r="V39" s="1481"/>
      <c r="W39" s="1481"/>
      <c r="X39" s="1481"/>
      <c r="Y39" s="1481"/>
      <c r="Z39" s="1481"/>
      <c r="AA39" s="1481"/>
      <c r="AB39" s="1481"/>
      <c r="AC39" s="1481"/>
      <c r="AD39" s="1481"/>
      <c r="AE39" s="1481"/>
      <c r="AF39" s="1481"/>
      <c r="AG39" s="1481"/>
      <c r="AH39" s="1481"/>
      <c r="AI39" s="1481"/>
      <c r="AJ39" s="1481"/>
      <c r="AK39" s="1481"/>
      <c r="AL39" s="1481"/>
      <c r="AM39" s="1481"/>
      <c r="AN39" s="1481"/>
      <c r="AO39" s="1481"/>
      <c r="AP39" s="1481"/>
      <c r="AQ39" s="1481"/>
    </row>
    <row r="40" spans="3:43" s="89" customFormat="1" ht="31" customHeight="1" x14ac:dyDescent="0.35">
      <c r="D40" s="91" t="s">
        <v>131</v>
      </c>
      <c r="E40" s="1481" t="s">
        <v>1220</v>
      </c>
      <c r="F40" s="1481"/>
      <c r="G40" s="1481"/>
      <c r="H40" s="1481"/>
      <c r="I40" s="1481"/>
      <c r="J40" s="1481"/>
      <c r="K40" s="1481"/>
      <c r="L40" s="1481"/>
      <c r="M40" s="1481"/>
      <c r="N40" s="1481"/>
      <c r="O40" s="1481"/>
      <c r="P40" s="1481"/>
      <c r="Q40" s="1481"/>
      <c r="R40" s="1481"/>
      <c r="S40" s="1481"/>
      <c r="T40" s="1481"/>
      <c r="U40" s="1481"/>
      <c r="V40" s="1481"/>
      <c r="W40" s="1481"/>
      <c r="X40" s="1481"/>
      <c r="Y40" s="1481"/>
      <c r="Z40" s="1481"/>
      <c r="AA40" s="1481"/>
      <c r="AB40" s="1481"/>
      <c r="AC40" s="1481"/>
      <c r="AD40" s="1481"/>
      <c r="AE40" s="1481"/>
      <c r="AF40" s="1481"/>
      <c r="AG40" s="1481"/>
      <c r="AH40" s="1481"/>
      <c r="AI40" s="1481"/>
      <c r="AJ40" s="1481"/>
      <c r="AK40" s="1481"/>
      <c r="AL40" s="1481"/>
      <c r="AM40" s="1481"/>
      <c r="AN40" s="1481"/>
      <c r="AO40" s="1481"/>
      <c r="AP40" s="1481"/>
      <c r="AQ40" s="1481"/>
    </row>
    <row r="41" spans="3:43" s="89" customFormat="1" ht="16" customHeight="1" x14ac:dyDescent="0.35">
      <c r="D41" s="91" t="s">
        <v>132</v>
      </c>
      <c r="E41" s="1481" t="s">
        <v>1217</v>
      </c>
      <c r="F41" s="1481"/>
      <c r="G41" s="1481"/>
      <c r="H41" s="1481"/>
      <c r="I41" s="1481"/>
      <c r="J41" s="1481"/>
      <c r="K41" s="1481"/>
      <c r="L41" s="1481"/>
      <c r="M41" s="1481"/>
      <c r="N41" s="1481"/>
      <c r="O41" s="1481"/>
      <c r="P41" s="1481"/>
      <c r="Q41" s="1481"/>
      <c r="R41" s="1481"/>
      <c r="S41" s="1481"/>
      <c r="T41" s="1481"/>
      <c r="U41" s="1481"/>
      <c r="V41" s="1481"/>
      <c r="W41" s="1481"/>
      <c r="X41" s="1481"/>
      <c r="Y41" s="1481"/>
      <c r="Z41" s="1481"/>
      <c r="AA41" s="1481"/>
      <c r="AB41" s="1481"/>
      <c r="AC41" s="1481"/>
      <c r="AD41" s="1481"/>
      <c r="AE41" s="1481"/>
      <c r="AF41" s="1481"/>
      <c r="AG41" s="1481"/>
      <c r="AH41" s="1481"/>
      <c r="AI41" s="1481"/>
      <c r="AJ41" s="1481"/>
      <c r="AK41" s="1481"/>
      <c r="AL41" s="1481"/>
      <c r="AM41" s="1481"/>
      <c r="AN41" s="1481"/>
      <c r="AO41" s="1481"/>
      <c r="AP41" s="1481"/>
      <c r="AQ41" s="1481"/>
    </row>
    <row r="42" spans="3:43" s="89" customFormat="1" ht="16" customHeight="1" x14ac:dyDescent="0.35">
      <c r="D42" s="91" t="s">
        <v>133</v>
      </c>
      <c r="E42" s="1481" t="s">
        <v>1221</v>
      </c>
      <c r="F42" s="1481"/>
      <c r="G42" s="1481"/>
      <c r="H42" s="1481"/>
      <c r="I42" s="1481"/>
      <c r="J42" s="1481"/>
      <c r="K42" s="1481"/>
      <c r="L42" s="1481"/>
      <c r="M42" s="1481"/>
      <c r="N42" s="1481"/>
      <c r="O42" s="1481"/>
      <c r="P42" s="1481"/>
      <c r="Q42" s="1481"/>
      <c r="R42" s="1481"/>
      <c r="S42" s="1481"/>
      <c r="T42" s="1481"/>
      <c r="U42" s="1481"/>
      <c r="V42" s="1481"/>
      <c r="W42" s="1481"/>
      <c r="X42" s="1481"/>
      <c r="Y42" s="1481"/>
      <c r="Z42" s="1481"/>
      <c r="AA42" s="1481"/>
      <c r="AB42" s="1481"/>
      <c r="AC42" s="1481"/>
      <c r="AD42" s="1481"/>
      <c r="AE42" s="1481"/>
      <c r="AF42" s="1481"/>
      <c r="AG42" s="1481"/>
      <c r="AH42" s="1481"/>
      <c r="AI42" s="1481"/>
      <c r="AJ42" s="1481"/>
      <c r="AK42" s="1481"/>
      <c r="AL42" s="1481"/>
      <c r="AM42" s="1481"/>
      <c r="AN42" s="1481"/>
      <c r="AO42" s="1481"/>
      <c r="AP42" s="1481"/>
      <c r="AQ42" s="1481"/>
    </row>
    <row r="43" spans="3:43" s="89" customFormat="1" ht="16" customHeight="1" x14ac:dyDescent="0.35">
      <c r="D43" s="91" t="s">
        <v>207</v>
      </c>
      <c r="E43" s="1481" t="s">
        <v>1218</v>
      </c>
      <c r="F43" s="1481"/>
      <c r="G43" s="1481"/>
      <c r="H43" s="1481"/>
      <c r="I43" s="1481"/>
      <c r="J43" s="1481"/>
      <c r="K43" s="1481"/>
      <c r="L43" s="1481"/>
      <c r="M43" s="1481"/>
      <c r="N43" s="1481"/>
      <c r="O43" s="1481"/>
      <c r="P43" s="1481"/>
      <c r="Q43" s="1481"/>
      <c r="R43" s="1481"/>
      <c r="S43" s="1481"/>
      <c r="T43" s="1481"/>
      <c r="U43" s="1481"/>
      <c r="V43" s="1481"/>
      <c r="W43" s="1481"/>
      <c r="X43" s="1481"/>
      <c r="Y43" s="1481"/>
      <c r="Z43" s="1481"/>
      <c r="AA43" s="1481"/>
      <c r="AB43" s="1481"/>
      <c r="AC43" s="1481"/>
      <c r="AD43" s="1481"/>
      <c r="AE43" s="1481"/>
      <c r="AF43" s="1481"/>
      <c r="AG43" s="1481"/>
      <c r="AH43" s="1481"/>
      <c r="AI43" s="1481"/>
      <c r="AJ43" s="1481"/>
      <c r="AK43" s="1481"/>
      <c r="AL43" s="1481"/>
      <c r="AM43" s="1481"/>
      <c r="AN43" s="1481"/>
      <c r="AO43" s="1481"/>
      <c r="AP43" s="1481"/>
      <c r="AQ43" s="1481"/>
    </row>
    <row r="44" spans="3:43" s="89" customFormat="1" ht="31" customHeight="1" x14ac:dyDescent="0.35">
      <c r="C44" s="91" t="s">
        <v>152</v>
      </c>
      <c r="D44" s="1481" t="s">
        <v>1223</v>
      </c>
      <c r="E44" s="1481"/>
      <c r="F44" s="1481"/>
      <c r="G44" s="1481"/>
      <c r="H44" s="1481"/>
      <c r="I44" s="1481"/>
      <c r="J44" s="1481"/>
      <c r="K44" s="1481"/>
      <c r="L44" s="1481"/>
      <c r="M44" s="1481"/>
      <c r="N44" s="1481"/>
      <c r="O44" s="1481"/>
      <c r="P44" s="1481"/>
      <c r="Q44" s="1481"/>
      <c r="R44" s="1481"/>
      <c r="S44" s="1481"/>
      <c r="T44" s="1481"/>
      <c r="U44" s="1481"/>
      <c r="V44" s="1481"/>
      <c r="W44" s="1481"/>
      <c r="X44" s="1481"/>
      <c r="Y44" s="1481"/>
      <c r="Z44" s="1481"/>
      <c r="AA44" s="1481"/>
      <c r="AB44" s="1481"/>
      <c r="AC44" s="1481"/>
      <c r="AD44" s="1481"/>
      <c r="AE44" s="1481"/>
      <c r="AF44" s="1481"/>
      <c r="AG44" s="1481"/>
      <c r="AH44" s="1481"/>
      <c r="AI44" s="1481"/>
      <c r="AJ44" s="1481"/>
      <c r="AK44" s="1481"/>
      <c r="AL44" s="1481"/>
      <c r="AM44" s="1481"/>
      <c r="AN44" s="1481"/>
      <c r="AO44" s="1481"/>
      <c r="AP44" s="1481"/>
      <c r="AQ44" s="1481"/>
    </row>
    <row r="45" spans="3:43" s="89" customFormat="1" x14ac:dyDescent="0.35">
      <c r="C45" s="91" t="s">
        <v>155</v>
      </c>
      <c r="D45" s="1481" t="s">
        <v>1224</v>
      </c>
      <c r="E45" s="1481"/>
      <c r="F45" s="1481"/>
      <c r="G45" s="1481"/>
      <c r="H45" s="1481"/>
      <c r="I45" s="1481"/>
      <c r="J45" s="1481"/>
      <c r="K45" s="1481"/>
      <c r="L45" s="1481"/>
      <c r="M45" s="1481"/>
      <c r="N45" s="1481"/>
      <c r="O45" s="1481"/>
      <c r="P45" s="1481"/>
      <c r="Q45" s="1481"/>
      <c r="R45" s="1481"/>
      <c r="S45" s="1481"/>
      <c r="T45" s="1481"/>
      <c r="U45" s="1481"/>
      <c r="V45" s="1481"/>
      <c r="W45" s="1481"/>
      <c r="X45" s="1481"/>
      <c r="Y45" s="1481"/>
      <c r="Z45" s="1481"/>
      <c r="AA45" s="1481"/>
      <c r="AB45" s="1481"/>
      <c r="AC45" s="1481"/>
      <c r="AD45" s="1481"/>
      <c r="AE45" s="1481"/>
      <c r="AF45" s="1481"/>
      <c r="AG45" s="1481"/>
      <c r="AH45" s="1481"/>
      <c r="AI45" s="1481"/>
      <c r="AJ45" s="1481"/>
      <c r="AK45" s="1481"/>
      <c r="AL45" s="1481"/>
      <c r="AM45" s="1481"/>
      <c r="AN45" s="1481"/>
      <c r="AO45" s="1481"/>
      <c r="AP45" s="1481"/>
      <c r="AQ45" s="1481"/>
    </row>
    <row r="46" spans="3:43" s="89" customFormat="1" x14ac:dyDescent="0.35">
      <c r="C46" s="91" t="s">
        <v>156</v>
      </c>
      <c r="D46" s="1481" t="s">
        <v>1225</v>
      </c>
      <c r="E46" s="1481"/>
      <c r="F46" s="1481"/>
      <c r="G46" s="1481"/>
      <c r="H46" s="1481"/>
      <c r="I46" s="1481"/>
      <c r="J46" s="1481"/>
      <c r="K46" s="1481"/>
      <c r="L46" s="1481"/>
      <c r="M46" s="1481"/>
      <c r="N46" s="1481"/>
      <c r="O46" s="1481"/>
      <c r="P46" s="1481"/>
      <c r="Q46" s="1481"/>
      <c r="R46" s="1481"/>
      <c r="S46" s="1481"/>
      <c r="T46" s="1481"/>
      <c r="U46" s="1481"/>
      <c r="V46" s="1481"/>
      <c r="W46" s="1481"/>
      <c r="X46" s="1481"/>
      <c r="Y46" s="1481"/>
      <c r="Z46" s="1481"/>
      <c r="AA46" s="1481"/>
      <c r="AB46" s="1481"/>
      <c r="AC46" s="1481"/>
      <c r="AD46" s="1481"/>
      <c r="AE46" s="1481"/>
      <c r="AF46" s="1481"/>
      <c r="AG46" s="1481"/>
      <c r="AH46" s="1481"/>
      <c r="AI46" s="1481"/>
      <c r="AJ46" s="1481"/>
      <c r="AK46" s="1481"/>
      <c r="AL46" s="1481"/>
      <c r="AM46" s="1481"/>
      <c r="AN46" s="1481"/>
      <c r="AO46" s="1481"/>
      <c r="AP46" s="1481"/>
      <c r="AQ46" s="1481"/>
    </row>
    <row r="47" spans="3:43" s="89" customFormat="1" x14ac:dyDescent="0.35">
      <c r="D47" s="91" t="s">
        <v>107</v>
      </c>
      <c r="E47" s="1481" t="s">
        <v>1226</v>
      </c>
      <c r="F47" s="1481"/>
      <c r="G47" s="1481"/>
      <c r="H47" s="1481"/>
      <c r="I47" s="1481"/>
      <c r="J47" s="1481"/>
      <c r="K47" s="1481"/>
      <c r="L47" s="1481"/>
      <c r="M47" s="1481"/>
      <c r="N47" s="1481"/>
      <c r="O47" s="1481"/>
      <c r="P47" s="1481"/>
      <c r="Q47" s="1481"/>
      <c r="R47" s="1481"/>
      <c r="S47" s="1481"/>
      <c r="T47" s="1481"/>
      <c r="U47" s="1481"/>
      <c r="V47" s="1481"/>
      <c r="W47" s="1481"/>
      <c r="X47" s="1481"/>
      <c r="Y47" s="1481"/>
      <c r="Z47" s="1481"/>
      <c r="AA47" s="1481"/>
      <c r="AB47" s="1481"/>
      <c r="AC47" s="1481"/>
      <c r="AD47" s="1481"/>
      <c r="AE47" s="1481"/>
      <c r="AF47" s="1481"/>
      <c r="AG47" s="1481"/>
      <c r="AH47" s="1481"/>
      <c r="AI47" s="1481"/>
      <c r="AJ47" s="1481"/>
      <c r="AK47" s="1481"/>
      <c r="AL47" s="1481"/>
      <c r="AM47" s="1481"/>
      <c r="AN47" s="1481"/>
      <c r="AO47" s="1481"/>
      <c r="AP47" s="1481"/>
      <c r="AQ47" s="1481"/>
    </row>
    <row r="48" spans="3:43" s="89" customFormat="1" x14ac:dyDescent="0.35">
      <c r="D48" s="91" t="s">
        <v>108</v>
      </c>
      <c r="E48" s="1481" t="s">
        <v>1227</v>
      </c>
      <c r="F48" s="1481"/>
      <c r="G48" s="1481"/>
      <c r="H48" s="1481"/>
      <c r="I48" s="1481"/>
      <c r="J48" s="1481"/>
      <c r="K48" s="1481"/>
      <c r="L48" s="1481"/>
      <c r="M48" s="1481"/>
      <c r="N48" s="1481"/>
      <c r="O48" s="1481"/>
      <c r="P48" s="1481"/>
      <c r="Q48" s="1481"/>
      <c r="R48" s="1481"/>
      <c r="S48" s="1481"/>
      <c r="T48" s="1481"/>
      <c r="U48" s="1481"/>
      <c r="V48" s="1481"/>
      <c r="W48" s="1481"/>
      <c r="X48" s="1481"/>
      <c r="Y48" s="1481"/>
      <c r="Z48" s="1481"/>
      <c r="AA48" s="1481"/>
      <c r="AB48" s="1481"/>
      <c r="AC48" s="1481"/>
      <c r="AD48" s="1481"/>
      <c r="AE48" s="1481"/>
      <c r="AF48" s="1481"/>
      <c r="AG48" s="1481"/>
      <c r="AH48" s="1481"/>
      <c r="AI48" s="1481"/>
      <c r="AJ48" s="1481"/>
      <c r="AK48" s="1481"/>
      <c r="AL48" s="1481"/>
      <c r="AM48" s="1481"/>
      <c r="AN48" s="1481"/>
      <c r="AO48" s="1481"/>
      <c r="AP48" s="1481"/>
      <c r="AQ48" s="1481"/>
    </row>
    <row r="49" spans="2:77" s="89" customFormat="1" x14ac:dyDescent="0.35">
      <c r="D49" s="91" t="s">
        <v>131</v>
      </c>
      <c r="E49" s="1481" t="s">
        <v>1228</v>
      </c>
      <c r="F49" s="1481"/>
      <c r="G49" s="1481"/>
      <c r="H49" s="1481"/>
      <c r="I49" s="1481"/>
      <c r="J49" s="1481"/>
      <c r="K49" s="1481"/>
      <c r="L49" s="1481"/>
      <c r="M49" s="1481"/>
      <c r="N49" s="1481"/>
      <c r="O49" s="1481"/>
      <c r="P49" s="1481"/>
      <c r="Q49" s="1481"/>
      <c r="R49" s="1481"/>
      <c r="S49" s="1481"/>
      <c r="T49" s="1481"/>
      <c r="U49" s="1481"/>
      <c r="V49" s="1481"/>
      <c r="W49" s="1481"/>
      <c r="X49" s="1481"/>
      <c r="Y49" s="1481"/>
      <c r="Z49" s="1481"/>
      <c r="AA49" s="1481"/>
      <c r="AB49" s="1481"/>
      <c r="AC49" s="1481"/>
      <c r="AD49" s="1481"/>
      <c r="AE49" s="1481"/>
      <c r="AF49" s="1481"/>
      <c r="AG49" s="1481"/>
      <c r="AH49" s="1481"/>
      <c r="AI49" s="1481"/>
      <c r="AJ49" s="1481"/>
      <c r="AK49" s="1481"/>
      <c r="AL49" s="1481"/>
      <c r="AM49" s="1481"/>
      <c r="AN49" s="1481"/>
      <c r="AO49" s="1481"/>
      <c r="AP49" s="1481"/>
      <c r="AQ49" s="1481"/>
    </row>
    <row r="50" spans="2:77" s="92" customFormat="1" x14ac:dyDescent="0.35">
      <c r="C50" s="93" t="s">
        <v>157</v>
      </c>
      <c r="D50" s="1502" t="s">
        <v>1229</v>
      </c>
      <c r="E50" s="1502"/>
      <c r="F50" s="1502"/>
      <c r="G50" s="1502"/>
      <c r="H50" s="1502"/>
      <c r="I50" s="1502"/>
      <c r="J50" s="1502"/>
      <c r="K50" s="1502"/>
      <c r="L50" s="1502"/>
      <c r="M50" s="1502"/>
      <c r="N50" s="1502"/>
      <c r="O50" s="1502"/>
      <c r="P50" s="1502"/>
      <c r="Q50" s="1502"/>
      <c r="R50" s="1502"/>
      <c r="S50" s="1502"/>
      <c r="T50" s="1502"/>
      <c r="U50" s="1502"/>
      <c r="V50" s="1502"/>
      <c r="W50" s="1502"/>
      <c r="X50" s="1502"/>
      <c r="Y50" s="1502"/>
      <c r="Z50" s="1502"/>
      <c r="AA50" s="1502"/>
      <c r="AB50" s="1502"/>
      <c r="AC50" s="1502"/>
      <c r="AD50" s="1502"/>
      <c r="AE50" s="1502"/>
      <c r="AF50" s="1502"/>
      <c r="AG50" s="1502"/>
      <c r="AH50" s="1502"/>
      <c r="AI50" s="1502"/>
      <c r="AJ50" s="1502"/>
      <c r="AK50" s="1502"/>
      <c r="AL50" s="1502"/>
      <c r="AM50" s="1502"/>
      <c r="AN50" s="1502"/>
      <c r="AO50" s="1502"/>
      <c r="AP50" s="1502"/>
      <c r="AQ50" s="1502"/>
      <c r="AR50" s="94"/>
      <c r="AS50" s="94"/>
      <c r="AT50" s="94"/>
    </row>
    <row r="51" spans="2:77" s="84" customFormat="1" ht="10" customHeight="1" x14ac:dyDescent="0.35">
      <c r="B51" s="95"/>
      <c r="C51" s="86"/>
      <c r="D51" s="86"/>
      <c r="E51" s="86"/>
      <c r="F51" s="86"/>
      <c r="G51" s="86"/>
      <c r="H51" s="86"/>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c r="BE51" s="86"/>
      <c r="BF51" s="86"/>
      <c r="BG51" s="86"/>
      <c r="BH51" s="86"/>
      <c r="BI51" s="86"/>
      <c r="BJ51" s="86"/>
      <c r="BK51" s="86"/>
      <c r="BL51" s="86"/>
      <c r="BM51" s="86"/>
    </row>
    <row r="52" spans="2:77" s="97" customFormat="1" x14ac:dyDescent="0.35">
      <c r="B52" s="96" t="s">
        <v>1230</v>
      </c>
      <c r="C52" s="86"/>
      <c r="D52" s="85"/>
      <c r="F52" s="86"/>
      <c r="G52" s="86"/>
      <c r="H52" s="86"/>
      <c r="I52" s="86"/>
      <c r="J52" s="86"/>
      <c r="K52" s="86"/>
      <c r="L52" s="86"/>
      <c r="M52" s="86"/>
      <c r="N52" s="86"/>
      <c r="O52" s="86"/>
      <c r="P52" s="86"/>
      <c r="Q52" s="86"/>
      <c r="R52" s="86"/>
      <c r="S52" s="86"/>
      <c r="T52" s="86"/>
      <c r="BY52" s="98"/>
    </row>
    <row r="53" spans="2:77" s="87" customFormat="1" ht="33.75" customHeight="1" x14ac:dyDescent="0.3">
      <c r="B53" s="99"/>
      <c r="C53" s="100"/>
      <c r="D53" s="101"/>
      <c r="E53" s="101"/>
      <c r="F53" s="101"/>
      <c r="G53" s="101"/>
      <c r="H53" s="101"/>
      <c r="I53" s="101"/>
      <c r="J53" s="101"/>
      <c r="K53" s="101"/>
      <c r="L53" s="101"/>
      <c r="M53" s="101"/>
      <c r="N53" s="101"/>
      <c r="O53" s="101"/>
      <c r="P53" s="101"/>
      <c r="Q53" s="101"/>
      <c r="R53" s="101"/>
      <c r="S53" s="101"/>
      <c r="T53" s="101"/>
    </row>
    <row r="54" spans="2:77" s="73" customFormat="1" ht="14" x14ac:dyDescent="0.3">
      <c r="B54" s="74" t="s">
        <v>913</v>
      </c>
      <c r="Z54" s="74" t="s">
        <v>922</v>
      </c>
    </row>
    <row r="55" spans="2:77" s="73" customFormat="1" ht="21.75" customHeight="1" x14ac:dyDescent="0.3">
      <c r="B55" s="74" t="s">
        <v>910</v>
      </c>
      <c r="E55" s="76"/>
      <c r="F55" s="1482" t="str">
        <f>SchInfo!F38</f>
        <v>MELCHESIEDICK Q. BOLANIO/ March 17, 2023</v>
      </c>
      <c r="G55" s="1482"/>
      <c r="H55" s="1482"/>
      <c r="I55" s="1482"/>
      <c r="J55" s="1482"/>
      <c r="K55" s="1482"/>
      <c r="L55" s="1482"/>
      <c r="M55" s="1482"/>
      <c r="N55" s="1482"/>
      <c r="O55" s="1482"/>
      <c r="P55" s="1482"/>
      <c r="Q55" s="1482"/>
      <c r="R55" s="1482"/>
      <c r="S55" s="1482"/>
      <c r="Z55" s="1484" t="str">
        <f>SchInfo!R38</f>
        <v>MICHAEL T. JAMIS   /  March 17, 2023</v>
      </c>
      <c r="AA55" s="1484"/>
      <c r="AB55" s="1484"/>
      <c r="AC55" s="1484"/>
      <c r="AD55" s="1484"/>
      <c r="AE55" s="1484"/>
      <c r="AF55" s="1484"/>
      <c r="AG55" s="1484"/>
      <c r="AH55" s="1484"/>
      <c r="AI55" s="1484"/>
      <c r="AJ55" s="1484"/>
      <c r="AK55" s="1484"/>
      <c r="AL55" s="1484"/>
      <c r="AM55" s="1484"/>
      <c r="AN55" s="1484"/>
      <c r="AO55" s="1484"/>
      <c r="AP55" s="1484"/>
      <c r="AQ55" s="1484"/>
    </row>
    <row r="56" spans="2:77" s="78" customFormat="1" ht="12.25" customHeight="1" x14ac:dyDescent="0.35">
      <c r="B56" s="77"/>
      <c r="E56" s="79"/>
      <c r="F56" s="1483" t="s">
        <v>779</v>
      </c>
      <c r="G56" s="1483"/>
      <c r="H56" s="1483"/>
      <c r="I56" s="1483"/>
      <c r="J56" s="1483"/>
      <c r="K56" s="1483"/>
      <c r="L56" s="1483"/>
      <c r="M56" s="1483"/>
      <c r="N56" s="1483"/>
      <c r="O56" s="1483"/>
      <c r="P56" s="1483"/>
      <c r="Q56" s="1483"/>
      <c r="R56" s="1483"/>
      <c r="S56" s="1483"/>
      <c r="T56" s="77"/>
      <c r="U56" s="77"/>
      <c r="V56" s="77"/>
      <c r="W56" s="77"/>
      <c r="X56" s="77"/>
      <c r="Y56" s="77"/>
      <c r="Z56" s="1485"/>
      <c r="AA56" s="1485"/>
      <c r="AB56" s="1485"/>
      <c r="AC56" s="1485"/>
      <c r="AD56" s="1485"/>
      <c r="AE56" s="1485"/>
      <c r="AF56" s="1485"/>
      <c r="AG56" s="1485"/>
      <c r="AH56" s="1485"/>
      <c r="AI56" s="1485"/>
      <c r="AJ56" s="1485"/>
      <c r="AK56" s="1485"/>
      <c r="AL56" s="1485"/>
      <c r="AM56" s="1485"/>
      <c r="AN56" s="1485"/>
      <c r="AO56" s="1485"/>
      <c r="AP56" s="1485"/>
      <c r="AQ56" s="1485"/>
    </row>
    <row r="57" spans="2:77" s="73" customFormat="1" ht="21.75" customHeight="1" x14ac:dyDescent="0.3">
      <c r="B57" s="74" t="s">
        <v>784</v>
      </c>
      <c r="E57" s="76"/>
      <c r="F57" s="1482" t="str">
        <f>SchInfo!F40</f>
        <v>Principal IV</v>
      </c>
      <c r="G57" s="1482"/>
      <c r="H57" s="1482"/>
      <c r="I57" s="1482"/>
      <c r="J57" s="1482"/>
      <c r="K57" s="1482"/>
      <c r="L57" s="1482"/>
      <c r="M57" s="1482"/>
      <c r="N57" s="1482"/>
      <c r="O57" s="1482"/>
      <c r="P57" s="1482"/>
      <c r="Q57" s="1482"/>
      <c r="R57" s="1482"/>
      <c r="S57" s="1482"/>
      <c r="Z57" s="1452" t="s">
        <v>779</v>
      </c>
      <c r="AA57" s="1452"/>
      <c r="AB57" s="1452"/>
      <c r="AC57" s="1452"/>
      <c r="AD57" s="1452"/>
      <c r="AE57" s="1452"/>
      <c r="AF57" s="1452"/>
      <c r="AG57" s="1452"/>
      <c r="AH57" s="1452"/>
      <c r="AI57" s="1452"/>
      <c r="AJ57" s="1452"/>
      <c r="AK57" s="1452"/>
      <c r="AL57" s="1452"/>
      <c r="AM57" s="1452"/>
      <c r="AN57" s="1452"/>
      <c r="AO57" s="1452"/>
      <c r="AP57" s="1452"/>
      <c r="AQ57" s="1452"/>
    </row>
    <row r="58" spans="2:77" s="73" customFormat="1" x14ac:dyDescent="0.35">
      <c r="T58" s="44"/>
      <c r="U58" s="44"/>
      <c r="V58" s="44"/>
      <c r="W58" s="44"/>
      <c r="X58" s="44"/>
      <c r="Y58" s="44"/>
      <c r="Z58" s="44"/>
      <c r="AA58" s="44"/>
      <c r="AB58" s="44"/>
      <c r="AD58" s="44"/>
      <c r="AE58" s="44"/>
      <c r="AF58" s="44"/>
      <c r="AG58" s="44"/>
      <c r="AH58" s="44"/>
      <c r="AI58" s="44"/>
      <c r="AJ58" s="44"/>
      <c r="AK58" s="44"/>
      <c r="AL58" s="44"/>
      <c r="AM58" s="44"/>
      <c r="AN58" s="44"/>
      <c r="AP58" s="44"/>
    </row>
    <row r="59" spans="2:77" x14ac:dyDescent="0.35">
      <c r="AD59" s="73"/>
      <c r="AE59" s="73"/>
    </row>
  </sheetData>
  <sheetProtection algorithmName="SHA-512" hashValue="l06NHrGbPietszFzNOgyEwh+oDF0BAzf6RjhL2JukK0aJOUbrVWYDn2qWCF+IRg5nArHGB1Fn6uLEb4+FtYIRg==" saltValue="pjph97KSD/dnvsIXM0XxvA==" spinCount="100000" sheet="1" objects="1" scenarios="1"/>
  <mergeCells count="232">
    <mergeCell ref="AL3:AQ3"/>
    <mergeCell ref="AL4:AQ4"/>
    <mergeCell ref="N5:P5"/>
    <mergeCell ref="AC5:AE5"/>
    <mergeCell ref="AF5:AH5"/>
    <mergeCell ref="B3:M5"/>
    <mergeCell ref="N3:S4"/>
    <mergeCell ref="T3:Y4"/>
    <mergeCell ref="Z3:AE4"/>
    <mergeCell ref="AF3:AK4"/>
    <mergeCell ref="AI5:AK5"/>
    <mergeCell ref="AL5:AN5"/>
    <mergeCell ref="AO5:AQ5"/>
    <mergeCell ref="Q5:S5"/>
    <mergeCell ref="T5:V5"/>
    <mergeCell ref="W5:Y5"/>
    <mergeCell ref="Z5:AB5"/>
    <mergeCell ref="D50:AQ50"/>
    <mergeCell ref="C13:M13"/>
    <mergeCell ref="N13:AQ13"/>
    <mergeCell ref="AO6:AQ6"/>
    <mergeCell ref="AC20:AE20"/>
    <mergeCell ref="AF20:AH20"/>
    <mergeCell ref="AI20:AK20"/>
    <mergeCell ref="AL20:AN20"/>
    <mergeCell ref="AO20:AQ20"/>
    <mergeCell ref="Z6:AB6"/>
    <mergeCell ref="AC6:AE6"/>
    <mergeCell ref="AC9:AE9"/>
    <mergeCell ref="Z9:AB9"/>
    <mergeCell ref="AC7:AE7"/>
    <mergeCell ref="Z7:AB7"/>
    <mergeCell ref="C20:M20"/>
    <mergeCell ref="N20:P20"/>
    <mergeCell ref="Q20:S20"/>
    <mergeCell ref="T20:V20"/>
    <mergeCell ref="W20:Y20"/>
    <mergeCell ref="Z20:AB20"/>
    <mergeCell ref="AF6:AH6"/>
    <mergeCell ref="AO22:AQ22"/>
    <mergeCell ref="AL22:AN22"/>
    <mergeCell ref="AI6:AK6"/>
    <mergeCell ref="AL6:AN6"/>
    <mergeCell ref="C6:M6"/>
    <mergeCell ref="N6:P6"/>
    <mergeCell ref="Q6:S6"/>
    <mergeCell ref="T6:V6"/>
    <mergeCell ref="W6:Y6"/>
    <mergeCell ref="C22:M22"/>
    <mergeCell ref="D30:AQ30"/>
    <mergeCell ref="Z21:AB21"/>
    <mergeCell ref="AC21:AE21"/>
    <mergeCell ref="AF21:AH21"/>
    <mergeCell ref="AI21:AK21"/>
    <mergeCell ref="AL21:AN21"/>
    <mergeCell ref="AO21:AQ21"/>
    <mergeCell ref="C21:M21"/>
    <mergeCell ref="N21:P21"/>
    <mergeCell ref="Q21:S21"/>
    <mergeCell ref="T21:V21"/>
    <mergeCell ref="W21:Y21"/>
    <mergeCell ref="B27:AQ27"/>
    <mergeCell ref="AO25:AQ25"/>
    <mergeCell ref="AO24:AQ24"/>
    <mergeCell ref="Q8:S8"/>
    <mergeCell ref="E36:AQ36"/>
    <mergeCell ref="E31:AQ31"/>
    <mergeCell ref="E32:AQ32"/>
    <mergeCell ref="E33:AQ33"/>
    <mergeCell ref="E34:AQ34"/>
    <mergeCell ref="E35:AQ35"/>
    <mergeCell ref="F57:S57"/>
    <mergeCell ref="D37:AQ37"/>
    <mergeCell ref="D44:AQ44"/>
    <mergeCell ref="D46:AQ46"/>
    <mergeCell ref="D45:AQ45"/>
    <mergeCell ref="E41:AQ41"/>
    <mergeCell ref="E43:AQ43"/>
    <mergeCell ref="F55:S55"/>
    <mergeCell ref="F56:S56"/>
    <mergeCell ref="E39:AQ39"/>
    <mergeCell ref="E40:AQ40"/>
    <mergeCell ref="E42:AQ42"/>
    <mergeCell ref="E38:AQ38"/>
    <mergeCell ref="E47:AQ47"/>
    <mergeCell ref="E48:AQ48"/>
    <mergeCell ref="E49:AQ49"/>
    <mergeCell ref="Z55:AQ56"/>
    <mergeCell ref="Z57:AQ57"/>
    <mergeCell ref="N8:P8"/>
    <mergeCell ref="Q7:S7"/>
    <mergeCell ref="N7:P7"/>
    <mergeCell ref="AC12:AE12"/>
    <mergeCell ref="Z12:AB12"/>
    <mergeCell ref="W12:Y12"/>
    <mergeCell ref="T12:V12"/>
    <mergeCell ref="AC11:AE11"/>
    <mergeCell ref="Z11:AB11"/>
    <mergeCell ref="W11:Y11"/>
    <mergeCell ref="T11:V11"/>
    <mergeCell ref="AC10:AE10"/>
    <mergeCell ref="Z10:AB10"/>
    <mergeCell ref="W10:Y10"/>
    <mergeCell ref="T10:V10"/>
    <mergeCell ref="Q10:S10"/>
    <mergeCell ref="Q12:S12"/>
    <mergeCell ref="Q11:S11"/>
    <mergeCell ref="Q9:S9"/>
    <mergeCell ref="N12:P12"/>
    <mergeCell ref="N11:P11"/>
    <mergeCell ref="N10:P10"/>
    <mergeCell ref="N9:P9"/>
    <mergeCell ref="W7:Y7"/>
    <mergeCell ref="T7:V7"/>
    <mergeCell ref="AO12:AQ12"/>
    <mergeCell ref="AO11:AQ11"/>
    <mergeCell ref="AO10:AQ10"/>
    <mergeCell ref="AO9:AQ9"/>
    <mergeCell ref="AO8:AQ8"/>
    <mergeCell ref="AO7:AQ7"/>
    <mergeCell ref="AL12:AN12"/>
    <mergeCell ref="AL11:AN11"/>
    <mergeCell ref="AL10:AN10"/>
    <mergeCell ref="AL9:AN9"/>
    <mergeCell ref="AL8:AN8"/>
    <mergeCell ref="AL7:AN7"/>
    <mergeCell ref="AI12:AK12"/>
    <mergeCell ref="AF12:AH12"/>
    <mergeCell ref="W9:Y9"/>
    <mergeCell ref="T9:V9"/>
    <mergeCell ref="AC8:AE8"/>
    <mergeCell ref="Z8:AB8"/>
    <mergeCell ref="W8:Y8"/>
    <mergeCell ref="T8:V8"/>
    <mergeCell ref="AI8:AK8"/>
    <mergeCell ref="AF8:AH8"/>
    <mergeCell ref="AI7:AK7"/>
    <mergeCell ref="AF7:AH7"/>
    <mergeCell ref="AO16:AQ16"/>
    <mergeCell ref="AL16:AN16"/>
    <mergeCell ref="AI16:AK16"/>
    <mergeCell ref="AF16:AH16"/>
    <mergeCell ref="AO14:AQ14"/>
    <mergeCell ref="AL14:AN14"/>
    <mergeCell ref="AI14:AK14"/>
    <mergeCell ref="AF14:AH14"/>
    <mergeCell ref="AI11:AK11"/>
    <mergeCell ref="AF11:AH11"/>
    <mergeCell ref="AI10:AK10"/>
    <mergeCell ref="AF10:AH10"/>
    <mergeCell ref="AI9:AK9"/>
    <mergeCell ref="AF9:AH9"/>
    <mergeCell ref="AF15:AH15"/>
    <mergeCell ref="AI15:AK15"/>
    <mergeCell ref="AC15:AE15"/>
    <mergeCell ref="Z15:AB15"/>
    <mergeCell ref="W15:Y15"/>
    <mergeCell ref="T15:V15"/>
    <mergeCell ref="Q15:S15"/>
    <mergeCell ref="N15:P15"/>
    <mergeCell ref="AC16:AE16"/>
    <mergeCell ref="Z16:AB16"/>
    <mergeCell ref="W16:Y16"/>
    <mergeCell ref="T16:V16"/>
    <mergeCell ref="Q16:S16"/>
    <mergeCell ref="N14:P14"/>
    <mergeCell ref="AO19:AQ19"/>
    <mergeCell ref="AL19:AN19"/>
    <mergeCell ref="AI19:AK19"/>
    <mergeCell ref="AF19:AH19"/>
    <mergeCell ref="AC19:AE19"/>
    <mergeCell ref="Z19:AB19"/>
    <mergeCell ref="W19:Y19"/>
    <mergeCell ref="T19:V19"/>
    <mergeCell ref="Q19:S19"/>
    <mergeCell ref="N19:P19"/>
    <mergeCell ref="AO18:AQ18"/>
    <mergeCell ref="AL18:AN18"/>
    <mergeCell ref="AI18:AK18"/>
    <mergeCell ref="AF18:AH18"/>
    <mergeCell ref="AC18:AE18"/>
    <mergeCell ref="AC14:AE14"/>
    <mergeCell ref="Z14:AB14"/>
    <mergeCell ref="W14:Y14"/>
    <mergeCell ref="T14:V14"/>
    <mergeCell ref="Q14:S14"/>
    <mergeCell ref="N16:P16"/>
    <mergeCell ref="AO15:AQ15"/>
    <mergeCell ref="AL15:AN15"/>
    <mergeCell ref="AC17:AE17"/>
    <mergeCell ref="Z18:AB18"/>
    <mergeCell ref="W18:Y18"/>
    <mergeCell ref="T18:V18"/>
    <mergeCell ref="Q18:S18"/>
    <mergeCell ref="N18:P18"/>
    <mergeCell ref="Z17:AB17"/>
    <mergeCell ref="W17:Y17"/>
    <mergeCell ref="T17:V17"/>
    <mergeCell ref="Q17:S17"/>
    <mergeCell ref="N17:P17"/>
    <mergeCell ref="Q23:S23"/>
    <mergeCell ref="N23:P23"/>
    <mergeCell ref="AO23:AQ23"/>
    <mergeCell ref="AL23:AN23"/>
    <mergeCell ref="AI23:AK23"/>
    <mergeCell ref="AC23:AE23"/>
    <mergeCell ref="AF23:AH23"/>
    <mergeCell ref="Q25:S25"/>
    <mergeCell ref="Q24:S24"/>
    <mergeCell ref="N25:P25"/>
    <mergeCell ref="N24:P24"/>
    <mergeCell ref="AC25:AE25"/>
    <mergeCell ref="AC24:AE24"/>
    <mergeCell ref="Z25:AB25"/>
    <mergeCell ref="Z24:AB24"/>
    <mergeCell ref="W25:Y25"/>
    <mergeCell ref="W24:Y24"/>
    <mergeCell ref="AL25:AN25"/>
    <mergeCell ref="T25:V25"/>
    <mergeCell ref="T24:V24"/>
    <mergeCell ref="Z23:AB23"/>
    <mergeCell ref="W23:Y23"/>
    <mergeCell ref="T23:V23"/>
    <mergeCell ref="AO17:AQ17"/>
    <mergeCell ref="AL17:AN17"/>
    <mergeCell ref="AI17:AK17"/>
    <mergeCell ref="AF17:AH17"/>
    <mergeCell ref="AL24:AN24"/>
    <mergeCell ref="AI25:AK25"/>
    <mergeCell ref="AI24:AK24"/>
    <mergeCell ref="AF25:AH25"/>
    <mergeCell ref="AF24:AH24"/>
  </mergeCells>
  <dataValidations count="3">
    <dataValidation type="whole" errorStyle="warning" allowBlank="1" showErrorMessage="1" errorTitle="GJHSP 2021-2022" error="Please enter valid number between 0-20,000." sqref="T6:AK6 Q6:S6 N6:P6" xr:uid="{E77B88CC-9CF9-433F-BA63-7C04F2638F57}">
      <formula1>0</formula1>
      <formula2>20000</formula2>
    </dataValidation>
    <dataValidation type="whole" allowBlank="1" showErrorMessage="1" errorTitle="GJHSP SY 2021-2022" error="Please enter valid number between 0-20,000." sqref="N22:AK22" xr:uid="{EF5B59F4-097A-4F62-AA1A-E04B227B94A0}">
      <formula1>0</formula1>
      <formula2>20000</formula2>
    </dataValidation>
    <dataValidation type="whole" allowBlank="1" showInputMessage="1" showErrorMessage="1" errorTitle="GJHSP SY 2022-2023" error="Please enter valid number between 0 – 20,000." sqref="N7:AK12 N14:AK21 N23:AK25" xr:uid="{EC6F6528-7FD0-4C1C-9695-D9090724B28E}">
      <formula1>0</formula1>
      <formula2>20000</formula2>
    </dataValidation>
  </dataValidations>
  <printOptions horizontalCentered="1" verticalCentered="1"/>
  <pageMargins left="0.23622047244094491" right="0.23622047244094491" top="0.19685039370078741" bottom="0.19685039370078741" header="0" footer="0.11811023622047245"/>
  <pageSetup paperSize="14" scale="60" orientation="portrait" r:id="rId1"/>
  <headerFooter alignWithMargins="0">
    <oddFooter>&amp;L&amp;10&amp;F &amp;A&amp;R&amp;10Page 2 of 63</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97E77-E572-4E63-929A-0229B530B2C5}">
  <sheetPr codeName="Sheet3"/>
  <dimension ref="B1:BW47"/>
  <sheetViews>
    <sheetView showGridLines="0" topLeftCell="C18" zoomScaleNormal="100" workbookViewId="0">
      <selection activeCell="X24" sqref="X24:Z24"/>
    </sheetView>
  </sheetViews>
  <sheetFormatPr defaultColWidth="9" defaultRowHeight="15.5" x14ac:dyDescent="0.35"/>
  <cols>
    <col min="1" max="1" width="2.08203125" style="44" customWidth="1"/>
    <col min="2" max="44" width="3.58203125" style="44" customWidth="1"/>
    <col min="45" max="45" width="2.08203125" style="44" customWidth="1"/>
    <col min="46" max="48" width="3.58203125" style="44" customWidth="1"/>
    <col min="49" max="49" width="2.08203125" style="44" customWidth="1"/>
    <col min="50" max="51" width="4.58203125" style="44" customWidth="1"/>
    <col min="52" max="52" width="4.5" style="44" customWidth="1"/>
    <col min="53" max="84" width="4.58203125" style="44" customWidth="1"/>
    <col min="85" max="16384" width="9" style="44"/>
  </cols>
  <sheetData>
    <row r="1" spans="2:47" ht="12" customHeight="1" x14ac:dyDescent="0.35"/>
    <row r="2" spans="2:47" ht="17" thickBot="1" x14ac:dyDescent="0.4">
      <c r="B2" s="111" t="s">
        <v>12680</v>
      </c>
      <c r="C2" s="131"/>
      <c r="D2" s="131"/>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row>
    <row r="3" spans="2:47" s="72" customFormat="1" ht="15.75" customHeight="1" x14ac:dyDescent="0.35">
      <c r="B3" s="1522" t="s">
        <v>1072</v>
      </c>
      <c r="C3" s="1523"/>
      <c r="D3" s="1523"/>
      <c r="E3" s="1523"/>
      <c r="F3" s="1523"/>
      <c r="G3" s="1523"/>
      <c r="H3" s="1523"/>
      <c r="I3" s="1523"/>
      <c r="J3" s="1523"/>
      <c r="K3" s="1523"/>
      <c r="L3" s="1523"/>
      <c r="M3" s="1523"/>
      <c r="N3" s="1524"/>
      <c r="O3" s="1549" t="s">
        <v>594</v>
      </c>
      <c r="P3" s="1550"/>
      <c r="Q3" s="1550"/>
      <c r="R3" s="1550"/>
      <c r="S3" s="1550"/>
      <c r="T3" s="1551"/>
      <c r="U3" s="1549" t="s">
        <v>942</v>
      </c>
      <c r="V3" s="1550"/>
      <c r="W3" s="1550"/>
      <c r="X3" s="1550"/>
      <c r="Y3" s="1550"/>
      <c r="Z3" s="1550"/>
      <c r="AA3" s="1550"/>
      <c r="AB3" s="1550"/>
      <c r="AC3" s="1550"/>
      <c r="AD3" s="1550"/>
      <c r="AE3" s="1550"/>
      <c r="AF3" s="1550"/>
      <c r="AG3" s="1550"/>
      <c r="AH3" s="1550"/>
      <c r="AI3" s="1550"/>
      <c r="AJ3" s="1550"/>
      <c r="AK3" s="1550"/>
      <c r="AL3" s="1552"/>
      <c r="AM3" s="1511" t="s">
        <v>362</v>
      </c>
      <c r="AN3" s="1512"/>
      <c r="AO3" s="1512"/>
      <c r="AP3" s="1512"/>
      <c r="AQ3" s="1512"/>
      <c r="AR3" s="1513"/>
    </row>
    <row r="4" spans="2:47" s="72" customFormat="1" ht="15.75" customHeight="1" x14ac:dyDescent="0.35">
      <c r="B4" s="1525"/>
      <c r="C4" s="1526"/>
      <c r="D4" s="1526"/>
      <c r="E4" s="1526"/>
      <c r="F4" s="1526"/>
      <c r="G4" s="1526"/>
      <c r="H4" s="1526"/>
      <c r="I4" s="1526"/>
      <c r="J4" s="1526"/>
      <c r="K4" s="1526"/>
      <c r="L4" s="1526"/>
      <c r="M4" s="1526"/>
      <c r="N4" s="1527"/>
      <c r="O4" s="1559" t="s">
        <v>87</v>
      </c>
      <c r="P4" s="1560"/>
      <c r="Q4" s="1560"/>
      <c r="R4" s="1560"/>
      <c r="S4" s="1560"/>
      <c r="T4" s="1561"/>
      <c r="U4" s="1559" t="s">
        <v>88</v>
      </c>
      <c r="V4" s="1560"/>
      <c r="W4" s="1560"/>
      <c r="X4" s="1560"/>
      <c r="Y4" s="1560"/>
      <c r="Z4" s="1561"/>
      <c r="AA4" s="1559" t="s">
        <v>89</v>
      </c>
      <c r="AB4" s="1560"/>
      <c r="AC4" s="1560"/>
      <c r="AD4" s="1560"/>
      <c r="AE4" s="1560"/>
      <c r="AF4" s="1561"/>
      <c r="AG4" s="1559" t="s">
        <v>90</v>
      </c>
      <c r="AH4" s="1560"/>
      <c r="AI4" s="1560"/>
      <c r="AJ4" s="1560"/>
      <c r="AK4" s="1560"/>
      <c r="AL4" s="1563"/>
      <c r="AM4" s="1553"/>
      <c r="AN4" s="1554"/>
      <c r="AO4" s="1554"/>
      <c r="AP4" s="1554"/>
      <c r="AQ4" s="1554"/>
      <c r="AR4" s="1555"/>
    </row>
    <row r="5" spans="2:47" s="72" customFormat="1" ht="15.75" customHeight="1" x14ac:dyDescent="0.35">
      <c r="B5" s="1525"/>
      <c r="C5" s="1526"/>
      <c r="D5" s="1526"/>
      <c r="E5" s="1526"/>
      <c r="F5" s="1526"/>
      <c r="G5" s="1526"/>
      <c r="H5" s="1526"/>
      <c r="I5" s="1526"/>
      <c r="J5" s="1526"/>
      <c r="K5" s="1526"/>
      <c r="L5" s="1526"/>
      <c r="M5" s="1526"/>
      <c r="N5" s="1527"/>
      <c r="O5" s="1562"/>
      <c r="P5" s="1515"/>
      <c r="Q5" s="1515"/>
      <c r="R5" s="1515"/>
      <c r="S5" s="1515"/>
      <c r="T5" s="1516"/>
      <c r="U5" s="1562"/>
      <c r="V5" s="1515"/>
      <c r="W5" s="1515"/>
      <c r="X5" s="1515"/>
      <c r="Y5" s="1515"/>
      <c r="Z5" s="1516"/>
      <c r="AA5" s="1562"/>
      <c r="AB5" s="1515"/>
      <c r="AC5" s="1515"/>
      <c r="AD5" s="1515"/>
      <c r="AE5" s="1515"/>
      <c r="AF5" s="1516"/>
      <c r="AG5" s="1562"/>
      <c r="AH5" s="1515"/>
      <c r="AI5" s="1515"/>
      <c r="AJ5" s="1515"/>
      <c r="AK5" s="1515"/>
      <c r="AL5" s="1564"/>
      <c r="AM5" s="1556"/>
      <c r="AN5" s="1557"/>
      <c r="AO5" s="1557"/>
      <c r="AP5" s="1557"/>
      <c r="AQ5" s="1557"/>
      <c r="AR5" s="1558"/>
    </row>
    <row r="6" spans="2:47" s="72" customFormat="1" ht="20.25" customHeight="1" thickBot="1" x14ac:dyDescent="0.4">
      <c r="B6" s="1528"/>
      <c r="C6" s="1529"/>
      <c r="D6" s="1529"/>
      <c r="E6" s="1529"/>
      <c r="F6" s="1529"/>
      <c r="G6" s="1529"/>
      <c r="H6" s="1529"/>
      <c r="I6" s="1529"/>
      <c r="J6" s="1529"/>
      <c r="K6" s="1529"/>
      <c r="L6" s="1529"/>
      <c r="M6" s="1529"/>
      <c r="N6" s="1530"/>
      <c r="O6" s="1517" t="s">
        <v>14</v>
      </c>
      <c r="P6" s="1518"/>
      <c r="Q6" s="1519"/>
      <c r="R6" s="1520" t="s">
        <v>15</v>
      </c>
      <c r="S6" s="1518"/>
      <c r="T6" s="1521"/>
      <c r="U6" s="1517" t="s">
        <v>14</v>
      </c>
      <c r="V6" s="1518"/>
      <c r="W6" s="1519"/>
      <c r="X6" s="1520" t="s">
        <v>15</v>
      </c>
      <c r="Y6" s="1518"/>
      <c r="Z6" s="1521"/>
      <c r="AA6" s="1517" t="s">
        <v>14</v>
      </c>
      <c r="AB6" s="1518"/>
      <c r="AC6" s="1519"/>
      <c r="AD6" s="1520" t="s">
        <v>15</v>
      </c>
      <c r="AE6" s="1518"/>
      <c r="AF6" s="1521"/>
      <c r="AG6" s="1517" t="s">
        <v>14</v>
      </c>
      <c r="AH6" s="1518"/>
      <c r="AI6" s="1519"/>
      <c r="AJ6" s="1520" t="s">
        <v>15</v>
      </c>
      <c r="AK6" s="1518"/>
      <c r="AL6" s="1536"/>
      <c r="AM6" s="1537" t="s">
        <v>14</v>
      </c>
      <c r="AN6" s="1518"/>
      <c r="AO6" s="1519"/>
      <c r="AP6" s="1520" t="s">
        <v>15</v>
      </c>
      <c r="AQ6" s="1518"/>
      <c r="AR6" s="1521"/>
    </row>
    <row r="7" spans="2:47" s="72" customFormat="1" ht="30" customHeight="1" x14ac:dyDescent="0.35">
      <c r="B7" s="1538" t="s">
        <v>943</v>
      </c>
      <c r="C7" s="1539"/>
      <c r="D7" s="1539"/>
      <c r="E7" s="1539"/>
      <c r="F7" s="1539"/>
      <c r="G7" s="1539"/>
      <c r="H7" s="1539"/>
      <c r="I7" s="1539"/>
      <c r="J7" s="1539"/>
      <c r="K7" s="1539"/>
      <c r="L7" s="1539"/>
      <c r="M7" s="1539"/>
      <c r="N7" s="1540"/>
      <c r="O7" s="1541"/>
      <c r="P7" s="1542"/>
      <c r="Q7" s="1542"/>
      <c r="R7" s="1542"/>
      <c r="S7" s="1542"/>
      <c r="T7" s="1542"/>
      <c r="U7" s="1542"/>
      <c r="V7" s="1542"/>
      <c r="W7" s="1542"/>
      <c r="X7" s="1542"/>
      <c r="Y7" s="1542"/>
      <c r="Z7" s="1542"/>
      <c r="AA7" s="1542"/>
      <c r="AB7" s="1542"/>
      <c r="AC7" s="1542"/>
      <c r="AD7" s="1542"/>
      <c r="AE7" s="1542"/>
      <c r="AF7" s="1542"/>
      <c r="AG7" s="1542"/>
      <c r="AH7" s="1542"/>
      <c r="AI7" s="1542"/>
      <c r="AJ7" s="1542"/>
      <c r="AK7" s="1542"/>
      <c r="AL7" s="1542"/>
      <c r="AM7" s="1542"/>
      <c r="AN7" s="1542"/>
      <c r="AO7" s="1542"/>
      <c r="AP7" s="1542"/>
      <c r="AQ7" s="1542"/>
      <c r="AR7" s="1543"/>
    </row>
    <row r="8" spans="2:47" s="72" customFormat="1" ht="30" customHeight="1" x14ac:dyDescent="0.35">
      <c r="B8" s="125"/>
      <c r="C8" s="126"/>
      <c r="D8" s="126" t="s">
        <v>944</v>
      </c>
      <c r="E8" s="126"/>
      <c r="F8" s="126"/>
      <c r="G8" s="126"/>
      <c r="H8" s="126"/>
      <c r="I8" s="126"/>
      <c r="J8" s="126"/>
      <c r="K8" s="126"/>
      <c r="L8" s="126"/>
      <c r="M8" s="126"/>
      <c r="N8" s="108"/>
      <c r="O8" s="1544">
        <v>0</v>
      </c>
      <c r="P8" s="1545"/>
      <c r="Q8" s="1546"/>
      <c r="R8" s="1547">
        <v>0</v>
      </c>
      <c r="S8" s="1545"/>
      <c r="T8" s="1548"/>
      <c r="U8" s="1544">
        <v>2</v>
      </c>
      <c r="V8" s="1545"/>
      <c r="W8" s="1546"/>
      <c r="X8" s="1547">
        <v>40</v>
      </c>
      <c r="Y8" s="1545"/>
      <c r="Z8" s="1548"/>
      <c r="AA8" s="1544">
        <v>1</v>
      </c>
      <c r="AB8" s="1545"/>
      <c r="AC8" s="1546"/>
      <c r="AD8" s="1547">
        <v>40</v>
      </c>
      <c r="AE8" s="1545"/>
      <c r="AF8" s="1548"/>
      <c r="AG8" s="1544">
        <v>1</v>
      </c>
      <c r="AH8" s="1545"/>
      <c r="AI8" s="1546"/>
      <c r="AJ8" s="1547">
        <v>48</v>
      </c>
      <c r="AK8" s="1545"/>
      <c r="AL8" s="1565"/>
      <c r="AM8" s="1459">
        <f>SUM(O8,U8,AA8,AG8)</f>
        <v>4</v>
      </c>
      <c r="AN8" s="1457"/>
      <c r="AO8" s="1460"/>
      <c r="AP8" s="1456">
        <f>SUM(R8,X8,AD8,AJ8)</f>
        <v>128</v>
      </c>
      <c r="AQ8" s="1457"/>
      <c r="AR8" s="1458"/>
    </row>
    <row r="9" spans="2:47" s="72" customFormat="1" ht="30" customHeight="1" x14ac:dyDescent="0.35">
      <c r="B9" s="125"/>
      <c r="C9" s="126"/>
      <c r="D9" s="126" t="s">
        <v>945</v>
      </c>
      <c r="E9" s="126"/>
      <c r="F9" s="126"/>
      <c r="G9" s="126"/>
      <c r="H9" s="126"/>
      <c r="I9" s="126"/>
      <c r="J9" s="126"/>
      <c r="K9" s="126"/>
      <c r="L9" s="126"/>
      <c r="M9" s="126"/>
      <c r="N9" s="108"/>
      <c r="O9" s="1544">
        <v>66</v>
      </c>
      <c r="P9" s="1545"/>
      <c r="Q9" s="1546"/>
      <c r="R9" s="1547">
        <v>84</v>
      </c>
      <c r="S9" s="1545"/>
      <c r="T9" s="1548"/>
      <c r="U9" s="1544">
        <v>0</v>
      </c>
      <c r="V9" s="1545"/>
      <c r="W9" s="1546"/>
      <c r="X9" s="1547">
        <v>30</v>
      </c>
      <c r="Y9" s="1545"/>
      <c r="Z9" s="1548"/>
      <c r="AA9" s="1544">
        <v>2</v>
      </c>
      <c r="AB9" s="1545"/>
      <c r="AC9" s="1546"/>
      <c r="AD9" s="1547">
        <v>27</v>
      </c>
      <c r="AE9" s="1545"/>
      <c r="AF9" s="1548"/>
      <c r="AG9" s="1544">
        <v>3</v>
      </c>
      <c r="AH9" s="1545"/>
      <c r="AI9" s="1546"/>
      <c r="AJ9" s="1547">
        <v>20</v>
      </c>
      <c r="AK9" s="1545"/>
      <c r="AL9" s="1565"/>
      <c r="AM9" s="1459">
        <f t="shared" ref="AM9:AM20" si="0">SUM(O9,U9,AA9,AG9)</f>
        <v>71</v>
      </c>
      <c r="AN9" s="1457"/>
      <c r="AO9" s="1460"/>
      <c r="AP9" s="1456">
        <f t="shared" ref="AP9:AP20" si="1">SUM(R9,X9,AD9,AJ9)</f>
        <v>161</v>
      </c>
      <c r="AQ9" s="1457"/>
      <c r="AR9" s="1458"/>
    </row>
    <row r="10" spans="2:47" s="72" customFormat="1" ht="30" customHeight="1" x14ac:dyDescent="0.35">
      <c r="B10" s="125"/>
      <c r="C10" s="126"/>
      <c r="D10" s="126" t="s">
        <v>946</v>
      </c>
      <c r="E10" s="126"/>
      <c r="F10" s="126"/>
      <c r="G10" s="126"/>
      <c r="H10" s="126"/>
      <c r="I10" s="126"/>
      <c r="J10" s="126"/>
      <c r="K10" s="126"/>
      <c r="L10" s="126"/>
      <c r="M10" s="126"/>
      <c r="N10" s="108"/>
      <c r="O10" s="1544">
        <v>0</v>
      </c>
      <c r="P10" s="1545"/>
      <c r="Q10" s="1546"/>
      <c r="R10" s="1547">
        <v>0</v>
      </c>
      <c r="S10" s="1545"/>
      <c r="T10" s="1548"/>
      <c r="U10" s="1544">
        <v>0</v>
      </c>
      <c r="V10" s="1545"/>
      <c r="W10" s="1546"/>
      <c r="X10" s="1547">
        <v>0</v>
      </c>
      <c r="Y10" s="1545"/>
      <c r="Z10" s="1548"/>
      <c r="AA10" s="1544">
        <v>0</v>
      </c>
      <c r="AB10" s="1545"/>
      <c r="AC10" s="1546"/>
      <c r="AD10" s="1547">
        <v>0</v>
      </c>
      <c r="AE10" s="1545"/>
      <c r="AF10" s="1548"/>
      <c r="AG10" s="1544">
        <v>0</v>
      </c>
      <c r="AH10" s="1545"/>
      <c r="AI10" s="1546"/>
      <c r="AJ10" s="1547">
        <v>0</v>
      </c>
      <c r="AK10" s="1545"/>
      <c r="AL10" s="1565"/>
      <c r="AM10" s="1459">
        <f t="shared" si="0"/>
        <v>0</v>
      </c>
      <c r="AN10" s="1457"/>
      <c r="AO10" s="1460"/>
      <c r="AP10" s="1456">
        <f t="shared" si="1"/>
        <v>0</v>
      </c>
      <c r="AQ10" s="1457"/>
      <c r="AR10" s="1458"/>
    </row>
    <row r="11" spans="2:47" s="72" customFormat="1" ht="30" customHeight="1" x14ac:dyDescent="0.35">
      <c r="B11" s="125"/>
      <c r="C11" s="126"/>
      <c r="D11" s="126" t="s">
        <v>947</v>
      </c>
      <c r="E11" s="126"/>
      <c r="F11" s="126"/>
      <c r="G11" s="126"/>
      <c r="H11" s="126"/>
      <c r="I11" s="126"/>
      <c r="J11" s="126"/>
      <c r="K11" s="126"/>
      <c r="L11" s="126"/>
      <c r="M11" s="126"/>
      <c r="N11" s="108"/>
      <c r="O11" s="1544">
        <v>0</v>
      </c>
      <c r="P11" s="1545"/>
      <c r="Q11" s="1546"/>
      <c r="R11" s="1547">
        <v>0</v>
      </c>
      <c r="S11" s="1545"/>
      <c r="T11" s="1548"/>
      <c r="U11" s="1544">
        <v>0</v>
      </c>
      <c r="V11" s="1545"/>
      <c r="W11" s="1546"/>
      <c r="X11" s="1547">
        <v>0</v>
      </c>
      <c r="Y11" s="1545"/>
      <c r="Z11" s="1548"/>
      <c r="AA11" s="1544">
        <v>0</v>
      </c>
      <c r="AB11" s="1545"/>
      <c r="AC11" s="1546"/>
      <c r="AD11" s="1547">
        <v>0</v>
      </c>
      <c r="AE11" s="1545"/>
      <c r="AF11" s="1548"/>
      <c r="AG11" s="1544">
        <v>0</v>
      </c>
      <c r="AH11" s="1545"/>
      <c r="AI11" s="1546"/>
      <c r="AJ11" s="1547">
        <v>0</v>
      </c>
      <c r="AK11" s="1545"/>
      <c r="AL11" s="1565"/>
      <c r="AM11" s="1459">
        <f t="shared" si="0"/>
        <v>0</v>
      </c>
      <c r="AN11" s="1457"/>
      <c r="AO11" s="1460"/>
      <c r="AP11" s="1456">
        <f t="shared" si="1"/>
        <v>0</v>
      </c>
      <c r="AQ11" s="1457"/>
      <c r="AR11" s="1458"/>
    </row>
    <row r="12" spans="2:47" s="72" customFormat="1" ht="30" customHeight="1" x14ac:dyDescent="0.35">
      <c r="B12" s="125"/>
      <c r="C12" s="126"/>
      <c r="D12" s="126" t="s">
        <v>956</v>
      </c>
      <c r="E12" s="126"/>
      <c r="F12" s="126"/>
      <c r="G12" s="126"/>
      <c r="H12" s="126"/>
      <c r="I12" s="126"/>
      <c r="J12" s="126"/>
      <c r="K12" s="126"/>
      <c r="L12" s="126"/>
      <c r="M12" s="126"/>
      <c r="N12" s="108"/>
      <c r="O12" s="1544">
        <v>0</v>
      </c>
      <c r="P12" s="1545"/>
      <c r="Q12" s="1546"/>
      <c r="R12" s="1547">
        <v>0</v>
      </c>
      <c r="S12" s="1545"/>
      <c r="T12" s="1548"/>
      <c r="U12" s="1544">
        <v>0</v>
      </c>
      <c r="V12" s="1545"/>
      <c r="W12" s="1546"/>
      <c r="X12" s="1547">
        <v>0</v>
      </c>
      <c r="Y12" s="1545"/>
      <c r="Z12" s="1548"/>
      <c r="AA12" s="1544">
        <v>0</v>
      </c>
      <c r="AB12" s="1545"/>
      <c r="AC12" s="1546"/>
      <c r="AD12" s="1547">
        <v>0</v>
      </c>
      <c r="AE12" s="1545"/>
      <c r="AF12" s="1548"/>
      <c r="AG12" s="1544">
        <v>0</v>
      </c>
      <c r="AH12" s="1545"/>
      <c r="AI12" s="1546"/>
      <c r="AJ12" s="1547">
        <v>0</v>
      </c>
      <c r="AK12" s="1545"/>
      <c r="AL12" s="1565"/>
      <c r="AM12" s="1459">
        <f t="shared" si="0"/>
        <v>0</v>
      </c>
      <c r="AN12" s="1457"/>
      <c r="AO12" s="1460"/>
      <c r="AP12" s="1456">
        <f t="shared" si="1"/>
        <v>0</v>
      </c>
      <c r="AQ12" s="1457"/>
      <c r="AR12" s="1458"/>
    </row>
    <row r="13" spans="2:47" s="72" customFormat="1" ht="30" customHeight="1" x14ac:dyDescent="0.35">
      <c r="B13" s="125"/>
      <c r="C13" s="126"/>
      <c r="D13" s="126" t="s">
        <v>948</v>
      </c>
      <c r="E13" s="126"/>
      <c r="F13" s="126"/>
      <c r="G13" s="126"/>
      <c r="H13" s="126"/>
      <c r="I13" s="126"/>
      <c r="J13" s="126"/>
      <c r="K13" s="126"/>
      <c r="L13" s="126"/>
      <c r="M13" s="126"/>
      <c r="N13" s="108"/>
      <c r="O13" s="1544">
        <v>0</v>
      </c>
      <c r="P13" s="1545"/>
      <c r="Q13" s="1546"/>
      <c r="R13" s="1547">
        <v>0</v>
      </c>
      <c r="S13" s="1545"/>
      <c r="T13" s="1548"/>
      <c r="U13" s="1544">
        <v>0</v>
      </c>
      <c r="V13" s="1545"/>
      <c r="W13" s="1546"/>
      <c r="X13" s="1547">
        <v>0</v>
      </c>
      <c r="Y13" s="1545"/>
      <c r="Z13" s="1548"/>
      <c r="AA13" s="1544">
        <v>0</v>
      </c>
      <c r="AB13" s="1545"/>
      <c r="AC13" s="1546"/>
      <c r="AD13" s="1547">
        <v>0</v>
      </c>
      <c r="AE13" s="1545"/>
      <c r="AF13" s="1548"/>
      <c r="AG13" s="1544">
        <v>0</v>
      </c>
      <c r="AH13" s="1545"/>
      <c r="AI13" s="1546"/>
      <c r="AJ13" s="1547">
        <v>0</v>
      </c>
      <c r="AK13" s="1545"/>
      <c r="AL13" s="1565"/>
      <c r="AM13" s="1459">
        <f t="shared" si="0"/>
        <v>0</v>
      </c>
      <c r="AN13" s="1457"/>
      <c r="AO13" s="1460"/>
      <c r="AP13" s="1456">
        <f t="shared" si="1"/>
        <v>0</v>
      </c>
      <c r="AQ13" s="1457"/>
      <c r="AR13" s="1458"/>
      <c r="AS13" s="130"/>
    </row>
    <row r="14" spans="2:47" s="72" customFormat="1" ht="30" customHeight="1" x14ac:dyDescent="0.35">
      <c r="B14" s="125"/>
      <c r="C14" s="126"/>
      <c r="D14" s="126" t="s">
        <v>949</v>
      </c>
      <c r="E14" s="126"/>
      <c r="F14" s="126"/>
      <c r="G14" s="126"/>
      <c r="H14" s="126"/>
      <c r="I14" s="126"/>
      <c r="J14" s="126"/>
      <c r="K14" s="126"/>
      <c r="L14" s="126"/>
      <c r="M14" s="126"/>
      <c r="N14" s="108"/>
      <c r="O14" s="1544">
        <v>60</v>
      </c>
      <c r="P14" s="1545"/>
      <c r="Q14" s="1546"/>
      <c r="R14" s="1547">
        <v>44</v>
      </c>
      <c r="S14" s="1545"/>
      <c r="T14" s="1548"/>
      <c r="U14" s="1544">
        <v>17</v>
      </c>
      <c r="V14" s="1545"/>
      <c r="W14" s="1546"/>
      <c r="X14" s="1547">
        <v>0</v>
      </c>
      <c r="Y14" s="1545"/>
      <c r="Z14" s="1548"/>
      <c r="AA14" s="1544">
        <v>19</v>
      </c>
      <c r="AB14" s="1545"/>
      <c r="AC14" s="1546"/>
      <c r="AD14" s="1547">
        <v>0</v>
      </c>
      <c r="AE14" s="1545"/>
      <c r="AF14" s="1548"/>
      <c r="AG14" s="1544">
        <v>10</v>
      </c>
      <c r="AH14" s="1545"/>
      <c r="AI14" s="1546"/>
      <c r="AJ14" s="1547">
        <v>1</v>
      </c>
      <c r="AK14" s="1545"/>
      <c r="AL14" s="1565"/>
      <c r="AM14" s="1459">
        <f t="shared" si="0"/>
        <v>106</v>
      </c>
      <c r="AN14" s="1457"/>
      <c r="AO14" s="1460"/>
      <c r="AP14" s="1456">
        <f t="shared" si="1"/>
        <v>45</v>
      </c>
      <c r="AQ14" s="1457"/>
      <c r="AR14" s="1458"/>
    </row>
    <row r="15" spans="2:47" s="72" customFormat="1" ht="30" customHeight="1" x14ac:dyDescent="0.35">
      <c r="B15" s="125"/>
      <c r="C15" s="126"/>
      <c r="D15" s="126" t="s">
        <v>954</v>
      </c>
      <c r="E15" s="126"/>
      <c r="F15" s="126"/>
      <c r="G15" s="126"/>
      <c r="H15" s="126"/>
      <c r="I15" s="126"/>
      <c r="J15" s="126"/>
      <c r="K15" s="126"/>
      <c r="L15" s="126"/>
      <c r="M15" s="126"/>
      <c r="N15" s="108"/>
      <c r="O15" s="1544">
        <v>0</v>
      </c>
      <c r="P15" s="1545"/>
      <c r="Q15" s="1546"/>
      <c r="R15" s="1547">
        <v>0</v>
      </c>
      <c r="S15" s="1545"/>
      <c r="T15" s="1548"/>
      <c r="U15" s="1544">
        <v>18</v>
      </c>
      <c r="V15" s="1545"/>
      <c r="W15" s="1546"/>
      <c r="X15" s="1547">
        <v>3</v>
      </c>
      <c r="Y15" s="1545"/>
      <c r="Z15" s="1548"/>
      <c r="AA15" s="1544">
        <v>13</v>
      </c>
      <c r="AB15" s="1545"/>
      <c r="AC15" s="1546"/>
      <c r="AD15" s="1547">
        <v>8</v>
      </c>
      <c r="AE15" s="1545"/>
      <c r="AF15" s="1548"/>
      <c r="AG15" s="1544">
        <v>10</v>
      </c>
      <c r="AH15" s="1545"/>
      <c r="AI15" s="1546"/>
      <c r="AJ15" s="1547">
        <v>10</v>
      </c>
      <c r="AK15" s="1545"/>
      <c r="AL15" s="1565"/>
      <c r="AM15" s="1459">
        <f t="shared" si="0"/>
        <v>41</v>
      </c>
      <c r="AN15" s="1457"/>
      <c r="AO15" s="1460"/>
      <c r="AP15" s="1456">
        <f t="shared" si="1"/>
        <v>21</v>
      </c>
      <c r="AQ15" s="1457"/>
      <c r="AR15" s="1458"/>
    </row>
    <row r="16" spans="2:47" s="72" customFormat="1" ht="30" customHeight="1" x14ac:dyDescent="0.35">
      <c r="B16" s="125"/>
      <c r="C16" s="126"/>
      <c r="D16" s="126" t="s">
        <v>950</v>
      </c>
      <c r="E16" s="126"/>
      <c r="F16" s="126"/>
      <c r="G16" s="126"/>
      <c r="H16" s="126"/>
      <c r="I16" s="126"/>
      <c r="J16" s="126"/>
      <c r="K16" s="126"/>
      <c r="L16" s="126"/>
      <c r="M16" s="126"/>
      <c r="N16" s="108"/>
      <c r="O16" s="1544">
        <v>88</v>
      </c>
      <c r="P16" s="1545"/>
      <c r="Q16" s="1546"/>
      <c r="R16" s="1547">
        <v>58</v>
      </c>
      <c r="S16" s="1545"/>
      <c r="T16" s="1548"/>
      <c r="U16" s="1544">
        <v>33</v>
      </c>
      <c r="V16" s="1545"/>
      <c r="W16" s="1546"/>
      <c r="X16" s="1547">
        <v>2</v>
      </c>
      <c r="Y16" s="1545"/>
      <c r="Z16" s="1548"/>
      <c r="AA16" s="1544">
        <v>39</v>
      </c>
      <c r="AB16" s="1545"/>
      <c r="AC16" s="1546"/>
      <c r="AD16" s="1547">
        <v>4</v>
      </c>
      <c r="AE16" s="1545"/>
      <c r="AF16" s="1548"/>
      <c r="AG16" s="1544">
        <v>75</v>
      </c>
      <c r="AH16" s="1545"/>
      <c r="AI16" s="1546"/>
      <c r="AJ16" s="1547">
        <v>2</v>
      </c>
      <c r="AK16" s="1545"/>
      <c r="AL16" s="1565"/>
      <c r="AM16" s="1459">
        <f t="shared" si="0"/>
        <v>235</v>
      </c>
      <c r="AN16" s="1457"/>
      <c r="AO16" s="1460"/>
      <c r="AP16" s="1456">
        <f t="shared" si="1"/>
        <v>66</v>
      </c>
      <c r="AQ16" s="1457"/>
      <c r="AR16" s="1458"/>
    </row>
    <row r="17" spans="2:45" s="72" customFormat="1" ht="30" customHeight="1" x14ac:dyDescent="0.35">
      <c r="B17" s="125"/>
      <c r="C17" s="126"/>
      <c r="D17" s="126" t="s">
        <v>955</v>
      </c>
      <c r="E17" s="126"/>
      <c r="F17" s="126"/>
      <c r="G17" s="126"/>
      <c r="H17" s="126"/>
      <c r="I17" s="126"/>
      <c r="J17" s="126"/>
      <c r="K17" s="126"/>
      <c r="L17" s="126"/>
      <c r="M17" s="126"/>
      <c r="N17" s="108"/>
      <c r="O17" s="1544">
        <v>36</v>
      </c>
      <c r="P17" s="1545"/>
      <c r="Q17" s="1546"/>
      <c r="R17" s="1547">
        <v>45</v>
      </c>
      <c r="S17" s="1545"/>
      <c r="T17" s="1548"/>
      <c r="U17" s="1544">
        <v>39</v>
      </c>
      <c r="V17" s="1545"/>
      <c r="W17" s="1546"/>
      <c r="X17" s="1547">
        <v>8</v>
      </c>
      <c r="Y17" s="1545"/>
      <c r="Z17" s="1548"/>
      <c r="AA17" s="1544">
        <v>39</v>
      </c>
      <c r="AB17" s="1545"/>
      <c r="AC17" s="1546"/>
      <c r="AD17" s="1547">
        <v>4</v>
      </c>
      <c r="AE17" s="1545"/>
      <c r="AF17" s="1548"/>
      <c r="AG17" s="1544">
        <v>75</v>
      </c>
      <c r="AH17" s="1545"/>
      <c r="AI17" s="1546"/>
      <c r="AJ17" s="1547">
        <v>3</v>
      </c>
      <c r="AK17" s="1545"/>
      <c r="AL17" s="1565"/>
      <c r="AM17" s="1459">
        <f t="shared" si="0"/>
        <v>189</v>
      </c>
      <c r="AN17" s="1457"/>
      <c r="AO17" s="1460"/>
      <c r="AP17" s="1456">
        <f t="shared" si="1"/>
        <v>60</v>
      </c>
      <c r="AQ17" s="1457"/>
      <c r="AR17" s="1458"/>
    </row>
    <row r="18" spans="2:45" s="72" customFormat="1" ht="30" customHeight="1" x14ac:dyDescent="0.35">
      <c r="B18" s="125"/>
      <c r="C18" s="126"/>
      <c r="D18" s="126" t="s">
        <v>951</v>
      </c>
      <c r="E18" s="126"/>
      <c r="F18" s="126"/>
      <c r="G18" s="126"/>
      <c r="H18" s="126"/>
      <c r="I18" s="126"/>
      <c r="J18" s="126"/>
      <c r="K18" s="126"/>
      <c r="L18" s="126"/>
      <c r="M18" s="126"/>
      <c r="N18" s="108"/>
      <c r="O18" s="1544">
        <v>43</v>
      </c>
      <c r="P18" s="1545"/>
      <c r="Q18" s="1546"/>
      <c r="R18" s="1547">
        <v>26</v>
      </c>
      <c r="S18" s="1545"/>
      <c r="T18" s="1548"/>
      <c r="U18" s="1544">
        <v>23</v>
      </c>
      <c r="V18" s="1545"/>
      <c r="W18" s="1546"/>
      <c r="X18" s="1547">
        <v>4</v>
      </c>
      <c r="Y18" s="1545"/>
      <c r="Z18" s="1548"/>
      <c r="AA18" s="1544">
        <v>32</v>
      </c>
      <c r="AB18" s="1545"/>
      <c r="AC18" s="1546"/>
      <c r="AD18" s="1547">
        <v>2</v>
      </c>
      <c r="AE18" s="1545"/>
      <c r="AF18" s="1548"/>
      <c r="AG18" s="1544">
        <v>50</v>
      </c>
      <c r="AH18" s="1545"/>
      <c r="AI18" s="1546"/>
      <c r="AJ18" s="1547">
        <v>3</v>
      </c>
      <c r="AK18" s="1545"/>
      <c r="AL18" s="1565"/>
      <c r="AM18" s="1459">
        <f t="shared" si="0"/>
        <v>148</v>
      </c>
      <c r="AN18" s="1457"/>
      <c r="AO18" s="1460"/>
      <c r="AP18" s="1456">
        <f t="shared" si="1"/>
        <v>35</v>
      </c>
      <c r="AQ18" s="1457"/>
      <c r="AR18" s="1458"/>
    </row>
    <row r="19" spans="2:45" s="72" customFormat="1" ht="30" customHeight="1" x14ac:dyDescent="0.35">
      <c r="B19" s="125"/>
      <c r="C19" s="126"/>
      <c r="D19" s="126" t="s">
        <v>952</v>
      </c>
      <c r="E19" s="126"/>
      <c r="F19" s="126"/>
      <c r="G19" s="126"/>
      <c r="H19" s="126"/>
      <c r="I19" s="126"/>
      <c r="J19" s="126"/>
      <c r="K19" s="126"/>
      <c r="L19" s="126"/>
      <c r="M19" s="126"/>
      <c r="N19" s="108"/>
      <c r="O19" s="1544">
        <v>0</v>
      </c>
      <c r="P19" s="1545"/>
      <c r="Q19" s="1546"/>
      <c r="R19" s="1547">
        <v>0</v>
      </c>
      <c r="S19" s="1545"/>
      <c r="T19" s="1548"/>
      <c r="U19" s="1544">
        <v>0</v>
      </c>
      <c r="V19" s="1545"/>
      <c r="W19" s="1546"/>
      <c r="X19" s="1547">
        <v>0</v>
      </c>
      <c r="Y19" s="1545"/>
      <c r="Z19" s="1548"/>
      <c r="AA19" s="1544">
        <v>0</v>
      </c>
      <c r="AB19" s="1545"/>
      <c r="AC19" s="1546"/>
      <c r="AD19" s="1547">
        <v>0</v>
      </c>
      <c r="AE19" s="1545"/>
      <c r="AF19" s="1548"/>
      <c r="AG19" s="1544">
        <v>0</v>
      </c>
      <c r="AH19" s="1545"/>
      <c r="AI19" s="1546"/>
      <c r="AJ19" s="1547">
        <v>0</v>
      </c>
      <c r="AK19" s="1545"/>
      <c r="AL19" s="1565"/>
      <c r="AM19" s="1459">
        <f t="shared" si="0"/>
        <v>0</v>
      </c>
      <c r="AN19" s="1457"/>
      <c r="AO19" s="1460"/>
      <c r="AP19" s="1456">
        <f t="shared" si="1"/>
        <v>0</v>
      </c>
      <c r="AQ19" s="1457"/>
      <c r="AR19" s="1458"/>
      <c r="AS19" s="130"/>
    </row>
    <row r="20" spans="2:45" s="72" customFormat="1" ht="30" customHeight="1" x14ac:dyDescent="0.35">
      <c r="B20" s="125"/>
      <c r="C20" s="126"/>
      <c r="D20" s="126" t="s">
        <v>953</v>
      </c>
      <c r="E20" s="126"/>
      <c r="F20" s="126"/>
      <c r="G20" s="126"/>
      <c r="H20" s="126"/>
      <c r="I20" s="126"/>
      <c r="J20" s="126"/>
      <c r="K20" s="126"/>
      <c r="L20" s="126"/>
      <c r="M20" s="126"/>
      <c r="N20" s="108"/>
      <c r="O20" s="1544">
        <v>0</v>
      </c>
      <c r="P20" s="1545"/>
      <c r="Q20" s="1546"/>
      <c r="R20" s="1547">
        <v>0</v>
      </c>
      <c r="S20" s="1545"/>
      <c r="T20" s="1548"/>
      <c r="U20" s="1544">
        <v>0</v>
      </c>
      <c r="V20" s="1545"/>
      <c r="W20" s="1546"/>
      <c r="X20" s="1547">
        <v>0</v>
      </c>
      <c r="Y20" s="1545"/>
      <c r="Z20" s="1548"/>
      <c r="AA20" s="1544">
        <v>0</v>
      </c>
      <c r="AB20" s="1545"/>
      <c r="AC20" s="1546"/>
      <c r="AD20" s="1547">
        <v>0</v>
      </c>
      <c r="AE20" s="1545"/>
      <c r="AF20" s="1548"/>
      <c r="AG20" s="1544">
        <v>0</v>
      </c>
      <c r="AH20" s="1545"/>
      <c r="AI20" s="1546"/>
      <c r="AJ20" s="1547">
        <v>0</v>
      </c>
      <c r="AK20" s="1545"/>
      <c r="AL20" s="1565"/>
      <c r="AM20" s="1459">
        <f t="shared" si="0"/>
        <v>0</v>
      </c>
      <c r="AN20" s="1457"/>
      <c r="AO20" s="1460"/>
      <c r="AP20" s="1456">
        <f t="shared" si="1"/>
        <v>0</v>
      </c>
      <c r="AQ20" s="1457"/>
      <c r="AR20" s="1458"/>
    </row>
    <row r="21" spans="2:45" s="72" customFormat="1" ht="30" customHeight="1" x14ac:dyDescent="0.35">
      <c r="B21" s="1566" t="s">
        <v>957</v>
      </c>
      <c r="C21" s="1567"/>
      <c r="D21" s="1567"/>
      <c r="E21" s="1567"/>
      <c r="F21" s="1567"/>
      <c r="G21" s="1567"/>
      <c r="H21" s="1567"/>
      <c r="I21" s="1567"/>
      <c r="J21" s="1567"/>
      <c r="K21" s="1567"/>
      <c r="L21" s="1567"/>
      <c r="M21" s="1567"/>
      <c r="N21" s="1568"/>
      <c r="O21" s="1569"/>
      <c r="P21" s="1570"/>
      <c r="Q21" s="1570"/>
      <c r="R21" s="1570"/>
      <c r="S21" s="1570"/>
      <c r="T21" s="1570"/>
      <c r="U21" s="1570"/>
      <c r="V21" s="1570"/>
      <c r="W21" s="1570"/>
      <c r="X21" s="1570"/>
      <c r="Y21" s="1570"/>
      <c r="Z21" s="1570"/>
      <c r="AA21" s="1570"/>
      <c r="AB21" s="1570"/>
      <c r="AC21" s="1570"/>
      <c r="AD21" s="1570"/>
      <c r="AE21" s="1570"/>
      <c r="AF21" s="1570"/>
      <c r="AG21" s="1570"/>
      <c r="AH21" s="1570"/>
      <c r="AI21" s="1570"/>
      <c r="AJ21" s="1570"/>
      <c r="AK21" s="1570"/>
      <c r="AL21" s="1570"/>
      <c r="AM21" s="1570"/>
      <c r="AN21" s="1570"/>
      <c r="AO21" s="1570"/>
      <c r="AP21" s="1570"/>
      <c r="AQ21" s="1570"/>
      <c r="AR21" s="1571"/>
    </row>
    <row r="22" spans="2:45" s="72" customFormat="1" ht="30" customHeight="1" x14ac:dyDescent="0.35">
      <c r="B22" s="125"/>
      <c r="C22" s="126"/>
      <c r="D22" s="126" t="s">
        <v>960</v>
      </c>
      <c r="E22" s="126"/>
      <c r="F22" s="126"/>
      <c r="G22" s="126"/>
      <c r="H22" s="126"/>
      <c r="I22" s="126"/>
      <c r="J22" s="126"/>
      <c r="K22" s="126"/>
      <c r="L22" s="126"/>
      <c r="M22" s="126"/>
      <c r="N22" s="108"/>
      <c r="O22" s="1544">
        <v>0</v>
      </c>
      <c r="P22" s="1545"/>
      <c r="Q22" s="1546"/>
      <c r="R22" s="1547">
        <v>0</v>
      </c>
      <c r="S22" s="1545"/>
      <c r="T22" s="1548"/>
      <c r="U22" s="1544">
        <v>0</v>
      </c>
      <c r="V22" s="1545"/>
      <c r="W22" s="1546"/>
      <c r="X22" s="1547">
        <v>0</v>
      </c>
      <c r="Y22" s="1545"/>
      <c r="Z22" s="1548"/>
      <c r="AA22" s="1544">
        <v>0</v>
      </c>
      <c r="AB22" s="1545"/>
      <c r="AC22" s="1546"/>
      <c r="AD22" s="1547">
        <v>0</v>
      </c>
      <c r="AE22" s="1545"/>
      <c r="AF22" s="1548"/>
      <c r="AG22" s="1544">
        <v>0</v>
      </c>
      <c r="AH22" s="1545"/>
      <c r="AI22" s="1546"/>
      <c r="AJ22" s="1547">
        <v>0</v>
      </c>
      <c r="AK22" s="1545"/>
      <c r="AL22" s="1548"/>
      <c r="AM22" s="1459">
        <f>SUM(O22,U22,AA22,AG22)</f>
        <v>0</v>
      </c>
      <c r="AN22" s="1457"/>
      <c r="AO22" s="1460"/>
      <c r="AP22" s="1456">
        <f>SUM(R22,X22,AD22,AJ22)</f>
        <v>0</v>
      </c>
      <c r="AQ22" s="1457"/>
      <c r="AR22" s="1458"/>
    </row>
    <row r="23" spans="2:45" s="72" customFormat="1" ht="30" customHeight="1" x14ac:dyDescent="0.35">
      <c r="B23" s="125"/>
      <c r="C23" s="126"/>
      <c r="D23" s="126" t="s">
        <v>958</v>
      </c>
      <c r="E23" s="126"/>
      <c r="F23" s="126"/>
      <c r="G23" s="126"/>
      <c r="H23" s="126"/>
      <c r="I23" s="126"/>
      <c r="J23" s="126"/>
      <c r="K23" s="126"/>
      <c r="L23" s="126"/>
      <c r="M23" s="126"/>
      <c r="N23" s="108"/>
      <c r="O23" s="1544">
        <v>0</v>
      </c>
      <c r="P23" s="1545"/>
      <c r="Q23" s="1546"/>
      <c r="R23" s="1547">
        <v>0</v>
      </c>
      <c r="S23" s="1545"/>
      <c r="T23" s="1548"/>
      <c r="U23" s="1544">
        <v>0</v>
      </c>
      <c r="V23" s="1545"/>
      <c r="W23" s="1546"/>
      <c r="X23" s="1547">
        <v>0</v>
      </c>
      <c r="Y23" s="1545"/>
      <c r="Z23" s="1548"/>
      <c r="AA23" s="1544">
        <v>0</v>
      </c>
      <c r="AB23" s="1545"/>
      <c r="AC23" s="1546"/>
      <c r="AD23" s="1547">
        <v>0</v>
      </c>
      <c r="AE23" s="1545"/>
      <c r="AF23" s="1548"/>
      <c r="AG23" s="1544">
        <v>0</v>
      </c>
      <c r="AH23" s="1545"/>
      <c r="AI23" s="1546"/>
      <c r="AJ23" s="1547">
        <v>0</v>
      </c>
      <c r="AK23" s="1545"/>
      <c r="AL23" s="1548"/>
      <c r="AM23" s="1459">
        <f t="shared" ref="AM23:AM24" si="2">SUM(O23,U23,AA23,AG23)</f>
        <v>0</v>
      </c>
      <c r="AN23" s="1457"/>
      <c r="AO23" s="1460"/>
      <c r="AP23" s="1456">
        <f t="shared" ref="AP23:AP24" si="3">SUM(R23,X23,AD23,AJ23)</f>
        <v>0</v>
      </c>
      <c r="AQ23" s="1457"/>
      <c r="AR23" s="1458"/>
    </row>
    <row r="24" spans="2:45" s="72" customFormat="1" ht="30" customHeight="1" x14ac:dyDescent="0.35">
      <c r="B24" s="125"/>
      <c r="C24" s="126"/>
      <c r="D24" s="126" t="s">
        <v>959</v>
      </c>
      <c r="E24" s="126"/>
      <c r="F24" s="126"/>
      <c r="G24" s="126"/>
      <c r="H24" s="126"/>
      <c r="I24" s="126"/>
      <c r="J24" s="126"/>
      <c r="K24" s="126"/>
      <c r="L24" s="126"/>
      <c r="M24" s="126"/>
      <c r="N24" s="108"/>
      <c r="O24" s="1544">
        <v>0</v>
      </c>
      <c r="P24" s="1545"/>
      <c r="Q24" s="1546"/>
      <c r="R24" s="1547">
        <v>0</v>
      </c>
      <c r="S24" s="1545"/>
      <c r="T24" s="1548"/>
      <c r="U24" s="1544">
        <v>9</v>
      </c>
      <c r="V24" s="1545"/>
      <c r="W24" s="1546"/>
      <c r="X24" s="1547">
        <v>15</v>
      </c>
      <c r="Y24" s="1545"/>
      <c r="Z24" s="1548"/>
      <c r="AA24" s="1544">
        <v>9</v>
      </c>
      <c r="AB24" s="1545"/>
      <c r="AC24" s="1546"/>
      <c r="AD24" s="1547">
        <v>23</v>
      </c>
      <c r="AE24" s="1545"/>
      <c r="AF24" s="1548"/>
      <c r="AG24" s="1544">
        <v>3</v>
      </c>
      <c r="AH24" s="1545"/>
      <c r="AI24" s="1546"/>
      <c r="AJ24" s="1547">
        <v>29</v>
      </c>
      <c r="AK24" s="1545"/>
      <c r="AL24" s="1548"/>
      <c r="AM24" s="1459">
        <f t="shared" si="2"/>
        <v>21</v>
      </c>
      <c r="AN24" s="1457"/>
      <c r="AO24" s="1460"/>
      <c r="AP24" s="1456">
        <f t="shared" si="3"/>
        <v>67</v>
      </c>
      <c r="AQ24" s="1457"/>
      <c r="AR24" s="1458"/>
    </row>
    <row r="25" spans="2:45" s="72" customFormat="1" ht="30" customHeight="1" x14ac:dyDescent="0.35">
      <c r="B25" s="1566" t="s">
        <v>961</v>
      </c>
      <c r="C25" s="1567"/>
      <c r="D25" s="1567"/>
      <c r="E25" s="1567"/>
      <c r="F25" s="1567"/>
      <c r="G25" s="1567"/>
      <c r="H25" s="1567"/>
      <c r="I25" s="1567"/>
      <c r="J25" s="1567"/>
      <c r="K25" s="1567"/>
      <c r="L25" s="1567"/>
      <c r="M25" s="1567"/>
      <c r="N25" s="1568"/>
      <c r="O25" s="1569"/>
      <c r="P25" s="1570"/>
      <c r="Q25" s="1570"/>
      <c r="R25" s="1570"/>
      <c r="S25" s="1570"/>
      <c r="T25" s="1570"/>
      <c r="U25" s="1570"/>
      <c r="V25" s="1570"/>
      <c r="W25" s="1570"/>
      <c r="X25" s="1570"/>
      <c r="Y25" s="1570"/>
      <c r="Z25" s="1570"/>
      <c r="AA25" s="1570"/>
      <c r="AB25" s="1570"/>
      <c r="AC25" s="1570"/>
      <c r="AD25" s="1570"/>
      <c r="AE25" s="1570"/>
      <c r="AF25" s="1570"/>
      <c r="AG25" s="1570"/>
      <c r="AH25" s="1570"/>
      <c r="AI25" s="1570"/>
      <c r="AJ25" s="1570"/>
      <c r="AK25" s="1570"/>
      <c r="AL25" s="1570"/>
      <c r="AM25" s="1570"/>
      <c r="AN25" s="1570"/>
      <c r="AO25" s="1570"/>
      <c r="AP25" s="1570"/>
      <c r="AQ25" s="1570"/>
      <c r="AR25" s="1571"/>
    </row>
    <row r="26" spans="2:45" s="72" customFormat="1" ht="30" customHeight="1" x14ac:dyDescent="0.35">
      <c r="B26" s="125"/>
      <c r="C26" s="126"/>
      <c r="D26" s="126" t="s">
        <v>962</v>
      </c>
      <c r="E26" s="126"/>
      <c r="F26" s="126"/>
      <c r="G26" s="126"/>
      <c r="H26" s="126"/>
      <c r="I26" s="126"/>
      <c r="J26" s="126"/>
      <c r="K26" s="126"/>
      <c r="L26" s="126"/>
      <c r="M26" s="126"/>
      <c r="N26" s="108"/>
      <c r="O26" s="1544">
        <v>0</v>
      </c>
      <c r="P26" s="1545"/>
      <c r="Q26" s="1546"/>
      <c r="R26" s="1547">
        <v>0</v>
      </c>
      <c r="S26" s="1545"/>
      <c r="T26" s="1548"/>
      <c r="U26" s="1544">
        <v>0</v>
      </c>
      <c r="V26" s="1545"/>
      <c r="W26" s="1546"/>
      <c r="X26" s="1547">
        <v>0</v>
      </c>
      <c r="Y26" s="1545"/>
      <c r="Z26" s="1548"/>
      <c r="AA26" s="1544">
        <v>0</v>
      </c>
      <c r="AB26" s="1545"/>
      <c r="AC26" s="1546"/>
      <c r="AD26" s="1547">
        <v>0</v>
      </c>
      <c r="AE26" s="1545"/>
      <c r="AF26" s="1548"/>
      <c r="AG26" s="1544">
        <v>0</v>
      </c>
      <c r="AH26" s="1545"/>
      <c r="AI26" s="1546"/>
      <c r="AJ26" s="1547">
        <v>0</v>
      </c>
      <c r="AK26" s="1545"/>
      <c r="AL26" s="1548"/>
      <c r="AM26" s="1459">
        <f>SUM(O26,U26,AA26,AG26)</f>
        <v>0</v>
      </c>
      <c r="AN26" s="1457"/>
      <c r="AO26" s="1460"/>
      <c r="AP26" s="1456">
        <f>SUM(R26,X26,AD26,AJ26)</f>
        <v>0</v>
      </c>
      <c r="AQ26" s="1457"/>
      <c r="AR26" s="1458"/>
    </row>
    <row r="27" spans="2:45" s="72" customFormat="1" ht="30" customHeight="1" x14ac:dyDescent="0.35">
      <c r="B27" s="1572" t="s">
        <v>972</v>
      </c>
      <c r="C27" s="1573"/>
      <c r="D27" s="1573"/>
      <c r="E27" s="1573"/>
      <c r="F27" s="1573"/>
      <c r="G27" s="1573"/>
      <c r="H27" s="1573"/>
      <c r="I27" s="1573"/>
      <c r="J27" s="1573"/>
      <c r="K27" s="1573"/>
      <c r="L27" s="1573"/>
      <c r="M27" s="1573"/>
      <c r="N27" s="1574"/>
      <c r="O27" s="1569"/>
      <c r="P27" s="1570"/>
      <c r="Q27" s="1570"/>
      <c r="R27" s="1570"/>
      <c r="S27" s="1570"/>
      <c r="T27" s="1570"/>
      <c r="U27" s="1570"/>
      <c r="V27" s="1570"/>
      <c r="W27" s="1570"/>
      <c r="X27" s="1570"/>
      <c r="Y27" s="1570"/>
      <c r="Z27" s="1570"/>
      <c r="AA27" s="1570"/>
      <c r="AB27" s="1570"/>
      <c r="AC27" s="1570"/>
      <c r="AD27" s="1570"/>
      <c r="AE27" s="1570"/>
      <c r="AF27" s="1570"/>
      <c r="AG27" s="1570"/>
      <c r="AH27" s="1570"/>
      <c r="AI27" s="1570"/>
      <c r="AJ27" s="1570"/>
      <c r="AK27" s="1570"/>
      <c r="AL27" s="1570"/>
      <c r="AM27" s="1570"/>
      <c r="AN27" s="1570"/>
      <c r="AO27" s="1570"/>
      <c r="AP27" s="1570"/>
      <c r="AQ27" s="1570"/>
      <c r="AR27" s="1571"/>
    </row>
    <row r="28" spans="2:45" s="72" customFormat="1" ht="30" customHeight="1" x14ac:dyDescent="0.35">
      <c r="B28" s="125"/>
      <c r="C28" s="126"/>
      <c r="D28" s="126" t="s">
        <v>963</v>
      </c>
      <c r="E28" s="126"/>
      <c r="F28" s="126"/>
      <c r="G28" s="126"/>
      <c r="H28" s="126"/>
      <c r="I28" s="126"/>
      <c r="J28" s="126"/>
      <c r="K28" s="126"/>
      <c r="L28" s="126"/>
      <c r="M28" s="126"/>
      <c r="N28" s="108"/>
      <c r="O28" s="1544">
        <v>186</v>
      </c>
      <c r="P28" s="1545"/>
      <c r="Q28" s="1546"/>
      <c r="R28" s="1547">
        <v>173</v>
      </c>
      <c r="S28" s="1545"/>
      <c r="T28" s="1548"/>
      <c r="U28" s="1544">
        <v>192</v>
      </c>
      <c r="V28" s="1545"/>
      <c r="W28" s="1546"/>
      <c r="X28" s="1547">
        <v>190</v>
      </c>
      <c r="Y28" s="1545"/>
      <c r="Z28" s="1548"/>
      <c r="AA28" s="1544">
        <v>181</v>
      </c>
      <c r="AB28" s="1545"/>
      <c r="AC28" s="1546"/>
      <c r="AD28" s="1547">
        <v>204</v>
      </c>
      <c r="AE28" s="1545"/>
      <c r="AF28" s="1548"/>
      <c r="AG28" s="1544">
        <v>0</v>
      </c>
      <c r="AH28" s="1545"/>
      <c r="AI28" s="1546"/>
      <c r="AJ28" s="1547">
        <v>0</v>
      </c>
      <c r="AK28" s="1545"/>
      <c r="AL28" s="1548"/>
      <c r="AM28" s="1459">
        <f>SUM(O28,U28,AA28,AG28)</f>
        <v>559</v>
      </c>
      <c r="AN28" s="1457"/>
      <c r="AO28" s="1460"/>
      <c r="AP28" s="1456">
        <f>SUM(R28,X28,AD28,AJ28)</f>
        <v>567</v>
      </c>
      <c r="AQ28" s="1457"/>
      <c r="AR28" s="1458"/>
    </row>
    <row r="29" spans="2:45" s="72" customFormat="1" ht="30" customHeight="1" x14ac:dyDescent="0.35">
      <c r="B29" s="125"/>
      <c r="C29" s="126"/>
      <c r="D29" s="126" t="s">
        <v>964</v>
      </c>
      <c r="E29" s="126"/>
      <c r="F29" s="126"/>
      <c r="G29" s="126"/>
      <c r="H29" s="126"/>
      <c r="I29" s="126"/>
      <c r="J29" s="126"/>
      <c r="K29" s="126"/>
      <c r="L29" s="126"/>
      <c r="M29" s="126"/>
      <c r="N29" s="108"/>
      <c r="O29" s="1544">
        <v>0</v>
      </c>
      <c r="P29" s="1545"/>
      <c r="Q29" s="1546"/>
      <c r="R29" s="1547">
        <v>0</v>
      </c>
      <c r="S29" s="1545"/>
      <c r="T29" s="1548"/>
      <c r="U29" s="1544">
        <v>0</v>
      </c>
      <c r="V29" s="1545"/>
      <c r="W29" s="1546"/>
      <c r="X29" s="1547">
        <v>0</v>
      </c>
      <c r="Y29" s="1545"/>
      <c r="Z29" s="1548"/>
      <c r="AA29" s="1544">
        <v>181</v>
      </c>
      <c r="AB29" s="1545"/>
      <c r="AC29" s="1546"/>
      <c r="AD29" s="1547">
        <v>204</v>
      </c>
      <c r="AE29" s="1545"/>
      <c r="AF29" s="1548"/>
      <c r="AG29" s="1544">
        <v>13</v>
      </c>
      <c r="AH29" s="1545"/>
      <c r="AI29" s="1546"/>
      <c r="AJ29" s="1547">
        <v>31</v>
      </c>
      <c r="AK29" s="1545"/>
      <c r="AL29" s="1548"/>
      <c r="AM29" s="1459">
        <f t="shared" ref="AM29:AM30" si="4">SUM(O29,U29,AA29,AG29)</f>
        <v>194</v>
      </c>
      <c r="AN29" s="1457"/>
      <c r="AO29" s="1460"/>
      <c r="AP29" s="1456">
        <f t="shared" ref="AP29:AP30" si="5">SUM(R29,X29,AD29,AJ29)</f>
        <v>235</v>
      </c>
      <c r="AQ29" s="1457"/>
      <c r="AR29" s="1458"/>
    </row>
    <row r="30" spans="2:45" s="72" customFormat="1" ht="30" customHeight="1" thickBot="1" x14ac:dyDescent="0.4">
      <c r="B30" s="127"/>
      <c r="C30" s="128"/>
      <c r="D30" s="128" t="s">
        <v>965</v>
      </c>
      <c r="E30" s="128"/>
      <c r="F30" s="128"/>
      <c r="G30" s="128"/>
      <c r="H30" s="128"/>
      <c r="I30" s="128"/>
      <c r="J30" s="128"/>
      <c r="K30" s="128"/>
      <c r="L30" s="128"/>
      <c r="M30" s="128"/>
      <c r="N30" s="129"/>
      <c r="O30" s="1575">
        <v>186</v>
      </c>
      <c r="P30" s="1576"/>
      <c r="Q30" s="1577"/>
      <c r="R30" s="1578">
        <v>173</v>
      </c>
      <c r="S30" s="1576"/>
      <c r="T30" s="1579"/>
      <c r="U30" s="1575">
        <v>192</v>
      </c>
      <c r="V30" s="1576"/>
      <c r="W30" s="1577"/>
      <c r="X30" s="1578">
        <v>190</v>
      </c>
      <c r="Y30" s="1576"/>
      <c r="Z30" s="1579"/>
      <c r="AA30" s="1575">
        <v>0</v>
      </c>
      <c r="AB30" s="1576"/>
      <c r="AC30" s="1577"/>
      <c r="AD30" s="1578">
        <v>0</v>
      </c>
      <c r="AE30" s="1576"/>
      <c r="AF30" s="1579"/>
      <c r="AG30" s="1575">
        <v>0</v>
      </c>
      <c r="AH30" s="1576"/>
      <c r="AI30" s="1577"/>
      <c r="AJ30" s="1578">
        <v>0</v>
      </c>
      <c r="AK30" s="1576"/>
      <c r="AL30" s="1579"/>
      <c r="AM30" s="1473">
        <f t="shared" si="4"/>
        <v>378</v>
      </c>
      <c r="AN30" s="1474"/>
      <c r="AO30" s="1475"/>
      <c r="AP30" s="1500">
        <f t="shared" si="5"/>
        <v>363</v>
      </c>
      <c r="AQ30" s="1474"/>
      <c r="AR30" s="1501"/>
    </row>
    <row r="31" spans="2:45" s="72" customFormat="1" ht="8.25" customHeight="1" x14ac:dyDescent="0.35">
      <c r="B31" s="119"/>
      <c r="C31" s="119"/>
      <c r="D31" s="119"/>
      <c r="E31" s="119"/>
      <c r="F31" s="119"/>
      <c r="G31" s="119"/>
      <c r="H31" s="119"/>
      <c r="I31" s="119"/>
      <c r="J31" s="119"/>
      <c r="K31" s="119"/>
      <c r="L31" s="119"/>
      <c r="M31" s="119"/>
      <c r="N31" s="112"/>
      <c r="O31" s="112"/>
      <c r="P31" s="112"/>
      <c r="Q31" s="112"/>
      <c r="R31" s="112"/>
      <c r="S31" s="112"/>
      <c r="T31" s="120"/>
      <c r="U31" s="112"/>
      <c r="V31" s="112"/>
      <c r="W31" s="112"/>
      <c r="X31" s="112"/>
      <c r="Y31" s="112"/>
      <c r="Z31" s="120"/>
      <c r="AA31" s="112"/>
      <c r="AB31" s="112"/>
      <c r="AC31" s="112"/>
      <c r="AD31" s="112"/>
      <c r="AE31" s="112"/>
      <c r="AF31" s="120"/>
      <c r="AG31" s="112"/>
      <c r="AH31" s="112"/>
      <c r="AI31" s="112"/>
      <c r="AJ31" s="112"/>
      <c r="AK31" s="112"/>
      <c r="AL31" s="120"/>
      <c r="AM31" s="120"/>
      <c r="AN31" s="120"/>
      <c r="AO31" s="120"/>
      <c r="AP31" s="120"/>
      <c r="AQ31" s="120"/>
      <c r="AR31" s="120"/>
    </row>
    <row r="32" spans="2:45" s="92" customFormat="1" ht="50" customHeight="1" x14ac:dyDescent="0.35">
      <c r="B32" s="1502" t="s">
        <v>1202</v>
      </c>
      <c r="C32" s="1502"/>
      <c r="D32" s="1502"/>
      <c r="E32" s="1502"/>
      <c r="F32" s="1502"/>
      <c r="G32" s="1502"/>
      <c r="H32" s="1502"/>
      <c r="I32" s="1502"/>
      <c r="J32" s="1502"/>
      <c r="K32" s="1502"/>
      <c r="L32" s="1502"/>
      <c r="M32" s="1502"/>
      <c r="N32" s="1502"/>
      <c r="O32" s="1502"/>
      <c r="P32" s="1502"/>
      <c r="Q32" s="1502"/>
      <c r="R32" s="1502"/>
      <c r="S32" s="1502"/>
      <c r="T32" s="1502"/>
      <c r="U32" s="1502"/>
      <c r="V32" s="1502"/>
      <c r="W32" s="1502"/>
      <c r="X32" s="1502"/>
      <c r="Y32" s="1502"/>
      <c r="Z32" s="1502"/>
      <c r="AA32" s="1502"/>
      <c r="AB32" s="1502"/>
      <c r="AC32" s="1502"/>
      <c r="AD32" s="1502"/>
      <c r="AE32" s="1502"/>
      <c r="AF32" s="1502"/>
      <c r="AG32" s="1502"/>
      <c r="AH32" s="1502"/>
      <c r="AI32" s="1502"/>
      <c r="AJ32" s="1502"/>
      <c r="AK32" s="1502"/>
      <c r="AL32" s="1502"/>
      <c r="AM32" s="1502"/>
      <c r="AN32" s="1502"/>
      <c r="AO32" s="1502"/>
      <c r="AP32" s="1502"/>
      <c r="AQ32" s="1502"/>
      <c r="AR32" s="1502"/>
    </row>
    <row r="33" spans="2:75" s="89" customFormat="1" ht="33" customHeight="1" x14ac:dyDescent="0.35">
      <c r="B33" s="91" t="s">
        <v>107</v>
      </c>
      <c r="C33" s="1580" t="s">
        <v>1203</v>
      </c>
      <c r="D33" s="1580"/>
      <c r="E33" s="1580"/>
      <c r="F33" s="1580"/>
      <c r="G33" s="1580"/>
      <c r="H33" s="1580"/>
      <c r="I33" s="1580"/>
      <c r="J33" s="1580"/>
      <c r="K33" s="1580"/>
      <c r="L33" s="1580"/>
      <c r="M33" s="1580"/>
      <c r="N33" s="1580"/>
      <c r="O33" s="1580"/>
      <c r="P33" s="1580"/>
      <c r="Q33" s="1580"/>
      <c r="R33" s="1580"/>
      <c r="S33" s="1580"/>
      <c r="T33" s="1580"/>
      <c r="U33" s="1580"/>
      <c r="V33" s="1580"/>
      <c r="W33" s="1580"/>
      <c r="X33" s="1580"/>
      <c r="Y33" s="1580"/>
      <c r="Z33" s="1580"/>
      <c r="AA33" s="1580"/>
      <c r="AB33" s="1580"/>
      <c r="AC33" s="1580"/>
      <c r="AD33" s="1580"/>
      <c r="AE33" s="1580"/>
      <c r="AF33" s="1580"/>
      <c r="AG33" s="1580"/>
      <c r="AH33" s="1580"/>
      <c r="AI33" s="1580"/>
      <c r="AJ33" s="1580"/>
      <c r="AK33" s="1580"/>
      <c r="AL33" s="1580"/>
      <c r="AM33" s="1580"/>
      <c r="AN33" s="1580"/>
      <c r="AO33" s="1580"/>
      <c r="AP33" s="1580"/>
      <c r="AQ33" s="1580"/>
      <c r="AR33" s="1580"/>
    </row>
    <row r="34" spans="2:75" s="89" customFormat="1" x14ac:dyDescent="0.35">
      <c r="B34" s="121" t="s">
        <v>108</v>
      </c>
      <c r="C34" s="1584" t="s">
        <v>1204</v>
      </c>
      <c r="D34" s="1584"/>
      <c r="E34" s="1584"/>
      <c r="F34" s="1584"/>
      <c r="G34" s="1584"/>
      <c r="H34" s="1584"/>
      <c r="I34" s="1584"/>
      <c r="J34" s="1584"/>
      <c r="K34" s="1584"/>
      <c r="L34" s="1584"/>
      <c r="M34" s="1584"/>
      <c r="N34" s="1584"/>
      <c r="O34" s="1584"/>
      <c r="P34" s="1584"/>
      <c r="Q34" s="1584"/>
      <c r="R34" s="1584"/>
      <c r="S34" s="1584"/>
      <c r="T34" s="1584"/>
      <c r="U34" s="1584"/>
      <c r="V34" s="1584"/>
      <c r="W34" s="1584"/>
      <c r="X34" s="1584"/>
      <c r="Y34" s="1584"/>
      <c r="Z34" s="1584"/>
      <c r="AA34" s="1584"/>
      <c r="AB34" s="1584"/>
      <c r="AC34" s="1584"/>
      <c r="AD34" s="1584"/>
      <c r="AE34" s="1584"/>
      <c r="AF34" s="1584"/>
      <c r="AG34" s="1584"/>
      <c r="AH34" s="1584"/>
      <c r="AI34" s="1584"/>
      <c r="AJ34" s="1584"/>
      <c r="AK34" s="1584"/>
      <c r="AL34" s="1584"/>
      <c r="AM34" s="1584"/>
      <c r="AN34" s="1584"/>
      <c r="AO34" s="1584"/>
      <c r="AP34" s="1584"/>
      <c r="AQ34" s="1584"/>
      <c r="AR34" s="1584"/>
    </row>
    <row r="35" spans="2:75" s="89" customFormat="1" x14ac:dyDescent="0.35">
      <c r="B35" s="121" t="s">
        <v>131</v>
      </c>
      <c r="C35" s="1584" t="s">
        <v>1205</v>
      </c>
      <c r="D35" s="1584"/>
      <c r="E35" s="1584"/>
      <c r="F35" s="1584"/>
      <c r="G35" s="1584"/>
      <c r="H35" s="1584"/>
      <c r="I35" s="1584"/>
      <c r="J35" s="1584"/>
      <c r="K35" s="1584"/>
      <c r="L35" s="1584"/>
      <c r="M35" s="1584"/>
      <c r="N35" s="1584"/>
      <c r="O35" s="1584"/>
      <c r="P35" s="1584"/>
      <c r="Q35" s="1584"/>
      <c r="R35" s="1584"/>
      <c r="S35" s="1584"/>
      <c r="T35" s="1584"/>
      <c r="U35" s="1584"/>
      <c r="V35" s="1584"/>
      <c r="W35" s="1584"/>
      <c r="X35" s="1584"/>
      <c r="Y35" s="1584"/>
      <c r="Z35" s="1584"/>
      <c r="AA35" s="1584"/>
      <c r="AB35" s="1584"/>
      <c r="AC35" s="1584"/>
      <c r="AD35" s="1584"/>
      <c r="AE35" s="1584"/>
      <c r="AF35" s="1584"/>
      <c r="AG35" s="1584"/>
      <c r="AH35" s="1584"/>
      <c r="AI35" s="1584"/>
      <c r="AJ35" s="1584"/>
      <c r="AK35" s="1584"/>
      <c r="AL35" s="1584"/>
      <c r="AM35" s="1584"/>
      <c r="AN35" s="1584"/>
      <c r="AO35" s="1584"/>
      <c r="AP35" s="1584"/>
      <c r="AQ35" s="1584"/>
      <c r="AR35" s="1584"/>
    </row>
    <row r="36" spans="2:75" s="89" customFormat="1" ht="36.5" customHeight="1" x14ac:dyDescent="0.35">
      <c r="B36" s="91" t="s">
        <v>132</v>
      </c>
      <c r="C36" s="1580" t="s">
        <v>1206</v>
      </c>
      <c r="D36" s="1580"/>
      <c r="E36" s="1580"/>
      <c r="F36" s="1580"/>
      <c r="G36" s="1580"/>
      <c r="H36" s="1580"/>
      <c r="I36" s="1580"/>
      <c r="J36" s="1580"/>
      <c r="K36" s="1580"/>
      <c r="L36" s="1580"/>
      <c r="M36" s="1580"/>
      <c r="N36" s="1580"/>
      <c r="O36" s="1580"/>
      <c r="P36" s="1580"/>
      <c r="Q36" s="1580"/>
      <c r="R36" s="1580"/>
      <c r="S36" s="1580"/>
      <c r="T36" s="1580"/>
      <c r="U36" s="1580"/>
      <c r="V36" s="1580"/>
      <c r="W36" s="1580"/>
      <c r="X36" s="1580"/>
      <c r="Y36" s="1580"/>
      <c r="Z36" s="1580"/>
      <c r="AA36" s="1580"/>
      <c r="AB36" s="1580"/>
      <c r="AC36" s="1580"/>
      <c r="AD36" s="1580"/>
      <c r="AE36" s="1580"/>
      <c r="AF36" s="1580"/>
      <c r="AG36" s="1580"/>
      <c r="AH36" s="1580"/>
      <c r="AI36" s="1580"/>
      <c r="AJ36" s="1580"/>
      <c r="AK36" s="1580"/>
      <c r="AL36" s="1580"/>
      <c r="AM36" s="1580"/>
      <c r="AN36" s="1580"/>
      <c r="AO36" s="1580"/>
      <c r="AP36" s="1580"/>
      <c r="AQ36" s="1580"/>
      <c r="AR36" s="1580"/>
    </row>
    <row r="37" spans="2:75" s="92" customFormat="1" ht="32" customHeight="1" x14ac:dyDescent="0.35">
      <c r="B37" s="1502" t="s">
        <v>1207</v>
      </c>
      <c r="C37" s="1502"/>
      <c r="D37" s="1502"/>
      <c r="E37" s="1502"/>
      <c r="F37" s="1502"/>
      <c r="G37" s="1502"/>
      <c r="H37" s="1502"/>
      <c r="I37" s="1502"/>
      <c r="J37" s="1502"/>
      <c r="K37" s="1502"/>
      <c r="L37" s="1502"/>
      <c r="M37" s="1502"/>
      <c r="N37" s="1502"/>
      <c r="O37" s="1502"/>
      <c r="P37" s="1502"/>
      <c r="Q37" s="1502"/>
      <c r="R37" s="1502"/>
      <c r="S37" s="1502"/>
      <c r="T37" s="1502"/>
      <c r="U37" s="1502"/>
      <c r="V37" s="1502"/>
      <c r="W37" s="1502"/>
      <c r="X37" s="1502"/>
      <c r="Y37" s="1502"/>
      <c r="Z37" s="1502"/>
      <c r="AA37" s="1502"/>
      <c r="AB37" s="1502"/>
      <c r="AC37" s="1502"/>
      <c r="AD37" s="1502"/>
      <c r="AE37" s="1502"/>
      <c r="AF37" s="1502"/>
      <c r="AG37" s="1502"/>
      <c r="AH37" s="1502"/>
      <c r="AI37" s="1502"/>
      <c r="AJ37" s="1502"/>
      <c r="AK37" s="1502"/>
      <c r="AL37" s="1502"/>
      <c r="AM37" s="1502"/>
      <c r="AN37" s="1502"/>
      <c r="AO37" s="1502"/>
      <c r="AP37" s="1502"/>
      <c r="AQ37" s="1502"/>
      <c r="AR37" s="1502"/>
    </row>
    <row r="38" spans="2:75" s="92" customFormat="1" ht="32" customHeight="1" x14ac:dyDescent="0.35">
      <c r="B38" s="1502" t="s">
        <v>1208</v>
      </c>
      <c r="C38" s="1502"/>
      <c r="D38" s="1502"/>
      <c r="E38" s="1502"/>
      <c r="F38" s="1502"/>
      <c r="G38" s="1502"/>
      <c r="H38" s="1502"/>
      <c r="I38" s="1502"/>
      <c r="J38" s="1502"/>
      <c r="K38" s="1502"/>
      <c r="L38" s="1502"/>
      <c r="M38" s="1502"/>
      <c r="N38" s="1502"/>
      <c r="O38" s="1502"/>
      <c r="P38" s="1502"/>
      <c r="Q38" s="1502"/>
      <c r="R38" s="1502"/>
      <c r="S38" s="1502"/>
      <c r="T38" s="1502"/>
      <c r="U38" s="1502"/>
      <c r="V38" s="1502"/>
      <c r="W38" s="1502"/>
      <c r="X38" s="1502"/>
      <c r="Y38" s="1502"/>
      <c r="Z38" s="1502"/>
      <c r="AA38" s="1502"/>
      <c r="AB38" s="1502"/>
      <c r="AC38" s="1502"/>
      <c r="AD38" s="1502"/>
      <c r="AE38" s="1502"/>
      <c r="AF38" s="1502"/>
      <c r="AG38" s="1502"/>
      <c r="AH38" s="1502"/>
      <c r="AI38" s="1502"/>
      <c r="AJ38" s="1502"/>
      <c r="AK38" s="1502"/>
      <c r="AL38" s="1502"/>
      <c r="AM38" s="1502"/>
      <c r="AN38" s="1502"/>
      <c r="AO38" s="1502"/>
      <c r="AP38" s="1502"/>
      <c r="AQ38" s="1502"/>
      <c r="AR38" s="1502"/>
    </row>
    <row r="39" spans="2:75" s="84" customFormat="1" ht="10" customHeight="1" x14ac:dyDescent="0.35">
      <c r="B39" s="95"/>
      <c r="C39" s="86"/>
      <c r="D39" s="86"/>
      <c r="E39" s="86"/>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86"/>
      <c r="AN39" s="86"/>
      <c r="AO39" s="86"/>
      <c r="AP39" s="86"/>
      <c r="AQ39" s="86"/>
      <c r="AR39" s="86"/>
      <c r="AS39" s="86"/>
      <c r="AT39" s="86"/>
      <c r="AU39" s="86"/>
      <c r="AV39" s="86"/>
      <c r="AW39" s="86"/>
      <c r="AX39" s="86"/>
      <c r="AY39" s="86"/>
      <c r="AZ39" s="86"/>
      <c r="BA39" s="86"/>
      <c r="BB39" s="86"/>
      <c r="BC39" s="86"/>
      <c r="BD39" s="86"/>
      <c r="BE39" s="86"/>
      <c r="BF39" s="86"/>
      <c r="BG39" s="86"/>
      <c r="BH39" s="86"/>
      <c r="BI39" s="86"/>
      <c r="BJ39" s="86"/>
      <c r="BK39" s="86"/>
    </row>
    <row r="40" spans="2:75" s="97" customFormat="1" x14ac:dyDescent="0.35">
      <c r="B40" s="96" t="s">
        <v>1209</v>
      </c>
      <c r="C40" s="86"/>
      <c r="D40" s="85"/>
      <c r="F40" s="86"/>
      <c r="G40" s="86"/>
      <c r="H40" s="86"/>
      <c r="I40" s="86"/>
      <c r="J40" s="86"/>
      <c r="K40" s="86"/>
      <c r="L40" s="86"/>
      <c r="M40" s="86"/>
      <c r="N40" s="86"/>
      <c r="O40" s="86"/>
      <c r="P40" s="86"/>
      <c r="Q40" s="86"/>
      <c r="R40" s="86"/>
      <c r="BW40" s="98"/>
    </row>
    <row r="41" spans="2:75" s="124" customFormat="1" ht="30" customHeight="1" x14ac:dyDescent="0.3">
      <c r="B41" s="123"/>
    </row>
    <row r="42" spans="2:75" s="124" customFormat="1" ht="30" customHeight="1" x14ac:dyDescent="0.3">
      <c r="B42" s="123"/>
    </row>
    <row r="43" spans="2:75" s="124" customFormat="1" ht="30" customHeight="1" x14ac:dyDescent="0.3">
      <c r="B43" s="123"/>
    </row>
    <row r="44" spans="2:75" s="73" customFormat="1" x14ac:dyDescent="0.35">
      <c r="B44" s="60" t="s">
        <v>913</v>
      </c>
      <c r="AC44" s="60" t="s">
        <v>922</v>
      </c>
    </row>
    <row r="45" spans="2:75" s="73" customFormat="1" ht="21.75" customHeight="1" x14ac:dyDescent="0.35">
      <c r="B45" s="60" t="s">
        <v>910</v>
      </c>
      <c r="E45" s="76"/>
      <c r="F45" s="1581" t="str">
        <f>SchInfo!F38</f>
        <v>MELCHESIEDICK Q. BOLANIO/ March 17, 2023</v>
      </c>
      <c r="G45" s="1581"/>
      <c r="H45" s="1581"/>
      <c r="I45" s="1581"/>
      <c r="J45" s="1581"/>
      <c r="K45" s="1581"/>
      <c r="L45" s="1581"/>
      <c r="M45" s="1581"/>
      <c r="N45" s="1581"/>
      <c r="O45" s="1581"/>
      <c r="P45" s="1581"/>
      <c r="Q45" s="1581"/>
      <c r="AC45" s="1582" t="str">
        <f>SchInfo!R38</f>
        <v>MICHAEL T. JAMIS   /  March 17, 2023</v>
      </c>
      <c r="AD45" s="1582"/>
      <c r="AE45" s="1582"/>
      <c r="AF45" s="1582"/>
      <c r="AG45" s="1582"/>
      <c r="AH45" s="1582"/>
      <c r="AI45" s="1582"/>
      <c r="AJ45" s="1582"/>
      <c r="AK45" s="1582"/>
      <c r="AL45" s="1582"/>
      <c r="AM45" s="1582"/>
      <c r="AN45" s="1582"/>
      <c r="AO45" s="1582"/>
      <c r="AP45" s="1582"/>
      <c r="AQ45" s="1582"/>
      <c r="AR45" s="1582"/>
    </row>
    <row r="46" spans="2:75" s="78" customFormat="1" ht="12.25" customHeight="1" x14ac:dyDescent="0.35">
      <c r="B46" s="77"/>
      <c r="E46" s="79"/>
      <c r="F46" s="1483" t="s">
        <v>779</v>
      </c>
      <c r="G46" s="1483"/>
      <c r="H46" s="1483"/>
      <c r="I46" s="1483"/>
      <c r="J46" s="1483"/>
      <c r="K46" s="1483"/>
      <c r="L46" s="1483"/>
      <c r="M46" s="1483"/>
      <c r="N46" s="1483"/>
      <c r="O46" s="1483"/>
      <c r="P46" s="1483"/>
      <c r="Q46" s="1483"/>
      <c r="R46" s="77"/>
      <c r="S46" s="77"/>
      <c r="T46" s="77"/>
      <c r="U46" s="77"/>
      <c r="V46" s="77"/>
      <c r="W46" s="77"/>
      <c r="X46" s="77"/>
      <c r="Y46" s="77"/>
      <c r="Z46" s="77"/>
      <c r="AA46" s="77"/>
      <c r="AB46" s="77"/>
      <c r="AC46" s="1583"/>
      <c r="AD46" s="1583"/>
      <c r="AE46" s="1583"/>
      <c r="AF46" s="1583"/>
      <c r="AG46" s="1583"/>
      <c r="AH46" s="1583"/>
      <c r="AI46" s="1583"/>
      <c r="AJ46" s="1583"/>
      <c r="AK46" s="1583"/>
      <c r="AL46" s="1583"/>
      <c r="AM46" s="1583"/>
      <c r="AN46" s="1583"/>
      <c r="AO46" s="1583"/>
      <c r="AP46" s="1583"/>
      <c r="AQ46" s="1583"/>
      <c r="AR46" s="1583"/>
    </row>
    <row r="47" spans="2:75" s="73" customFormat="1" ht="21.75" customHeight="1" x14ac:dyDescent="0.35">
      <c r="B47" s="60" t="s">
        <v>784</v>
      </c>
      <c r="E47" s="76"/>
      <c r="F47" s="1581" t="str">
        <f>SchInfo!F40</f>
        <v>Principal IV</v>
      </c>
      <c r="G47" s="1581"/>
      <c r="H47" s="1581"/>
      <c r="I47" s="1581"/>
      <c r="J47" s="1581"/>
      <c r="K47" s="1581"/>
      <c r="L47" s="1581"/>
      <c r="M47" s="1581"/>
      <c r="N47" s="1581"/>
      <c r="O47" s="1581"/>
      <c r="P47" s="1581"/>
      <c r="Q47" s="1581"/>
      <c r="AC47" s="1452" t="s">
        <v>779</v>
      </c>
      <c r="AD47" s="1452"/>
      <c r="AE47" s="1452"/>
      <c r="AF47" s="1452"/>
      <c r="AG47" s="1452"/>
      <c r="AH47" s="1452"/>
      <c r="AI47" s="1452"/>
      <c r="AJ47" s="1452"/>
      <c r="AK47" s="1452"/>
      <c r="AL47" s="1452"/>
      <c r="AM47" s="1452"/>
      <c r="AN47" s="1452"/>
      <c r="AO47" s="1452"/>
      <c r="AP47" s="1452"/>
      <c r="AQ47" s="1452"/>
      <c r="AR47" s="1452"/>
    </row>
  </sheetData>
  <sheetProtection algorithmName="SHA-512" hashValue="xjU9IE9HaisOYqARfveRNGaSCiSfZNREfSrziK3H3tALkeySjA772xkBmh9Ouv+YSF7slSxKmw+Alh2X8bEnXw==" saltValue="ykAuhZzKbC6ql2ly1yM35g==" spinCount="100000" sheet="1" objects="1" scenarios="1"/>
  <mergeCells count="238">
    <mergeCell ref="F45:Q45"/>
    <mergeCell ref="AC45:AR46"/>
    <mergeCell ref="F46:Q46"/>
    <mergeCell ref="F47:Q47"/>
    <mergeCell ref="AC47:AR47"/>
    <mergeCell ref="C34:AR34"/>
    <mergeCell ref="C35:AR35"/>
    <mergeCell ref="C36:AR36"/>
    <mergeCell ref="B37:AR37"/>
    <mergeCell ref="B38:AR38"/>
    <mergeCell ref="AG30:AI30"/>
    <mergeCell ref="AJ30:AL30"/>
    <mergeCell ref="AM30:AO30"/>
    <mergeCell ref="AP30:AR30"/>
    <mergeCell ref="B32:AR32"/>
    <mergeCell ref="C33:AR33"/>
    <mergeCell ref="AG29:AI29"/>
    <mergeCell ref="AJ29:AL29"/>
    <mergeCell ref="AM29:AO29"/>
    <mergeCell ref="AP29:AR29"/>
    <mergeCell ref="O30:Q30"/>
    <mergeCell ref="R30:T30"/>
    <mergeCell ref="U30:W30"/>
    <mergeCell ref="X30:Z30"/>
    <mergeCell ref="AA30:AC30"/>
    <mergeCell ref="AD30:AF30"/>
    <mergeCell ref="AG28:AI28"/>
    <mergeCell ref="AJ28:AL28"/>
    <mergeCell ref="AM28:AO28"/>
    <mergeCell ref="AP28:AR28"/>
    <mergeCell ref="O29:Q29"/>
    <mergeCell ref="R29:T29"/>
    <mergeCell ref="U29:W29"/>
    <mergeCell ref="X29:Z29"/>
    <mergeCell ref="AA29:AC29"/>
    <mergeCell ref="AD29:AF29"/>
    <mergeCell ref="O28:Q28"/>
    <mergeCell ref="R28:T28"/>
    <mergeCell ref="U28:W28"/>
    <mergeCell ref="X28:Z28"/>
    <mergeCell ref="AA28:AC28"/>
    <mergeCell ref="AD28:AF28"/>
    <mergeCell ref="AG26:AI26"/>
    <mergeCell ref="AJ26:AL26"/>
    <mergeCell ref="AM26:AO26"/>
    <mergeCell ref="AP26:AR26"/>
    <mergeCell ref="B27:N27"/>
    <mergeCell ref="O27:AR27"/>
    <mergeCell ref="O26:Q26"/>
    <mergeCell ref="R26:T26"/>
    <mergeCell ref="U26:W26"/>
    <mergeCell ref="X26:Z26"/>
    <mergeCell ref="AA26:AC26"/>
    <mergeCell ref="AD26:AF26"/>
    <mergeCell ref="AG24:AI24"/>
    <mergeCell ref="AJ24:AL24"/>
    <mergeCell ref="AM24:AO24"/>
    <mergeCell ref="AP24:AR24"/>
    <mergeCell ref="B25:N25"/>
    <mergeCell ref="O25:AR25"/>
    <mergeCell ref="AG23:AI23"/>
    <mergeCell ref="AJ23:AL23"/>
    <mergeCell ref="AM23:AO23"/>
    <mergeCell ref="AP23:AR23"/>
    <mergeCell ref="O24:Q24"/>
    <mergeCell ref="R24:T24"/>
    <mergeCell ref="U24:W24"/>
    <mergeCell ref="X24:Z24"/>
    <mergeCell ref="AA24:AC24"/>
    <mergeCell ref="AD24:AF24"/>
    <mergeCell ref="AG22:AI22"/>
    <mergeCell ref="AJ22:AL22"/>
    <mergeCell ref="AM22:AO22"/>
    <mergeCell ref="AP22:AR22"/>
    <mergeCell ref="O23:Q23"/>
    <mergeCell ref="R23:T23"/>
    <mergeCell ref="U23:W23"/>
    <mergeCell ref="X23:Z23"/>
    <mergeCell ref="AA23:AC23"/>
    <mergeCell ref="AD23:AF23"/>
    <mergeCell ref="O22:Q22"/>
    <mergeCell ref="R22:T22"/>
    <mergeCell ref="U22:W22"/>
    <mergeCell ref="X22:Z22"/>
    <mergeCell ref="AA22:AC22"/>
    <mergeCell ref="AD22:AF22"/>
    <mergeCell ref="B21:N21"/>
    <mergeCell ref="O21:AR21"/>
    <mergeCell ref="AG19:AI19"/>
    <mergeCell ref="AJ19:AL19"/>
    <mergeCell ref="AM19:AO19"/>
    <mergeCell ref="AP19:AR19"/>
    <mergeCell ref="O20:Q20"/>
    <mergeCell ref="R20:T20"/>
    <mergeCell ref="U20:W20"/>
    <mergeCell ref="X20:Z20"/>
    <mergeCell ref="AA20:AC20"/>
    <mergeCell ref="AD20:AF20"/>
    <mergeCell ref="AP18:AR18"/>
    <mergeCell ref="O19:Q19"/>
    <mergeCell ref="R19:T19"/>
    <mergeCell ref="U19:W19"/>
    <mergeCell ref="X19:Z19"/>
    <mergeCell ref="AA19:AC19"/>
    <mergeCell ref="AD19:AF19"/>
    <mergeCell ref="AG20:AI20"/>
    <mergeCell ref="AJ20:AL20"/>
    <mergeCell ref="AM20:AO20"/>
    <mergeCell ref="AP20:AR20"/>
    <mergeCell ref="O18:Q18"/>
    <mergeCell ref="R18:T18"/>
    <mergeCell ref="U18:W18"/>
    <mergeCell ref="X18:Z18"/>
    <mergeCell ref="AA18:AC18"/>
    <mergeCell ref="AD18:AF18"/>
    <mergeCell ref="AG18:AI18"/>
    <mergeCell ref="AJ18:AL18"/>
    <mergeCell ref="AM18:AO18"/>
    <mergeCell ref="AP16:AR16"/>
    <mergeCell ref="O17:Q17"/>
    <mergeCell ref="R17:T17"/>
    <mergeCell ref="U17:W17"/>
    <mergeCell ref="X17:Z17"/>
    <mergeCell ref="AA17:AC17"/>
    <mergeCell ref="AD17:AF17"/>
    <mergeCell ref="AG17:AI17"/>
    <mergeCell ref="AJ17:AL17"/>
    <mergeCell ref="AM17:AO17"/>
    <mergeCell ref="AP17:AR17"/>
    <mergeCell ref="O16:Q16"/>
    <mergeCell ref="R16:T16"/>
    <mergeCell ref="U16:W16"/>
    <mergeCell ref="X16:Z16"/>
    <mergeCell ref="AA16:AC16"/>
    <mergeCell ref="AD16:AF16"/>
    <mergeCell ref="AG16:AI16"/>
    <mergeCell ref="AJ16:AL16"/>
    <mergeCell ref="AM16:AO16"/>
    <mergeCell ref="AP14:AR14"/>
    <mergeCell ref="O15:Q15"/>
    <mergeCell ref="R15:T15"/>
    <mergeCell ref="U15:W15"/>
    <mergeCell ref="X15:Z15"/>
    <mergeCell ref="AA15:AC15"/>
    <mergeCell ref="AD15:AF15"/>
    <mergeCell ref="AG15:AI15"/>
    <mergeCell ref="AJ15:AL15"/>
    <mergeCell ref="AM15:AO15"/>
    <mergeCell ref="AP15:AR15"/>
    <mergeCell ref="O14:Q14"/>
    <mergeCell ref="R14:T14"/>
    <mergeCell ref="U14:W14"/>
    <mergeCell ref="X14:Z14"/>
    <mergeCell ref="AA14:AC14"/>
    <mergeCell ref="AD14:AF14"/>
    <mergeCell ref="AG14:AI14"/>
    <mergeCell ref="AJ14:AL14"/>
    <mergeCell ref="AM14:AO14"/>
    <mergeCell ref="AP12:AR12"/>
    <mergeCell ref="O13:Q13"/>
    <mergeCell ref="R13:T13"/>
    <mergeCell ref="U13:W13"/>
    <mergeCell ref="X13:Z13"/>
    <mergeCell ref="AA13:AC13"/>
    <mergeCell ref="AD13:AF13"/>
    <mergeCell ref="AG13:AI13"/>
    <mergeCell ref="AJ13:AL13"/>
    <mergeCell ref="AM13:AO13"/>
    <mergeCell ref="AP13:AR13"/>
    <mergeCell ref="O12:Q12"/>
    <mergeCell ref="R12:T12"/>
    <mergeCell ref="U12:W12"/>
    <mergeCell ref="X12:Z12"/>
    <mergeCell ref="AA12:AC12"/>
    <mergeCell ref="AD12:AF12"/>
    <mergeCell ref="AG12:AI12"/>
    <mergeCell ref="AJ12:AL12"/>
    <mergeCell ref="AM12:AO12"/>
    <mergeCell ref="O6:Q6"/>
    <mergeCell ref="R6:T6"/>
    <mergeCell ref="AM6:AO6"/>
    <mergeCell ref="AP6:AR6"/>
    <mergeCell ref="AP10:AR10"/>
    <mergeCell ref="O11:Q11"/>
    <mergeCell ref="R11:T11"/>
    <mergeCell ref="U11:W11"/>
    <mergeCell ref="X11:Z11"/>
    <mergeCell ref="AA11:AC11"/>
    <mergeCell ref="AD11:AF11"/>
    <mergeCell ref="AG11:AI11"/>
    <mergeCell ref="AJ11:AL11"/>
    <mergeCell ref="AM11:AO11"/>
    <mergeCell ref="AP11:AR11"/>
    <mergeCell ref="O10:Q10"/>
    <mergeCell ref="R10:T10"/>
    <mergeCell ref="U10:W10"/>
    <mergeCell ref="X10:Z10"/>
    <mergeCell ref="AA10:AC10"/>
    <mergeCell ref="AD10:AF10"/>
    <mergeCell ref="AG10:AI10"/>
    <mergeCell ref="AJ10:AL10"/>
    <mergeCell ref="AM10:AO10"/>
    <mergeCell ref="AM8:AO8"/>
    <mergeCell ref="AP8:AR8"/>
    <mergeCell ref="O9:Q9"/>
    <mergeCell ref="R9:T9"/>
    <mergeCell ref="U9:W9"/>
    <mergeCell ref="X9:Z9"/>
    <mergeCell ref="AA9:AC9"/>
    <mergeCell ref="AD9:AF9"/>
    <mergeCell ref="AG9:AI9"/>
    <mergeCell ref="AJ9:AL9"/>
    <mergeCell ref="AM9:AO9"/>
    <mergeCell ref="AP9:AR9"/>
    <mergeCell ref="B7:N7"/>
    <mergeCell ref="O7:AR7"/>
    <mergeCell ref="O8:Q8"/>
    <mergeCell ref="R8:T8"/>
    <mergeCell ref="U8:W8"/>
    <mergeCell ref="X8:Z8"/>
    <mergeCell ref="AA8:AC8"/>
    <mergeCell ref="AD8:AF8"/>
    <mergeCell ref="U6:W6"/>
    <mergeCell ref="X6:Z6"/>
    <mergeCell ref="AA6:AC6"/>
    <mergeCell ref="AD6:AF6"/>
    <mergeCell ref="AG6:AI6"/>
    <mergeCell ref="AJ6:AL6"/>
    <mergeCell ref="B3:N6"/>
    <mergeCell ref="O3:T3"/>
    <mergeCell ref="U3:AL3"/>
    <mergeCell ref="AM3:AR5"/>
    <mergeCell ref="O4:T5"/>
    <mergeCell ref="U4:Z5"/>
    <mergeCell ref="AA4:AF5"/>
    <mergeCell ref="AG4:AL5"/>
    <mergeCell ref="AG8:AI8"/>
    <mergeCell ref="AJ8:AL8"/>
  </mergeCells>
  <dataValidations count="1">
    <dataValidation type="whole" allowBlank="1" showInputMessage="1" showErrorMessage="1" errorTitle="GJHSP SY 2022-2023" error="Please enter valid number between 0-20,000." sqref="O28:AL30 O8:AL20 O22:AL24 O26:AL26" xr:uid="{FCB9C359-6642-4EEF-932B-B80DEA95698F}">
      <formula1>0</formula1>
      <formula2>20000</formula2>
    </dataValidation>
  </dataValidations>
  <printOptions horizontalCentered="1" verticalCentered="1"/>
  <pageMargins left="0.23622047244094491" right="0.23622047244094491" top="0.19685039370078741" bottom="0.19685039370078741" header="0" footer="0.11811023622047245"/>
  <pageSetup paperSize="9" scale="60" orientation="portrait" r:id="rId1"/>
  <headerFooter alignWithMargins="0">
    <oddFooter>&amp;L&amp;10&amp;F &amp;A&amp;R&amp;10Page 3 of 63</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9C1C2-FA09-467F-9472-1104F98B2DE4}">
  <sheetPr>
    <pageSetUpPr fitToPage="1"/>
  </sheetPr>
  <dimension ref="A1:BH26"/>
  <sheetViews>
    <sheetView showGridLines="0" zoomScaleNormal="100" workbookViewId="0">
      <selection activeCell="AM11" sqref="AM11:AN11"/>
    </sheetView>
  </sheetViews>
  <sheetFormatPr defaultColWidth="9" defaultRowHeight="15.5" x14ac:dyDescent="0.35"/>
  <cols>
    <col min="1" max="1" width="2.08203125" style="44" customWidth="1"/>
    <col min="2" max="58" width="3.58203125" style="44" customWidth="1"/>
    <col min="59" max="59" width="2.08203125" style="44" customWidth="1"/>
    <col min="60" max="84" width="4.58203125" style="44" customWidth="1"/>
    <col min="85" max="16384" width="9" style="44"/>
  </cols>
  <sheetData>
    <row r="1" spans="1:60" ht="12" customHeight="1" x14ac:dyDescent="0.35"/>
    <row r="2" spans="1:60" s="140" customFormat="1" ht="17" thickBot="1" x14ac:dyDescent="0.4">
      <c r="A2" s="44"/>
      <c r="B2" s="141" t="s">
        <v>12681</v>
      </c>
      <c r="C2" s="44"/>
      <c r="D2" s="44"/>
      <c r="E2" s="44"/>
      <c r="F2" s="44"/>
      <c r="G2" s="44"/>
      <c r="H2" s="44"/>
      <c r="I2" s="44"/>
      <c r="J2" s="44"/>
      <c r="K2" s="44"/>
      <c r="L2" s="44"/>
      <c r="M2" s="44"/>
      <c r="N2" s="44"/>
      <c r="O2" s="44"/>
      <c r="P2" s="44"/>
      <c r="Q2" s="44"/>
      <c r="R2" s="44"/>
      <c r="S2" s="44"/>
      <c r="T2" s="44"/>
      <c r="U2" s="44"/>
      <c r="V2" s="44"/>
      <c r="W2" s="44"/>
      <c r="X2" s="44"/>
      <c r="Y2" s="44"/>
      <c r="Z2" s="44"/>
      <c r="AA2" s="49"/>
      <c r="AB2" s="49"/>
      <c r="AC2" s="44"/>
      <c r="AD2" s="44"/>
      <c r="AE2" s="44"/>
      <c r="AF2" s="44"/>
      <c r="AG2" s="44"/>
      <c r="AH2" s="44"/>
      <c r="AI2" s="44"/>
      <c r="AJ2" s="44"/>
      <c r="AK2" s="44"/>
      <c r="AL2" s="44"/>
      <c r="AM2" s="44"/>
      <c r="AN2" s="44"/>
      <c r="AO2" s="44"/>
      <c r="AP2" s="142"/>
      <c r="AQ2" s="142"/>
    </row>
    <row r="3" spans="1:60" s="140" customFormat="1" ht="24.75" customHeight="1" thickTop="1" thickBot="1" x14ac:dyDescent="0.4">
      <c r="A3" s="110"/>
      <c r="B3" s="1585" t="s">
        <v>1342</v>
      </c>
      <c r="C3" s="1586"/>
      <c r="D3" s="1586"/>
      <c r="E3" s="1586"/>
      <c r="F3" s="1586"/>
      <c r="G3" s="1586"/>
      <c r="H3" s="1586"/>
      <c r="I3" s="1586"/>
      <c r="J3" s="1586"/>
      <c r="K3" s="1586"/>
      <c r="L3" s="1586"/>
      <c r="M3" s="1586"/>
      <c r="N3" s="1586"/>
      <c r="O3" s="1586"/>
      <c r="P3" s="1586"/>
      <c r="Q3" s="1586"/>
      <c r="R3" s="1586"/>
      <c r="S3" s="1590" t="s">
        <v>1347</v>
      </c>
      <c r="T3" s="1591"/>
      <c r="U3" s="1591"/>
      <c r="V3" s="1591"/>
      <c r="W3" s="1591"/>
      <c r="X3" s="1591"/>
      <c r="Y3" s="1591"/>
      <c r="Z3" s="1591"/>
      <c r="AA3" s="1591"/>
      <c r="AB3" s="1591"/>
      <c r="AC3" s="1591"/>
      <c r="AD3" s="1591"/>
      <c r="AE3" s="1591"/>
      <c r="AF3" s="1591"/>
      <c r="AG3" s="1591"/>
      <c r="AH3" s="1591"/>
      <c r="AI3" s="1591"/>
      <c r="AJ3" s="1591"/>
      <c r="AK3" s="1591"/>
      <c r="AL3" s="1592"/>
      <c r="AM3" s="1591" t="s">
        <v>1350</v>
      </c>
      <c r="AN3" s="1591"/>
      <c r="AO3" s="1591"/>
      <c r="AP3" s="1591"/>
      <c r="AQ3" s="1591"/>
      <c r="AR3" s="1591"/>
      <c r="AS3" s="1591"/>
      <c r="AT3" s="1591"/>
      <c r="AU3" s="1591"/>
      <c r="AV3" s="1591"/>
      <c r="AW3" s="1591"/>
      <c r="AX3" s="1591"/>
      <c r="AY3" s="1591"/>
      <c r="AZ3" s="1591"/>
      <c r="BA3" s="1591"/>
      <c r="BB3" s="1591"/>
      <c r="BC3" s="1591"/>
      <c r="BD3" s="1591"/>
      <c r="BE3" s="1591"/>
      <c r="BF3" s="1592"/>
    </row>
    <row r="4" spans="1:60" s="140" customFormat="1" ht="37.5" customHeight="1" thickBot="1" x14ac:dyDescent="0.4">
      <c r="A4" s="110"/>
      <c r="B4" s="1587"/>
      <c r="C4" s="1526"/>
      <c r="D4" s="1526"/>
      <c r="E4" s="1526"/>
      <c r="F4" s="1526"/>
      <c r="G4" s="1526"/>
      <c r="H4" s="1526"/>
      <c r="I4" s="1526"/>
      <c r="J4" s="1526"/>
      <c r="K4" s="1526"/>
      <c r="L4" s="1526"/>
      <c r="M4" s="1526"/>
      <c r="N4" s="1526"/>
      <c r="O4" s="1526"/>
      <c r="P4" s="1526"/>
      <c r="Q4" s="1526"/>
      <c r="R4" s="1526"/>
      <c r="S4" s="1593" t="s">
        <v>87</v>
      </c>
      <c r="T4" s="1594"/>
      <c r="U4" s="1594"/>
      <c r="V4" s="1595"/>
      <c r="W4" s="1596" t="s">
        <v>88</v>
      </c>
      <c r="X4" s="1596"/>
      <c r="Y4" s="1596"/>
      <c r="Z4" s="1596"/>
      <c r="AA4" s="1597" t="s">
        <v>89</v>
      </c>
      <c r="AB4" s="1596"/>
      <c r="AC4" s="1596"/>
      <c r="AD4" s="1596"/>
      <c r="AE4" s="1597" t="s">
        <v>90</v>
      </c>
      <c r="AF4" s="1596"/>
      <c r="AG4" s="1596"/>
      <c r="AH4" s="1598"/>
      <c r="AI4" s="1599" t="s">
        <v>1349</v>
      </c>
      <c r="AJ4" s="1600"/>
      <c r="AK4" s="1600"/>
      <c r="AL4" s="1601"/>
      <c r="AM4" s="1602" t="s">
        <v>87</v>
      </c>
      <c r="AN4" s="1594"/>
      <c r="AO4" s="1594"/>
      <c r="AP4" s="1595"/>
      <c r="AQ4" s="1596" t="s">
        <v>88</v>
      </c>
      <c r="AR4" s="1596"/>
      <c r="AS4" s="1596"/>
      <c r="AT4" s="1596"/>
      <c r="AU4" s="1597" t="s">
        <v>89</v>
      </c>
      <c r="AV4" s="1596"/>
      <c r="AW4" s="1596"/>
      <c r="AX4" s="1596"/>
      <c r="AY4" s="1597" t="s">
        <v>90</v>
      </c>
      <c r="AZ4" s="1596"/>
      <c r="BA4" s="1596"/>
      <c r="BB4" s="1598"/>
      <c r="BC4" s="1599" t="s">
        <v>1349</v>
      </c>
      <c r="BD4" s="1600"/>
      <c r="BE4" s="1600"/>
      <c r="BF4" s="1601"/>
    </row>
    <row r="5" spans="1:60" s="140" customFormat="1" ht="24.5" customHeight="1" thickBot="1" x14ac:dyDescent="0.4">
      <c r="A5" s="110"/>
      <c r="B5" s="1588"/>
      <c r="C5" s="1589"/>
      <c r="D5" s="1589"/>
      <c r="E5" s="1589"/>
      <c r="F5" s="1589"/>
      <c r="G5" s="1589"/>
      <c r="H5" s="1589"/>
      <c r="I5" s="1589"/>
      <c r="J5" s="1589"/>
      <c r="K5" s="1589"/>
      <c r="L5" s="1589"/>
      <c r="M5" s="1589"/>
      <c r="N5" s="1589"/>
      <c r="O5" s="1589"/>
      <c r="P5" s="1589"/>
      <c r="Q5" s="1589"/>
      <c r="R5" s="1589"/>
      <c r="S5" s="1609" t="s">
        <v>14</v>
      </c>
      <c r="T5" s="1607"/>
      <c r="U5" s="1607" t="s">
        <v>15</v>
      </c>
      <c r="V5" s="1608"/>
      <c r="W5" s="1603" t="s">
        <v>14</v>
      </c>
      <c r="X5" s="1604"/>
      <c r="Y5" s="1605" t="s">
        <v>15</v>
      </c>
      <c r="Z5" s="1610"/>
      <c r="AA5" s="1611" t="s">
        <v>14</v>
      </c>
      <c r="AB5" s="1604"/>
      <c r="AC5" s="1605" t="s">
        <v>15</v>
      </c>
      <c r="AD5" s="1610"/>
      <c r="AE5" s="1611" t="s">
        <v>14</v>
      </c>
      <c r="AF5" s="1604"/>
      <c r="AG5" s="1605" t="s">
        <v>15</v>
      </c>
      <c r="AH5" s="1621"/>
      <c r="AI5" s="1603" t="s">
        <v>14</v>
      </c>
      <c r="AJ5" s="1604"/>
      <c r="AK5" s="1605" t="s">
        <v>15</v>
      </c>
      <c r="AL5" s="1606"/>
      <c r="AM5" s="1604" t="s">
        <v>14</v>
      </c>
      <c r="AN5" s="1607"/>
      <c r="AO5" s="1607" t="s">
        <v>15</v>
      </c>
      <c r="AP5" s="1608"/>
      <c r="AQ5" s="1603" t="s">
        <v>14</v>
      </c>
      <c r="AR5" s="1604"/>
      <c r="AS5" s="1605" t="s">
        <v>15</v>
      </c>
      <c r="AT5" s="1610"/>
      <c r="AU5" s="1611" t="s">
        <v>14</v>
      </c>
      <c r="AV5" s="1604"/>
      <c r="AW5" s="1605" t="s">
        <v>15</v>
      </c>
      <c r="AX5" s="1610"/>
      <c r="AY5" s="1611" t="s">
        <v>14</v>
      </c>
      <c r="AZ5" s="1604"/>
      <c r="BA5" s="1605" t="s">
        <v>15</v>
      </c>
      <c r="BB5" s="1621"/>
      <c r="BC5" s="1603" t="s">
        <v>14</v>
      </c>
      <c r="BD5" s="1604"/>
      <c r="BE5" s="1605" t="s">
        <v>15</v>
      </c>
      <c r="BF5" s="1606"/>
    </row>
    <row r="6" spans="1:60" s="140" customFormat="1" ht="25" customHeight="1" thickTop="1" x14ac:dyDescent="0.35">
      <c r="A6" s="110"/>
      <c r="B6" s="1622" t="s">
        <v>1346</v>
      </c>
      <c r="C6" s="1623"/>
      <c r="D6" s="1623"/>
      <c r="E6" s="1623"/>
      <c r="F6" s="1623"/>
      <c r="G6" s="1623"/>
      <c r="H6" s="1623"/>
      <c r="I6" s="1623"/>
      <c r="J6" s="1623"/>
      <c r="K6" s="1623"/>
      <c r="L6" s="1623"/>
      <c r="M6" s="1623"/>
      <c r="N6" s="1623"/>
      <c r="O6" s="1623"/>
      <c r="P6" s="1623"/>
      <c r="Q6" s="1623"/>
      <c r="R6" s="1623"/>
      <c r="S6" s="1624">
        <v>0</v>
      </c>
      <c r="T6" s="1625"/>
      <c r="U6" s="1626">
        <v>0</v>
      </c>
      <c r="V6" s="1627"/>
      <c r="W6" s="1628">
        <v>0</v>
      </c>
      <c r="X6" s="1625"/>
      <c r="Y6" s="1626">
        <v>0</v>
      </c>
      <c r="Z6" s="1627"/>
      <c r="AA6" s="1628">
        <v>0</v>
      </c>
      <c r="AB6" s="1625"/>
      <c r="AC6" s="1626">
        <v>0</v>
      </c>
      <c r="AD6" s="1627"/>
      <c r="AE6" s="1628">
        <v>0</v>
      </c>
      <c r="AF6" s="1625"/>
      <c r="AG6" s="1626">
        <v>0</v>
      </c>
      <c r="AH6" s="1629"/>
      <c r="AI6" s="1614">
        <f>SUM(S6,W6,AA6,AE6)</f>
        <v>0</v>
      </c>
      <c r="AJ6" s="1615"/>
      <c r="AK6" s="1612">
        <f>SUM(U6,Y6,AC6,AG6)</f>
        <v>0</v>
      </c>
      <c r="AL6" s="1613"/>
      <c r="AM6" s="1616">
        <v>0</v>
      </c>
      <c r="AN6" s="1617"/>
      <c r="AO6" s="1618">
        <v>0</v>
      </c>
      <c r="AP6" s="1619"/>
      <c r="AQ6" s="1620">
        <v>0</v>
      </c>
      <c r="AR6" s="1617"/>
      <c r="AS6" s="1618">
        <v>0</v>
      </c>
      <c r="AT6" s="1619"/>
      <c r="AU6" s="1620">
        <v>0</v>
      </c>
      <c r="AV6" s="1617"/>
      <c r="AW6" s="1618">
        <v>0</v>
      </c>
      <c r="AX6" s="1619"/>
      <c r="AY6" s="1620">
        <v>0</v>
      </c>
      <c r="AZ6" s="1617"/>
      <c r="BA6" s="1618">
        <v>0</v>
      </c>
      <c r="BB6" s="1634"/>
      <c r="BC6" s="1614">
        <f>SUM(AM6,AQ6,AU6,AY6)</f>
        <v>0</v>
      </c>
      <c r="BD6" s="1615"/>
      <c r="BE6" s="1612">
        <f>SUM(AO6,AS6,AW6,BA6)</f>
        <v>0</v>
      </c>
      <c r="BF6" s="1613"/>
      <c r="BH6" s="1398" t="str">
        <f>IF(S6&lt;AM6,"Number of Passers should be less than or equal  to the Number of Takers  (by grade level, by sex) .",IF($U6&lt;AO6,"Number of Passers should be less than or equal  to the Number of Takers  (by grade level, by sex) .",IF(W6&lt;AQ6,"Number of Passers should be less than or equal  to the Number of Takers  (by grade level, by sex) .",IF(Y6&lt;AS6,"Number of Passers should be less than or equal  to the Number of Takers  (by grade level, by sex) .",IF(AA6&lt;AU6,"Number of Passers should be less than or equal  to the Number of Takers  (by grade level, by sex) .",IF(AC6&lt;AW6,"Number of Passers should be less than or equal  to the Number of Takers  (by grade level, by sex) .",IF(AE6&lt;AY6,"Number of Passers should be less than or equal  to the Number of Takers  (by grade level, by sex) .",IF(AG6&lt;BA6,"Number of Passers should be less than or equal  to the Number of Takers  (by grade level, by sex) .",""))))))))</f>
        <v/>
      </c>
    </row>
    <row r="7" spans="1:60" s="140" customFormat="1" ht="25" customHeight="1" x14ac:dyDescent="0.35">
      <c r="A7" s="110"/>
      <c r="B7" s="1636" t="s">
        <v>1344</v>
      </c>
      <c r="C7" s="1637"/>
      <c r="D7" s="1637"/>
      <c r="E7" s="1637"/>
      <c r="F7" s="1637"/>
      <c r="G7" s="1637"/>
      <c r="H7" s="1637"/>
      <c r="I7" s="1637"/>
      <c r="J7" s="1637"/>
      <c r="K7" s="1637"/>
      <c r="L7" s="1637"/>
      <c r="M7" s="1637"/>
      <c r="N7" s="1637"/>
      <c r="O7" s="1637"/>
      <c r="P7" s="1637"/>
      <c r="Q7" s="1637"/>
      <c r="R7" s="1637"/>
      <c r="S7" s="1638">
        <v>0</v>
      </c>
      <c r="T7" s="1633"/>
      <c r="U7" s="1630">
        <v>0</v>
      </c>
      <c r="V7" s="1631"/>
      <c r="W7" s="1632">
        <v>0</v>
      </c>
      <c r="X7" s="1633"/>
      <c r="Y7" s="1630">
        <v>0</v>
      </c>
      <c r="Z7" s="1631"/>
      <c r="AA7" s="1632">
        <v>0</v>
      </c>
      <c r="AB7" s="1633"/>
      <c r="AC7" s="1630">
        <v>0</v>
      </c>
      <c r="AD7" s="1631"/>
      <c r="AE7" s="1632">
        <v>0</v>
      </c>
      <c r="AF7" s="1633"/>
      <c r="AG7" s="1630">
        <v>0</v>
      </c>
      <c r="AH7" s="1635"/>
      <c r="AI7" s="1614">
        <f t="shared" ref="AI7:AI11" si="0">SUM(S7,W7,AA7,AE7)</f>
        <v>0</v>
      </c>
      <c r="AJ7" s="1615"/>
      <c r="AK7" s="1612">
        <f t="shared" ref="AK7:AK11" si="1">SUM(U7,Y7,AC7,AG7)</f>
        <v>0</v>
      </c>
      <c r="AL7" s="1613"/>
      <c r="AM7" s="1638">
        <v>0</v>
      </c>
      <c r="AN7" s="1633"/>
      <c r="AO7" s="1630">
        <v>0</v>
      </c>
      <c r="AP7" s="1631"/>
      <c r="AQ7" s="1632">
        <v>0</v>
      </c>
      <c r="AR7" s="1633"/>
      <c r="AS7" s="1630">
        <v>0</v>
      </c>
      <c r="AT7" s="1631"/>
      <c r="AU7" s="1632">
        <v>0</v>
      </c>
      <c r="AV7" s="1633"/>
      <c r="AW7" s="1630">
        <v>0</v>
      </c>
      <c r="AX7" s="1631"/>
      <c r="AY7" s="1632">
        <v>0</v>
      </c>
      <c r="AZ7" s="1633"/>
      <c r="BA7" s="1630">
        <v>0</v>
      </c>
      <c r="BB7" s="1635"/>
      <c r="BC7" s="1614">
        <f t="shared" ref="BC7:BC11" si="2">SUM(AM7,AQ7,AU7,AY7)</f>
        <v>0</v>
      </c>
      <c r="BD7" s="1615"/>
      <c r="BE7" s="1612">
        <f t="shared" ref="BE7:BE11" si="3">SUM(AO7,AS7,AW7,BA7)</f>
        <v>0</v>
      </c>
      <c r="BF7" s="1613"/>
      <c r="BH7" s="1398" t="str">
        <f t="shared" ref="BH7:BH11" si="4">IF(S7&lt;AM7,"Number of Passers should be less than or equal  to the Number of Takers  (by grade level, by sex) .",IF($U7&lt;AO7,"Number of Passers should be less than or equal  to the Number of Takers  (by grade level, by sex) .",IF(W7&lt;AQ7,"Number of Passers should be less than or equal  to the Number of Takers  (by grade level, by sex) .",IF(Y7&lt;AS7,"Number of Passers should be less than or equal  to the Number of Takers  (by grade level, by sex) .",IF(AA7&lt;AU7,"Number of Passers should be less than or equal  to the Number of Takers  (by grade level, by sex) .",IF(AC7&lt;AW7,"Number of Passers should be less than or equal  to the Number of Takers  (by grade level, by sex) .",IF(AE7&lt;AY7,"Number of Passers should be less than or equal  to the Number of Takers  (by grade level, by sex) .",IF(AG7&lt;BA7,"Number of Passers should be less than or equal  to the Number of Takers  (by grade level, by sex) .",""))))))))</f>
        <v/>
      </c>
    </row>
    <row r="8" spans="1:60" s="140" customFormat="1" ht="25" customHeight="1" x14ac:dyDescent="0.35">
      <c r="A8" s="110"/>
      <c r="B8" s="1636" t="s">
        <v>1348</v>
      </c>
      <c r="C8" s="1637"/>
      <c r="D8" s="1637"/>
      <c r="E8" s="1637"/>
      <c r="F8" s="1637"/>
      <c r="G8" s="1637"/>
      <c r="H8" s="1637"/>
      <c r="I8" s="1637"/>
      <c r="J8" s="1637"/>
      <c r="K8" s="1637"/>
      <c r="L8" s="1637"/>
      <c r="M8" s="1637"/>
      <c r="N8" s="1637"/>
      <c r="O8" s="1637"/>
      <c r="P8" s="1637"/>
      <c r="Q8" s="1637"/>
      <c r="R8" s="1637"/>
      <c r="S8" s="1624">
        <v>0</v>
      </c>
      <c r="T8" s="1625"/>
      <c r="U8" s="1626">
        <v>0</v>
      </c>
      <c r="V8" s="1627"/>
      <c r="W8" s="1628">
        <v>0</v>
      </c>
      <c r="X8" s="1625"/>
      <c r="Y8" s="1626">
        <v>0</v>
      </c>
      <c r="Z8" s="1627"/>
      <c r="AA8" s="1628">
        <v>0</v>
      </c>
      <c r="AB8" s="1625"/>
      <c r="AC8" s="1626">
        <v>0</v>
      </c>
      <c r="AD8" s="1627"/>
      <c r="AE8" s="1628">
        <v>0</v>
      </c>
      <c r="AF8" s="1625"/>
      <c r="AG8" s="1626">
        <v>0</v>
      </c>
      <c r="AH8" s="1629"/>
      <c r="AI8" s="1614">
        <f t="shared" si="0"/>
        <v>0</v>
      </c>
      <c r="AJ8" s="1615"/>
      <c r="AK8" s="1612">
        <f t="shared" si="1"/>
        <v>0</v>
      </c>
      <c r="AL8" s="1613"/>
      <c r="AM8" s="1638">
        <v>0</v>
      </c>
      <c r="AN8" s="1633"/>
      <c r="AO8" s="1630">
        <v>0</v>
      </c>
      <c r="AP8" s="1631"/>
      <c r="AQ8" s="1632">
        <v>0</v>
      </c>
      <c r="AR8" s="1633"/>
      <c r="AS8" s="1630">
        <v>0</v>
      </c>
      <c r="AT8" s="1631"/>
      <c r="AU8" s="1632">
        <v>0</v>
      </c>
      <c r="AV8" s="1633"/>
      <c r="AW8" s="1630">
        <v>0</v>
      </c>
      <c r="AX8" s="1631"/>
      <c r="AY8" s="1632">
        <v>0</v>
      </c>
      <c r="AZ8" s="1633"/>
      <c r="BA8" s="1630">
        <v>0</v>
      </c>
      <c r="BB8" s="1635"/>
      <c r="BC8" s="1614">
        <f t="shared" si="2"/>
        <v>0</v>
      </c>
      <c r="BD8" s="1615"/>
      <c r="BE8" s="1612">
        <f t="shared" si="3"/>
        <v>0</v>
      </c>
      <c r="BF8" s="1613"/>
      <c r="BH8" s="1398" t="str">
        <f t="shared" si="4"/>
        <v/>
      </c>
    </row>
    <row r="9" spans="1:60" s="140" customFormat="1" ht="25" customHeight="1" x14ac:dyDescent="0.35">
      <c r="A9" s="110"/>
      <c r="B9" s="1636" t="s">
        <v>1343</v>
      </c>
      <c r="C9" s="1637"/>
      <c r="D9" s="1637"/>
      <c r="E9" s="1637"/>
      <c r="F9" s="1637"/>
      <c r="G9" s="1637"/>
      <c r="H9" s="1637"/>
      <c r="I9" s="1637"/>
      <c r="J9" s="1637"/>
      <c r="K9" s="1637"/>
      <c r="L9" s="1637"/>
      <c r="M9" s="1637"/>
      <c r="N9" s="1637"/>
      <c r="O9" s="1637"/>
      <c r="P9" s="1637"/>
      <c r="Q9" s="1637"/>
      <c r="R9" s="1637"/>
      <c r="S9" s="1638">
        <v>0</v>
      </c>
      <c r="T9" s="1633"/>
      <c r="U9" s="1630">
        <v>0</v>
      </c>
      <c r="V9" s="1631"/>
      <c r="W9" s="1632">
        <v>0</v>
      </c>
      <c r="X9" s="1633"/>
      <c r="Y9" s="1630">
        <v>0</v>
      </c>
      <c r="Z9" s="1631"/>
      <c r="AA9" s="1632">
        <v>0</v>
      </c>
      <c r="AB9" s="1633"/>
      <c r="AC9" s="1630">
        <v>0</v>
      </c>
      <c r="AD9" s="1631"/>
      <c r="AE9" s="1632">
        <v>0</v>
      </c>
      <c r="AF9" s="1633"/>
      <c r="AG9" s="1630">
        <v>0</v>
      </c>
      <c r="AH9" s="1635"/>
      <c r="AI9" s="1614">
        <f t="shared" si="0"/>
        <v>0</v>
      </c>
      <c r="AJ9" s="1615"/>
      <c r="AK9" s="1612">
        <f t="shared" si="1"/>
        <v>0</v>
      </c>
      <c r="AL9" s="1613"/>
      <c r="AM9" s="1638">
        <v>0</v>
      </c>
      <c r="AN9" s="1633"/>
      <c r="AO9" s="1630">
        <v>0</v>
      </c>
      <c r="AP9" s="1631"/>
      <c r="AQ9" s="1632">
        <v>0</v>
      </c>
      <c r="AR9" s="1633"/>
      <c r="AS9" s="1630">
        <v>0</v>
      </c>
      <c r="AT9" s="1631"/>
      <c r="AU9" s="1632">
        <v>0</v>
      </c>
      <c r="AV9" s="1633"/>
      <c r="AW9" s="1630">
        <v>0</v>
      </c>
      <c r="AX9" s="1631"/>
      <c r="AY9" s="1632">
        <v>0</v>
      </c>
      <c r="AZ9" s="1633"/>
      <c r="BA9" s="1630">
        <v>0</v>
      </c>
      <c r="BB9" s="1635"/>
      <c r="BC9" s="1614">
        <f t="shared" si="2"/>
        <v>0</v>
      </c>
      <c r="BD9" s="1615"/>
      <c r="BE9" s="1612">
        <f t="shared" si="3"/>
        <v>0</v>
      </c>
      <c r="BF9" s="1613"/>
      <c r="BH9" s="1398" t="str">
        <f t="shared" si="4"/>
        <v/>
      </c>
    </row>
    <row r="10" spans="1:60" s="140" customFormat="1" ht="25" customHeight="1" x14ac:dyDescent="0.35">
      <c r="A10" s="110"/>
      <c r="B10" s="1636" t="s">
        <v>1345</v>
      </c>
      <c r="C10" s="1637"/>
      <c r="D10" s="1637"/>
      <c r="E10" s="1637"/>
      <c r="F10" s="1637"/>
      <c r="G10" s="1637"/>
      <c r="H10" s="1637"/>
      <c r="I10" s="1637"/>
      <c r="J10" s="1637"/>
      <c r="K10" s="1637"/>
      <c r="L10" s="1637"/>
      <c r="M10" s="1637"/>
      <c r="N10" s="1637"/>
      <c r="O10" s="1637"/>
      <c r="P10" s="1637"/>
      <c r="Q10" s="1637"/>
      <c r="R10" s="1637"/>
      <c r="S10" s="1624">
        <v>0</v>
      </c>
      <c r="T10" s="1625"/>
      <c r="U10" s="1626">
        <v>0</v>
      </c>
      <c r="V10" s="1627"/>
      <c r="W10" s="1628">
        <v>0</v>
      </c>
      <c r="X10" s="1625"/>
      <c r="Y10" s="1626">
        <v>0</v>
      </c>
      <c r="Z10" s="1627"/>
      <c r="AA10" s="1628">
        <v>0</v>
      </c>
      <c r="AB10" s="1625"/>
      <c r="AC10" s="1626">
        <v>0</v>
      </c>
      <c r="AD10" s="1627"/>
      <c r="AE10" s="1628">
        <v>0</v>
      </c>
      <c r="AF10" s="1625"/>
      <c r="AG10" s="1626">
        <v>0</v>
      </c>
      <c r="AH10" s="1629"/>
      <c r="AI10" s="1614">
        <f t="shared" si="0"/>
        <v>0</v>
      </c>
      <c r="AJ10" s="1615"/>
      <c r="AK10" s="1612">
        <f t="shared" si="1"/>
        <v>0</v>
      </c>
      <c r="AL10" s="1613"/>
      <c r="AM10" s="1638">
        <v>0</v>
      </c>
      <c r="AN10" s="1633"/>
      <c r="AO10" s="1630">
        <v>0</v>
      </c>
      <c r="AP10" s="1631"/>
      <c r="AQ10" s="1632">
        <v>0</v>
      </c>
      <c r="AR10" s="1633"/>
      <c r="AS10" s="1630">
        <v>0</v>
      </c>
      <c r="AT10" s="1631"/>
      <c r="AU10" s="1632">
        <v>0</v>
      </c>
      <c r="AV10" s="1633"/>
      <c r="AW10" s="1630">
        <v>0</v>
      </c>
      <c r="AX10" s="1631"/>
      <c r="AY10" s="1632">
        <v>0</v>
      </c>
      <c r="AZ10" s="1633"/>
      <c r="BA10" s="1630">
        <v>0</v>
      </c>
      <c r="BB10" s="1635"/>
      <c r="BC10" s="1614">
        <f t="shared" si="2"/>
        <v>0</v>
      </c>
      <c r="BD10" s="1615"/>
      <c r="BE10" s="1612">
        <f t="shared" si="3"/>
        <v>0</v>
      </c>
      <c r="BF10" s="1613"/>
      <c r="BH10" s="1398" t="str">
        <f t="shared" si="4"/>
        <v/>
      </c>
    </row>
    <row r="11" spans="1:60" s="140" customFormat="1" ht="25" customHeight="1" thickBot="1" x14ac:dyDescent="0.4">
      <c r="A11" s="110"/>
      <c r="B11" s="1643" t="s">
        <v>1355</v>
      </c>
      <c r="C11" s="1644"/>
      <c r="D11" s="1644"/>
      <c r="E11" s="1644"/>
      <c r="F11" s="1644"/>
      <c r="G11" s="1644"/>
      <c r="H11" s="1644"/>
      <c r="I11" s="1644"/>
      <c r="J11" s="1644"/>
      <c r="K11" s="1644"/>
      <c r="L11" s="1644"/>
      <c r="M11" s="1644"/>
      <c r="N11" s="1644"/>
      <c r="O11" s="1644"/>
      <c r="P11" s="1644"/>
      <c r="Q11" s="1644"/>
      <c r="R11" s="1644"/>
      <c r="S11" s="1641">
        <v>0</v>
      </c>
      <c r="T11" s="1642"/>
      <c r="U11" s="1645">
        <v>0</v>
      </c>
      <c r="V11" s="1646"/>
      <c r="W11" s="1647">
        <v>0</v>
      </c>
      <c r="X11" s="1642"/>
      <c r="Y11" s="1645">
        <v>0</v>
      </c>
      <c r="Z11" s="1646"/>
      <c r="AA11" s="1647">
        <v>0</v>
      </c>
      <c r="AB11" s="1642"/>
      <c r="AC11" s="1645">
        <v>0</v>
      </c>
      <c r="AD11" s="1646"/>
      <c r="AE11" s="1647">
        <v>0</v>
      </c>
      <c r="AF11" s="1642"/>
      <c r="AG11" s="1645">
        <v>0</v>
      </c>
      <c r="AH11" s="1649"/>
      <c r="AI11" s="1650">
        <f t="shared" si="0"/>
        <v>0</v>
      </c>
      <c r="AJ11" s="1651"/>
      <c r="AK11" s="1639">
        <f t="shared" si="1"/>
        <v>0</v>
      </c>
      <c r="AL11" s="1640"/>
      <c r="AM11" s="1641">
        <v>0</v>
      </c>
      <c r="AN11" s="1642"/>
      <c r="AO11" s="1645">
        <v>0</v>
      </c>
      <c r="AP11" s="1646"/>
      <c r="AQ11" s="1647">
        <v>0</v>
      </c>
      <c r="AR11" s="1642"/>
      <c r="AS11" s="1645">
        <v>0</v>
      </c>
      <c r="AT11" s="1646"/>
      <c r="AU11" s="1647">
        <v>0</v>
      </c>
      <c r="AV11" s="1642"/>
      <c r="AW11" s="1645">
        <v>0</v>
      </c>
      <c r="AX11" s="1646"/>
      <c r="AY11" s="1647">
        <v>0</v>
      </c>
      <c r="AZ11" s="1642"/>
      <c r="BA11" s="1645">
        <v>0</v>
      </c>
      <c r="BB11" s="1649"/>
      <c r="BC11" s="1650">
        <f t="shared" si="2"/>
        <v>0</v>
      </c>
      <c r="BD11" s="1651"/>
      <c r="BE11" s="1639">
        <f t="shared" si="3"/>
        <v>0</v>
      </c>
      <c r="BF11" s="1640"/>
      <c r="BH11" s="1398" t="str">
        <f t="shared" si="4"/>
        <v/>
      </c>
    </row>
    <row r="12" spans="1:60" s="84" customFormat="1" ht="4.5" customHeight="1" thickTop="1" x14ac:dyDescent="0.35">
      <c r="B12" s="85"/>
      <c r="F12" s="86"/>
      <c r="G12" s="86"/>
      <c r="H12" s="86"/>
      <c r="I12" s="86"/>
      <c r="J12" s="86"/>
      <c r="K12" s="86"/>
      <c r="L12" s="86"/>
      <c r="O12" s="86"/>
    </row>
    <row r="13" spans="1:60" s="89" customFormat="1" x14ac:dyDescent="0.35">
      <c r="B13" s="136" t="s">
        <v>1351</v>
      </c>
    </row>
    <row r="14" spans="1:60" s="137" customFormat="1" ht="51" customHeight="1" x14ac:dyDescent="0.35">
      <c r="B14" s="72"/>
      <c r="C14" s="91" t="s">
        <v>150</v>
      </c>
      <c r="D14" s="1648" t="s">
        <v>1358</v>
      </c>
      <c r="E14" s="1648"/>
      <c r="F14" s="1648"/>
      <c r="G14" s="1648"/>
      <c r="H14" s="1648"/>
      <c r="I14" s="1648"/>
      <c r="J14" s="1648"/>
      <c r="K14" s="1648"/>
      <c r="L14" s="1648"/>
      <c r="M14" s="1648"/>
      <c r="N14" s="1648"/>
      <c r="O14" s="1648"/>
      <c r="P14" s="1648"/>
      <c r="Q14" s="1648"/>
      <c r="R14" s="1648"/>
      <c r="S14" s="1648"/>
      <c r="T14" s="1648"/>
      <c r="U14" s="1648"/>
      <c r="V14" s="1648"/>
      <c r="W14" s="1648"/>
      <c r="X14" s="1648"/>
      <c r="Y14" s="1648"/>
      <c r="Z14" s="1648"/>
      <c r="AA14" s="1648"/>
      <c r="AB14" s="1648"/>
      <c r="AC14" s="1648"/>
      <c r="AD14" s="1648"/>
      <c r="AE14" s="1648"/>
      <c r="AF14" s="1648"/>
      <c r="AG14" s="1648"/>
      <c r="AH14" s="1648"/>
      <c r="AI14" s="1648"/>
      <c r="AJ14" s="1648"/>
      <c r="AK14" s="1648"/>
      <c r="AL14" s="1648"/>
      <c r="AM14" s="1648"/>
      <c r="AN14" s="1648"/>
      <c r="AO14" s="1648"/>
      <c r="AP14" s="1648"/>
      <c r="AQ14" s="1648"/>
      <c r="AR14" s="1648"/>
      <c r="AS14" s="1648"/>
      <c r="AT14" s="1648"/>
      <c r="AU14" s="1648"/>
      <c r="AV14" s="1648"/>
      <c r="AW14" s="1648"/>
      <c r="AX14" s="1648"/>
      <c r="AY14" s="1648"/>
      <c r="AZ14" s="1648"/>
      <c r="BA14" s="1648"/>
      <c r="BB14" s="1648"/>
      <c r="BC14" s="1648"/>
      <c r="BD14" s="1648"/>
      <c r="BE14" s="1648"/>
      <c r="BF14" s="1648"/>
    </row>
    <row r="15" spans="1:60" s="137" customFormat="1" ht="35" customHeight="1" x14ac:dyDescent="0.35">
      <c r="B15" s="72"/>
      <c r="C15" s="91" t="s">
        <v>151</v>
      </c>
      <c r="D15" s="1648" t="s">
        <v>1354</v>
      </c>
      <c r="E15" s="1648"/>
      <c r="F15" s="1648"/>
      <c r="G15" s="1648"/>
      <c r="H15" s="1648"/>
      <c r="I15" s="1648"/>
      <c r="J15" s="1648"/>
      <c r="K15" s="1648"/>
      <c r="L15" s="1648"/>
      <c r="M15" s="1648"/>
      <c r="N15" s="1648"/>
      <c r="O15" s="1648"/>
      <c r="P15" s="1648"/>
      <c r="Q15" s="1648"/>
      <c r="R15" s="1648"/>
      <c r="S15" s="1648"/>
      <c r="T15" s="1648"/>
      <c r="U15" s="1648"/>
      <c r="V15" s="1648"/>
      <c r="W15" s="1648"/>
      <c r="X15" s="1648"/>
      <c r="Y15" s="1648"/>
      <c r="Z15" s="1648"/>
      <c r="AA15" s="1648"/>
      <c r="AB15" s="1648"/>
      <c r="AC15" s="1648"/>
      <c r="AD15" s="1648"/>
      <c r="AE15" s="1648"/>
      <c r="AF15" s="1648"/>
      <c r="AG15" s="1648"/>
      <c r="AH15" s="1648"/>
      <c r="AI15" s="1648"/>
      <c r="AJ15" s="1648"/>
      <c r="AK15" s="1648"/>
      <c r="AL15" s="1648"/>
      <c r="AM15" s="1648"/>
      <c r="AN15" s="1648"/>
      <c r="AO15" s="1648"/>
      <c r="AP15" s="1648"/>
      <c r="AQ15" s="1648"/>
      <c r="AR15" s="1648"/>
      <c r="AS15" s="1648"/>
      <c r="AT15" s="1648"/>
      <c r="AU15" s="1648"/>
      <c r="AV15" s="1648"/>
      <c r="AW15" s="1648"/>
      <c r="AX15" s="1648"/>
      <c r="AY15" s="1648"/>
      <c r="AZ15" s="1648"/>
      <c r="BA15" s="1648"/>
      <c r="BB15" s="1648"/>
      <c r="BC15" s="1648"/>
      <c r="BD15" s="1648"/>
      <c r="BE15" s="1648"/>
      <c r="BF15" s="1648"/>
    </row>
    <row r="16" spans="1:60" s="137" customFormat="1" ht="35" customHeight="1" x14ac:dyDescent="0.35">
      <c r="B16" s="72"/>
      <c r="C16" s="91" t="s">
        <v>152</v>
      </c>
      <c r="D16" s="1648" t="s">
        <v>1356</v>
      </c>
      <c r="E16" s="1648"/>
      <c r="F16" s="1648"/>
      <c r="G16" s="1648"/>
      <c r="H16" s="1648"/>
      <c r="I16" s="1648"/>
      <c r="J16" s="1648"/>
      <c r="K16" s="1648"/>
      <c r="L16" s="1648"/>
      <c r="M16" s="1648"/>
      <c r="N16" s="1648"/>
      <c r="O16" s="1648"/>
      <c r="P16" s="1648"/>
      <c r="Q16" s="1648"/>
      <c r="R16" s="1648"/>
      <c r="S16" s="1648"/>
      <c r="T16" s="1648"/>
      <c r="U16" s="1648"/>
      <c r="V16" s="1648"/>
      <c r="W16" s="1648"/>
      <c r="X16" s="1648"/>
      <c r="Y16" s="1648"/>
      <c r="Z16" s="1648"/>
      <c r="AA16" s="1648"/>
      <c r="AB16" s="1648"/>
      <c r="AC16" s="1648"/>
      <c r="AD16" s="1648"/>
      <c r="AE16" s="1648"/>
      <c r="AF16" s="1648"/>
      <c r="AG16" s="1648"/>
      <c r="AH16" s="1648"/>
      <c r="AI16" s="1648"/>
      <c r="AJ16" s="1648"/>
      <c r="AK16" s="1648"/>
      <c r="AL16" s="1648"/>
      <c r="AM16" s="1648"/>
      <c r="AN16" s="1648"/>
      <c r="AO16" s="1648"/>
      <c r="AP16" s="1648"/>
      <c r="AQ16" s="1648"/>
      <c r="AR16" s="1648"/>
      <c r="AS16" s="1648"/>
      <c r="AT16" s="1648"/>
      <c r="AU16" s="1648"/>
      <c r="AV16" s="1648"/>
      <c r="AW16" s="1648"/>
      <c r="AX16" s="1648"/>
      <c r="AY16" s="1648"/>
      <c r="AZ16" s="1648"/>
      <c r="BA16" s="1648"/>
      <c r="BB16" s="1648"/>
      <c r="BC16" s="1648"/>
      <c r="BD16" s="1648"/>
      <c r="BE16" s="1648"/>
      <c r="BF16" s="1648"/>
    </row>
    <row r="17" spans="2:58" s="139" customFormat="1" ht="17.5" customHeight="1" x14ac:dyDescent="0.35">
      <c r="B17" s="138"/>
      <c r="C17" s="91" t="s">
        <v>155</v>
      </c>
      <c r="D17" s="1648" t="s">
        <v>1352</v>
      </c>
      <c r="E17" s="1648"/>
      <c r="F17" s="1648"/>
      <c r="G17" s="1648"/>
      <c r="H17" s="1648"/>
      <c r="I17" s="1648"/>
      <c r="J17" s="1648"/>
      <c r="K17" s="1648"/>
      <c r="L17" s="1648"/>
      <c r="M17" s="1648"/>
      <c r="N17" s="1648"/>
      <c r="O17" s="1648"/>
      <c r="P17" s="1648"/>
      <c r="Q17" s="1648"/>
      <c r="R17" s="1648"/>
      <c r="S17" s="1648"/>
      <c r="T17" s="1648"/>
      <c r="U17" s="1648"/>
      <c r="V17" s="1648"/>
      <c r="W17" s="1648"/>
      <c r="X17" s="1648"/>
      <c r="Y17" s="1648"/>
      <c r="Z17" s="1648"/>
      <c r="AA17" s="1648"/>
      <c r="AB17" s="1648"/>
      <c r="AC17" s="1648"/>
      <c r="AD17" s="1648"/>
      <c r="AE17" s="1648"/>
      <c r="AF17" s="1648"/>
      <c r="AG17" s="1648"/>
      <c r="AH17" s="1648"/>
      <c r="AI17" s="1648"/>
      <c r="AJ17" s="1648"/>
      <c r="AK17" s="1648"/>
      <c r="AL17" s="1648"/>
      <c r="AM17" s="1648"/>
      <c r="AN17" s="1648"/>
      <c r="AO17" s="1648"/>
      <c r="AP17" s="1648"/>
      <c r="AQ17" s="1648"/>
      <c r="AR17" s="1648"/>
      <c r="AS17" s="1648"/>
      <c r="AT17" s="1648"/>
      <c r="AU17" s="1648"/>
      <c r="AV17" s="1648"/>
      <c r="AW17" s="1648"/>
      <c r="AX17" s="1648"/>
      <c r="AY17" s="1648"/>
      <c r="AZ17" s="1648"/>
      <c r="BA17" s="1648"/>
      <c r="BB17" s="1648"/>
      <c r="BC17" s="1648"/>
      <c r="BD17" s="1648"/>
      <c r="BE17" s="1648"/>
      <c r="BF17" s="1648"/>
    </row>
    <row r="18" spans="2:58" s="137" customFormat="1" ht="35" customHeight="1" x14ac:dyDescent="0.35">
      <c r="B18" s="72"/>
      <c r="C18" s="91" t="s">
        <v>156</v>
      </c>
      <c r="D18" s="1648" t="s">
        <v>1357</v>
      </c>
      <c r="E18" s="1648"/>
      <c r="F18" s="1648"/>
      <c r="G18" s="1648"/>
      <c r="H18" s="1648"/>
      <c r="I18" s="1648"/>
      <c r="J18" s="1648"/>
      <c r="K18" s="1648"/>
      <c r="L18" s="1648"/>
      <c r="M18" s="1648"/>
      <c r="N18" s="1648"/>
      <c r="O18" s="1648"/>
      <c r="P18" s="1648"/>
      <c r="Q18" s="1648"/>
      <c r="R18" s="1648"/>
      <c r="S18" s="1648"/>
      <c r="T18" s="1648"/>
      <c r="U18" s="1648"/>
      <c r="V18" s="1648"/>
      <c r="W18" s="1648"/>
      <c r="X18" s="1648"/>
      <c r="Y18" s="1648"/>
      <c r="Z18" s="1648"/>
      <c r="AA18" s="1648"/>
      <c r="AB18" s="1648"/>
      <c r="AC18" s="1648"/>
      <c r="AD18" s="1648"/>
      <c r="AE18" s="1648"/>
      <c r="AF18" s="1648"/>
      <c r="AG18" s="1648"/>
      <c r="AH18" s="1648"/>
      <c r="AI18" s="1648"/>
      <c r="AJ18" s="1648"/>
      <c r="AK18" s="1648"/>
      <c r="AL18" s="1648"/>
      <c r="AM18" s="1648"/>
      <c r="AN18" s="1648"/>
      <c r="AO18" s="1648"/>
      <c r="AP18" s="1648"/>
      <c r="AQ18" s="1648"/>
      <c r="AR18" s="1648"/>
      <c r="AS18" s="1648"/>
      <c r="AT18" s="1648"/>
      <c r="AU18" s="1648"/>
      <c r="AV18" s="1648"/>
      <c r="AW18" s="1648"/>
      <c r="AX18" s="1648"/>
      <c r="AY18" s="1648"/>
      <c r="AZ18" s="1648"/>
      <c r="BA18" s="1648"/>
      <c r="BB18" s="1648"/>
      <c r="BC18" s="1648"/>
      <c r="BD18" s="1648"/>
      <c r="BE18" s="1648"/>
      <c r="BF18" s="1648"/>
    </row>
    <row r="19" spans="2:58" s="137" customFormat="1" ht="35" customHeight="1" x14ac:dyDescent="0.35">
      <c r="B19" s="72"/>
      <c r="C19" s="91" t="s">
        <v>157</v>
      </c>
      <c r="D19" s="1648" t="s">
        <v>1353</v>
      </c>
      <c r="E19" s="1648"/>
      <c r="F19" s="1648"/>
      <c r="G19" s="1648"/>
      <c r="H19" s="1648"/>
      <c r="I19" s="1648"/>
      <c r="J19" s="1648"/>
      <c r="K19" s="1648"/>
      <c r="L19" s="1648"/>
      <c r="M19" s="1648"/>
      <c r="N19" s="1648"/>
      <c r="O19" s="1648"/>
      <c r="P19" s="1648"/>
      <c r="Q19" s="1648"/>
      <c r="R19" s="1648"/>
      <c r="S19" s="1648"/>
      <c r="T19" s="1648"/>
      <c r="U19" s="1648"/>
      <c r="V19" s="1648"/>
      <c r="W19" s="1648"/>
      <c r="X19" s="1648"/>
      <c r="Y19" s="1648"/>
      <c r="Z19" s="1648"/>
      <c r="AA19" s="1648"/>
      <c r="AB19" s="1648"/>
      <c r="AC19" s="1648"/>
      <c r="AD19" s="1648"/>
      <c r="AE19" s="1648"/>
      <c r="AF19" s="1648"/>
      <c r="AG19" s="1648"/>
      <c r="AH19" s="1648"/>
      <c r="AI19" s="1648"/>
      <c r="AJ19" s="1648"/>
      <c r="AK19" s="1648"/>
      <c r="AL19" s="1648"/>
      <c r="AM19" s="1648"/>
      <c r="AN19" s="1648"/>
      <c r="AO19" s="1648"/>
      <c r="AP19" s="1648"/>
      <c r="AQ19" s="1648"/>
      <c r="AR19" s="1648"/>
      <c r="AS19" s="1648"/>
      <c r="AT19" s="1648"/>
      <c r="AU19" s="1648"/>
      <c r="AV19" s="1648"/>
      <c r="AW19" s="1648"/>
      <c r="AX19" s="1648"/>
      <c r="AY19" s="1648"/>
      <c r="AZ19" s="1648"/>
      <c r="BA19" s="1648"/>
      <c r="BB19" s="1648"/>
      <c r="BC19" s="1648"/>
      <c r="BD19" s="1648"/>
      <c r="BE19" s="1648"/>
      <c r="BF19" s="1648"/>
    </row>
    <row r="20" spans="2:58" s="124" customFormat="1" ht="30" customHeight="1" x14ac:dyDescent="0.3">
      <c r="B20" s="123"/>
    </row>
    <row r="21" spans="2:58" s="124" customFormat="1" ht="30" customHeight="1" x14ac:dyDescent="0.3">
      <c r="B21" s="123"/>
    </row>
    <row r="22" spans="2:58" s="124" customFormat="1" ht="30" customHeight="1" x14ac:dyDescent="0.3">
      <c r="B22" s="123"/>
    </row>
    <row r="23" spans="2:58" s="73" customFormat="1" x14ac:dyDescent="0.35">
      <c r="B23" s="60" t="s">
        <v>913</v>
      </c>
      <c r="AL23" s="60" t="s">
        <v>922</v>
      </c>
    </row>
    <row r="24" spans="2:58" s="73" customFormat="1" ht="21.75" customHeight="1" x14ac:dyDescent="0.35">
      <c r="B24" s="60" t="s">
        <v>910</v>
      </c>
      <c r="E24" s="76"/>
      <c r="F24" s="1581" t="str">
        <f>SchInfo!F38</f>
        <v>MELCHESIEDICK Q. BOLANIO/ March 17, 2023</v>
      </c>
      <c r="G24" s="1581"/>
      <c r="H24" s="1581"/>
      <c r="I24" s="1581"/>
      <c r="J24" s="1581"/>
      <c r="K24" s="1581"/>
      <c r="L24" s="1581"/>
      <c r="M24" s="1581"/>
      <c r="N24" s="1581"/>
      <c r="O24" s="1581"/>
      <c r="P24" s="1581"/>
      <c r="Q24" s="1581"/>
      <c r="R24" s="1581"/>
      <c r="S24" s="1581"/>
      <c r="T24" s="1581"/>
      <c r="U24" s="1581"/>
      <c r="V24" s="1581"/>
      <c r="AL24" s="1582" t="str">
        <f>SchInfo!R38</f>
        <v>MICHAEL T. JAMIS   /  March 17, 2023</v>
      </c>
      <c r="AM24" s="1582"/>
      <c r="AN24" s="1582"/>
      <c r="AO24" s="1582"/>
      <c r="AP24" s="1582"/>
      <c r="AQ24" s="1582"/>
      <c r="AR24" s="1582"/>
      <c r="AS24" s="1582"/>
      <c r="AT24" s="1582"/>
      <c r="AU24" s="1582"/>
      <c r="AV24" s="1582"/>
      <c r="AW24" s="1582"/>
      <c r="AX24" s="1582"/>
      <c r="AY24" s="1582"/>
      <c r="AZ24" s="1582"/>
      <c r="BA24" s="1582"/>
      <c r="BB24" s="1582"/>
      <c r="BC24" s="1582"/>
      <c r="BD24" s="1582"/>
      <c r="BE24" s="1582"/>
      <c r="BF24" s="1582"/>
    </row>
    <row r="25" spans="2:58" s="78" customFormat="1" ht="12.25" customHeight="1" x14ac:dyDescent="0.35">
      <c r="B25" s="77"/>
      <c r="E25" s="79"/>
      <c r="F25" s="1483" t="s">
        <v>779</v>
      </c>
      <c r="G25" s="1483"/>
      <c r="H25" s="1483"/>
      <c r="I25" s="1483"/>
      <c r="J25" s="1483"/>
      <c r="K25" s="1483"/>
      <c r="L25" s="1483"/>
      <c r="M25" s="1483"/>
      <c r="N25" s="1483"/>
      <c r="O25" s="1483"/>
      <c r="P25" s="1483"/>
      <c r="Q25" s="1483"/>
      <c r="R25" s="1483"/>
      <c r="S25" s="1483"/>
      <c r="T25" s="1483"/>
      <c r="U25" s="1483"/>
      <c r="V25" s="1483"/>
      <c r="W25" s="77"/>
      <c r="X25" s="77"/>
      <c r="Y25" s="77"/>
      <c r="Z25" s="77"/>
      <c r="AA25" s="77"/>
      <c r="AB25" s="77"/>
      <c r="AC25" s="77"/>
      <c r="AD25" s="77"/>
      <c r="AE25" s="77"/>
      <c r="AF25" s="77"/>
      <c r="AG25" s="77"/>
      <c r="AH25" s="77"/>
      <c r="AI25" s="77"/>
      <c r="AJ25" s="77"/>
      <c r="AK25" s="77"/>
      <c r="AL25" s="1583"/>
      <c r="AM25" s="1583"/>
      <c r="AN25" s="1583"/>
      <c r="AO25" s="1583"/>
      <c r="AP25" s="1583"/>
      <c r="AQ25" s="1583"/>
      <c r="AR25" s="1583"/>
      <c r="AS25" s="1583"/>
      <c r="AT25" s="1583"/>
      <c r="AU25" s="1583"/>
      <c r="AV25" s="1583"/>
      <c r="AW25" s="1583"/>
      <c r="AX25" s="1583"/>
      <c r="AY25" s="1583"/>
      <c r="AZ25" s="1583"/>
      <c r="BA25" s="1583"/>
      <c r="BB25" s="1583"/>
      <c r="BC25" s="1583"/>
      <c r="BD25" s="1583"/>
      <c r="BE25" s="1583"/>
      <c r="BF25" s="1583"/>
    </row>
    <row r="26" spans="2:58" s="73" customFormat="1" ht="21.75" customHeight="1" x14ac:dyDescent="0.35">
      <c r="B26" s="60" t="s">
        <v>784</v>
      </c>
      <c r="E26" s="76"/>
      <c r="F26" s="1581" t="str">
        <f>SchInfo!F40</f>
        <v>Principal IV</v>
      </c>
      <c r="G26" s="1581"/>
      <c r="H26" s="1581"/>
      <c r="I26" s="1581"/>
      <c r="J26" s="1581"/>
      <c r="K26" s="1581"/>
      <c r="L26" s="1581"/>
      <c r="M26" s="1581"/>
      <c r="N26" s="1581"/>
      <c r="O26" s="1581"/>
      <c r="P26" s="1581"/>
      <c r="Q26" s="1581"/>
      <c r="R26" s="1581"/>
      <c r="S26" s="1581"/>
      <c r="T26" s="1581"/>
      <c r="U26" s="1581"/>
      <c r="V26" s="1581"/>
      <c r="AL26" s="1452" t="s">
        <v>779</v>
      </c>
      <c r="AM26" s="1452"/>
      <c r="AN26" s="1452"/>
      <c r="AO26" s="1452"/>
      <c r="AP26" s="1452"/>
      <c r="AQ26" s="1452"/>
      <c r="AR26" s="1452"/>
      <c r="AS26" s="1452"/>
      <c r="AT26" s="1452"/>
      <c r="AU26" s="1452"/>
      <c r="AV26" s="1452"/>
      <c r="AW26" s="1452"/>
      <c r="AX26" s="1452"/>
      <c r="AY26" s="1452"/>
      <c r="AZ26" s="1452"/>
      <c r="BA26" s="1452"/>
      <c r="BB26" s="1452"/>
      <c r="BC26" s="1452"/>
      <c r="BD26" s="1452"/>
      <c r="BE26" s="1452"/>
      <c r="BF26" s="1452"/>
    </row>
  </sheetData>
  <sheetProtection algorithmName="SHA-512" hashValue="g2VooFrh9U3bK7flTzgTlhjik5jlMxnlPH+xFwvfGXp5d1v2/4WbcGQMQ/SpUrc2+eBDrsB2t+VA7mHUhNCOyA==" saltValue="KjKRY2XRyqm8SGRLpG5duw==" spinCount="100000" sheet="1" objects="1" scenarios="1"/>
  <mergeCells count="170">
    <mergeCell ref="F26:V26"/>
    <mergeCell ref="AL26:BF26"/>
    <mergeCell ref="D16:BF16"/>
    <mergeCell ref="D18:BF18"/>
    <mergeCell ref="D14:BF14"/>
    <mergeCell ref="F24:V24"/>
    <mergeCell ref="AL24:BF25"/>
    <mergeCell ref="F25:V25"/>
    <mergeCell ref="BA11:BB11"/>
    <mergeCell ref="BC11:BD11"/>
    <mergeCell ref="BE11:BF11"/>
    <mergeCell ref="D17:BF17"/>
    <mergeCell ref="D19:BF19"/>
    <mergeCell ref="D15:BF15"/>
    <mergeCell ref="AO11:AP11"/>
    <mergeCell ref="AQ11:AR11"/>
    <mergeCell ref="AS11:AT11"/>
    <mergeCell ref="AU11:AV11"/>
    <mergeCell ref="AW11:AX11"/>
    <mergeCell ref="AY11:AZ11"/>
    <mergeCell ref="AC11:AD11"/>
    <mergeCell ref="AE11:AF11"/>
    <mergeCell ref="AG11:AH11"/>
    <mergeCell ref="AI11:AJ11"/>
    <mergeCell ref="AK11:AL11"/>
    <mergeCell ref="AM11:AN11"/>
    <mergeCell ref="B11:R11"/>
    <mergeCell ref="S11:T11"/>
    <mergeCell ref="U11:V11"/>
    <mergeCell ref="W11:X11"/>
    <mergeCell ref="Y11:Z11"/>
    <mergeCell ref="AA11:AB11"/>
    <mergeCell ref="AU10:AV10"/>
    <mergeCell ref="BA10:BB10"/>
    <mergeCell ref="BC10:BD10"/>
    <mergeCell ref="BE10:BF10"/>
    <mergeCell ref="AI10:AJ10"/>
    <mergeCell ref="AK10:AL10"/>
    <mergeCell ref="AM10:AN10"/>
    <mergeCell ref="AO10:AP10"/>
    <mergeCell ref="AQ10:AR10"/>
    <mergeCell ref="AS10:AT10"/>
    <mergeCell ref="BE9:BF9"/>
    <mergeCell ref="B10:R10"/>
    <mergeCell ref="S10:T10"/>
    <mergeCell ref="U10:V10"/>
    <mergeCell ref="W10:X10"/>
    <mergeCell ref="Y10:Z10"/>
    <mergeCell ref="AA10:AB10"/>
    <mergeCell ref="AC10:AD10"/>
    <mergeCell ref="AE10:AF10"/>
    <mergeCell ref="AG10:AH10"/>
    <mergeCell ref="AS9:AT9"/>
    <mergeCell ref="AU9:AV9"/>
    <mergeCell ref="AW9:AX9"/>
    <mergeCell ref="AY9:AZ9"/>
    <mergeCell ref="BA9:BB9"/>
    <mergeCell ref="BC9:BD9"/>
    <mergeCell ref="AG9:AH9"/>
    <mergeCell ref="AI9:AJ9"/>
    <mergeCell ref="AK9:AL9"/>
    <mergeCell ref="AM9:AN9"/>
    <mergeCell ref="AO9:AP9"/>
    <mergeCell ref="AQ9:AR9"/>
    <mergeCell ref="AW10:AX10"/>
    <mergeCell ref="AY10:AZ10"/>
    <mergeCell ref="AS8:AT8"/>
    <mergeCell ref="AU8:AV8"/>
    <mergeCell ref="AW8:AX8"/>
    <mergeCell ref="AY8:AZ8"/>
    <mergeCell ref="BA8:BB8"/>
    <mergeCell ref="AE8:AF8"/>
    <mergeCell ref="AG8:AH8"/>
    <mergeCell ref="AI8:AJ8"/>
    <mergeCell ref="AK8:AL8"/>
    <mergeCell ref="AM8:AN8"/>
    <mergeCell ref="AO8:AP8"/>
    <mergeCell ref="B9:R9"/>
    <mergeCell ref="S9:T9"/>
    <mergeCell ref="U9:V9"/>
    <mergeCell ref="W9:X9"/>
    <mergeCell ref="Y9:Z9"/>
    <mergeCell ref="AA9:AB9"/>
    <mergeCell ref="AC9:AD9"/>
    <mergeCell ref="AE9:AF9"/>
    <mergeCell ref="AQ8:AR8"/>
    <mergeCell ref="BE7:BF7"/>
    <mergeCell ref="B8:R8"/>
    <mergeCell ref="S8:T8"/>
    <mergeCell ref="U8:V8"/>
    <mergeCell ref="W8:X8"/>
    <mergeCell ref="Y8:Z8"/>
    <mergeCell ref="AA8:AB8"/>
    <mergeCell ref="AC8:AD8"/>
    <mergeCell ref="AO7:AP7"/>
    <mergeCell ref="AQ7:AR7"/>
    <mergeCell ref="AS7:AT7"/>
    <mergeCell ref="AU7:AV7"/>
    <mergeCell ref="AW7:AX7"/>
    <mergeCell ref="AY7:AZ7"/>
    <mergeCell ref="AC7:AD7"/>
    <mergeCell ref="AE7:AF7"/>
    <mergeCell ref="AG7:AH7"/>
    <mergeCell ref="AI7:AJ7"/>
    <mergeCell ref="AK7:AL7"/>
    <mergeCell ref="AM7:AN7"/>
    <mergeCell ref="B7:R7"/>
    <mergeCell ref="S7:T7"/>
    <mergeCell ref="BC8:BD8"/>
    <mergeCell ref="BE8:BF8"/>
    <mergeCell ref="U7:V7"/>
    <mergeCell ref="W7:X7"/>
    <mergeCell ref="Y7:Z7"/>
    <mergeCell ref="AA7:AB7"/>
    <mergeCell ref="AU6:AV6"/>
    <mergeCell ref="AW6:AX6"/>
    <mergeCell ref="AY6:AZ6"/>
    <mergeCell ref="BA6:BB6"/>
    <mergeCell ref="BC6:BD6"/>
    <mergeCell ref="BA7:BB7"/>
    <mergeCell ref="BC7:BD7"/>
    <mergeCell ref="B6:R6"/>
    <mergeCell ref="S6:T6"/>
    <mergeCell ref="U6:V6"/>
    <mergeCell ref="W6:X6"/>
    <mergeCell ref="Y6:Z6"/>
    <mergeCell ref="AA6:AB6"/>
    <mergeCell ref="AC6:AD6"/>
    <mergeCell ref="AE6:AF6"/>
    <mergeCell ref="AG6:AH6"/>
    <mergeCell ref="AE5:AF5"/>
    <mergeCell ref="BE6:BF6"/>
    <mergeCell ref="AI6:AJ6"/>
    <mergeCell ref="AK6:AL6"/>
    <mergeCell ref="AM6:AN6"/>
    <mergeCell ref="AO6:AP6"/>
    <mergeCell ref="AQ6:AR6"/>
    <mergeCell ref="AS6:AT6"/>
    <mergeCell ref="BE5:BF5"/>
    <mergeCell ref="AS5:AT5"/>
    <mergeCell ref="AU5:AV5"/>
    <mergeCell ref="AW5:AX5"/>
    <mergeCell ref="AY5:AZ5"/>
    <mergeCell ref="BA5:BB5"/>
    <mergeCell ref="BC5:BD5"/>
    <mergeCell ref="AG5:AH5"/>
    <mergeCell ref="B3:R5"/>
    <mergeCell ref="S3:AL3"/>
    <mergeCell ref="AM3:BF3"/>
    <mergeCell ref="S4:V4"/>
    <mergeCell ref="W4:Z4"/>
    <mergeCell ref="AA4:AD4"/>
    <mergeCell ref="AE4:AH4"/>
    <mergeCell ref="AI4:AL4"/>
    <mergeCell ref="AM4:AP4"/>
    <mergeCell ref="AQ4:AT4"/>
    <mergeCell ref="AI5:AJ5"/>
    <mergeCell ref="AK5:AL5"/>
    <mergeCell ref="AM5:AN5"/>
    <mergeCell ref="AO5:AP5"/>
    <mergeCell ref="AQ5:AR5"/>
    <mergeCell ref="AU4:AX4"/>
    <mergeCell ref="AY4:BB4"/>
    <mergeCell ref="BC4:BF4"/>
    <mergeCell ref="S5:T5"/>
    <mergeCell ref="U5:V5"/>
    <mergeCell ref="W5:X5"/>
    <mergeCell ref="Y5:Z5"/>
    <mergeCell ref="AA5:AB5"/>
    <mergeCell ref="AC5:AD5"/>
  </mergeCells>
  <dataValidations count="1">
    <dataValidation type="whole" allowBlank="1" showInputMessage="1" showErrorMessage="1" errorTitle="GJHSP SY 2022-2023" error="Please enter valid number between 0-20,000." sqref="AM6:BB11 S6:AH11" xr:uid="{3CB4B1DA-0701-4C55-90F6-256094DCD629}">
      <formula1>0</formula1>
      <formula2>20000</formula2>
    </dataValidation>
  </dataValidations>
  <printOptions horizontalCentered="1" verticalCentered="1"/>
  <pageMargins left="0.25" right="0.25" top="0.2" bottom="0.2" header="0" footer="0.1"/>
  <pageSetup paperSize="9" scale="62" orientation="landscape" r:id="rId1"/>
  <headerFooter alignWithMargins="0">
    <oddFooter>&amp;L&amp;10&amp;F &amp;A&amp;R&amp;10Page 4 of 63</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F24EC-480B-422D-80A6-DE4ACCF770D7}">
  <sheetPr codeName="Sheet5">
    <pageSetUpPr fitToPage="1"/>
  </sheetPr>
  <dimension ref="B1:AV43"/>
  <sheetViews>
    <sheetView showGridLines="0" topLeftCell="A11" zoomScaleNormal="100" workbookViewId="0">
      <selection activeCell="P9" sqref="P9:R9"/>
    </sheetView>
  </sheetViews>
  <sheetFormatPr defaultColWidth="9" defaultRowHeight="15.5" x14ac:dyDescent="0.35"/>
  <cols>
    <col min="1" max="1" width="2.08203125" style="44" customWidth="1"/>
    <col min="2" max="45" width="3.58203125" style="44" customWidth="1"/>
    <col min="46" max="46" width="2.08203125" style="44" customWidth="1"/>
    <col min="47" max="49" width="3.58203125" style="44" customWidth="1"/>
    <col min="50" max="50" width="2.08203125" style="44" customWidth="1"/>
    <col min="51" max="52" width="4.58203125" style="44" customWidth="1"/>
    <col min="53" max="53" width="4.5" style="44" customWidth="1"/>
    <col min="54" max="85" width="4.58203125" style="44" customWidth="1"/>
    <col min="86" max="16384" width="9" style="44"/>
  </cols>
  <sheetData>
    <row r="1" spans="2:48" ht="12" customHeight="1" x14ac:dyDescent="0.35"/>
    <row r="2" spans="2:48" ht="17" thickBot="1" x14ac:dyDescent="0.4">
      <c r="B2" s="111" t="s">
        <v>12682</v>
      </c>
      <c r="C2" s="131"/>
      <c r="D2" s="131"/>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row>
    <row r="3" spans="2:48" s="72" customFormat="1" ht="15.75" customHeight="1" x14ac:dyDescent="0.35">
      <c r="B3" s="1522" t="s">
        <v>130</v>
      </c>
      <c r="C3" s="1523"/>
      <c r="D3" s="1523"/>
      <c r="E3" s="1523"/>
      <c r="F3" s="1523"/>
      <c r="G3" s="1523"/>
      <c r="H3" s="1523"/>
      <c r="I3" s="1523"/>
      <c r="J3" s="1523"/>
      <c r="K3" s="1523"/>
      <c r="L3" s="1523"/>
      <c r="M3" s="1523"/>
      <c r="N3" s="1523"/>
      <c r="O3" s="1524"/>
      <c r="P3" s="1662" t="s">
        <v>594</v>
      </c>
      <c r="Q3" s="1663"/>
      <c r="R3" s="1663"/>
      <c r="S3" s="1663"/>
      <c r="T3" s="1663"/>
      <c r="U3" s="1663"/>
      <c r="V3" s="1663"/>
      <c r="W3" s="1663"/>
      <c r="X3" s="1663"/>
      <c r="Y3" s="1663"/>
      <c r="Z3" s="1663"/>
      <c r="AA3" s="1664"/>
      <c r="AB3" s="1662" t="s">
        <v>595</v>
      </c>
      <c r="AC3" s="1663"/>
      <c r="AD3" s="1663"/>
      <c r="AE3" s="1663"/>
      <c r="AF3" s="1663"/>
      <c r="AG3" s="1663"/>
      <c r="AH3" s="1663"/>
      <c r="AI3" s="1663"/>
      <c r="AJ3" s="1663"/>
      <c r="AK3" s="1663"/>
      <c r="AL3" s="1663"/>
      <c r="AM3" s="1665"/>
      <c r="AN3" s="1511" t="s">
        <v>362</v>
      </c>
      <c r="AO3" s="1512"/>
      <c r="AP3" s="1512"/>
      <c r="AQ3" s="1512"/>
      <c r="AR3" s="1512"/>
      <c r="AS3" s="1513"/>
    </row>
    <row r="4" spans="2:48" s="72" customFormat="1" ht="15.75" customHeight="1" x14ac:dyDescent="0.35">
      <c r="B4" s="1525"/>
      <c r="C4" s="1526"/>
      <c r="D4" s="1526"/>
      <c r="E4" s="1526"/>
      <c r="F4" s="1526"/>
      <c r="G4" s="1526"/>
      <c r="H4" s="1526"/>
      <c r="I4" s="1526"/>
      <c r="J4" s="1526"/>
      <c r="K4" s="1526"/>
      <c r="L4" s="1526"/>
      <c r="M4" s="1526"/>
      <c r="N4" s="1526"/>
      <c r="O4" s="1527"/>
      <c r="P4" s="1559" t="s">
        <v>87</v>
      </c>
      <c r="Q4" s="1560"/>
      <c r="R4" s="1560"/>
      <c r="S4" s="1560"/>
      <c r="T4" s="1560"/>
      <c r="U4" s="1561"/>
      <c r="V4" s="1559" t="s">
        <v>88</v>
      </c>
      <c r="W4" s="1560"/>
      <c r="X4" s="1560"/>
      <c r="Y4" s="1560"/>
      <c r="Z4" s="1560"/>
      <c r="AA4" s="1561"/>
      <c r="AB4" s="1559" t="s">
        <v>89</v>
      </c>
      <c r="AC4" s="1560"/>
      <c r="AD4" s="1560"/>
      <c r="AE4" s="1560"/>
      <c r="AF4" s="1560"/>
      <c r="AG4" s="1561"/>
      <c r="AH4" s="1559" t="s">
        <v>90</v>
      </c>
      <c r="AI4" s="1560"/>
      <c r="AJ4" s="1560"/>
      <c r="AK4" s="1560"/>
      <c r="AL4" s="1560"/>
      <c r="AM4" s="1563"/>
      <c r="AN4" s="1553"/>
      <c r="AO4" s="1554"/>
      <c r="AP4" s="1554"/>
      <c r="AQ4" s="1554"/>
      <c r="AR4" s="1554"/>
      <c r="AS4" s="1555"/>
    </row>
    <row r="5" spans="2:48" s="72" customFormat="1" ht="15.75" customHeight="1" x14ac:dyDescent="0.35">
      <c r="B5" s="1525"/>
      <c r="C5" s="1526"/>
      <c r="D5" s="1526"/>
      <c r="E5" s="1526"/>
      <c r="F5" s="1526"/>
      <c r="G5" s="1526"/>
      <c r="H5" s="1526"/>
      <c r="I5" s="1526"/>
      <c r="J5" s="1526"/>
      <c r="K5" s="1526"/>
      <c r="L5" s="1526"/>
      <c r="M5" s="1526"/>
      <c r="N5" s="1526"/>
      <c r="O5" s="1527"/>
      <c r="P5" s="1562"/>
      <c r="Q5" s="1515"/>
      <c r="R5" s="1515"/>
      <c r="S5" s="1515"/>
      <c r="T5" s="1515"/>
      <c r="U5" s="1516"/>
      <c r="V5" s="1562"/>
      <c r="W5" s="1515"/>
      <c r="X5" s="1515"/>
      <c r="Y5" s="1515"/>
      <c r="Z5" s="1515"/>
      <c r="AA5" s="1516"/>
      <c r="AB5" s="1562"/>
      <c r="AC5" s="1515"/>
      <c r="AD5" s="1515"/>
      <c r="AE5" s="1515"/>
      <c r="AF5" s="1515"/>
      <c r="AG5" s="1516"/>
      <c r="AH5" s="1562"/>
      <c r="AI5" s="1515"/>
      <c r="AJ5" s="1515"/>
      <c r="AK5" s="1515"/>
      <c r="AL5" s="1515"/>
      <c r="AM5" s="1564"/>
      <c r="AN5" s="1556"/>
      <c r="AO5" s="1557"/>
      <c r="AP5" s="1557"/>
      <c r="AQ5" s="1557"/>
      <c r="AR5" s="1557"/>
      <c r="AS5" s="1558"/>
    </row>
    <row r="6" spans="2:48" s="72" customFormat="1" ht="20.25" customHeight="1" thickBot="1" x14ac:dyDescent="0.4">
      <c r="B6" s="1528"/>
      <c r="C6" s="1529"/>
      <c r="D6" s="1529"/>
      <c r="E6" s="1529"/>
      <c r="F6" s="1529"/>
      <c r="G6" s="1529"/>
      <c r="H6" s="1529"/>
      <c r="I6" s="1529"/>
      <c r="J6" s="1529"/>
      <c r="K6" s="1529"/>
      <c r="L6" s="1529"/>
      <c r="M6" s="1529"/>
      <c r="N6" s="1529"/>
      <c r="O6" s="1530"/>
      <c r="P6" s="1517" t="s">
        <v>14</v>
      </c>
      <c r="Q6" s="1518"/>
      <c r="R6" s="1519"/>
      <c r="S6" s="1520" t="s">
        <v>15</v>
      </c>
      <c r="T6" s="1518"/>
      <c r="U6" s="1521"/>
      <c r="V6" s="1517" t="s">
        <v>14</v>
      </c>
      <c r="W6" s="1518"/>
      <c r="X6" s="1519"/>
      <c r="Y6" s="1520" t="s">
        <v>15</v>
      </c>
      <c r="Z6" s="1518"/>
      <c r="AA6" s="1521"/>
      <c r="AB6" s="1517" t="s">
        <v>14</v>
      </c>
      <c r="AC6" s="1518"/>
      <c r="AD6" s="1519"/>
      <c r="AE6" s="1520" t="s">
        <v>15</v>
      </c>
      <c r="AF6" s="1518"/>
      <c r="AG6" s="1521"/>
      <c r="AH6" s="1517" t="s">
        <v>14</v>
      </c>
      <c r="AI6" s="1518"/>
      <c r="AJ6" s="1519"/>
      <c r="AK6" s="1520" t="s">
        <v>15</v>
      </c>
      <c r="AL6" s="1518"/>
      <c r="AM6" s="1536"/>
      <c r="AN6" s="1537" t="s">
        <v>14</v>
      </c>
      <c r="AO6" s="1518"/>
      <c r="AP6" s="1519"/>
      <c r="AQ6" s="1520" t="s">
        <v>15</v>
      </c>
      <c r="AR6" s="1518"/>
      <c r="AS6" s="1521"/>
    </row>
    <row r="7" spans="2:48" s="72" customFormat="1" ht="25" customHeight="1" x14ac:dyDescent="0.35">
      <c r="B7" s="1538" t="s">
        <v>654</v>
      </c>
      <c r="C7" s="1539"/>
      <c r="D7" s="1539"/>
      <c r="E7" s="1539"/>
      <c r="F7" s="1539"/>
      <c r="G7" s="1539"/>
      <c r="H7" s="1539"/>
      <c r="I7" s="1539"/>
      <c r="J7" s="1539"/>
      <c r="K7" s="1539"/>
      <c r="L7" s="1539"/>
      <c r="M7" s="1539"/>
      <c r="N7" s="1539"/>
      <c r="O7" s="1540"/>
      <c r="P7" s="1541"/>
      <c r="Q7" s="1542"/>
      <c r="R7" s="1542"/>
      <c r="S7" s="1542"/>
      <c r="T7" s="1542"/>
      <c r="U7" s="1542"/>
      <c r="V7" s="1542"/>
      <c r="W7" s="1542"/>
      <c r="X7" s="1542"/>
      <c r="Y7" s="1542"/>
      <c r="Z7" s="1542"/>
      <c r="AA7" s="1542"/>
      <c r="AB7" s="1542"/>
      <c r="AC7" s="1542"/>
      <c r="AD7" s="1542"/>
      <c r="AE7" s="1542"/>
      <c r="AF7" s="1542"/>
      <c r="AG7" s="1542"/>
      <c r="AH7" s="1542"/>
      <c r="AI7" s="1542"/>
      <c r="AJ7" s="1542"/>
      <c r="AK7" s="1542"/>
      <c r="AL7" s="1542"/>
      <c r="AM7" s="1542"/>
      <c r="AN7" s="1542"/>
      <c r="AO7" s="1542"/>
      <c r="AP7" s="1542"/>
      <c r="AQ7" s="1542"/>
      <c r="AR7" s="1542"/>
      <c r="AS7" s="1543"/>
    </row>
    <row r="8" spans="2:48" s="72" customFormat="1" ht="25" customHeight="1" x14ac:dyDescent="0.35">
      <c r="B8" s="125"/>
      <c r="C8" s="146" t="s">
        <v>109</v>
      </c>
      <c r="D8" s="107"/>
      <c r="E8" s="126"/>
      <c r="F8" s="126"/>
      <c r="G8" s="126"/>
      <c r="H8" s="126"/>
      <c r="I8" s="126"/>
      <c r="J8" s="126"/>
      <c r="K8" s="126"/>
      <c r="L8" s="126"/>
      <c r="M8" s="126"/>
      <c r="N8" s="126"/>
      <c r="O8" s="108"/>
      <c r="P8" s="1544">
        <v>0</v>
      </c>
      <c r="Q8" s="1545"/>
      <c r="R8" s="1546"/>
      <c r="S8" s="1547">
        <v>0</v>
      </c>
      <c r="T8" s="1545"/>
      <c r="U8" s="1548"/>
      <c r="V8" s="1544">
        <v>0</v>
      </c>
      <c r="W8" s="1545"/>
      <c r="X8" s="1546"/>
      <c r="Y8" s="1547">
        <v>0</v>
      </c>
      <c r="Z8" s="1545"/>
      <c r="AA8" s="1548"/>
      <c r="AB8" s="1544">
        <v>0</v>
      </c>
      <c r="AC8" s="1545"/>
      <c r="AD8" s="1546"/>
      <c r="AE8" s="1547">
        <v>0</v>
      </c>
      <c r="AF8" s="1545"/>
      <c r="AG8" s="1548"/>
      <c r="AH8" s="1544">
        <v>0</v>
      </c>
      <c r="AI8" s="1545"/>
      <c r="AJ8" s="1546"/>
      <c r="AK8" s="1547">
        <v>0</v>
      </c>
      <c r="AL8" s="1545"/>
      <c r="AM8" s="1565"/>
      <c r="AN8" s="1459">
        <f>SUM(P8,V8,AB8,AH8)</f>
        <v>0</v>
      </c>
      <c r="AO8" s="1457"/>
      <c r="AP8" s="1460"/>
      <c r="AQ8" s="1456">
        <f>SUM(S8,Y8,AE8,AK8)</f>
        <v>0</v>
      </c>
      <c r="AR8" s="1457"/>
      <c r="AS8" s="1458"/>
    </row>
    <row r="9" spans="2:48" s="72" customFormat="1" ht="25" customHeight="1" x14ac:dyDescent="0.35">
      <c r="B9" s="125"/>
      <c r="C9" s="146" t="s">
        <v>110</v>
      </c>
      <c r="D9" s="107"/>
      <c r="E9" s="126"/>
      <c r="F9" s="126"/>
      <c r="G9" s="126"/>
      <c r="H9" s="126"/>
      <c r="I9" s="126"/>
      <c r="J9" s="126"/>
      <c r="K9" s="126"/>
      <c r="L9" s="126"/>
      <c r="M9" s="126"/>
      <c r="N9" s="126"/>
      <c r="O9" s="108"/>
      <c r="P9" s="1544">
        <v>0</v>
      </c>
      <c r="Q9" s="1545"/>
      <c r="R9" s="1546"/>
      <c r="S9" s="1547">
        <v>0</v>
      </c>
      <c r="T9" s="1545"/>
      <c r="U9" s="1548"/>
      <c r="V9" s="1544">
        <v>0</v>
      </c>
      <c r="W9" s="1545"/>
      <c r="X9" s="1546"/>
      <c r="Y9" s="1547">
        <v>0</v>
      </c>
      <c r="Z9" s="1545"/>
      <c r="AA9" s="1548"/>
      <c r="AB9" s="1544">
        <v>0</v>
      </c>
      <c r="AC9" s="1545"/>
      <c r="AD9" s="1546"/>
      <c r="AE9" s="1547">
        <v>0</v>
      </c>
      <c r="AF9" s="1545"/>
      <c r="AG9" s="1548"/>
      <c r="AH9" s="1544">
        <v>0</v>
      </c>
      <c r="AI9" s="1545"/>
      <c r="AJ9" s="1546"/>
      <c r="AK9" s="1547">
        <v>0</v>
      </c>
      <c r="AL9" s="1545"/>
      <c r="AM9" s="1565"/>
      <c r="AN9" s="1459">
        <f t="shared" ref="AN9:AN16" si="0">SUM(P9,V9,AB9,AH9)</f>
        <v>0</v>
      </c>
      <c r="AO9" s="1457"/>
      <c r="AP9" s="1460"/>
      <c r="AQ9" s="1456">
        <f t="shared" ref="AQ9:AQ16" si="1">SUM(S9,Y9,AE9,AK9)</f>
        <v>0</v>
      </c>
      <c r="AR9" s="1457"/>
      <c r="AS9" s="1458"/>
    </row>
    <row r="10" spans="2:48" s="72" customFormat="1" ht="25" customHeight="1" x14ac:dyDescent="0.35">
      <c r="B10" s="125"/>
      <c r="C10" s="146" t="s">
        <v>111</v>
      </c>
      <c r="D10" s="126"/>
      <c r="E10" s="126"/>
      <c r="F10" s="126"/>
      <c r="G10" s="126"/>
      <c r="H10" s="126"/>
      <c r="I10" s="126"/>
      <c r="J10" s="126"/>
      <c r="K10" s="126"/>
      <c r="L10" s="126"/>
      <c r="M10" s="126"/>
      <c r="N10" s="126"/>
      <c r="O10" s="108"/>
      <c r="P10" s="1544">
        <v>0</v>
      </c>
      <c r="Q10" s="1545"/>
      <c r="R10" s="1546"/>
      <c r="S10" s="1547">
        <v>0</v>
      </c>
      <c r="T10" s="1545"/>
      <c r="U10" s="1548"/>
      <c r="V10" s="1544">
        <v>0</v>
      </c>
      <c r="W10" s="1545"/>
      <c r="X10" s="1546"/>
      <c r="Y10" s="1547">
        <v>0</v>
      </c>
      <c r="Z10" s="1545"/>
      <c r="AA10" s="1548"/>
      <c r="AB10" s="1544">
        <v>0</v>
      </c>
      <c r="AC10" s="1545"/>
      <c r="AD10" s="1546"/>
      <c r="AE10" s="1547">
        <v>0</v>
      </c>
      <c r="AF10" s="1545"/>
      <c r="AG10" s="1548"/>
      <c r="AH10" s="1544">
        <v>0</v>
      </c>
      <c r="AI10" s="1545"/>
      <c r="AJ10" s="1546"/>
      <c r="AK10" s="1547">
        <v>0</v>
      </c>
      <c r="AL10" s="1545"/>
      <c r="AM10" s="1565"/>
      <c r="AN10" s="1459">
        <f t="shared" si="0"/>
        <v>0</v>
      </c>
      <c r="AO10" s="1457"/>
      <c r="AP10" s="1460"/>
      <c r="AQ10" s="1456">
        <f t="shared" si="1"/>
        <v>0</v>
      </c>
      <c r="AR10" s="1457"/>
      <c r="AS10" s="1458"/>
    </row>
    <row r="11" spans="2:48" s="72" customFormat="1" ht="25" customHeight="1" x14ac:dyDescent="0.35">
      <c r="B11" s="125"/>
      <c r="C11" s="146" t="s">
        <v>112</v>
      </c>
      <c r="D11" s="126"/>
      <c r="E11" s="126"/>
      <c r="F11" s="126"/>
      <c r="G11" s="126"/>
      <c r="H11" s="126"/>
      <c r="I11" s="126"/>
      <c r="J11" s="126"/>
      <c r="K11" s="126"/>
      <c r="L11" s="126"/>
      <c r="M11" s="126"/>
      <c r="N11" s="126"/>
      <c r="O11" s="108"/>
      <c r="P11" s="1544">
        <v>0</v>
      </c>
      <c r="Q11" s="1545"/>
      <c r="R11" s="1546"/>
      <c r="S11" s="1547">
        <v>0</v>
      </c>
      <c r="T11" s="1545"/>
      <c r="U11" s="1548"/>
      <c r="V11" s="1544">
        <v>0</v>
      </c>
      <c r="W11" s="1545"/>
      <c r="X11" s="1546"/>
      <c r="Y11" s="1547">
        <v>0</v>
      </c>
      <c r="Z11" s="1545"/>
      <c r="AA11" s="1548"/>
      <c r="AB11" s="1544">
        <v>0</v>
      </c>
      <c r="AC11" s="1545"/>
      <c r="AD11" s="1546"/>
      <c r="AE11" s="1547">
        <v>0</v>
      </c>
      <c r="AF11" s="1545"/>
      <c r="AG11" s="1548"/>
      <c r="AH11" s="1544">
        <v>0</v>
      </c>
      <c r="AI11" s="1545"/>
      <c r="AJ11" s="1546"/>
      <c r="AK11" s="1547">
        <v>0</v>
      </c>
      <c r="AL11" s="1545"/>
      <c r="AM11" s="1565"/>
      <c r="AN11" s="1459">
        <f t="shared" si="0"/>
        <v>0</v>
      </c>
      <c r="AO11" s="1457"/>
      <c r="AP11" s="1460"/>
      <c r="AQ11" s="1456">
        <f t="shared" si="1"/>
        <v>0</v>
      </c>
      <c r="AR11" s="1457"/>
      <c r="AS11" s="1458"/>
    </row>
    <row r="12" spans="2:48" s="72" customFormat="1" ht="25" customHeight="1" x14ac:dyDescent="0.35">
      <c r="B12" s="125"/>
      <c r="C12" s="146" t="s">
        <v>162</v>
      </c>
      <c r="D12" s="107"/>
      <c r="E12" s="126"/>
      <c r="F12" s="126"/>
      <c r="G12" s="126"/>
      <c r="H12" s="126"/>
      <c r="I12" s="126"/>
      <c r="J12" s="126"/>
      <c r="K12" s="126"/>
      <c r="L12" s="126"/>
      <c r="M12" s="126"/>
      <c r="N12" s="126"/>
      <c r="O12" s="108"/>
      <c r="P12" s="1544">
        <v>0</v>
      </c>
      <c r="Q12" s="1545"/>
      <c r="R12" s="1546"/>
      <c r="S12" s="1547">
        <v>0</v>
      </c>
      <c r="T12" s="1545"/>
      <c r="U12" s="1548"/>
      <c r="V12" s="1544">
        <v>0</v>
      </c>
      <c r="W12" s="1545"/>
      <c r="X12" s="1546"/>
      <c r="Y12" s="1547">
        <v>0</v>
      </c>
      <c r="Z12" s="1545"/>
      <c r="AA12" s="1548"/>
      <c r="AB12" s="1544">
        <v>0</v>
      </c>
      <c r="AC12" s="1545"/>
      <c r="AD12" s="1546"/>
      <c r="AE12" s="1547">
        <v>0</v>
      </c>
      <c r="AF12" s="1545"/>
      <c r="AG12" s="1548"/>
      <c r="AH12" s="1544">
        <v>0</v>
      </c>
      <c r="AI12" s="1545"/>
      <c r="AJ12" s="1546"/>
      <c r="AK12" s="1547">
        <v>0</v>
      </c>
      <c r="AL12" s="1545"/>
      <c r="AM12" s="1565"/>
      <c r="AN12" s="1459">
        <f t="shared" si="0"/>
        <v>0</v>
      </c>
      <c r="AO12" s="1457"/>
      <c r="AP12" s="1460"/>
      <c r="AQ12" s="1456">
        <f t="shared" si="1"/>
        <v>0</v>
      </c>
      <c r="AR12" s="1457"/>
      <c r="AS12" s="1458"/>
    </row>
    <row r="13" spans="2:48" s="72" customFormat="1" ht="25" customHeight="1" x14ac:dyDescent="0.35">
      <c r="B13" s="125"/>
      <c r="C13" s="146" t="s">
        <v>113</v>
      </c>
      <c r="D13" s="126"/>
      <c r="E13" s="126"/>
      <c r="F13" s="126"/>
      <c r="G13" s="126"/>
      <c r="H13" s="126"/>
      <c r="I13" s="126"/>
      <c r="J13" s="126"/>
      <c r="K13" s="126"/>
      <c r="L13" s="126"/>
      <c r="M13" s="126"/>
      <c r="N13" s="126"/>
      <c r="O13" s="108"/>
      <c r="P13" s="1544">
        <v>0</v>
      </c>
      <c r="Q13" s="1545"/>
      <c r="R13" s="1546"/>
      <c r="S13" s="1547">
        <v>0</v>
      </c>
      <c r="T13" s="1545"/>
      <c r="U13" s="1548"/>
      <c r="V13" s="1544">
        <v>0</v>
      </c>
      <c r="W13" s="1545"/>
      <c r="X13" s="1546"/>
      <c r="Y13" s="1547">
        <v>0</v>
      </c>
      <c r="Z13" s="1545"/>
      <c r="AA13" s="1548"/>
      <c r="AB13" s="1544">
        <v>0</v>
      </c>
      <c r="AC13" s="1545"/>
      <c r="AD13" s="1546"/>
      <c r="AE13" s="1547">
        <v>0</v>
      </c>
      <c r="AF13" s="1545"/>
      <c r="AG13" s="1548"/>
      <c r="AH13" s="1544">
        <v>0</v>
      </c>
      <c r="AI13" s="1545"/>
      <c r="AJ13" s="1546"/>
      <c r="AK13" s="1547">
        <v>0</v>
      </c>
      <c r="AL13" s="1545"/>
      <c r="AM13" s="1565"/>
      <c r="AN13" s="1459">
        <f t="shared" si="0"/>
        <v>0</v>
      </c>
      <c r="AO13" s="1457"/>
      <c r="AP13" s="1460"/>
      <c r="AQ13" s="1456">
        <f t="shared" si="1"/>
        <v>0</v>
      </c>
      <c r="AR13" s="1457"/>
      <c r="AS13" s="1458"/>
      <c r="AT13" s="130"/>
    </row>
    <row r="14" spans="2:48" s="72" customFormat="1" ht="25" customHeight="1" x14ac:dyDescent="0.35">
      <c r="B14" s="125"/>
      <c r="C14" s="146" t="s">
        <v>114</v>
      </c>
      <c r="D14" s="126"/>
      <c r="E14" s="126"/>
      <c r="F14" s="126"/>
      <c r="G14" s="126"/>
      <c r="H14" s="126"/>
      <c r="I14" s="126"/>
      <c r="J14" s="126"/>
      <c r="K14" s="126"/>
      <c r="L14" s="126"/>
      <c r="M14" s="126"/>
      <c r="N14" s="126"/>
      <c r="O14" s="108"/>
      <c r="P14" s="1544">
        <v>0</v>
      </c>
      <c r="Q14" s="1545"/>
      <c r="R14" s="1546"/>
      <c r="S14" s="1547">
        <v>0</v>
      </c>
      <c r="T14" s="1545"/>
      <c r="U14" s="1548"/>
      <c r="V14" s="1544">
        <v>0</v>
      </c>
      <c r="W14" s="1545"/>
      <c r="X14" s="1546"/>
      <c r="Y14" s="1547">
        <v>0</v>
      </c>
      <c r="Z14" s="1545"/>
      <c r="AA14" s="1548"/>
      <c r="AB14" s="1544">
        <v>0</v>
      </c>
      <c r="AC14" s="1545"/>
      <c r="AD14" s="1546"/>
      <c r="AE14" s="1547">
        <v>0</v>
      </c>
      <c r="AF14" s="1545"/>
      <c r="AG14" s="1548"/>
      <c r="AH14" s="1544">
        <v>0</v>
      </c>
      <c r="AI14" s="1545"/>
      <c r="AJ14" s="1546"/>
      <c r="AK14" s="1547">
        <v>0</v>
      </c>
      <c r="AL14" s="1545"/>
      <c r="AM14" s="1565"/>
      <c r="AN14" s="1459">
        <f t="shared" si="0"/>
        <v>0</v>
      </c>
      <c r="AO14" s="1457"/>
      <c r="AP14" s="1460"/>
      <c r="AQ14" s="1456">
        <f t="shared" si="1"/>
        <v>0</v>
      </c>
      <c r="AR14" s="1457"/>
      <c r="AS14" s="1458"/>
    </row>
    <row r="15" spans="2:48" s="72" customFormat="1" ht="25" customHeight="1" x14ac:dyDescent="0.35">
      <c r="B15" s="125"/>
      <c r="C15" s="146" t="s">
        <v>163</v>
      </c>
      <c r="D15" s="126"/>
      <c r="E15" s="126"/>
      <c r="F15" s="126"/>
      <c r="G15" s="126"/>
      <c r="H15" s="126"/>
      <c r="I15" s="126"/>
      <c r="J15" s="126"/>
      <c r="K15" s="126"/>
      <c r="L15" s="126"/>
      <c r="M15" s="126"/>
      <c r="N15" s="126"/>
      <c r="O15" s="108"/>
      <c r="P15" s="1544">
        <v>0</v>
      </c>
      <c r="Q15" s="1545"/>
      <c r="R15" s="1546"/>
      <c r="S15" s="1547">
        <v>0</v>
      </c>
      <c r="T15" s="1545"/>
      <c r="U15" s="1548"/>
      <c r="V15" s="1544">
        <v>0</v>
      </c>
      <c r="W15" s="1545"/>
      <c r="X15" s="1546"/>
      <c r="Y15" s="1547">
        <v>0</v>
      </c>
      <c r="Z15" s="1545"/>
      <c r="AA15" s="1548"/>
      <c r="AB15" s="1544">
        <v>0</v>
      </c>
      <c r="AC15" s="1545"/>
      <c r="AD15" s="1546"/>
      <c r="AE15" s="1547">
        <v>0</v>
      </c>
      <c r="AF15" s="1545"/>
      <c r="AG15" s="1548"/>
      <c r="AH15" s="1544">
        <v>0</v>
      </c>
      <c r="AI15" s="1545"/>
      <c r="AJ15" s="1546"/>
      <c r="AK15" s="1547">
        <v>0</v>
      </c>
      <c r="AL15" s="1545"/>
      <c r="AM15" s="1565"/>
      <c r="AN15" s="1459">
        <f t="shared" si="0"/>
        <v>0</v>
      </c>
      <c r="AO15" s="1457"/>
      <c r="AP15" s="1460"/>
      <c r="AQ15" s="1456">
        <f t="shared" si="1"/>
        <v>0</v>
      </c>
      <c r="AR15" s="1457"/>
      <c r="AS15" s="1458"/>
      <c r="AT15" s="130"/>
    </row>
    <row r="16" spans="2:48" s="72" customFormat="1" ht="25" customHeight="1" x14ac:dyDescent="0.35">
      <c r="B16" s="125"/>
      <c r="C16" s="146" t="s">
        <v>164</v>
      </c>
      <c r="D16" s="126"/>
      <c r="E16" s="126"/>
      <c r="F16" s="126"/>
      <c r="G16" s="126"/>
      <c r="H16" s="126"/>
      <c r="I16" s="126"/>
      <c r="J16" s="126"/>
      <c r="K16" s="126"/>
      <c r="L16" s="126"/>
      <c r="M16" s="126"/>
      <c r="N16" s="126"/>
      <c r="O16" s="108"/>
      <c r="P16" s="1544">
        <v>0</v>
      </c>
      <c r="Q16" s="1545"/>
      <c r="R16" s="1546"/>
      <c r="S16" s="1547">
        <v>0</v>
      </c>
      <c r="T16" s="1545"/>
      <c r="U16" s="1548"/>
      <c r="V16" s="1544">
        <v>0</v>
      </c>
      <c r="W16" s="1545"/>
      <c r="X16" s="1546"/>
      <c r="Y16" s="1547">
        <v>0</v>
      </c>
      <c r="Z16" s="1545"/>
      <c r="AA16" s="1548"/>
      <c r="AB16" s="1544">
        <v>0</v>
      </c>
      <c r="AC16" s="1545"/>
      <c r="AD16" s="1546"/>
      <c r="AE16" s="1547">
        <v>0</v>
      </c>
      <c r="AF16" s="1545"/>
      <c r="AG16" s="1548"/>
      <c r="AH16" s="1544">
        <v>0</v>
      </c>
      <c r="AI16" s="1545"/>
      <c r="AJ16" s="1546"/>
      <c r="AK16" s="1547">
        <v>0</v>
      </c>
      <c r="AL16" s="1545"/>
      <c r="AM16" s="1565"/>
      <c r="AN16" s="1459">
        <f t="shared" si="0"/>
        <v>0</v>
      </c>
      <c r="AO16" s="1457"/>
      <c r="AP16" s="1460"/>
      <c r="AQ16" s="1456">
        <f t="shared" si="1"/>
        <v>0</v>
      </c>
      <c r="AR16" s="1457"/>
      <c r="AS16" s="1458"/>
    </row>
    <row r="17" spans="2:45" s="72" customFormat="1" ht="25" customHeight="1" x14ac:dyDescent="0.35">
      <c r="B17" s="1566" t="s">
        <v>655</v>
      </c>
      <c r="C17" s="1567"/>
      <c r="D17" s="1567"/>
      <c r="E17" s="1567"/>
      <c r="F17" s="1567"/>
      <c r="G17" s="1567"/>
      <c r="H17" s="1567"/>
      <c r="I17" s="1567"/>
      <c r="J17" s="1567"/>
      <c r="K17" s="1567"/>
      <c r="L17" s="1567"/>
      <c r="M17" s="1567"/>
      <c r="N17" s="1567"/>
      <c r="O17" s="1568"/>
      <c r="P17" s="1659"/>
      <c r="Q17" s="1660"/>
      <c r="R17" s="1660"/>
      <c r="S17" s="1660"/>
      <c r="T17" s="1660"/>
      <c r="U17" s="1660"/>
      <c r="V17" s="1660"/>
      <c r="W17" s="1660"/>
      <c r="X17" s="1660"/>
      <c r="Y17" s="1660"/>
      <c r="Z17" s="1660"/>
      <c r="AA17" s="1660"/>
      <c r="AB17" s="1660"/>
      <c r="AC17" s="1660"/>
      <c r="AD17" s="1660"/>
      <c r="AE17" s="1660"/>
      <c r="AF17" s="1660"/>
      <c r="AG17" s="1660"/>
      <c r="AH17" s="1660"/>
      <c r="AI17" s="1660"/>
      <c r="AJ17" s="1660"/>
      <c r="AK17" s="1660"/>
      <c r="AL17" s="1660"/>
      <c r="AM17" s="1660"/>
      <c r="AN17" s="1660"/>
      <c r="AO17" s="1660"/>
      <c r="AP17" s="1660"/>
      <c r="AQ17" s="1660"/>
      <c r="AR17" s="1660"/>
      <c r="AS17" s="1661"/>
    </row>
    <row r="18" spans="2:45" s="72" customFormat="1" ht="25" customHeight="1" x14ac:dyDescent="0.35">
      <c r="B18" s="125"/>
      <c r="C18" s="146" t="s">
        <v>165</v>
      </c>
      <c r="D18" s="107"/>
      <c r="E18" s="126"/>
      <c r="F18" s="126"/>
      <c r="G18" s="126"/>
      <c r="H18" s="126"/>
      <c r="I18" s="126"/>
      <c r="J18" s="126"/>
      <c r="K18" s="126"/>
      <c r="L18" s="126"/>
      <c r="M18" s="126"/>
      <c r="N18" s="126"/>
      <c r="O18" s="108"/>
      <c r="P18" s="1544">
        <v>42</v>
      </c>
      <c r="Q18" s="1545"/>
      <c r="R18" s="1546"/>
      <c r="S18" s="1547">
        <v>24</v>
      </c>
      <c r="T18" s="1545"/>
      <c r="U18" s="1548"/>
      <c r="V18" s="1544">
        <v>29</v>
      </c>
      <c r="W18" s="1545"/>
      <c r="X18" s="1546"/>
      <c r="Y18" s="1547">
        <v>11</v>
      </c>
      <c r="Z18" s="1545"/>
      <c r="AA18" s="1548"/>
      <c r="AB18" s="1544">
        <v>21</v>
      </c>
      <c r="AC18" s="1545"/>
      <c r="AD18" s="1546"/>
      <c r="AE18" s="1547">
        <v>12</v>
      </c>
      <c r="AF18" s="1545"/>
      <c r="AG18" s="1548"/>
      <c r="AH18" s="1544">
        <v>20</v>
      </c>
      <c r="AI18" s="1545"/>
      <c r="AJ18" s="1546"/>
      <c r="AK18" s="1547">
        <v>19</v>
      </c>
      <c r="AL18" s="1545"/>
      <c r="AM18" s="1565"/>
      <c r="AN18" s="1459">
        <f>SUM(P18,V18,AB18,AH18)</f>
        <v>112</v>
      </c>
      <c r="AO18" s="1457"/>
      <c r="AP18" s="1460"/>
      <c r="AQ18" s="1456">
        <f>SUM(S18,Y18,AE18,AK18)</f>
        <v>66</v>
      </c>
      <c r="AR18" s="1457"/>
      <c r="AS18" s="1458"/>
    </row>
    <row r="19" spans="2:45" s="72" customFormat="1" ht="25" customHeight="1" x14ac:dyDescent="0.35">
      <c r="B19" s="125"/>
      <c r="C19" s="146" t="s">
        <v>115</v>
      </c>
      <c r="D19" s="107"/>
      <c r="E19" s="126"/>
      <c r="F19" s="126"/>
      <c r="G19" s="126"/>
      <c r="H19" s="126"/>
      <c r="I19" s="126"/>
      <c r="J19" s="126"/>
      <c r="K19" s="126"/>
      <c r="L19" s="126"/>
      <c r="M19" s="126"/>
      <c r="N19" s="126"/>
      <c r="O19" s="108"/>
      <c r="P19" s="1544">
        <v>0</v>
      </c>
      <c r="Q19" s="1545"/>
      <c r="R19" s="1546"/>
      <c r="S19" s="1547">
        <v>0</v>
      </c>
      <c r="T19" s="1545"/>
      <c r="U19" s="1548"/>
      <c r="V19" s="1544">
        <v>0</v>
      </c>
      <c r="W19" s="1545"/>
      <c r="X19" s="1546"/>
      <c r="Y19" s="1547">
        <v>0</v>
      </c>
      <c r="Z19" s="1545"/>
      <c r="AA19" s="1548"/>
      <c r="AB19" s="1544">
        <v>0</v>
      </c>
      <c r="AC19" s="1545"/>
      <c r="AD19" s="1546"/>
      <c r="AE19" s="1547">
        <v>0</v>
      </c>
      <c r="AF19" s="1545"/>
      <c r="AG19" s="1548"/>
      <c r="AH19" s="1544">
        <v>0</v>
      </c>
      <c r="AI19" s="1545"/>
      <c r="AJ19" s="1546"/>
      <c r="AK19" s="1547">
        <v>0</v>
      </c>
      <c r="AL19" s="1545"/>
      <c r="AM19" s="1565"/>
      <c r="AN19" s="1459">
        <f t="shared" ref="AN19:AN21" si="2">SUM(P19,V19,AB19,AH19)</f>
        <v>0</v>
      </c>
      <c r="AO19" s="1457"/>
      <c r="AP19" s="1460"/>
      <c r="AQ19" s="1456">
        <f t="shared" ref="AQ19:AQ21" si="3">SUM(S19,Y19,AE19,AK19)</f>
        <v>0</v>
      </c>
      <c r="AR19" s="1457"/>
      <c r="AS19" s="1458"/>
    </row>
    <row r="20" spans="2:45" s="72" customFormat="1" ht="25" customHeight="1" x14ac:dyDescent="0.35">
      <c r="B20" s="125"/>
      <c r="C20" s="146" t="s">
        <v>148</v>
      </c>
      <c r="D20" s="107"/>
      <c r="E20" s="126"/>
      <c r="F20" s="126"/>
      <c r="G20" s="126"/>
      <c r="H20" s="126"/>
      <c r="I20" s="126"/>
      <c r="J20" s="126"/>
      <c r="K20" s="126"/>
      <c r="L20" s="126"/>
      <c r="M20" s="126"/>
      <c r="N20" s="126"/>
      <c r="O20" s="108"/>
      <c r="P20" s="1544">
        <v>0</v>
      </c>
      <c r="Q20" s="1545"/>
      <c r="R20" s="1546"/>
      <c r="S20" s="1547">
        <v>0</v>
      </c>
      <c r="T20" s="1545"/>
      <c r="U20" s="1548"/>
      <c r="V20" s="1544">
        <v>0</v>
      </c>
      <c r="W20" s="1545"/>
      <c r="X20" s="1546"/>
      <c r="Y20" s="1547">
        <v>0</v>
      </c>
      <c r="Z20" s="1545"/>
      <c r="AA20" s="1548"/>
      <c r="AB20" s="1544">
        <v>0</v>
      </c>
      <c r="AC20" s="1545"/>
      <c r="AD20" s="1546"/>
      <c r="AE20" s="1547">
        <v>0</v>
      </c>
      <c r="AF20" s="1545"/>
      <c r="AG20" s="1548"/>
      <c r="AH20" s="1544">
        <v>0</v>
      </c>
      <c r="AI20" s="1545"/>
      <c r="AJ20" s="1546"/>
      <c r="AK20" s="1547">
        <v>0</v>
      </c>
      <c r="AL20" s="1545"/>
      <c r="AM20" s="1565"/>
      <c r="AN20" s="1459">
        <f t="shared" si="2"/>
        <v>0</v>
      </c>
      <c r="AO20" s="1457"/>
      <c r="AP20" s="1460"/>
      <c r="AQ20" s="1456">
        <f t="shared" si="3"/>
        <v>0</v>
      </c>
      <c r="AR20" s="1457"/>
      <c r="AS20" s="1458"/>
    </row>
    <row r="21" spans="2:45" s="72" customFormat="1" ht="25" customHeight="1" x14ac:dyDescent="0.35">
      <c r="B21" s="125"/>
      <c r="C21" s="146" t="s">
        <v>166</v>
      </c>
      <c r="D21" s="126"/>
      <c r="E21" s="126"/>
      <c r="F21" s="126"/>
      <c r="G21" s="126"/>
      <c r="H21" s="126"/>
      <c r="I21" s="126"/>
      <c r="J21" s="126"/>
      <c r="K21" s="126"/>
      <c r="L21" s="126"/>
      <c r="M21" s="126"/>
      <c r="N21" s="126"/>
      <c r="O21" s="108"/>
      <c r="P21" s="1544">
        <v>0</v>
      </c>
      <c r="Q21" s="1545"/>
      <c r="R21" s="1546"/>
      <c r="S21" s="1547">
        <v>0</v>
      </c>
      <c r="T21" s="1545"/>
      <c r="U21" s="1548"/>
      <c r="V21" s="1544">
        <v>0</v>
      </c>
      <c r="W21" s="1545"/>
      <c r="X21" s="1546"/>
      <c r="Y21" s="1547">
        <v>0</v>
      </c>
      <c r="Z21" s="1545"/>
      <c r="AA21" s="1548"/>
      <c r="AB21" s="1544">
        <v>0</v>
      </c>
      <c r="AC21" s="1545"/>
      <c r="AD21" s="1546"/>
      <c r="AE21" s="1547">
        <v>0</v>
      </c>
      <c r="AF21" s="1545"/>
      <c r="AG21" s="1548"/>
      <c r="AH21" s="1544">
        <v>0</v>
      </c>
      <c r="AI21" s="1545"/>
      <c r="AJ21" s="1546"/>
      <c r="AK21" s="1547">
        <v>0</v>
      </c>
      <c r="AL21" s="1545"/>
      <c r="AM21" s="1565"/>
      <c r="AN21" s="1459">
        <f t="shared" si="2"/>
        <v>0</v>
      </c>
      <c r="AO21" s="1457"/>
      <c r="AP21" s="1460"/>
      <c r="AQ21" s="1456">
        <f t="shared" si="3"/>
        <v>0</v>
      </c>
      <c r="AR21" s="1457"/>
      <c r="AS21" s="1458"/>
    </row>
    <row r="22" spans="2:45" s="72" customFormat="1" ht="25" customHeight="1" x14ac:dyDescent="0.35">
      <c r="B22" s="1566" t="s">
        <v>656</v>
      </c>
      <c r="C22" s="1567"/>
      <c r="D22" s="1567"/>
      <c r="E22" s="1567"/>
      <c r="F22" s="1567"/>
      <c r="G22" s="1567"/>
      <c r="H22" s="1567"/>
      <c r="I22" s="1567"/>
      <c r="J22" s="1567"/>
      <c r="K22" s="1567"/>
      <c r="L22" s="1567"/>
      <c r="M22" s="1567"/>
      <c r="N22" s="1567"/>
      <c r="O22" s="1568"/>
      <c r="P22" s="1659"/>
      <c r="Q22" s="1660"/>
      <c r="R22" s="1660"/>
      <c r="S22" s="1660"/>
      <c r="T22" s="1660"/>
      <c r="U22" s="1660"/>
      <c r="V22" s="1660"/>
      <c r="W22" s="1660"/>
      <c r="X22" s="1660"/>
      <c r="Y22" s="1660"/>
      <c r="Z22" s="1660"/>
      <c r="AA22" s="1660"/>
      <c r="AB22" s="1660"/>
      <c r="AC22" s="1660"/>
      <c r="AD22" s="1660"/>
      <c r="AE22" s="1660"/>
      <c r="AF22" s="1660"/>
      <c r="AG22" s="1660"/>
      <c r="AH22" s="1660"/>
      <c r="AI22" s="1660"/>
      <c r="AJ22" s="1660"/>
      <c r="AK22" s="1660"/>
      <c r="AL22" s="1660"/>
      <c r="AM22" s="1660"/>
      <c r="AN22" s="1660"/>
      <c r="AO22" s="1660"/>
      <c r="AP22" s="1660"/>
      <c r="AQ22" s="1660"/>
      <c r="AR22" s="1660"/>
      <c r="AS22" s="1661"/>
    </row>
    <row r="23" spans="2:45" s="72" customFormat="1" ht="25" customHeight="1" x14ac:dyDescent="0.35">
      <c r="B23" s="125"/>
      <c r="C23" s="146" t="s">
        <v>167</v>
      </c>
      <c r="D23" s="107"/>
      <c r="E23" s="126"/>
      <c r="F23" s="126"/>
      <c r="G23" s="126"/>
      <c r="H23" s="126"/>
      <c r="I23" s="126"/>
      <c r="J23" s="126"/>
      <c r="K23" s="126"/>
      <c r="L23" s="126"/>
      <c r="M23" s="126"/>
      <c r="N23" s="126"/>
      <c r="O23" s="108"/>
      <c r="P23" s="1544">
        <v>0</v>
      </c>
      <c r="Q23" s="1545"/>
      <c r="R23" s="1546"/>
      <c r="S23" s="1547">
        <v>0</v>
      </c>
      <c r="T23" s="1545"/>
      <c r="U23" s="1548"/>
      <c r="V23" s="1544">
        <v>0</v>
      </c>
      <c r="W23" s="1545"/>
      <c r="X23" s="1546"/>
      <c r="Y23" s="1547">
        <v>0</v>
      </c>
      <c r="Z23" s="1545"/>
      <c r="AA23" s="1548"/>
      <c r="AB23" s="1544">
        <v>0</v>
      </c>
      <c r="AC23" s="1545"/>
      <c r="AD23" s="1546"/>
      <c r="AE23" s="1547">
        <v>0</v>
      </c>
      <c r="AF23" s="1545"/>
      <c r="AG23" s="1548"/>
      <c r="AH23" s="1544">
        <v>0</v>
      </c>
      <c r="AI23" s="1545"/>
      <c r="AJ23" s="1546"/>
      <c r="AK23" s="1547">
        <v>0</v>
      </c>
      <c r="AL23" s="1545"/>
      <c r="AM23" s="1565"/>
      <c r="AN23" s="1459">
        <f>SUM(P23,V23,AB23,AH23)</f>
        <v>0</v>
      </c>
      <c r="AO23" s="1457"/>
      <c r="AP23" s="1460"/>
      <c r="AQ23" s="1456">
        <f>SUM(S23,Y23,AE23,AK23)</f>
        <v>0</v>
      </c>
      <c r="AR23" s="1457"/>
      <c r="AS23" s="1458"/>
    </row>
    <row r="24" spans="2:45" s="72" customFormat="1" ht="25" customHeight="1" x14ac:dyDescent="0.35">
      <c r="B24" s="125"/>
      <c r="C24" s="146" t="s">
        <v>116</v>
      </c>
      <c r="D24" s="107"/>
      <c r="E24" s="126"/>
      <c r="F24" s="126"/>
      <c r="G24" s="126"/>
      <c r="H24" s="126"/>
      <c r="I24" s="126"/>
      <c r="J24" s="126"/>
      <c r="K24" s="126"/>
      <c r="L24" s="126"/>
      <c r="M24" s="126"/>
      <c r="N24" s="126"/>
      <c r="O24" s="108"/>
      <c r="P24" s="1544">
        <v>0</v>
      </c>
      <c r="Q24" s="1545"/>
      <c r="R24" s="1546"/>
      <c r="S24" s="1547">
        <v>0</v>
      </c>
      <c r="T24" s="1545"/>
      <c r="U24" s="1548"/>
      <c r="V24" s="1544">
        <v>0</v>
      </c>
      <c r="W24" s="1545"/>
      <c r="X24" s="1546"/>
      <c r="Y24" s="1547">
        <v>0</v>
      </c>
      <c r="Z24" s="1545"/>
      <c r="AA24" s="1548"/>
      <c r="AB24" s="1544">
        <v>0</v>
      </c>
      <c r="AC24" s="1545"/>
      <c r="AD24" s="1546"/>
      <c r="AE24" s="1547">
        <v>0</v>
      </c>
      <c r="AF24" s="1545"/>
      <c r="AG24" s="1548"/>
      <c r="AH24" s="1544">
        <v>0</v>
      </c>
      <c r="AI24" s="1545"/>
      <c r="AJ24" s="1546"/>
      <c r="AK24" s="1547">
        <v>0</v>
      </c>
      <c r="AL24" s="1545"/>
      <c r="AM24" s="1565"/>
      <c r="AN24" s="1459">
        <f t="shared" ref="AN24:AN30" si="4">SUM(P24,V24,AB24,AH24)</f>
        <v>0</v>
      </c>
      <c r="AO24" s="1457"/>
      <c r="AP24" s="1460"/>
      <c r="AQ24" s="1456">
        <f t="shared" ref="AQ24:AQ30" si="5">SUM(S24,Y24,AE24,AK24)</f>
        <v>0</v>
      </c>
      <c r="AR24" s="1457"/>
      <c r="AS24" s="1458"/>
    </row>
    <row r="25" spans="2:45" s="72" customFormat="1" ht="25" customHeight="1" x14ac:dyDescent="0.35">
      <c r="B25" s="125"/>
      <c r="C25" s="146" t="s">
        <v>117</v>
      </c>
      <c r="D25" s="126"/>
      <c r="E25" s="126"/>
      <c r="F25" s="126"/>
      <c r="G25" s="126"/>
      <c r="H25" s="126"/>
      <c r="I25" s="126"/>
      <c r="J25" s="126"/>
      <c r="K25" s="126"/>
      <c r="L25" s="126"/>
      <c r="M25" s="126"/>
      <c r="N25" s="126"/>
      <c r="O25" s="108"/>
      <c r="P25" s="1544">
        <v>0</v>
      </c>
      <c r="Q25" s="1545"/>
      <c r="R25" s="1546"/>
      <c r="S25" s="1547">
        <v>0</v>
      </c>
      <c r="T25" s="1545"/>
      <c r="U25" s="1548"/>
      <c r="V25" s="1544">
        <v>0</v>
      </c>
      <c r="W25" s="1545"/>
      <c r="X25" s="1546"/>
      <c r="Y25" s="1547">
        <v>0</v>
      </c>
      <c r="Z25" s="1545"/>
      <c r="AA25" s="1548"/>
      <c r="AB25" s="1544">
        <v>0</v>
      </c>
      <c r="AC25" s="1545"/>
      <c r="AD25" s="1546"/>
      <c r="AE25" s="1547">
        <v>0</v>
      </c>
      <c r="AF25" s="1545"/>
      <c r="AG25" s="1548"/>
      <c r="AH25" s="1544">
        <v>0</v>
      </c>
      <c r="AI25" s="1545"/>
      <c r="AJ25" s="1546"/>
      <c r="AK25" s="1547">
        <v>0</v>
      </c>
      <c r="AL25" s="1545"/>
      <c r="AM25" s="1565"/>
      <c r="AN25" s="1459">
        <f t="shared" si="4"/>
        <v>0</v>
      </c>
      <c r="AO25" s="1457"/>
      <c r="AP25" s="1460"/>
      <c r="AQ25" s="1456">
        <f t="shared" si="5"/>
        <v>0</v>
      </c>
      <c r="AR25" s="1457"/>
      <c r="AS25" s="1458"/>
    </row>
    <row r="26" spans="2:45" s="72" customFormat="1" ht="25" customHeight="1" x14ac:dyDescent="0.35">
      <c r="B26" s="125"/>
      <c r="C26" s="146" t="s">
        <v>592</v>
      </c>
      <c r="D26" s="126"/>
      <c r="E26" s="126"/>
      <c r="F26" s="126"/>
      <c r="G26" s="126"/>
      <c r="H26" s="126"/>
      <c r="I26" s="126"/>
      <c r="J26" s="126"/>
      <c r="K26" s="126"/>
      <c r="L26" s="126"/>
      <c r="M26" s="126"/>
      <c r="N26" s="126"/>
      <c r="O26" s="108"/>
      <c r="P26" s="1544">
        <v>0</v>
      </c>
      <c r="Q26" s="1545"/>
      <c r="R26" s="1546"/>
      <c r="S26" s="1547">
        <v>0</v>
      </c>
      <c r="T26" s="1545"/>
      <c r="U26" s="1548"/>
      <c r="V26" s="1544">
        <v>0</v>
      </c>
      <c r="W26" s="1545"/>
      <c r="X26" s="1546"/>
      <c r="Y26" s="1547">
        <v>0</v>
      </c>
      <c r="Z26" s="1545"/>
      <c r="AA26" s="1548"/>
      <c r="AB26" s="1544">
        <v>0</v>
      </c>
      <c r="AC26" s="1545"/>
      <c r="AD26" s="1546"/>
      <c r="AE26" s="1547">
        <v>0</v>
      </c>
      <c r="AF26" s="1545"/>
      <c r="AG26" s="1548"/>
      <c r="AH26" s="1544">
        <v>0</v>
      </c>
      <c r="AI26" s="1545"/>
      <c r="AJ26" s="1546"/>
      <c r="AK26" s="1547">
        <v>0</v>
      </c>
      <c r="AL26" s="1545"/>
      <c r="AM26" s="1565"/>
      <c r="AN26" s="1459">
        <f t="shared" si="4"/>
        <v>0</v>
      </c>
      <c r="AO26" s="1457"/>
      <c r="AP26" s="1460"/>
      <c r="AQ26" s="1456">
        <f t="shared" si="5"/>
        <v>0</v>
      </c>
      <c r="AR26" s="1457"/>
      <c r="AS26" s="1458"/>
    </row>
    <row r="27" spans="2:45" s="72" customFormat="1" ht="25" customHeight="1" x14ac:dyDescent="0.35">
      <c r="B27" s="125"/>
      <c r="C27" s="146" t="s">
        <v>118</v>
      </c>
      <c r="D27" s="107"/>
      <c r="E27" s="126"/>
      <c r="F27" s="126"/>
      <c r="G27" s="126"/>
      <c r="H27" s="126"/>
      <c r="I27" s="126"/>
      <c r="J27" s="126"/>
      <c r="K27" s="126"/>
      <c r="L27" s="126"/>
      <c r="M27" s="126"/>
      <c r="N27" s="126"/>
      <c r="O27" s="108"/>
      <c r="P27" s="1544">
        <v>0</v>
      </c>
      <c r="Q27" s="1545"/>
      <c r="R27" s="1546"/>
      <c r="S27" s="1547">
        <v>0</v>
      </c>
      <c r="T27" s="1545"/>
      <c r="U27" s="1548"/>
      <c r="V27" s="1544">
        <v>0</v>
      </c>
      <c r="W27" s="1545"/>
      <c r="X27" s="1546"/>
      <c r="Y27" s="1547">
        <v>0</v>
      </c>
      <c r="Z27" s="1545"/>
      <c r="AA27" s="1548"/>
      <c r="AB27" s="1544">
        <v>0</v>
      </c>
      <c r="AC27" s="1545"/>
      <c r="AD27" s="1546"/>
      <c r="AE27" s="1547">
        <v>0</v>
      </c>
      <c r="AF27" s="1545"/>
      <c r="AG27" s="1548"/>
      <c r="AH27" s="1544">
        <v>0</v>
      </c>
      <c r="AI27" s="1545"/>
      <c r="AJ27" s="1546"/>
      <c r="AK27" s="1547">
        <v>0</v>
      </c>
      <c r="AL27" s="1545"/>
      <c r="AM27" s="1565"/>
      <c r="AN27" s="1459">
        <f t="shared" si="4"/>
        <v>0</v>
      </c>
      <c r="AO27" s="1457"/>
      <c r="AP27" s="1460"/>
      <c r="AQ27" s="1456">
        <f t="shared" si="5"/>
        <v>0</v>
      </c>
      <c r="AR27" s="1457"/>
      <c r="AS27" s="1458"/>
    </row>
    <row r="28" spans="2:45" s="72" customFormat="1" ht="25" customHeight="1" x14ac:dyDescent="0.35">
      <c r="B28" s="125"/>
      <c r="C28" s="146" t="s">
        <v>119</v>
      </c>
      <c r="D28" s="126"/>
      <c r="E28" s="126"/>
      <c r="F28" s="126"/>
      <c r="G28" s="126"/>
      <c r="H28" s="126"/>
      <c r="I28" s="126"/>
      <c r="J28" s="126"/>
      <c r="K28" s="126"/>
      <c r="L28" s="126"/>
      <c r="M28" s="126"/>
      <c r="N28" s="126"/>
      <c r="O28" s="108"/>
      <c r="P28" s="1544">
        <v>0</v>
      </c>
      <c r="Q28" s="1545"/>
      <c r="R28" s="1546"/>
      <c r="S28" s="1547">
        <v>0</v>
      </c>
      <c r="T28" s="1545"/>
      <c r="U28" s="1548"/>
      <c r="V28" s="1544">
        <v>0</v>
      </c>
      <c r="W28" s="1545"/>
      <c r="X28" s="1546"/>
      <c r="Y28" s="1547">
        <v>0</v>
      </c>
      <c r="Z28" s="1545"/>
      <c r="AA28" s="1548"/>
      <c r="AB28" s="1544">
        <v>0</v>
      </c>
      <c r="AC28" s="1545"/>
      <c r="AD28" s="1546"/>
      <c r="AE28" s="1547">
        <v>0</v>
      </c>
      <c r="AF28" s="1545"/>
      <c r="AG28" s="1548"/>
      <c r="AH28" s="1544">
        <v>0</v>
      </c>
      <c r="AI28" s="1545"/>
      <c r="AJ28" s="1546"/>
      <c r="AK28" s="1547">
        <v>0</v>
      </c>
      <c r="AL28" s="1545"/>
      <c r="AM28" s="1565"/>
      <c r="AN28" s="1459">
        <f t="shared" si="4"/>
        <v>0</v>
      </c>
      <c r="AO28" s="1457"/>
      <c r="AP28" s="1460"/>
      <c r="AQ28" s="1456">
        <f t="shared" si="5"/>
        <v>0</v>
      </c>
      <c r="AR28" s="1457"/>
      <c r="AS28" s="1458"/>
    </row>
    <row r="29" spans="2:45" s="72" customFormat="1" ht="25" customHeight="1" x14ac:dyDescent="0.35">
      <c r="B29" s="125"/>
      <c r="C29" s="146" t="s">
        <v>168</v>
      </c>
      <c r="D29" s="126"/>
      <c r="E29" s="126"/>
      <c r="F29" s="126"/>
      <c r="G29" s="126"/>
      <c r="H29" s="126"/>
      <c r="I29" s="126"/>
      <c r="J29" s="126"/>
      <c r="K29" s="126"/>
      <c r="L29" s="126"/>
      <c r="M29" s="126"/>
      <c r="N29" s="126"/>
      <c r="O29" s="108"/>
      <c r="P29" s="1544">
        <v>0</v>
      </c>
      <c r="Q29" s="1545"/>
      <c r="R29" s="1546"/>
      <c r="S29" s="1547">
        <v>0</v>
      </c>
      <c r="T29" s="1545"/>
      <c r="U29" s="1548"/>
      <c r="V29" s="1544">
        <v>0</v>
      </c>
      <c r="W29" s="1545"/>
      <c r="X29" s="1546"/>
      <c r="Y29" s="1547">
        <v>0</v>
      </c>
      <c r="Z29" s="1545"/>
      <c r="AA29" s="1548"/>
      <c r="AB29" s="1544">
        <v>0</v>
      </c>
      <c r="AC29" s="1545"/>
      <c r="AD29" s="1546"/>
      <c r="AE29" s="1547">
        <v>0</v>
      </c>
      <c r="AF29" s="1545"/>
      <c r="AG29" s="1548"/>
      <c r="AH29" s="1544">
        <v>0</v>
      </c>
      <c r="AI29" s="1545"/>
      <c r="AJ29" s="1546"/>
      <c r="AK29" s="1547">
        <v>0</v>
      </c>
      <c r="AL29" s="1545"/>
      <c r="AM29" s="1565"/>
      <c r="AN29" s="1459">
        <f t="shared" si="4"/>
        <v>0</v>
      </c>
      <c r="AO29" s="1457"/>
      <c r="AP29" s="1460"/>
      <c r="AQ29" s="1456">
        <f t="shared" si="5"/>
        <v>0</v>
      </c>
      <c r="AR29" s="1457"/>
      <c r="AS29" s="1458"/>
    </row>
    <row r="30" spans="2:45" s="72" customFormat="1" ht="25" customHeight="1" x14ac:dyDescent="0.35">
      <c r="B30" s="125"/>
      <c r="C30" s="146" t="s">
        <v>169</v>
      </c>
      <c r="D30" s="107"/>
      <c r="E30" s="126"/>
      <c r="F30" s="126"/>
      <c r="G30" s="126"/>
      <c r="H30" s="126"/>
      <c r="I30" s="126"/>
      <c r="J30" s="126"/>
      <c r="K30" s="126"/>
      <c r="L30" s="126"/>
      <c r="M30" s="126"/>
      <c r="N30" s="126"/>
      <c r="O30" s="108"/>
      <c r="P30" s="1544">
        <v>0</v>
      </c>
      <c r="Q30" s="1545"/>
      <c r="R30" s="1546"/>
      <c r="S30" s="1547">
        <v>0</v>
      </c>
      <c r="T30" s="1545"/>
      <c r="U30" s="1548"/>
      <c r="V30" s="1544">
        <v>0</v>
      </c>
      <c r="W30" s="1545"/>
      <c r="X30" s="1546"/>
      <c r="Y30" s="1547">
        <v>0</v>
      </c>
      <c r="Z30" s="1545"/>
      <c r="AA30" s="1548"/>
      <c r="AB30" s="1544">
        <v>0</v>
      </c>
      <c r="AC30" s="1545"/>
      <c r="AD30" s="1546"/>
      <c r="AE30" s="1547">
        <v>0</v>
      </c>
      <c r="AF30" s="1545"/>
      <c r="AG30" s="1548"/>
      <c r="AH30" s="1544">
        <v>0</v>
      </c>
      <c r="AI30" s="1545"/>
      <c r="AJ30" s="1546"/>
      <c r="AK30" s="1547">
        <v>0</v>
      </c>
      <c r="AL30" s="1545"/>
      <c r="AM30" s="1565"/>
      <c r="AN30" s="1459">
        <f t="shared" si="4"/>
        <v>0</v>
      </c>
      <c r="AO30" s="1457"/>
      <c r="AP30" s="1460"/>
      <c r="AQ30" s="1456">
        <f t="shared" si="5"/>
        <v>0</v>
      </c>
      <c r="AR30" s="1457"/>
      <c r="AS30" s="1458"/>
    </row>
    <row r="31" spans="2:45" s="72" customFormat="1" ht="37.5" customHeight="1" x14ac:dyDescent="0.35">
      <c r="B31" s="1572" t="s">
        <v>446</v>
      </c>
      <c r="C31" s="1573"/>
      <c r="D31" s="1573"/>
      <c r="E31" s="1573"/>
      <c r="F31" s="1573"/>
      <c r="G31" s="1573"/>
      <c r="H31" s="1573"/>
      <c r="I31" s="1573"/>
      <c r="J31" s="1573"/>
      <c r="K31" s="1573"/>
      <c r="L31" s="1573"/>
      <c r="M31" s="1573"/>
      <c r="N31" s="1573"/>
      <c r="O31" s="1574"/>
      <c r="P31" s="1659"/>
      <c r="Q31" s="1660"/>
      <c r="R31" s="1660"/>
      <c r="S31" s="1660"/>
      <c r="T31" s="1660"/>
      <c r="U31" s="1660"/>
      <c r="V31" s="1660"/>
      <c r="W31" s="1660"/>
      <c r="X31" s="1660"/>
      <c r="Y31" s="1660"/>
      <c r="Z31" s="1660"/>
      <c r="AA31" s="1660"/>
      <c r="AB31" s="1660"/>
      <c r="AC31" s="1660"/>
      <c r="AD31" s="1660"/>
      <c r="AE31" s="1660"/>
      <c r="AF31" s="1660"/>
      <c r="AG31" s="1660"/>
      <c r="AH31" s="1660"/>
      <c r="AI31" s="1660"/>
      <c r="AJ31" s="1660"/>
      <c r="AK31" s="1660"/>
      <c r="AL31" s="1660"/>
      <c r="AM31" s="1660"/>
      <c r="AN31" s="1660"/>
      <c r="AO31" s="1660"/>
      <c r="AP31" s="1660"/>
      <c r="AQ31" s="1660"/>
      <c r="AR31" s="1660"/>
      <c r="AS31" s="1661"/>
    </row>
    <row r="32" spans="2:45" s="72" customFormat="1" ht="25" customHeight="1" x14ac:dyDescent="0.35">
      <c r="B32" s="125"/>
      <c r="C32" s="146" t="s">
        <v>593</v>
      </c>
      <c r="D32" s="107"/>
      <c r="E32" s="126"/>
      <c r="F32" s="126"/>
      <c r="G32" s="126"/>
      <c r="H32" s="126"/>
      <c r="I32" s="126"/>
      <c r="J32" s="126"/>
      <c r="K32" s="126"/>
      <c r="L32" s="126"/>
      <c r="M32" s="126"/>
      <c r="N32" s="126"/>
      <c r="O32" s="108"/>
      <c r="P32" s="1544">
        <v>0</v>
      </c>
      <c r="Q32" s="1545"/>
      <c r="R32" s="1546"/>
      <c r="S32" s="1547">
        <v>0</v>
      </c>
      <c r="T32" s="1545"/>
      <c r="U32" s="1548"/>
      <c r="V32" s="1544">
        <v>0</v>
      </c>
      <c r="W32" s="1545"/>
      <c r="X32" s="1546"/>
      <c r="Y32" s="1547">
        <v>0</v>
      </c>
      <c r="Z32" s="1545"/>
      <c r="AA32" s="1548"/>
      <c r="AB32" s="1544">
        <v>0</v>
      </c>
      <c r="AC32" s="1545"/>
      <c r="AD32" s="1546"/>
      <c r="AE32" s="1547">
        <v>0</v>
      </c>
      <c r="AF32" s="1545"/>
      <c r="AG32" s="1548"/>
      <c r="AH32" s="1544">
        <v>0</v>
      </c>
      <c r="AI32" s="1545"/>
      <c r="AJ32" s="1546"/>
      <c r="AK32" s="1547">
        <v>0</v>
      </c>
      <c r="AL32" s="1545"/>
      <c r="AM32" s="1565"/>
      <c r="AN32" s="1459">
        <f>SUM(P32,V32,AB32,AH32)</f>
        <v>0</v>
      </c>
      <c r="AO32" s="1457"/>
      <c r="AP32" s="1460"/>
      <c r="AQ32" s="1456">
        <f>SUM(S32,Y32,AE32,AK32)</f>
        <v>0</v>
      </c>
      <c r="AR32" s="1457"/>
      <c r="AS32" s="1458"/>
    </row>
    <row r="33" spans="2:45" s="72" customFormat="1" ht="25" customHeight="1" x14ac:dyDescent="0.35">
      <c r="B33" s="125"/>
      <c r="C33" s="146" t="s">
        <v>120</v>
      </c>
      <c r="D33" s="107"/>
      <c r="E33" s="126"/>
      <c r="F33" s="126"/>
      <c r="G33" s="126"/>
      <c r="H33" s="126"/>
      <c r="I33" s="126"/>
      <c r="J33" s="126"/>
      <c r="K33" s="126"/>
      <c r="L33" s="126"/>
      <c r="M33" s="126"/>
      <c r="N33" s="126"/>
      <c r="O33" s="108"/>
      <c r="P33" s="1544">
        <v>0</v>
      </c>
      <c r="Q33" s="1545"/>
      <c r="R33" s="1546"/>
      <c r="S33" s="1547">
        <v>0</v>
      </c>
      <c r="T33" s="1545"/>
      <c r="U33" s="1548"/>
      <c r="V33" s="1544">
        <v>0</v>
      </c>
      <c r="W33" s="1545"/>
      <c r="X33" s="1546"/>
      <c r="Y33" s="1547">
        <v>0</v>
      </c>
      <c r="Z33" s="1545"/>
      <c r="AA33" s="1548"/>
      <c r="AB33" s="1544">
        <v>0</v>
      </c>
      <c r="AC33" s="1545"/>
      <c r="AD33" s="1546"/>
      <c r="AE33" s="1547">
        <v>0</v>
      </c>
      <c r="AF33" s="1545"/>
      <c r="AG33" s="1548"/>
      <c r="AH33" s="1544">
        <v>0</v>
      </c>
      <c r="AI33" s="1545"/>
      <c r="AJ33" s="1546"/>
      <c r="AK33" s="1547">
        <v>0</v>
      </c>
      <c r="AL33" s="1545"/>
      <c r="AM33" s="1565"/>
      <c r="AN33" s="1459">
        <f t="shared" ref="AN33:AN35" si="6">SUM(P33,V33,AB33,AH33)</f>
        <v>0</v>
      </c>
      <c r="AO33" s="1457"/>
      <c r="AP33" s="1460"/>
      <c r="AQ33" s="1456">
        <f t="shared" ref="AQ33:AQ35" si="7">SUM(S33,Y33,AE33,AK33)</f>
        <v>0</v>
      </c>
      <c r="AR33" s="1457"/>
      <c r="AS33" s="1458"/>
    </row>
    <row r="34" spans="2:45" s="72" customFormat="1" ht="25" customHeight="1" x14ac:dyDescent="0.35">
      <c r="B34" s="125"/>
      <c r="C34" s="146" t="s">
        <v>170</v>
      </c>
      <c r="D34" s="107"/>
      <c r="E34" s="126"/>
      <c r="F34" s="126"/>
      <c r="G34" s="126"/>
      <c r="H34" s="126"/>
      <c r="I34" s="126"/>
      <c r="J34" s="126"/>
      <c r="K34" s="126"/>
      <c r="L34" s="126"/>
      <c r="M34" s="126"/>
      <c r="N34" s="126"/>
      <c r="O34" s="108"/>
      <c r="P34" s="1544">
        <v>0</v>
      </c>
      <c r="Q34" s="1545"/>
      <c r="R34" s="1546"/>
      <c r="S34" s="1547">
        <v>0</v>
      </c>
      <c r="T34" s="1545"/>
      <c r="U34" s="1548"/>
      <c r="V34" s="1544">
        <v>0</v>
      </c>
      <c r="W34" s="1545"/>
      <c r="X34" s="1546"/>
      <c r="Y34" s="1547">
        <v>0</v>
      </c>
      <c r="Z34" s="1545"/>
      <c r="AA34" s="1548"/>
      <c r="AB34" s="1544">
        <v>0</v>
      </c>
      <c r="AC34" s="1545"/>
      <c r="AD34" s="1546"/>
      <c r="AE34" s="1547">
        <v>0</v>
      </c>
      <c r="AF34" s="1545"/>
      <c r="AG34" s="1548"/>
      <c r="AH34" s="1544">
        <v>0</v>
      </c>
      <c r="AI34" s="1545"/>
      <c r="AJ34" s="1546"/>
      <c r="AK34" s="1547">
        <v>0</v>
      </c>
      <c r="AL34" s="1545"/>
      <c r="AM34" s="1565"/>
      <c r="AN34" s="1459">
        <f t="shared" si="6"/>
        <v>0</v>
      </c>
      <c r="AO34" s="1457"/>
      <c r="AP34" s="1460"/>
      <c r="AQ34" s="1456">
        <f t="shared" si="7"/>
        <v>0</v>
      </c>
      <c r="AR34" s="1457"/>
      <c r="AS34" s="1458"/>
    </row>
    <row r="35" spans="2:45" s="72" customFormat="1" ht="25" customHeight="1" thickBot="1" x14ac:dyDescent="0.4">
      <c r="B35" s="127"/>
      <c r="C35" s="147" t="s">
        <v>121</v>
      </c>
      <c r="D35" s="128"/>
      <c r="E35" s="128"/>
      <c r="F35" s="128"/>
      <c r="G35" s="128"/>
      <c r="H35" s="128"/>
      <c r="I35" s="128"/>
      <c r="J35" s="128"/>
      <c r="K35" s="128"/>
      <c r="L35" s="128"/>
      <c r="M35" s="128"/>
      <c r="N35" s="128"/>
      <c r="O35" s="129"/>
      <c r="P35" s="1652">
        <v>0</v>
      </c>
      <c r="Q35" s="1653"/>
      <c r="R35" s="1654"/>
      <c r="S35" s="1655">
        <v>0</v>
      </c>
      <c r="T35" s="1653"/>
      <c r="U35" s="1658"/>
      <c r="V35" s="1652">
        <v>0</v>
      </c>
      <c r="W35" s="1653"/>
      <c r="X35" s="1654"/>
      <c r="Y35" s="1655">
        <v>0</v>
      </c>
      <c r="Z35" s="1653"/>
      <c r="AA35" s="1658"/>
      <c r="AB35" s="1652">
        <v>0</v>
      </c>
      <c r="AC35" s="1653"/>
      <c r="AD35" s="1654"/>
      <c r="AE35" s="1655">
        <v>0</v>
      </c>
      <c r="AF35" s="1653"/>
      <c r="AG35" s="1658"/>
      <c r="AH35" s="1652">
        <v>0</v>
      </c>
      <c r="AI35" s="1653"/>
      <c r="AJ35" s="1654"/>
      <c r="AK35" s="1655">
        <v>0</v>
      </c>
      <c r="AL35" s="1653"/>
      <c r="AM35" s="1656"/>
      <c r="AN35" s="1473">
        <f t="shared" si="6"/>
        <v>0</v>
      </c>
      <c r="AO35" s="1474"/>
      <c r="AP35" s="1475"/>
      <c r="AQ35" s="1500">
        <f t="shared" si="7"/>
        <v>0</v>
      </c>
      <c r="AR35" s="1474"/>
      <c r="AS35" s="1501"/>
    </row>
    <row r="36" spans="2:45" s="72" customFormat="1" ht="8.25" customHeight="1" x14ac:dyDescent="0.35">
      <c r="B36" s="119"/>
      <c r="C36" s="119"/>
      <c r="D36" s="119"/>
      <c r="E36" s="119"/>
      <c r="F36" s="119"/>
      <c r="G36" s="119"/>
      <c r="H36" s="119"/>
      <c r="I36" s="119"/>
      <c r="J36" s="119"/>
      <c r="K36" s="119"/>
      <c r="L36" s="119"/>
      <c r="M36" s="119"/>
      <c r="N36" s="119"/>
      <c r="O36" s="112"/>
      <c r="P36" s="112"/>
      <c r="Q36" s="112"/>
      <c r="R36" s="112"/>
      <c r="S36" s="112"/>
      <c r="T36" s="112"/>
      <c r="U36" s="120"/>
      <c r="V36" s="112"/>
      <c r="W36" s="112"/>
      <c r="X36" s="112"/>
      <c r="Y36" s="112"/>
      <c r="Z36" s="112"/>
      <c r="AA36" s="120"/>
      <c r="AB36" s="112"/>
      <c r="AC36" s="112"/>
      <c r="AD36" s="112"/>
      <c r="AE36" s="112"/>
      <c r="AF36" s="112"/>
      <c r="AG36" s="120"/>
      <c r="AH36" s="112"/>
      <c r="AI36" s="112"/>
      <c r="AJ36" s="112"/>
      <c r="AK36" s="112"/>
      <c r="AL36" s="112"/>
      <c r="AM36" s="120"/>
      <c r="AN36" s="120"/>
      <c r="AO36" s="120"/>
      <c r="AP36" s="120"/>
      <c r="AQ36" s="120"/>
      <c r="AR36" s="120"/>
      <c r="AS36" s="120"/>
    </row>
    <row r="37" spans="2:45" s="89" customFormat="1" ht="33" customHeight="1" x14ac:dyDescent="0.35">
      <c r="B37" s="91" t="s">
        <v>150</v>
      </c>
      <c r="C37" s="1657" t="s">
        <v>1200</v>
      </c>
      <c r="D37" s="1657"/>
      <c r="E37" s="1657"/>
      <c r="F37" s="1657"/>
      <c r="G37" s="1657"/>
      <c r="H37" s="1657"/>
      <c r="I37" s="1657"/>
      <c r="J37" s="1657"/>
      <c r="K37" s="1657"/>
      <c r="L37" s="1657"/>
      <c r="M37" s="1657"/>
      <c r="N37" s="1657"/>
      <c r="O37" s="1657"/>
      <c r="P37" s="1657"/>
      <c r="Q37" s="1657"/>
      <c r="R37" s="1657"/>
      <c r="S37" s="1657"/>
      <c r="T37" s="1657"/>
      <c r="U37" s="1657"/>
      <c r="V37" s="1657"/>
      <c r="W37" s="1657"/>
      <c r="X37" s="1657"/>
      <c r="Y37" s="1657"/>
      <c r="Z37" s="1657"/>
      <c r="AA37" s="1657"/>
      <c r="AB37" s="1657"/>
      <c r="AC37" s="1657"/>
      <c r="AD37" s="1657"/>
      <c r="AE37" s="1657"/>
      <c r="AF37" s="1657"/>
      <c r="AG37" s="1657"/>
      <c r="AH37" s="1657"/>
      <c r="AI37" s="1657"/>
      <c r="AJ37" s="1657"/>
      <c r="AK37" s="1657"/>
      <c r="AL37" s="1657"/>
      <c r="AM37" s="1657"/>
      <c r="AN37" s="1657"/>
      <c r="AO37" s="1657"/>
      <c r="AP37" s="1657"/>
      <c r="AQ37" s="1657"/>
      <c r="AR37" s="1657"/>
      <c r="AS37" s="1657"/>
    </row>
    <row r="38" spans="2:45" s="89" customFormat="1" x14ac:dyDescent="0.35">
      <c r="B38" s="121" t="s">
        <v>151</v>
      </c>
      <c r="C38" s="1584" t="s">
        <v>1201</v>
      </c>
      <c r="D38" s="1584"/>
      <c r="E38" s="1584"/>
      <c r="F38" s="1584"/>
      <c r="G38" s="1584"/>
      <c r="H38" s="1584"/>
      <c r="I38" s="1584"/>
      <c r="J38" s="1584"/>
      <c r="K38" s="1584"/>
      <c r="L38" s="1584"/>
      <c r="M38" s="1584"/>
      <c r="N38" s="1584"/>
      <c r="O38" s="1584"/>
      <c r="P38" s="1584"/>
      <c r="Q38" s="1584"/>
      <c r="R38" s="1584"/>
      <c r="S38" s="1584"/>
      <c r="T38" s="1584"/>
      <c r="U38" s="1584"/>
      <c r="V38" s="1584"/>
      <c r="W38" s="1584"/>
      <c r="X38" s="1584"/>
      <c r="Y38" s="1584"/>
      <c r="Z38" s="1584"/>
      <c r="AA38" s="1584"/>
      <c r="AB38" s="1584"/>
      <c r="AC38" s="1584"/>
      <c r="AD38" s="1584"/>
      <c r="AE38" s="1584"/>
      <c r="AF38" s="1584"/>
      <c r="AG38" s="1584"/>
      <c r="AH38" s="1584"/>
      <c r="AI38" s="1584"/>
      <c r="AJ38" s="1584"/>
      <c r="AK38" s="1584"/>
      <c r="AL38" s="1584"/>
      <c r="AM38" s="1584"/>
      <c r="AN38" s="1584"/>
      <c r="AO38" s="1584"/>
      <c r="AP38" s="1584"/>
      <c r="AQ38" s="1584"/>
      <c r="AR38" s="1584"/>
      <c r="AS38" s="1584"/>
    </row>
    <row r="39" spans="2:45" s="124" customFormat="1" ht="30.75" customHeight="1" x14ac:dyDescent="0.3">
      <c r="B39" s="123"/>
      <c r="AD39" s="123"/>
      <c r="AE39" s="123"/>
      <c r="AF39" s="123"/>
    </row>
    <row r="40" spans="2:45" s="73" customFormat="1" x14ac:dyDescent="0.35">
      <c r="B40" s="60" t="s">
        <v>913</v>
      </c>
      <c r="AD40" s="60" t="s">
        <v>922</v>
      </c>
    </row>
    <row r="41" spans="2:45" s="73" customFormat="1" ht="21.75" customHeight="1" x14ac:dyDescent="0.35">
      <c r="B41" s="60" t="s">
        <v>910</v>
      </c>
      <c r="E41" s="76"/>
      <c r="F41" s="1581" t="str">
        <f>SchInfo!F38</f>
        <v>MELCHESIEDICK Q. BOLANIO/ March 17, 2023</v>
      </c>
      <c r="G41" s="1581"/>
      <c r="H41" s="1581"/>
      <c r="I41" s="1581"/>
      <c r="J41" s="1581"/>
      <c r="K41" s="1581"/>
      <c r="L41" s="1581"/>
      <c r="M41" s="1581"/>
      <c r="N41" s="1581"/>
      <c r="O41" s="1581"/>
      <c r="P41" s="1581"/>
      <c r="Q41" s="1581"/>
      <c r="R41" s="1581"/>
      <c r="AD41" s="1582" t="str">
        <f>SchInfo!R38</f>
        <v>MICHAEL T. JAMIS   /  March 17, 2023</v>
      </c>
      <c r="AE41" s="1582"/>
      <c r="AF41" s="1582"/>
      <c r="AG41" s="1582"/>
      <c r="AH41" s="1582"/>
      <c r="AI41" s="1582"/>
      <c r="AJ41" s="1582"/>
      <c r="AK41" s="1582"/>
      <c r="AL41" s="1582"/>
      <c r="AM41" s="1582"/>
      <c r="AN41" s="1582"/>
      <c r="AO41" s="1582"/>
      <c r="AP41" s="1582"/>
      <c r="AQ41" s="1582"/>
      <c r="AR41" s="1582"/>
      <c r="AS41" s="1582"/>
    </row>
    <row r="42" spans="2:45" s="78" customFormat="1" ht="12.25" customHeight="1" x14ac:dyDescent="0.35">
      <c r="B42" s="77"/>
      <c r="E42" s="79"/>
      <c r="F42" s="1483" t="s">
        <v>779</v>
      </c>
      <c r="G42" s="1483"/>
      <c r="H42" s="1483"/>
      <c r="I42" s="1483"/>
      <c r="J42" s="1483"/>
      <c r="K42" s="1483"/>
      <c r="L42" s="1483"/>
      <c r="M42" s="1483"/>
      <c r="N42" s="1483"/>
      <c r="O42" s="1483"/>
      <c r="P42" s="1483"/>
      <c r="Q42" s="1483"/>
      <c r="R42" s="1483"/>
      <c r="S42" s="77"/>
      <c r="T42" s="77"/>
      <c r="U42" s="77"/>
      <c r="V42" s="77"/>
      <c r="W42" s="77"/>
      <c r="X42" s="77"/>
      <c r="Y42" s="77"/>
      <c r="Z42" s="77"/>
      <c r="AA42" s="77"/>
      <c r="AB42" s="77"/>
      <c r="AC42" s="77"/>
      <c r="AD42" s="1583"/>
      <c r="AE42" s="1583"/>
      <c r="AF42" s="1583"/>
      <c r="AG42" s="1583"/>
      <c r="AH42" s="1583"/>
      <c r="AI42" s="1583"/>
      <c r="AJ42" s="1583"/>
      <c r="AK42" s="1583"/>
      <c r="AL42" s="1583"/>
      <c r="AM42" s="1583"/>
      <c r="AN42" s="1583"/>
      <c r="AO42" s="1583"/>
      <c r="AP42" s="1583"/>
      <c r="AQ42" s="1583"/>
      <c r="AR42" s="1583"/>
      <c r="AS42" s="1583"/>
    </row>
    <row r="43" spans="2:45" s="73" customFormat="1" ht="21.75" customHeight="1" x14ac:dyDescent="0.35">
      <c r="B43" s="60" t="s">
        <v>784</v>
      </c>
      <c r="E43" s="76"/>
      <c r="F43" s="1581" t="str">
        <f>SchInfo!F40</f>
        <v>Principal IV</v>
      </c>
      <c r="G43" s="1581"/>
      <c r="H43" s="1581"/>
      <c r="I43" s="1581"/>
      <c r="J43" s="1581"/>
      <c r="K43" s="1581"/>
      <c r="L43" s="1581"/>
      <c r="M43" s="1581"/>
      <c r="N43" s="1581"/>
      <c r="O43" s="1581"/>
      <c r="P43" s="1581"/>
      <c r="Q43" s="1581"/>
      <c r="R43" s="1581"/>
      <c r="AD43" s="1452" t="s">
        <v>779</v>
      </c>
      <c r="AE43" s="1452"/>
      <c r="AF43" s="1452"/>
      <c r="AG43" s="1452"/>
      <c r="AH43" s="1452"/>
      <c r="AI43" s="1452"/>
      <c r="AJ43" s="1452"/>
      <c r="AK43" s="1452"/>
      <c r="AL43" s="1452"/>
      <c r="AM43" s="1452"/>
      <c r="AN43" s="1452"/>
      <c r="AO43" s="1452"/>
      <c r="AP43" s="1452"/>
      <c r="AQ43" s="1452"/>
      <c r="AR43" s="1452"/>
      <c r="AS43" s="1452"/>
    </row>
  </sheetData>
  <sheetProtection algorithmName="SHA-512" hashValue="op4UJollQEjjXwQuvbVqiUvJ7RK8z2oaJIuppQ7vFEwLarGt194Bj02N9epkkxdOlzc1WTfVdEnAikipF7Mrjw==" saltValue="xhqFcJ4sDuSJd+a8YWEOmw==" spinCount="100000" sheet="1" objects="1" scenarios="1"/>
  <mergeCells count="283">
    <mergeCell ref="B7:O7"/>
    <mergeCell ref="P7:AS7"/>
    <mergeCell ref="P8:R8"/>
    <mergeCell ref="S8:U8"/>
    <mergeCell ref="V8:X8"/>
    <mergeCell ref="Y8:AA8"/>
    <mergeCell ref="AB8:AD8"/>
    <mergeCell ref="AE8:AG8"/>
    <mergeCell ref="V6:X6"/>
    <mergeCell ref="Y6:AA6"/>
    <mergeCell ref="AB6:AD6"/>
    <mergeCell ref="AE6:AG6"/>
    <mergeCell ref="AH6:AJ6"/>
    <mergeCell ref="AK6:AM6"/>
    <mergeCell ref="B3:O6"/>
    <mergeCell ref="P3:AA3"/>
    <mergeCell ref="AB3:AM3"/>
    <mergeCell ref="AN3:AS5"/>
    <mergeCell ref="P4:U5"/>
    <mergeCell ref="V4:AA5"/>
    <mergeCell ref="AB4:AG5"/>
    <mergeCell ref="AH4:AM5"/>
    <mergeCell ref="AH8:AJ8"/>
    <mergeCell ref="AK8:AM8"/>
    <mergeCell ref="AN8:AP8"/>
    <mergeCell ref="AQ8:AS8"/>
    <mergeCell ref="P9:R9"/>
    <mergeCell ref="S9:U9"/>
    <mergeCell ref="V9:X9"/>
    <mergeCell ref="Y9:AA9"/>
    <mergeCell ref="AB9:AD9"/>
    <mergeCell ref="AE9:AG9"/>
    <mergeCell ref="AH9:AJ9"/>
    <mergeCell ref="AK9:AM9"/>
    <mergeCell ref="AN9:AP9"/>
    <mergeCell ref="AQ9:AS9"/>
    <mergeCell ref="P6:R6"/>
    <mergeCell ref="S6:U6"/>
    <mergeCell ref="AN6:AP6"/>
    <mergeCell ref="AQ6:AS6"/>
    <mergeCell ref="AQ10:AS10"/>
    <mergeCell ref="P11:R11"/>
    <mergeCell ref="S11:U11"/>
    <mergeCell ref="V11:X11"/>
    <mergeCell ref="Y11:AA11"/>
    <mergeCell ref="AB11:AD11"/>
    <mergeCell ref="AE11:AG11"/>
    <mergeCell ref="AH11:AJ11"/>
    <mergeCell ref="AK11:AM11"/>
    <mergeCell ref="AN11:AP11"/>
    <mergeCell ref="AQ11:AS11"/>
    <mergeCell ref="P10:R10"/>
    <mergeCell ref="S10:U10"/>
    <mergeCell ref="V10:X10"/>
    <mergeCell ref="Y10:AA10"/>
    <mergeCell ref="AB10:AD10"/>
    <mergeCell ref="AE10:AG10"/>
    <mergeCell ref="AH10:AJ10"/>
    <mergeCell ref="AK10:AM10"/>
    <mergeCell ref="AN10:AP10"/>
    <mergeCell ref="AQ12:AS12"/>
    <mergeCell ref="P13:R13"/>
    <mergeCell ref="S13:U13"/>
    <mergeCell ref="V13:X13"/>
    <mergeCell ref="Y13:AA13"/>
    <mergeCell ref="AB13:AD13"/>
    <mergeCell ref="AE13:AG13"/>
    <mergeCell ref="AH13:AJ13"/>
    <mergeCell ref="AK13:AM13"/>
    <mergeCell ref="AN13:AP13"/>
    <mergeCell ref="AQ13:AS13"/>
    <mergeCell ref="P12:R12"/>
    <mergeCell ref="S12:U12"/>
    <mergeCell ref="V12:X12"/>
    <mergeCell ref="Y12:AA12"/>
    <mergeCell ref="AB12:AD12"/>
    <mergeCell ref="AE12:AG12"/>
    <mergeCell ref="AH12:AJ12"/>
    <mergeCell ref="AK12:AM12"/>
    <mergeCell ref="AN12:AP12"/>
    <mergeCell ref="AQ14:AS14"/>
    <mergeCell ref="P15:R15"/>
    <mergeCell ref="S15:U15"/>
    <mergeCell ref="V15:X15"/>
    <mergeCell ref="Y15:AA15"/>
    <mergeCell ref="AB15:AD15"/>
    <mergeCell ref="AE15:AG15"/>
    <mergeCell ref="AH16:AJ16"/>
    <mergeCell ref="AK16:AM16"/>
    <mergeCell ref="AN16:AP16"/>
    <mergeCell ref="AQ16:AS16"/>
    <mergeCell ref="P14:R14"/>
    <mergeCell ref="S14:U14"/>
    <mergeCell ref="V14:X14"/>
    <mergeCell ref="Y14:AA14"/>
    <mergeCell ref="AB14:AD14"/>
    <mergeCell ref="AE14:AG14"/>
    <mergeCell ref="AH14:AJ14"/>
    <mergeCell ref="AK14:AM14"/>
    <mergeCell ref="AN14:AP14"/>
    <mergeCell ref="B17:O17"/>
    <mergeCell ref="P17:AS17"/>
    <mergeCell ref="AH15:AJ15"/>
    <mergeCell ref="AK15:AM15"/>
    <mergeCell ref="AN15:AP15"/>
    <mergeCell ref="AQ15:AS15"/>
    <mergeCell ref="P16:R16"/>
    <mergeCell ref="S16:U16"/>
    <mergeCell ref="V16:X16"/>
    <mergeCell ref="Y16:AA16"/>
    <mergeCell ref="AB16:AD16"/>
    <mergeCell ref="AE16:AG16"/>
    <mergeCell ref="AH18:AJ18"/>
    <mergeCell ref="AK18:AM18"/>
    <mergeCell ref="AN18:AP18"/>
    <mergeCell ref="AQ18:AS18"/>
    <mergeCell ref="P19:R19"/>
    <mergeCell ref="S19:U19"/>
    <mergeCell ref="V19:X19"/>
    <mergeCell ref="Y19:AA19"/>
    <mergeCell ref="AB19:AD19"/>
    <mergeCell ref="AE19:AG19"/>
    <mergeCell ref="P18:R18"/>
    <mergeCell ref="S18:U18"/>
    <mergeCell ref="V18:X18"/>
    <mergeCell ref="Y18:AA18"/>
    <mergeCell ref="AB18:AD18"/>
    <mergeCell ref="AE18:AG18"/>
    <mergeCell ref="AH19:AJ19"/>
    <mergeCell ref="AK19:AM19"/>
    <mergeCell ref="AN19:AP19"/>
    <mergeCell ref="AQ19:AS19"/>
    <mergeCell ref="AQ21:AS21"/>
    <mergeCell ref="B22:O22"/>
    <mergeCell ref="P22:AS22"/>
    <mergeCell ref="AH20:AJ20"/>
    <mergeCell ref="AK20:AM20"/>
    <mergeCell ref="AN20:AP20"/>
    <mergeCell ref="AQ20:AS20"/>
    <mergeCell ref="P21:R21"/>
    <mergeCell ref="S21:U21"/>
    <mergeCell ref="V21:X21"/>
    <mergeCell ref="Y21:AA21"/>
    <mergeCell ref="AB21:AD21"/>
    <mergeCell ref="AE21:AG21"/>
    <mergeCell ref="P20:R20"/>
    <mergeCell ref="S20:U20"/>
    <mergeCell ref="V20:X20"/>
    <mergeCell ref="Y20:AA20"/>
    <mergeCell ref="AB20:AD20"/>
    <mergeCell ref="AE20:AG20"/>
    <mergeCell ref="AH21:AJ21"/>
    <mergeCell ref="AK21:AM21"/>
    <mergeCell ref="AN21:AP21"/>
    <mergeCell ref="AH23:AJ23"/>
    <mergeCell ref="AK23:AM23"/>
    <mergeCell ref="AN23:AP23"/>
    <mergeCell ref="AQ23:AS23"/>
    <mergeCell ref="P24:R24"/>
    <mergeCell ref="S24:U24"/>
    <mergeCell ref="V24:X24"/>
    <mergeCell ref="Y24:AA24"/>
    <mergeCell ref="AB24:AD24"/>
    <mergeCell ref="AE24:AG24"/>
    <mergeCell ref="P23:R23"/>
    <mergeCell ref="S23:U23"/>
    <mergeCell ref="V23:X23"/>
    <mergeCell ref="Y23:AA23"/>
    <mergeCell ref="AB23:AD23"/>
    <mergeCell ref="AE23:AG23"/>
    <mergeCell ref="AH24:AJ24"/>
    <mergeCell ref="AK24:AM24"/>
    <mergeCell ref="AN24:AP24"/>
    <mergeCell ref="AQ24:AS24"/>
    <mergeCell ref="AQ25:AS25"/>
    <mergeCell ref="P26:R26"/>
    <mergeCell ref="S26:U26"/>
    <mergeCell ref="V26:X26"/>
    <mergeCell ref="Y26:AA26"/>
    <mergeCell ref="AB26:AD26"/>
    <mergeCell ref="AE26:AG26"/>
    <mergeCell ref="AH26:AJ26"/>
    <mergeCell ref="AK26:AM26"/>
    <mergeCell ref="AN26:AP26"/>
    <mergeCell ref="AQ26:AS26"/>
    <mergeCell ref="P25:R25"/>
    <mergeCell ref="S25:U25"/>
    <mergeCell ref="V25:X25"/>
    <mergeCell ref="Y25:AA25"/>
    <mergeCell ref="AB25:AD25"/>
    <mergeCell ref="AE25:AG25"/>
    <mergeCell ref="AH25:AJ25"/>
    <mergeCell ref="AK25:AM25"/>
    <mergeCell ref="AN25:AP25"/>
    <mergeCell ref="AQ27:AS27"/>
    <mergeCell ref="P28:R28"/>
    <mergeCell ref="S28:U28"/>
    <mergeCell ref="V28:X28"/>
    <mergeCell ref="Y28:AA28"/>
    <mergeCell ref="AB28:AD28"/>
    <mergeCell ref="AE28:AG28"/>
    <mergeCell ref="AH28:AJ28"/>
    <mergeCell ref="AK28:AM28"/>
    <mergeCell ref="AN28:AP28"/>
    <mergeCell ref="AQ28:AS28"/>
    <mergeCell ref="P27:R27"/>
    <mergeCell ref="S27:U27"/>
    <mergeCell ref="V27:X27"/>
    <mergeCell ref="Y27:AA27"/>
    <mergeCell ref="AB27:AD27"/>
    <mergeCell ref="AE27:AG27"/>
    <mergeCell ref="AH27:AJ27"/>
    <mergeCell ref="AK27:AM27"/>
    <mergeCell ref="AN27:AP27"/>
    <mergeCell ref="AQ30:AS30"/>
    <mergeCell ref="B31:O31"/>
    <mergeCell ref="P31:AS31"/>
    <mergeCell ref="AH29:AJ29"/>
    <mergeCell ref="AK29:AM29"/>
    <mergeCell ref="AN29:AP29"/>
    <mergeCell ref="AQ29:AS29"/>
    <mergeCell ref="P30:R30"/>
    <mergeCell ref="S30:U30"/>
    <mergeCell ref="V30:X30"/>
    <mergeCell ref="Y30:AA30"/>
    <mergeCell ref="AB30:AD30"/>
    <mergeCell ref="AE30:AG30"/>
    <mergeCell ref="P29:R29"/>
    <mergeCell ref="S29:U29"/>
    <mergeCell ref="V29:X29"/>
    <mergeCell ref="Y29:AA29"/>
    <mergeCell ref="AB29:AD29"/>
    <mergeCell ref="AE29:AG29"/>
    <mergeCell ref="AH30:AJ30"/>
    <mergeCell ref="AK30:AM30"/>
    <mergeCell ref="AN30:AP30"/>
    <mergeCell ref="AH34:AJ34"/>
    <mergeCell ref="AK34:AM34"/>
    <mergeCell ref="AN34:AP34"/>
    <mergeCell ref="AH32:AJ32"/>
    <mergeCell ref="AK32:AM32"/>
    <mergeCell ref="AN32:AP32"/>
    <mergeCell ref="AQ32:AS32"/>
    <mergeCell ref="P33:R33"/>
    <mergeCell ref="S33:U33"/>
    <mergeCell ref="V33:X33"/>
    <mergeCell ref="Y33:AA33"/>
    <mergeCell ref="AB33:AD33"/>
    <mergeCell ref="AE33:AG33"/>
    <mergeCell ref="P32:R32"/>
    <mergeCell ref="S32:U32"/>
    <mergeCell ref="V32:X32"/>
    <mergeCell ref="Y32:AA32"/>
    <mergeCell ref="AB32:AD32"/>
    <mergeCell ref="AE32:AG32"/>
    <mergeCell ref="AH33:AJ33"/>
    <mergeCell ref="AK33:AM33"/>
    <mergeCell ref="AN33:AP33"/>
    <mergeCell ref="AQ33:AS33"/>
    <mergeCell ref="F43:R43"/>
    <mergeCell ref="AD43:AS43"/>
    <mergeCell ref="AH35:AJ35"/>
    <mergeCell ref="AK35:AM35"/>
    <mergeCell ref="AN35:AP35"/>
    <mergeCell ref="AQ35:AS35"/>
    <mergeCell ref="C37:AS37"/>
    <mergeCell ref="C38:AS38"/>
    <mergeCell ref="AQ34:AS34"/>
    <mergeCell ref="P35:R35"/>
    <mergeCell ref="S35:U35"/>
    <mergeCell ref="V35:X35"/>
    <mergeCell ref="Y35:AA35"/>
    <mergeCell ref="AB35:AD35"/>
    <mergeCell ref="AE35:AG35"/>
    <mergeCell ref="F41:R41"/>
    <mergeCell ref="AD41:AS42"/>
    <mergeCell ref="F42:R42"/>
    <mergeCell ref="P34:R34"/>
    <mergeCell ref="S34:U34"/>
    <mergeCell ref="V34:X34"/>
    <mergeCell ref="Y34:AA34"/>
    <mergeCell ref="AB34:AD34"/>
    <mergeCell ref="AE34:AG34"/>
  </mergeCells>
  <dataValidations count="1">
    <dataValidation type="whole" allowBlank="1" showErrorMessage="1" errorTitle="GJHSP SY 2022-2023" error="Please enter valid number between 0-20,000." sqref="P8:AM16 P18:AM21 P23:AM30 P32:AM35" xr:uid="{DBFDDCE2-63E2-4ABF-B549-6952F4E2827D}">
      <formula1>0</formula1>
      <formula2>20000</formula2>
    </dataValidation>
  </dataValidations>
  <printOptions horizontalCentered="1" verticalCentered="1"/>
  <pageMargins left="0.25" right="0.25" top="0.2" bottom="0.2" header="0" footer="0.1"/>
  <pageSetup paperSize="9" scale="55" orientation="portrait" r:id="rId1"/>
  <headerFooter alignWithMargins="0">
    <oddFooter>&amp;L&amp;10&amp;F &amp;A&amp;R&amp;10Page 5 of 63</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5B137-4582-4F3A-B387-26F133AA03B4}">
  <sheetPr codeName="Sheet6">
    <pageSetUpPr fitToPage="1"/>
  </sheetPr>
  <dimension ref="B1:BN39"/>
  <sheetViews>
    <sheetView showGridLines="0" topLeftCell="O15" zoomScaleNormal="100" workbookViewId="0">
      <selection activeCell="AA24" sqref="AA24:AC24"/>
    </sheetView>
  </sheetViews>
  <sheetFormatPr defaultColWidth="9" defaultRowHeight="15.5" x14ac:dyDescent="0.35"/>
  <cols>
    <col min="1" max="1" width="2.08203125" style="173" customWidth="1"/>
    <col min="2" max="56" width="3.58203125" style="173" customWidth="1"/>
    <col min="57" max="57" width="2.08203125" style="173" customWidth="1"/>
    <col min="58" max="71" width="3.58203125" style="173" customWidth="1"/>
    <col min="72" max="72" width="2.08203125" style="173" customWidth="1"/>
    <col min="73" max="93" width="3.58203125" style="173" customWidth="1"/>
    <col min="94" max="16384" width="9" style="173"/>
  </cols>
  <sheetData>
    <row r="1" spans="2:56" ht="12" customHeight="1" x14ac:dyDescent="0.35"/>
    <row r="2" spans="2:56" ht="17.25" customHeight="1" thickBot="1" x14ac:dyDescent="0.4">
      <c r="B2" s="182" t="s">
        <v>12683</v>
      </c>
    </row>
    <row r="3" spans="2:56" ht="15.75" customHeight="1" x14ac:dyDescent="0.35">
      <c r="B3" s="1682" t="s">
        <v>1057</v>
      </c>
      <c r="C3" s="1683"/>
      <c r="D3" s="1683"/>
      <c r="E3" s="1683"/>
      <c r="F3" s="1683"/>
      <c r="G3" s="1683"/>
      <c r="H3" s="1683"/>
      <c r="I3" s="1683"/>
      <c r="J3" s="1683"/>
      <c r="K3" s="1683"/>
      <c r="L3" s="1683"/>
      <c r="M3" s="1683"/>
      <c r="N3" s="1684"/>
      <c r="O3" s="1691" t="s">
        <v>695</v>
      </c>
      <c r="P3" s="1692"/>
      <c r="Q3" s="1692"/>
      <c r="R3" s="1692"/>
      <c r="S3" s="1692"/>
      <c r="T3" s="1692"/>
      <c r="U3" s="1692"/>
      <c r="V3" s="1692"/>
      <c r="W3" s="1692"/>
      <c r="X3" s="1692"/>
      <c r="Y3" s="1692"/>
      <c r="Z3" s="1692"/>
      <c r="AA3" s="1692"/>
      <c r="AB3" s="1692"/>
      <c r="AC3" s="1692"/>
      <c r="AD3" s="1692"/>
      <c r="AE3" s="1692"/>
      <c r="AF3" s="1692"/>
      <c r="AG3" s="1692"/>
      <c r="AH3" s="1692"/>
      <c r="AI3" s="1693"/>
      <c r="AJ3" s="1691" t="s">
        <v>696</v>
      </c>
      <c r="AK3" s="1692"/>
      <c r="AL3" s="1692"/>
      <c r="AM3" s="1692"/>
      <c r="AN3" s="1692"/>
      <c r="AO3" s="1692"/>
      <c r="AP3" s="1692"/>
      <c r="AQ3" s="1692"/>
      <c r="AR3" s="1692"/>
      <c r="AS3" s="1692"/>
      <c r="AT3" s="1692"/>
      <c r="AU3" s="1692"/>
      <c r="AV3" s="1692"/>
      <c r="AW3" s="1692"/>
      <c r="AX3" s="1692"/>
      <c r="AY3" s="1692"/>
      <c r="AZ3" s="1692"/>
      <c r="BA3" s="1692"/>
      <c r="BB3" s="1692"/>
      <c r="BC3" s="1692"/>
      <c r="BD3" s="1693"/>
    </row>
    <row r="4" spans="2:56" ht="36.75" customHeight="1" x14ac:dyDescent="0.35">
      <c r="B4" s="1685"/>
      <c r="C4" s="1686"/>
      <c r="D4" s="1686"/>
      <c r="E4" s="1686"/>
      <c r="F4" s="1686"/>
      <c r="G4" s="1686"/>
      <c r="H4" s="1686"/>
      <c r="I4" s="1686"/>
      <c r="J4" s="1686"/>
      <c r="K4" s="1686"/>
      <c r="L4" s="1686"/>
      <c r="M4" s="1686"/>
      <c r="N4" s="1687"/>
      <c r="O4" s="1694" t="s">
        <v>697</v>
      </c>
      <c r="P4" s="1695"/>
      <c r="Q4" s="1695"/>
      <c r="R4" s="1695"/>
      <c r="S4" s="1695"/>
      <c r="T4" s="1695"/>
      <c r="U4" s="1695"/>
      <c r="V4" s="1695"/>
      <c r="W4" s="1695"/>
      <c r="X4" s="1695"/>
      <c r="Y4" s="1695"/>
      <c r="Z4" s="1696"/>
      <c r="AA4" s="1694" t="s">
        <v>698</v>
      </c>
      <c r="AB4" s="1695"/>
      <c r="AC4" s="1695"/>
      <c r="AD4" s="1695"/>
      <c r="AE4" s="1695"/>
      <c r="AF4" s="1695"/>
      <c r="AG4" s="1695"/>
      <c r="AH4" s="1695"/>
      <c r="AI4" s="1696"/>
      <c r="AJ4" s="1694" t="s">
        <v>697</v>
      </c>
      <c r="AK4" s="1695"/>
      <c r="AL4" s="1695"/>
      <c r="AM4" s="1695"/>
      <c r="AN4" s="1695"/>
      <c r="AO4" s="1695"/>
      <c r="AP4" s="1695"/>
      <c r="AQ4" s="1695"/>
      <c r="AR4" s="1695"/>
      <c r="AS4" s="1695"/>
      <c r="AT4" s="1695"/>
      <c r="AU4" s="1696"/>
      <c r="AV4" s="1694" t="s">
        <v>698</v>
      </c>
      <c r="AW4" s="1695"/>
      <c r="AX4" s="1695"/>
      <c r="AY4" s="1695"/>
      <c r="AZ4" s="1695"/>
      <c r="BA4" s="1695"/>
      <c r="BB4" s="1695"/>
      <c r="BC4" s="1695"/>
      <c r="BD4" s="1696"/>
    </row>
    <row r="5" spans="2:56" s="179" customFormat="1" ht="50.25" customHeight="1" thickBot="1" x14ac:dyDescent="0.35">
      <c r="B5" s="1688"/>
      <c r="C5" s="1689"/>
      <c r="D5" s="1689"/>
      <c r="E5" s="1689"/>
      <c r="F5" s="1689"/>
      <c r="G5" s="1689"/>
      <c r="H5" s="1689"/>
      <c r="I5" s="1689"/>
      <c r="J5" s="1689"/>
      <c r="K5" s="1689"/>
      <c r="L5" s="1689"/>
      <c r="M5" s="1689"/>
      <c r="N5" s="1690"/>
      <c r="O5" s="1680" t="s">
        <v>706</v>
      </c>
      <c r="P5" s="1676"/>
      <c r="Q5" s="1681"/>
      <c r="R5" s="1675" t="s">
        <v>699</v>
      </c>
      <c r="S5" s="1676"/>
      <c r="T5" s="1681"/>
      <c r="U5" s="1675" t="s">
        <v>700</v>
      </c>
      <c r="V5" s="1676"/>
      <c r="W5" s="1677"/>
      <c r="X5" s="1678" t="s">
        <v>16</v>
      </c>
      <c r="Y5" s="1676"/>
      <c r="Z5" s="1679"/>
      <c r="AA5" s="1680" t="s">
        <v>701</v>
      </c>
      <c r="AB5" s="1676"/>
      <c r="AC5" s="1676"/>
      <c r="AD5" s="1675" t="s">
        <v>731</v>
      </c>
      <c r="AE5" s="1676"/>
      <c r="AF5" s="1677"/>
      <c r="AG5" s="1678" t="s">
        <v>16</v>
      </c>
      <c r="AH5" s="1676"/>
      <c r="AI5" s="1679"/>
      <c r="AJ5" s="1680" t="s">
        <v>706</v>
      </c>
      <c r="AK5" s="1676"/>
      <c r="AL5" s="1681"/>
      <c r="AM5" s="1675" t="s">
        <v>699</v>
      </c>
      <c r="AN5" s="1676"/>
      <c r="AO5" s="1681"/>
      <c r="AP5" s="1675" t="s">
        <v>700</v>
      </c>
      <c r="AQ5" s="1676"/>
      <c r="AR5" s="1677"/>
      <c r="AS5" s="1678" t="s">
        <v>16</v>
      </c>
      <c r="AT5" s="1676"/>
      <c r="AU5" s="1679"/>
      <c r="AV5" s="1680" t="s">
        <v>701</v>
      </c>
      <c r="AW5" s="1676"/>
      <c r="AX5" s="1676"/>
      <c r="AY5" s="1675" t="s">
        <v>731</v>
      </c>
      <c r="AZ5" s="1676"/>
      <c r="BA5" s="1677"/>
      <c r="BB5" s="1678" t="s">
        <v>16</v>
      </c>
      <c r="BC5" s="1676"/>
      <c r="BD5" s="1679"/>
    </row>
    <row r="6" spans="2:56" s="179" customFormat="1" ht="25" customHeight="1" thickBot="1" x14ac:dyDescent="0.35">
      <c r="B6" s="1666" t="s">
        <v>545</v>
      </c>
      <c r="C6" s="1667"/>
      <c r="D6" s="1667"/>
      <c r="E6" s="1667"/>
      <c r="F6" s="1667"/>
      <c r="G6" s="1667"/>
      <c r="H6" s="1667"/>
      <c r="I6" s="1667"/>
      <c r="J6" s="1667"/>
      <c r="K6" s="1667"/>
      <c r="L6" s="1667"/>
      <c r="M6" s="1667"/>
      <c r="N6" s="1668"/>
      <c r="O6" s="1669"/>
      <c r="P6" s="1670"/>
      <c r="Q6" s="1670"/>
      <c r="R6" s="1670"/>
      <c r="S6" s="1670"/>
      <c r="T6" s="1670"/>
      <c r="U6" s="1670"/>
      <c r="V6" s="1670"/>
      <c r="W6" s="1670"/>
      <c r="X6" s="1670"/>
      <c r="Y6" s="1670"/>
      <c r="Z6" s="1670"/>
      <c r="AA6" s="1670"/>
      <c r="AB6" s="1670"/>
      <c r="AC6" s="1670"/>
      <c r="AD6" s="1670"/>
      <c r="AE6" s="1670"/>
      <c r="AF6" s="1670"/>
      <c r="AG6" s="1670"/>
      <c r="AH6" s="1670"/>
      <c r="AI6" s="1670"/>
      <c r="AJ6" s="1670"/>
      <c r="AK6" s="1670"/>
      <c r="AL6" s="1670"/>
      <c r="AM6" s="1670"/>
      <c r="AN6" s="1670"/>
      <c r="AO6" s="1670"/>
      <c r="AP6" s="1670"/>
      <c r="AQ6" s="1670"/>
      <c r="AR6" s="1670"/>
      <c r="AS6" s="1670"/>
      <c r="AT6" s="1670"/>
      <c r="AU6" s="1670"/>
      <c r="AV6" s="1670"/>
      <c r="AW6" s="1670"/>
      <c r="AX6" s="1670"/>
      <c r="AY6" s="1670"/>
      <c r="AZ6" s="1670"/>
      <c r="BA6" s="1670"/>
      <c r="BB6" s="1670"/>
      <c r="BC6" s="1670"/>
      <c r="BD6" s="1671"/>
    </row>
    <row r="7" spans="2:56" s="150" customFormat="1" ht="25" customHeight="1" x14ac:dyDescent="0.35">
      <c r="B7" s="174" t="s">
        <v>150</v>
      </c>
      <c r="C7" s="1713" t="s">
        <v>538</v>
      </c>
      <c r="D7" s="1713"/>
      <c r="E7" s="1713"/>
      <c r="F7" s="1713"/>
      <c r="G7" s="1713"/>
      <c r="H7" s="1713"/>
      <c r="I7" s="1713"/>
      <c r="J7" s="1713"/>
      <c r="K7" s="1713"/>
      <c r="L7" s="1713"/>
      <c r="M7" s="1713"/>
      <c r="N7" s="1714"/>
      <c r="O7" s="1715">
        <v>0</v>
      </c>
      <c r="P7" s="1708"/>
      <c r="Q7" s="1716"/>
      <c r="R7" s="1707">
        <v>0</v>
      </c>
      <c r="S7" s="1708"/>
      <c r="T7" s="1716"/>
      <c r="U7" s="1707">
        <v>0</v>
      </c>
      <c r="V7" s="1708"/>
      <c r="W7" s="1709"/>
      <c r="X7" s="1710">
        <f>SUM(O7:W7)</f>
        <v>0</v>
      </c>
      <c r="Y7" s="1711"/>
      <c r="Z7" s="1712"/>
      <c r="AA7" s="1715">
        <v>0</v>
      </c>
      <c r="AB7" s="1708"/>
      <c r="AC7" s="1716"/>
      <c r="AD7" s="1707">
        <v>0</v>
      </c>
      <c r="AE7" s="1708"/>
      <c r="AF7" s="1709"/>
      <c r="AG7" s="1710">
        <f>SUM(AA7:AF7)</f>
        <v>0</v>
      </c>
      <c r="AH7" s="1711"/>
      <c r="AI7" s="1712"/>
      <c r="AJ7" s="1715">
        <v>0</v>
      </c>
      <c r="AK7" s="1708"/>
      <c r="AL7" s="1716"/>
      <c r="AM7" s="1707">
        <v>0</v>
      </c>
      <c r="AN7" s="1708"/>
      <c r="AO7" s="1716"/>
      <c r="AP7" s="1707">
        <v>0</v>
      </c>
      <c r="AQ7" s="1708"/>
      <c r="AR7" s="1709"/>
      <c r="AS7" s="1710">
        <f>SUM(AJ7:AR7)</f>
        <v>0</v>
      </c>
      <c r="AT7" s="1711"/>
      <c r="AU7" s="1712"/>
      <c r="AV7" s="1715">
        <v>0</v>
      </c>
      <c r="AW7" s="1708"/>
      <c r="AX7" s="1716"/>
      <c r="AY7" s="1707">
        <v>0</v>
      </c>
      <c r="AZ7" s="1708"/>
      <c r="BA7" s="1709"/>
      <c r="BB7" s="1710">
        <f>SUM(AV7:BA7)</f>
        <v>0</v>
      </c>
      <c r="BC7" s="1711"/>
      <c r="BD7" s="1712"/>
    </row>
    <row r="8" spans="2:56" s="150" customFormat="1" ht="25" customHeight="1" x14ac:dyDescent="0.35">
      <c r="B8" s="180" t="s">
        <v>151</v>
      </c>
      <c r="C8" s="1697" t="s">
        <v>539</v>
      </c>
      <c r="D8" s="1697"/>
      <c r="E8" s="1697"/>
      <c r="F8" s="1697"/>
      <c r="G8" s="1697"/>
      <c r="H8" s="1697"/>
      <c r="I8" s="1697"/>
      <c r="J8" s="1697"/>
      <c r="K8" s="1697"/>
      <c r="L8" s="1697"/>
      <c r="M8" s="1697"/>
      <c r="N8" s="1698"/>
      <c r="O8" s="1699">
        <v>0</v>
      </c>
      <c r="P8" s="1700"/>
      <c r="Q8" s="1701"/>
      <c r="R8" s="1702">
        <v>0</v>
      </c>
      <c r="S8" s="1700"/>
      <c r="T8" s="1701"/>
      <c r="U8" s="1702">
        <v>0</v>
      </c>
      <c r="V8" s="1700"/>
      <c r="W8" s="1703"/>
      <c r="X8" s="1704">
        <f t="shared" ref="X8:X18" si="0">SUM(O8:W8)</f>
        <v>0</v>
      </c>
      <c r="Y8" s="1705"/>
      <c r="Z8" s="1706"/>
      <c r="AA8" s="1699">
        <v>0</v>
      </c>
      <c r="AB8" s="1700"/>
      <c r="AC8" s="1701"/>
      <c r="AD8" s="1702">
        <v>0</v>
      </c>
      <c r="AE8" s="1700"/>
      <c r="AF8" s="1703"/>
      <c r="AG8" s="1704">
        <f t="shared" ref="AG8:AG18" si="1">SUM(AA8:AF8)</f>
        <v>0</v>
      </c>
      <c r="AH8" s="1705"/>
      <c r="AI8" s="1706"/>
      <c r="AJ8" s="1699">
        <v>0</v>
      </c>
      <c r="AK8" s="1700"/>
      <c r="AL8" s="1701"/>
      <c r="AM8" s="1702">
        <v>0</v>
      </c>
      <c r="AN8" s="1700"/>
      <c r="AO8" s="1701"/>
      <c r="AP8" s="1702">
        <v>0</v>
      </c>
      <c r="AQ8" s="1700"/>
      <c r="AR8" s="1703"/>
      <c r="AS8" s="1704">
        <f t="shared" ref="AS8:AS18" si="2">SUM(AJ8:AR8)</f>
        <v>0</v>
      </c>
      <c r="AT8" s="1705"/>
      <c r="AU8" s="1706"/>
      <c r="AV8" s="1699">
        <v>0</v>
      </c>
      <c r="AW8" s="1700"/>
      <c r="AX8" s="1701"/>
      <c r="AY8" s="1702">
        <v>0</v>
      </c>
      <c r="AZ8" s="1700"/>
      <c r="BA8" s="1703"/>
      <c r="BB8" s="1704">
        <f t="shared" ref="BB8:BB18" si="3">SUM(AV8:BA8)</f>
        <v>0</v>
      </c>
      <c r="BC8" s="1705"/>
      <c r="BD8" s="1706"/>
    </row>
    <row r="9" spans="2:56" s="150" customFormat="1" ht="25" customHeight="1" x14ac:dyDescent="0.35">
      <c r="B9" s="180" t="s">
        <v>152</v>
      </c>
      <c r="C9" s="1697" t="s">
        <v>540</v>
      </c>
      <c r="D9" s="1697"/>
      <c r="E9" s="1697"/>
      <c r="F9" s="1697"/>
      <c r="G9" s="1697"/>
      <c r="H9" s="1697"/>
      <c r="I9" s="1697"/>
      <c r="J9" s="1697"/>
      <c r="K9" s="1697"/>
      <c r="L9" s="1697"/>
      <c r="M9" s="1697"/>
      <c r="N9" s="1698"/>
      <c r="O9" s="1699">
        <v>0</v>
      </c>
      <c r="P9" s="1700"/>
      <c r="Q9" s="1701"/>
      <c r="R9" s="1702">
        <v>0</v>
      </c>
      <c r="S9" s="1700"/>
      <c r="T9" s="1701"/>
      <c r="U9" s="1702">
        <v>0</v>
      </c>
      <c r="V9" s="1700"/>
      <c r="W9" s="1703"/>
      <c r="X9" s="1704">
        <f t="shared" si="0"/>
        <v>0</v>
      </c>
      <c r="Y9" s="1705"/>
      <c r="Z9" s="1706"/>
      <c r="AA9" s="1699">
        <v>0</v>
      </c>
      <c r="AB9" s="1700"/>
      <c r="AC9" s="1701"/>
      <c r="AD9" s="1702">
        <v>0</v>
      </c>
      <c r="AE9" s="1700"/>
      <c r="AF9" s="1703"/>
      <c r="AG9" s="1704">
        <f t="shared" si="1"/>
        <v>0</v>
      </c>
      <c r="AH9" s="1705"/>
      <c r="AI9" s="1706"/>
      <c r="AJ9" s="1699">
        <v>0</v>
      </c>
      <c r="AK9" s="1700"/>
      <c r="AL9" s="1701"/>
      <c r="AM9" s="1702">
        <v>0</v>
      </c>
      <c r="AN9" s="1700"/>
      <c r="AO9" s="1701"/>
      <c r="AP9" s="1702">
        <v>0</v>
      </c>
      <c r="AQ9" s="1700"/>
      <c r="AR9" s="1703"/>
      <c r="AS9" s="1704">
        <f t="shared" si="2"/>
        <v>0</v>
      </c>
      <c r="AT9" s="1705"/>
      <c r="AU9" s="1706"/>
      <c r="AV9" s="1699">
        <v>0</v>
      </c>
      <c r="AW9" s="1700"/>
      <c r="AX9" s="1701"/>
      <c r="AY9" s="1702">
        <v>0</v>
      </c>
      <c r="AZ9" s="1700"/>
      <c r="BA9" s="1703"/>
      <c r="BB9" s="1704">
        <f t="shared" si="3"/>
        <v>0</v>
      </c>
      <c r="BC9" s="1705"/>
      <c r="BD9" s="1706"/>
    </row>
    <row r="10" spans="2:56" s="150" customFormat="1" ht="25" customHeight="1" x14ac:dyDescent="0.35">
      <c r="B10" s="180" t="s">
        <v>155</v>
      </c>
      <c r="C10" s="1697" t="s">
        <v>541</v>
      </c>
      <c r="D10" s="1697"/>
      <c r="E10" s="1697"/>
      <c r="F10" s="1697"/>
      <c r="G10" s="1697"/>
      <c r="H10" s="1697"/>
      <c r="I10" s="1697"/>
      <c r="J10" s="1697"/>
      <c r="K10" s="1697"/>
      <c r="L10" s="1697"/>
      <c r="M10" s="1697"/>
      <c r="N10" s="1698"/>
      <c r="O10" s="1699">
        <v>0</v>
      </c>
      <c r="P10" s="1700"/>
      <c r="Q10" s="1701"/>
      <c r="R10" s="1702">
        <v>0</v>
      </c>
      <c r="S10" s="1700"/>
      <c r="T10" s="1701"/>
      <c r="U10" s="1702">
        <v>0</v>
      </c>
      <c r="V10" s="1700"/>
      <c r="W10" s="1703"/>
      <c r="X10" s="1704">
        <f t="shared" si="0"/>
        <v>0</v>
      </c>
      <c r="Y10" s="1705"/>
      <c r="Z10" s="1706"/>
      <c r="AA10" s="1699">
        <v>0</v>
      </c>
      <c r="AB10" s="1700"/>
      <c r="AC10" s="1701"/>
      <c r="AD10" s="1702">
        <v>0</v>
      </c>
      <c r="AE10" s="1700"/>
      <c r="AF10" s="1703"/>
      <c r="AG10" s="1704">
        <f t="shared" si="1"/>
        <v>0</v>
      </c>
      <c r="AH10" s="1705"/>
      <c r="AI10" s="1706"/>
      <c r="AJ10" s="1699">
        <v>0</v>
      </c>
      <c r="AK10" s="1700"/>
      <c r="AL10" s="1701"/>
      <c r="AM10" s="1702">
        <v>0</v>
      </c>
      <c r="AN10" s="1700"/>
      <c r="AO10" s="1701"/>
      <c r="AP10" s="1702">
        <v>0</v>
      </c>
      <c r="AQ10" s="1700"/>
      <c r="AR10" s="1703"/>
      <c r="AS10" s="1704">
        <f t="shared" si="2"/>
        <v>0</v>
      </c>
      <c r="AT10" s="1705"/>
      <c r="AU10" s="1706"/>
      <c r="AV10" s="1699">
        <v>0</v>
      </c>
      <c r="AW10" s="1700"/>
      <c r="AX10" s="1701"/>
      <c r="AY10" s="1702">
        <v>0</v>
      </c>
      <c r="AZ10" s="1700"/>
      <c r="BA10" s="1703"/>
      <c r="BB10" s="1704">
        <f t="shared" si="3"/>
        <v>0</v>
      </c>
      <c r="BC10" s="1705"/>
      <c r="BD10" s="1706"/>
    </row>
    <row r="11" spans="2:56" s="150" customFormat="1" ht="25" customHeight="1" x14ac:dyDescent="0.35">
      <c r="B11" s="180" t="s">
        <v>156</v>
      </c>
      <c r="C11" s="1697" t="s">
        <v>542</v>
      </c>
      <c r="D11" s="1697"/>
      <c r="E11" s="1697"/>
      <c r="F11" s="1697"/>
      <c r="G11" s="1697"/>
      <c r="H11" s="1697"/>
      <c r="I11" s="1697"/>
      <c r="J11" s="1697"/>
      <c r="K11" s="1697"/>
      <c r="L11" s="1697"/>
      <c r="M11" s="1697"/>
      <c r="N11" s="1698"/>
      <c r="O11" s="1699">
        <v>0</v>
      </c>
      <c r="P11" s="1700"/>
      <c r="Q11" s="1701"/>
      <c r="R11" s="1702">
        <v>0</v>
      </c>
      <c r="S11" s="1700"/>
      <c r="T11" s="1701"/>
      <c r="U11" s="1702">
        <v>0</v>
      </c>
      <c r="V11" s="1700"/>
      <c r="W11" s="1703"/>
      <c r="X11" s="1704">
        <f t="shared" si="0"/>
        <v>0</v>
      </c>
      <c r="Y11" s="1705"/>
      <c r="Z11" s="1706"/>
      <c r="AA11" s="1699">
        <v>0</v>
      </c>
      <c r="AB11" s="1700"/>
      <c r="AC11" s="1701"/>
      <c r="AD11" s="1702">
        <v>0</v>
      </c>
      <c r="AE11" s="1700"/>
      <c r="AF11" s="1703"/>
      <c r="AG11" s="1704">
        <f t="shared" si="1"/>
        <v>0</v>
      </c>
      <c r="AH11" s="1705"/>
      <c r="AI11" s="1706"/>
      <c r="AJ11" s="1699">
        <v>0</v>
      </c>
      <c r="AK11" s="1700"/>
      <c r="AL11" s="1701"/>
      <c r="AM11" s="1702">
        <v>0</v>
      </c>
      <c r="AN11" s="1700"/>
      <c r="AO11" s="1701"/>
      <c r="AP11" s="1702">
        <v>0</v>
      </c>
      <c r="AQ11" s="1700"/>
      <c r="AR11" s="1703"/>
      <c r="AS11" s="1704">
        <f t="shared" si="2"/>
        <v>0</v>
      </c>
      <c r="AT11" s="1705"/>
      <c r="AU11" s="1706"/>
      <c r="AV11" s="1699">
        <v>0</v>
      </c>
      <c r="AW11" s="1700"/>
      <c r="AX11" s="1701"/>
      <c r="AY11" s="1702">
        <v>0</v>
      </c>
      <c r="AZ11" s="1700"/>
      <c r="BA11" s="1703"/>
      <c r="BB11" s="1704">
        <f t="shared" si="3"/>
        <v>0</v>
      </c>
      <c r="BC11" s="1705"/>
      <c r="BD11" s="1706"/>
    </row>
    <row r="12" spans="2:56" s="150" customFormat="1" ht="25" customHeight="1" x14ac:dyDescent="0.35">
      <c r="B12" s="180" t="s">
        <v>157</v>
      </c>
      <c r="C12" s="1697" t="s">
        <v>543</v>
      </c>
      <c r="D12" s="1697"/>
      <c r="E12" s="1697"/>
      <c r="F12" s="1697"/>
      <c r="G12" s="1697"/>
      <c r="H12" s="1697"/>
      <c r="I12" s="1697"/>
      <c r="J12" s="1697"/>
      <c r="K12" s="1697"/>
      <c r="L12" s="1697"/>
      <c r="M12" s="1697"/>
      <c r="N12" s="1698"/>
      <c r="O12" s="1699">
        <v>0</v>
      </c>
      <c r="P12" s="1700"/>
      <c r="Q12" s="1701"/>
      <c r="R12" s="1702">
        <v>0</v>
      </c>
      <c r="S12" s="1700"/>
      <c r="T12" s="1701"/>
      <c r="U12" s="1702">
        <v>0</v>
      </c>
      <c r="V12" s="1700"/>
      <c r="W12" s="1703"/>
      <c r="X12" s="1704">
        <f t="shared" si="0"/>
        <v>0</v>
      </c>
      <c r="Y12" s="1705"/>
      <c r="Z12" s="1706"/>
      <c r="AA12" s="1699">
        <v>0</v>
      </c>
      <c r="AB12" s="1700"/>
      <c r="AC12" s="1701"/>
      <c r="AD12" s="1702">
        <v>0</v>
      </c>
      <c r="AE12" s="1700"/>
      <c r="AF12" s="1703"/>
      <c r="AG12" s="1704">
        <f t="shared" si="1"/>
        <v>0</v>
      </c>
      <c r="AH12" s="1705"/>
      <c r="AI12" s="1706"/>
      <c r="AJ12" s="1699">
        <v>0</v>
      </c>
      <c r="AK12" s="1700"/>
      <c r="AL12" s="1701"/>
      <c r="AM12" s="1702">
        <v>0</v>
      </c>
      <c r="AN12" s="1700"/>
      <c r="AO12" s="1701"/>
      <c r="AP12" s="1702">
        <v>0</v>
      </c>
      <c r="AQ12" s="1700"/>
      <c r="AR12" s="1703"/>
      <c r="AS12" s="1704">
        <f t="shared" si="2"/>
        <v>0</v>
      </c>
      <c r="AT12" s="1705"/>
      <c r="AU12" s="1706"/>
      <c r="AV12" s="1699">
        <v>0</v>
      </c>
      <c r="AW12" s="1700"/>
      <c r="AX12" s="1701"/>
      <c r="AY12" s="1702">
        <v>0</v>
      </c>
      <c r="AZ12" s="1700"/>
      <c r="BA12" s="1703"/>
      <c r="BB12" s="1704">
        <f t="shared" si="3"/>
        <v>0</v>
      </c>
      <c r="BC12" s="1705"/>
      <c r="BD12" s="1706"/>
    </row>
    <row r="13" spans="2:56" s="150" customFormat="1" ht="25" customHeight="1" x14ac:dyDescent="0.35">
      <c r="B13" s="180" t="s">
        <v>159</v>
      </c>
      <c r="C13" s="1697" t="s">
        <v>702</v>
      </c>
      <c r="D13" s="1697"/>
      <c r="E13" s="1697"/>
      <c r="F13" s="1697"/>
      <c r="G13" s="1697"/>
      <c r="H13" s="1697"/>
      <c r="I13" s="1697"/>
      <c r="J13" s="1697"/>
      <c r="K13" s="1697"/>
      <c r="L13" s="1697"/>
      <c r="M13" s="1697"/>
      <c r="N13" s="1698"/>
      <c r="O13" s="1699">
        <v>0</v>
      </c>
      <c r="P13" s="1700"/>
      <c r="Q13" s="1701"/>
      <c r="R13" s="1702">
        <v>0</v>
      </c>
      <c r="S13" s="1700"/>
      <c r="T13" s="1701"/>
      <c r="U13" s="1702">
        <v>0</v>
      </c>
      <c r="V13" s="1700"/>
      <c r="W13" s="1703"/>
      <c r="X13" s="1704">
        <f t="shared" si="0"/>
        <v>0</v>
      </c>
      <c r="Y13" s="1705"/>
      <c r="Z13" s="1706"/>
      <c r="AA13" s="1699">
        <v>0</v>
      </c>
      <c r="AB13" s="1700"/>
      <c r="AC13" s="1701"/>
      <c r="AD13" s="1702">
        <v>0</v>
      </c>
      <c r="AE13" s="1700"/>
      <c r="AF13" s="1703"/>
      <c r="AG13" s="1704">
        <f t="shared" si="1"/>
        <v>0</v>
      </c>
      <c r="AH13" s="1705"/>
      <c r="AI13" s="1706"/>
      <c r="AJ13" s="1699">
        <v>0</v>
      </c>
      <c r="AK13" s="1700"/>
      <c r="AL13" s="1701"/>
      <c r="AM13" s="1702">
        <v>0</v>
      </c>
      <c r="AN13" s="1700"/>
      <c r="AO13" s="1701"/>
      <c r="AP13" s="1702">
        <v>0</v>
      </c>
      <c r="AQ13" s="1700"/>
      <c r="AR13" s="1703"/>
      <c r="AS13" s="1704">
        <f t="shared" si="2"/>
        <v>0</v>
      </c>
      <c r="AT13" s="1705"/>
      <c r="AU13" s="1706"/>
      <c r="AV13" s="1699">
        <v>0</v>
      </c>
      <c r="AW13" s="1700"/>
      <c r="AX13" s="1701"/>
      <c r="AY13" s="1702">
        <v>0</v>
      </c>
      <c r="AZ13" s="1700"/>
      <c r="BA13" s="1703"/>
      <c r="BB13" s="1704">
        <f t="shared" si="3"/>
        <v>0</v>
      </c>
      <c r="BC13" s="1705"/>
      <c r="BD13" s="1706"/>
    </row>
    <row r="14" spans="2:56" s="150" customFormat="1" ht="25" customHeight="1" x14ac:dyDescent="0.35">
      <c r="B14" s="180" t="s">
        <v>153</v>
      </c>
      <c r="C14" s="1697" t="s">
        <v>703</v>
      </c>
      <c r="D14" s="1697"/>
      <c r="E14" s="1697"/>
      <c r="F14" s="1697"/>
      <c r="G14" s="1697"/>
      <c r="H14" s="1697"/>
      <c r="I14" s="1697"/>
      <c r="J14" s="1697"/>
      <c r="K14" s="1697"/>
      <c r="L14" s="1697"/>
      <c r="M14" s="1697"/>
      <c r="N14" s="1698"/>
      <c r="O14" s="1699">
        <v>0</v>
      </c>
      <c r="P14" s="1700"/>
      <c r="Q14" s="1701"/>
      <c r="R14" s="1702">
        <v>0</v>
      </c>
      <c r="S14" s="1700"/>
      <c r="T14" s="1701"/>
      <c r="U14" s="1702">
        <v>0</v>
      </c>
      <c r="V14" s="1700"/>
      <c r="W14" s="1703"/>
      <c r="X14" s="1704">
        <f t="shared" si="0"/>
        <v>0</v>
      </c>
      <c r="Y14" s="1705"/>
      <c r="Z14" s="1706"/>
      <c r="AA14" s="1699">
        <v>0</v>
      </c>
      <c r="AB14" s="1700"/>
      <c r="AC14" s="1701"/>
      <c r="AD14" s="1702">
        <v>0</v>
      </c>
      <c r="AE14" s="1700"/>
      <c r="AF14" s="1703"/>
      <c r="AG14" s="1704">
        <f t="shared" si="1"/>
        <v>0</v>
      </c>
      <c r="AH14" s="1705"/>
      <c r="AI14" s="1706"/>
      <c r="AJ14" s="1699">
        <v>0</v>
      </c>
      <c r="AK14" s="1700"/>
      <c r="AL14" s="1701"/>
      <c r="AM14" s="1702">
        <v>0</v>
      </c>
      <c r="AN14" s="1700"/>
      <c r="AO14" s="1701"/>
      <c r="AP14" s="1702">
        <v>0</v>
      </c>
      <c r="AQ14" s="1700"/>
      <c r="AR14" s="1703"/>
      <c r="AS14" s="1704">
        <f t="shared" si="2"/>
        <v>0</v>
      </c>
      <c r="AT14" s="1705"/>
      <c r="AU14" s="1706"/>
      <c r="AV14" s="1699">
        <v>0</v>
      </c>
      <c r="AW14" s="1700"/>
      <c r="AX14" s="1701"/>
      <c r="AY14" s="1702">
        <v>0</v>
      </c>
      <c r="AZ14" s="1700"/>
      <c r="BA14" s="1703"/>
      <c r="BB14" s="1704">
        <f t="shared" si="3"/>
        <v>0</v>
      </c>
      <c r="BC14" s="1705"/>
      <c r="BD14" s="1706"/>
    </row>
    <row r="15" spans="2:56" s="150" customFormat="1" ht="25" customHeight="1" x14ac:dyDescent="0.35">
      <c r="B15" s="180" t="s">
        <v>154</v>
      </c>
      <c r="C15" s="1697" t="s">
        <v>544</v>
      </c>
      <c r="D15" s="1697"/>
      <c r="E15" s="1697"/>
      <c r="F15" s="1697"/>
      <c r="G15" s="1697"/>
      <c r="H15" s="1697"/>
      <c r="I15" s="1697"/>
      <c r="J15" s="1697"/>
      <c r="K15" s="1697"/>
      <c r="L15" s="1697"/>
      <c r="M15" s="1697"/>
      <c r="N15" s="1698"/>
      <c r="O15" s="1699">
        <v>0</v>
      </c>
      <c r="P15" s="1700"/>
      <c r="Q15" s="1701"/>
      <c r="R15" s="1702">
        <v>0</v>
      </c>
      <c r="S15" s="1700"/>
      <c r="T15" s="1701"/>
      <c r="U15" s="1702">
        <v>0</v>
      </c>
      <c r="V15" s="1700"/>
      <c r="W15" s="1703"/>
      <c r="X15" s="1704">
        <f t="shared" si="0"/>
        <v>0</v>
      </c>
      <c r="Y15" s="1705"/>
      <c r="Z15" s="1706"/>
      <c r="AA15" s="1699">
        <v>0</v>
      </c>
      <c r="AB15" s="1700"/>
      <c r="AC15" s="1701"/>
      <c r="AD15" s="1702">
        <v>0</v>
      </c>
      <c r="AE15" s="1700"/>
      <c r="AF15" s="1703"/>
      <c r="AG15" s="1704">
        <f t="shared" si="1"/>
        <v>0</v>
      </c>
      <c r="AH15" s="1705"/>
      <c r="AI15" s="1706"/>
      <c r="AJ15" s="1699">
        <v>0</v>
      </c>
      <c r="AK15" s="1700"/>
      <c r="AL15" s="1701"/>
      <c r="AM15" s="1702">
        <v>0</v>
      </c>
      <c r="AN15" s="1700"/>
      <c r="AO15" s="1701"/>
      <c r="AP15" s="1702">
        <v>0</v>
      </c>
      <c r="AQ15" s="1700"/>
      <c r="AR15" s="1703"/>
      <c r="AS15" s="1704">
        <f t="shared" si="2"/>
        <v>0</v>
      </c>
      <c r="AT15" s="1705"/>
      <c r="AU15" s="1706"/>
      <c r="AV15" s="1699">
        <v>0</v>
      </c>
      <c r="AW15" s="1700"/>
      <c r="AX15" s="1701"/>
      <c r="AY15" s="1702">
        <v>0</v>
      </c>
      <c r="AZ15" s="1700"/>
      <c r="BA15" s="1703"/>
      <c r="BB15" s="1704">
        <f t="shared" si="3"/>
        <v>0</v>
      </c>
      <c r="BC15" s="1705"/>
      <c r="BD15" s="1706"/>
    </row>
    <row r="16" spans="2:56" s="150" customFormat="1" ht="25" customHeight="1" x14ac:dyDescent="0.35">
      <c r="B16" s="180" t="s">
        <v>160</v>
      </c>
      <c r="C16" s="1697" t="s">
        <v>704</v>
      </c>
      <c r="D16" s="1697"/>
      <c r="E16" s="1697"/>
      <c r="F16" s="1697"/>
      <c r="G16" s="1697"/>
      <c r="H16" s="1697"/>
      <c r="I16" s="1697"/>
      <c r="J16" s="1697"/>
      <c r="K16" s="1697"/>
      <c r="L16" s="1697"/>
      <c r="M16" s="1697"/>
      <c r="N16" s="1698"/>
      <c r="O16" s="1699">
        <v>0</v>
      </c>
      <c r="P16" s="1700"/>
      <c r="Q16" s="1701"/>
      <c r="R16" s="1702">
        <v>0</v>
      </c>
      <c r="S16" s="1700"/>
      <c r="T16" s="1701"/>
      <c r="U16" s="1702">
        <v>0</v>
      </c>
      <c r="V16" s="1700"/>
      <c r="W16" s="1703"/>
      <c r="X16" s="1704">
        <f t="shared" si="0"/>
        <v>0</v>
      </c>
      <c r="Y16" s="1705"/>
      <c r="Z16" s="1706"/>
      <c r="AA16" s="1699">
        <v>0</v>
      </c>
      <c r="AB16" s="1700"/>
      <c r="AC16" s="1701"/>
      <c r="AD16" s="1702">
        <v>0</v>
      </c>
      <c r="AE16" s="1700"/>
      <c r="AF16" s="1703"/>
      <c r="AG16" s="1704">
        <f t="shared" si="1"/>
        <v>0</v>
      </c>
      <c r="AH16" s="1705"/>
      <c r="AI16" s="1706"/>
      <c r="AJ16" s="1699">
        <v>0</v>
      </c>
      <c r="AK16" s="1700"/>
      <c r="AL16" s="1701"/>
      <c r="AM16" s="1702">
        <v>0</v>
      </c>
      <c r="AN16" s="1700"/>
      <c r="AO16" s="1701"/>
      <c r="AP16" s="1702">
        <v>0</v>
      </c>
      <c r="AQ16" s="1700"/>
      <c r="AR16" s="1703"/>
      <c r="AS16" s="1704">
        <f t="shared" si="2"/>
        <v>0</v>
      </c>
      <c r="AT16" s="1705"/>
      <c r="AU16" s="1706"/>
      <c r="AV16" s="1699">
        <v>0</v>
      </c>
      <c r="AW16" s="1700"/>
      <c r="AX16" s="1701"/>
      <c r="AY16" s="1702">
        <v>0</v>
      </c>
      <c r="AZ16" s="1700"/>
      <c r="BA16" s="1703"/>
      <c r="BB16" s="1704">
        <f t="shared" si="3"/>
        <v>0</v>
      </c>
      <c r="BC16" s="1705"/>
      <c r="BD16" s="1706"/>
    </row>
    <row r="17" spans="2:65" s="150" customFormat="1" ht="25" customHeight="1" x14ac:dyDescent="0.35">
      <c r="B17" s="180"/>
      <c r="C17" s="1717" t="s">
        <v>1063</v>
      </c>
      <c r="D17" s="1717"/>
      <c r="E17" s="1697" t="s">
        <v>1062</v>
      </c>
      <c r="F17" s="1697"/>
      <c r="G17" s="1697"/>
      <c r="H17" s="1697"/>
      <c r="I17" s="1697"/>
      <c r="J17" s="1697"/>
      <c r="K17" s="1697"/>
      <c r="L17" s="1697"/>
      <c r="M17" s="1697"/>
      <c r="N17" s="1698"/>
      <c r="O17" s="1699">
        <v>0</v>
      </c>
      <c r="P17" s="1700"/>
      <c r="Q17" s="1701"/>
      <c r="R17" s="1702">
        <v>0</v>
      </c>
      <c r="S17" s="1700"/>
      <c r="T17" s="1701"/>
      <c r="U17" s="1702">
        <v>0</v>
      </c>
      <c r="V17" s="1700"/>
      <c r="W17" s="1703"/>
      <c r="X17" s="1704">
        <f t="shared" si="0"/>
        <v>0</v>
      </c>
      <c r="Y17" s="1705"/>
      <c r="Z17" s="1706"/>
      <c r="AA17" s="1699">
        <v>0</v>
      </c>
      <c r="AB17" s="1700"/>
      <c r="AC17" s="1701"/>
      <c r="AD17" s="1702">
        <v>0</v>
      </c>
      <c r="AE17" s="1700"/>
      <c r="AF17" s="1703"/>
      <c r="AG17" s="1704">
        <f t="shared" si="1"/>
        <v>0</v>
      </c>
      <c r="AH17" s="1705"/>
      <c r="AI17" s="1706"/>
      <c r="AJ17" s="1699">
        <v>0</v>
      </c>
      <c r="AK17" s="1700"/>
      <c r="AL17" s="1701"/>
      <c r="AM17" s="1702">
        <v>0</v>
      </c>
      <c r="AN17" s="1700"/>
      <c r="AO17" s="1701"/>
      <c r="AP17" s="1702">
        <v>0</v>
      </c>
      <c r="AQ17" s="1700"/>
      <c r="AR17" s="1703"/>
      <c r="AS17" s="1704">
        <f t="shared" si="2"/>
        <v>0</v>
      </c>
      <c r="AT17" s="1705"/>
      <c r="AU17" s="1706"/>
      <c r="AV17" s="1699">
        <v>0</v>
      </c>
      <c r="AW17" s="1700"/>
      <c r="AX17" s="1701"/>
      <c r="AY17" s="1702">
        <v>0</v>
      </c>
      <c r="AZ17" s="1700"/>
      <c r="BA17" s="1703"/>
      <c r="BB17" s="1704">
        <f t="shared" si="3"/>
        <v>0</v>
      </c>
      <c r="BC17" s="1705"/>
      <c r="BD17" s="1706"/>
    </row>
    <row r="18" spans="2:65" s="150" customFormat="1" ht="25" customHeight="1" thickBot="1" x14ac:dyDescent="0.4">
      <c r="B18" s="181" t="s">
        <v>158</v>
      </c>
      <c r="C18" s="1718" t="s">
        <v>1198</v>
      </c>
      <c r="D18" s="1718"/>
      <c r="E18" s="1718"/>
      <c r="F18" s="1718"/>
      <c r="G18" s="1718"/>
      <c r="H18" s="1718"/>
      <c r="I18" s="1718"/>
      <c r="J18" s="1718"/>
      <c r="K18" s="1718"/>
      <c r="L18" s="1718"/>
      <c r="M18" s="1718"/>
      <c r="N18" s="1719"/>
      <c r="O18" s="1699">
        <v>0</v>
      </c>
      <c r="P18" s="1700"/>
      <c r="Q18" s="1701"/>
      <c r="R18" s="1702">
        <v>0</v>
      </c>
      <c r="S18" s="1700"/>
      <c r="T18" s="1701"/>
      <c r="U18" s="1702">
        <v>0</v>
      </c>
      <c r="V18" s="1700"/>
      <c r="W18" s="1703"/>
      <c r="X18" s="1720">
        <f t="shared" si="0"/>
        <v>0</v>
      </c>
      <c r="Y18" s="1721"/>
      <c r="Z18" s="1722"/>
      <c r="AA18" s="1699">
        <v>0</v>
      </c>
      <c r="AB18" s="1700"/>
      <c r="AC18" s="1701"/>
      <c r="AD18" s="1702">
        <v>0</v>
      </c>
      <c r="AE18" s="1700"/>
      <c r="AF18" s="1703"/>
      <c r="AG18" s="1720">
        <f t="shared" si="1"/>
        <v>0</v>
      </c>
      <c r="AH18" s="1721"/>
      <c r="AI18" s="1722"/>
      <c r="AJ18" s="1699">
        <v>0</v>
      </c>
      <c r="AK18" s="1700"/>
      <c r="AL18" s="1701"/>
      <c r="AM18" s="1702">
        <v>0</v>
      </c>
      <c r="AN18" s="1700"/>
      <c r="AO18" s="1701"/>
      <c r="AP18" s="1702">
        <v>0</v>
      </c>
      <c r="AQ18" s="1700"/>
      <c r="AR18" s="1703"/>
      <c r="AS18" s="1720">
        <f t="shared" si="2"/>
        <v>0</v>
      </c>
      <c r="AT18" s="1721"/>
      <c r="AU18" s="1722"/>
      <c r="AV18" s="1699">
        <v>0</v>
      </c>
      <c r="AW18" s="1700"/>
      <c r="AX18" s="1701"/>
      <c r="AY18" s="1702">
        <v>0</v>
      </c>
      <c r="AZ18" s="1700"/>
      <c r="BA18" s="1703"/>
      <c r="BB18" s="1720">
        <f t="shared" si="3"/>
        <v>0</v>
      </c>
      <c r="BC18" s="1721"/>
      <c r="BD18" s="1722"/>
    </row>
    <row r="19" spans="2:65" s="179" customFormat="1" ht="25" customHeight="1" thickBot="1" x14ac:dyDescent="0.35">
      <c r="B19" s="1666" t="s">
        <v>554</v>
      </c>
      <c r="C19" s="1667"/>
      <c r="D19" s="1667"/>
      <c r="E19" s="1667"/>
      <c r="F19" s="1667"/>
      <c r="G19" s="1667"/>
      <c r="H19" s="1667"/>
      <c r="I19" s="1667"/>
      <c r="J19" s="1667"/>
      <c r="K19" s="1667"/>
      <c r="L19" s="1667"/>
      <c r="M19" s="1667"/>
      <c r="N19" s="1668"/>
      <c r="O19" s="1672"/>
      <c r="P19" s="1673"/>
      <c r="Q19" s="1673"/>
      <c r="R19" s="1673"/>
      <c r="S19" s="1673"/>
      <c r="T19" s="1673"/>
      <c r="U19" s="1673"/>
      <c r="V19" s="1673"/>
      <c r="W19" s="1673"/>
      <c r="X19" s="1673"/>
      <c r="Y19" s="1673"/>
      <c r="Z19" s="1673"/>
      <c r="AA19" s="1673"/>
      <c r="AB19" s="1673"/>
      <c r="AC19" s="1673"/>
      <c r="AD19" s="1673"/>
      <c r="AE19" s="1673"/>
      <c r="AF19" s="1673"/>
      <c r="AG19" s="1673"/>
      <c r="AH19" s="1673"/>
      <c r="AI19" s="1673"/>
      <c r="AJ19" s="1673"/>
      <c r="AK19" s="1673"/>
      <c r="AL19" s="1673"/>
      <c r="AM19" s="1673"/>
      <c r="AN19" s="1673"/>
      <c r="AO19" s="1673"/>
      <c r="AP19" s="1673"/>
      <c r="AQ19" s="1673"/>
      <c r="AR19" s="1673"/>
      <c r="AS19" s="1673"/>
      <c r="AT19" s="1673"/>
      <c r="AU19" s="1673"/>
      <c r="AV19" s="1673"/>
      <c r="AW19" s="1673"/>
      <c r="AX19" s="1673"/>
      <c r="AY19" s="1673"/>
      <c r="AZ19" s="1673"/>
      <c r="BA19" s="1673"/>
      <c r="BB19" s="1673"/>
      <c r="BC19" s="1673"/>
      <c r="BD19" s="1674"/>
    </row>
    <row r="20" spans="2:65" s="150" customFormat="1" ht="25" customHeight="1" x14ac:dyDescent="0.35">
      <c r="B20" s="174" t="s">
        <v>150</v>
      </c>
      <c r="C20" s="1713" t="s">
        <v>555</v>
      </c>
      <c r="D20" s="1713"/>
      <c r="E20" s="1713"/>
      <c r="F20" s="1713"/>
      <c r="G20" s="1713"/>
      <c r="H20" s="1713"/>
      <c r="I20" s="1713"/>
      <c r="J20" s="1713"/>
      <c r="K20" s="1713"/>
      <c r="L20" s="1713"/>
      <c r="M20" s="1713"/>
      <c r="N20" s="1714"/>
      <c r="O20" s="1715">
        <v>0</v>
      </c>
      <c r="P20" s="1708"/>
      <c r="Q20" s="1716"/>
      <c r="R20" s="1707">
        <v>0</v>
      </c>
      <c r="S20" s="1708"/>
      <c r="T20" s="1716"/>
      <c r="U20" s="1707">
        <v>0</v>
      </c>
      <c r="V20" s="1708"/>
      <c r="W20" s="1709"/>
      <c r="X20" s="1710">
        <f>SUM(O20:W20)</f>
        <v>0</v>
      </c>
      <c r="Y20" s="1711"/>
      <c r="Z20" s="1712"/>
      <c r="AA20" s="1715">
        <v>0</v>
      </c>
      <c r="AB20" s="1708"/>
      <c r="AC20" s="1716"/>
      <c r="AD20" s="1707">
        <v>0</v>
      </c>
      <c r="AE20" s="1708"/>
      <c r="AF20" s="1709"/>
      <c r="AG20" s="1710">
        <f>SUM(AA20:AF20)</f>
        <v>0</v>
      </c>
      <c r="AH20" s="1711"/>
      <c r="AI20" s="1712"/>
      <c r="AJ20" s="1723"/>
      <c r="AK20" s="1724"/>
      <c r="AL20" s="1724"/>
      <c r="AM20" s="1724"/>
      <c r="AN20" s="1724"/>
      <c r="AO20" s="1724"/>
      <c r="AP20" s="1724"/>
      <c r="AQ20" s="1724"/>
      <c r="AR20" s="1724"/>
      <c r="AS20" s="1724"/>
      <c r="AT20" s="1724"/>
      <c r="AU20" s="1724"/>
      <c r="AV20" s="1724"/>
      <c r="AW20" s="1724"/>
      <c r="AX20" s="1724"/>
      <c r="AY20" s="1724"/>
      <c r="AZ20" s="1724"/>
      <c r="BA20" s="1724"/>
      <c r="BB20" s="1724"/>
      <c r="BC20" s="1724"/>
      <c r="BD20" s="1725"/>
    </row>
    <row r="21" spans="2:65" s="150" customFormat="1" ht="25" customHeight="1" x14ac:dyDescent="0.35">
      <c r="B21" s="175" t="s">
        <v>151</v>
      </c>
      <c r="C21" s="1697" t="s">
        <v>556</v>
      </c>
      <c r="D21" s="1697"/>
      <c r="E21" s="1697"/>
      <c r="F21" s="1697"/>
      <c r="G21" s="1697"/>
      <c r="H21" s="1697"/>
      <c r="I21" s="1697"/>
      <c r="J21" s="1697"/>
      <c r="K21" s="1697"/>
      <c r="L21" s="1697"/>
      <c r="M21" s="1697"/>
      <c r="N21" s="1698"/>
      <c r="O21" s="1699">
        <v>0</v>
      </c>
      <c r="P21" s="1700"/>
      <c r="Q21" s="1701"/>
      <c r="R21" s="1702">
        <v>0</v>
      </c>
      <c r="S21" s="1700"/>
      <c r="T21" s="1701"/>
      <c r="U21" s="1702">
        <v>0</v>
      </c>
      <c r="V21" s="1700"/>
      <c r="W21" s="1703"/>
      <c r="X21" s="1704">
        <f t="shared" ref="X21:X27" si="4">SUM(O21:W21)</f>
        <v>0</v>
      </c>
      <c r="Y21" s="1705"/>
      <c r="Z21" s="1706"/>
      <c r="AA21" s="1699">
        <v>0</v>
      </c>
      <c r="AB21" s="1700"/>
      <c r="AC21" s="1701"/>
      <c r="AD21" s="1702">
        <v>0</v>
      </c>
      <c r="AE21" s="1700"/>
      <c r="AF21" s="1703"/>
      <c r="AG21" s="1704">
        <f t="shared" ref="AG21:AG27" si="5">SUM(AA21:AF21)</f>
        <v>0</v>
      </c>
      <c r="AH21" s="1705"/>
      <c r="AI21" s="1706"/>
      <c r="AJ21" s="1726"/>
      <c r="AK21" s="1727"/>
      <c r="AL21" s="1727"/>
      <c r="AM21" s="1727"/>
      <c r="AN21" s="1727"/>
      <c r="AO21" s="1727"/>
      <c r="AP21" s="1727"/>
      <c r="AQ21" s="1727"/>
      <c r="AR21" s="1727"/>
      <c r="AS21" s="1727"/>
      <c r="AT21" s="1727"/>
      <c r="AU21" s="1727"/>
      <c r="AV21" s="1727"/>
      <c r="AW21" s="1727"/>
      <c r="AX21" s="1727"/>
      <c r="AY21" s="1727"/>
      <c r="AZ21" s="1727"/>
      <c r="BA21" s="1727"/>
      <c r="BB21" s="1727"/>
      <c r="BC21" s="1727"/>
      <c r="BD21" s="1728"/>
    </row>
    <row r="22" spans="2:65" s="150" customFormat="1" ht="25" customHeight="1" x14ac:dyDescent="0.35">
      <c r="B22" s="175" t="s">
        <v>152</v>
      </c>
      <c r="C22" s="1697" t="s">
        <v>559</v>
      </c>
      <c r="D22" s="1697"/>
      <c r="E22" s="1697"/>
      <c r="F22" s="1697"/>
      <c r="G22" s="1697"/>
      <c r="H22" s="1697"/>
      <c r="I22" s="1697"/>
      <c r="J22" s="1697"/>
      <c r="K22" s="1697"/>
      <c r="L22" s="1697"/>
      <c r="M22" s="1697"/>
      <c r="N22" s="1698"/>
      <c r="O22" s="1699">
        <v>0</v>
      </c>
      <c r="P22" s="1700"/>
      <c r="Q22" s="1701"/>
      <c r="R22" s="1702">
        <v>0</v>
      </c>
      <c r="S22" s="1700"/>
      <c r="T22" s="1701"/>
      <c r="U22" s="1702">
        <v>0</v>
      </c>
      <c r="V22" s="1700"/>
      <c r="W22" s="1703"/>
      <c r="X22" s="1704">
        <f t="shared" si="4"/>
        <v>0</v>
      </c>
      <c r="Y22" s="1705"/>
      <c r="Z22" s="1706"/>
      <c r="AA22" s="1699">
        <v>0</v>
      </c>
      <c r="AB22" s="1700"/>
      <c r="AC22" s="1701"/>
      <c r="AD22" s="1702">
        <v>0</v>
      </c>
      <c r="AE22" s="1700"/>
      <c r="AF22" s="1703"/>
      <c r="AG22" s="1704">
        <f t="shared" si="5"/>
        <v>0</v>
      </c>
      <c r="AH22" s="1705"/>
      <c r="AI22" s="1706"/>
      <c r="AJ22" s="1726"/>
      <c r="AK22" s="1727"/>
      <c r="AL22" s="1727"/>
      <c r="AM22" s="1727"/>
      <c r="AN22" s="1727"/>
      <c r="AO22" s="1727"/>
      <c r="AP22" s="1727"/>
      <c r="AQ22" s="1727"/>
      <c r="AR22" s="1727"/>
      <c r="AS22" s="1727"/>
      <c r="AT22" s="1727"/>
      <c r="AU22" s="1727"/>
      <c r="AV22" s="1727"/>
      <c r="AW22" s="1727"/>
      <c r="AX22" s="1727"/>
      <c r="AY22" s="1727"/>
      <c r="AZ22" s="1727"/>
      <c r="BA22" s="1727"/>
      <c r="BB22" s="1727"/>
      <c r="BC22" s="1727"/>
      <c r="BD22" s="1728"/>
    </row>
    <row r="23" spans="2:65" s="150" customFormat="1" ht="33" customHeight="1" x14ac:dyDescent="0.35">
      <c r="B23" s="176" t="s">
        <v>155</v>
      </c>
      <c r="C23" s="1732" t="s">
        <v>557</v>
      </c>
      <c r="D23" s="1733"/>
      <c r="E23" s="1733"/>
      <c r="F23" s="1733"/>
      <c r="G23" s="1733"/>
      <c r="H23" s="1733"/>
      <c r="I23" s="1733"/>
      <c r="J23" s="1733"/>
      <c r="K23" s="1733"/>
      <c r="L23" s="1733"/>
      <c r="M23" s="1733"/>
      <c r="N23" s="1734"/>
      <c r="O23" s="1699">
        <v>0</v>
      </c>
      <c r="P23" s="1700"/>
      <c r="Q23" s="1701"/>
      <c r="R23" s="1702">
        <v>0</v>
      </c>
      <c r="S23" s="1700"/>
      <c r="T23" s="1701"/>
      <c r="U23" s="1702">
        <v>0</v>
      </c>
      <c r="V23" s="1700"/>
      <c r="W23" s="1703"/>
      <c r="X23" s="1704">
        <f t="shared" si="4"/>
        <v>0</v>
      </c>
      <c r="Y23" s="1705"/>
      <c r="Z23" s="1706"/>
      <c r="AA23" s="1699">
        <v>0</v>
      </c>
      <c r="AB23" s="1700"/>
      <c r="AC23" s="1701"/>
      <c r="AD23" s="1702">
        <v>0</v>
      </c>
      <c r="AE23" s="1700"/>
      <c r="AF23" s="1703"/>
      <c r="AG23" s="1704">
        <f t="shared" si="5"/>
        <v>0</v>
      </c>
      <c r="AH23" s="1705"/>
      <c r="AI23" s="1706"/>
      <c r="AJ23" s="1726"/>
      <c r="AK23" s="1727"/>
      <c r="AL23" s="1727"/>
      <c r="AM23" s="1727"/>
      <c r="AN23" s="1727"/>
      <c r="AO23" s="1727"/>
      <c r="AP23" s="1727"/>
      <c r="AQ23" s="1727"/>
      <c r="AR23" s="1727"/>
      <c r="AS23" s="1727"/>
      <c r="AT23" s="1727"/>
      <c r="AU23" s="1727"/>
      <c r="AV23" s="1727"/>
      <c r="AW23" s="1727"/>
      <c r="AX23" s="1727"/>
      <c r="AY23" s="1727"/>
      <c r="AZ23" s="1727"/>
      <c r="BA23" s="1727"/>
      <c r="BB23" s="1727"/>
      <c r="BC23" s="1727"/>
      <c r="BD23" s="1728"/>
    </row>
    <row r="24" spans="2:65" s="150" customFormat="1" ht="25" customHeight="1" x14ac:dyDescent="0.35">
      <c r="B24" s="175" t="s">
        <v>156</v>
      </c>
      <c r="C24" s="1697" t="s">
        <v>560</v>
      </c>
      <c r="D24" s="1697"/>
      <c r="E24" s="1697"/>
      <c r="F24" s="1697"/>
      <c r="G24" s="1697"/>
      <c r="H24" s="1697"/>
      <c r="I24" s="1697"/>
      <c r="J24" s="1697"/>
      <c r="K24" s="1697"/>
      <c r="L24" s="1697"/>
      <c r="M24" s="1697"/>
      <c r="N24" s="1698"/>
      <c r="O24" s="1699">
        <v>0</v>
      </c>
      <c r="P24" s="1700"/>
      <c r="Q24" s="1701"/>
      <c r="R24" s="1702">
        <v>0</v>
      </c>
      <c r="S24" s="1700"/>
      <c r="T24" s="1701"/>
      <c r="U24" s="1702">
        <v>0</v>
      </c>
      <c r="V24" s="1700"/>
      <c r="W24" s="1703"/>
      <c r="X24" s="1704">
        <f t="shared" si="4"/>
        <v>0</v>
      </c>
      <c r="Y24" s="1705"/>
      <c r="Z24" s="1706"/>
      <c r="AA24" s="1699">
        <v>0</v>
      </c>
      <c r="AB24" s="1700"/>
      <c r="AC24" s="1701"/>
      <c r="AD24" s="1702">
        <v>0</v>
      </c>
      <c r="AE24" s="1700"/>
      <c r="AF24" s="1703"/>
      <c r="AG24" s="1704">
        <f t="shared" si="5"/>
        <v>0</v>
      </c>
      <c r="AH24" s="1705"/>
      <c r="AI24" s="1706"/>
      <c r="AJ24" s="1726"/>
      <c r="AK24" s="1727"/>
      <c r="AL24" s="1727"/>
      <c r="AM24" s="1727"/>
      <c r="AN24" s="1727"/>
      <c r="AO24" s="1727"/>
      <c r="AP24" s="1727"/>
      <c r="AQ24" s="1727"/>
      <c r="AR24" s="1727"/>
      <c r="AS24" s="1727"/>
      <c r="AT24" s="1727"/>
      <c r="AU24" s="1727"/>
      <c r="AV24" s="1727"/>
      <c r="AW24" s="1727"/>
      <c r="AX24" s="1727"/>
      <c r="AY24" s="1727"/>
      <c r="AZ24" s="1727"/>
      <c r="BA24" s="1727"/>
      <c r="BB24" s="1727"/>
      <c r="BC24" s="1727"/>
      <c r="BD24" s="1728"/>
    </row>
    <row r="25" spans="2:65" s="150" customFormat="1" ht="25" customHeight="1" x14ac:dyDescent="0.35">
      <c r="B25" s="177" t="s">
        <v>157</v>
      </c>
      <c r="C25" s="1697" t="s">
        <v>561</v>
      </c>
      <c r="D25" s="1697"/>
      <c r="E25" s="1697"/>
      <c r="F25" s="1697"/>
      <c r="G25" s="1697"/>
      <c r="H25" s="1697"/>
      <c r="I25" s="1697"/>
      <c r="J25" s="1697"/>
      <c r="K25" s="1697"/>
      <c r="L25" s="1697"/>
      <c r="M25" s="1697"/>
      <c r="N25" s="1698"/>
      <c r="O25" s="1699">
        <v>0</v>
      </c>
      <c r="P25" s="1700"/>
      <c r="Q25" s="1701"/>
      <c r="R25" s="1702">
        <v>0</v>
      </c>
      <c r="S25" s="1700"/>
      <c r="T25" s="1701"/>
      <c r="U25" s="1702">
        <v>0</v>
      </c>
      <c r="V25" s="1700"/>
      <c r="W25" s="1703"/>
      <c r="X25" s="1704">
        <f t="shared" si="4"/>
        <v>0</v>
      </c>
      <c r="Y25" s="1705"/>
      <c r="Z25" s="1706"/>
      <c r="AA25" s="1699">
        <v>0</v>
      </c>
      <c r="AB25" s="1700"/>
      <c r="AC25" s="1701"/>
      <c r="AD25" s="1702">
        <v>0</v>
      </c>
      <c r="AE25" s="1700"/>
      <c r="AF25" s="1703"/>
      <c r="AG25" s="1704">
        <f t="shared" si="5"/>
        <v>0</v>
      </c>
      <c r="AH25" s="1705"/>
      <c r="AI25" s="1706"/>
      <c r="AJ25" s="1726"/>
      <c r="AK25" s="1727"/>
      <c r="AL25" s="1727"/>
      <c r="AM25" s="1727"/>
      <c r="AN25" s="1727"/>
      <c r="AO25" s="1727"/>
      <c r="AP25" s="1727"/>
      <c r="AQ25" s="1727"/>
      <c r="AR25" s="1727"/>
      <c r="AS25" s="1727"/>
      <c r="AT25" s="1727"/>
      <c r="AU25" s="1727"/>
      <c r="AV25" s="1727"/>
      <c r="AW25" s="1727"/>
      <c r="AX25" s="1727"/>
      <c r="AY25" s="1727"/>
      <c r="AZ25" s="1727"/>
      <c r="BA25" s="1727"/>
      <c r="BB25" s="1727"/>
      <c r="BC25" s="1727"/>
      <c r="BD25" s="1728"/>
    </row>
    <row r="26" spans="2:65" s="150" customFormat="1" ht="33" customHeight="1" x14ac:dyDescent="0.35">
      <c r="B26" s="177" t="s">
        <v>159</v>
      </c>
      <c r="C26" s="1751" t="s">
        <v>989</v>
      </c>
      <c r="D26" s="1697"/>
      <c r="E26" s="1697"/>
      <c r="F26" s="1697"/>
      <c r="G26" s="1697"/>
      <c r="H26" s="1697"/>
      <c r="I26" s="1697"/>
      <c r="J26" s="1697"/>
      <c r="K26" s="1697"/>
      <c r="L26" s="1697"/>
      <c r="M26" s="1697"/>
      <c r="N26" s="1698"/>
      <c r="O26" s="1699">
        <v>0</v>
      </c>
      <c r="P26" s="1700"/>
      <c r="Q26" s="1701"/>
      <c r="R26" s="1702">
        <v>0</v>
      </c>
      <c r="S26" s="1700"/>
      <c r="T26" s="1701"/>
      <c r="U26" s="1702">
        <v>0</v>
      </c>
      <c r="V26" s="1700"/>
      <c r="W26" s="1703"/>
      <c r="X26" s="1704">
        <f t="shared" si="4"/>
        <v>0</v>
      </c>
      <c r="Y26" s="1705"/>
      <c r="Z26" s="1706"/>
      <c r="AA26" s="1699">
        <v>0</v>
      </c>
      <c r="AB26" s="1700"/>
      <c r="AC26" s="1701"/>
      <c r="AD26" s="1702">
        <v>0</v>
      </c>
      <c r="AE26" s="1700"/>
      <c r="AF26" s="1703"/>
      <c r="AG26" s="1704">
        <f t="shared" si="5"/>
        <v>0</v>
      </c>
      <c r="AH26" s="1705"/>
      <c r="AI26" s="1706"/>
      <c r="AJ26" s="1726"/>
      <c r="AK26" s="1727"/>
      <c r="AL26" s="1727"/>
      <c r="AM26" s="1727"/>
      <c r="AN26" s="1727"/>
      <c r="AO26" s="1727"/>
      <c r="AP26" s="1727"/>
      <c r="AQ26" s="1727"/>
      <c r="AR26" s="1727"/>
      <c r="AS26" s="1727"/>
      <c r="AT26" s="1727"/>
      <c r="AU26" s="1727"/>
      <c r="AV26" s="1727"/>
      <c r="AW26" s="1727"/>
      <c r="AX26" s="1727"/>
      <c r="AY26" s="1727"/>
      <c r="AZ26" s="1727"/>
      <c r="BA26" s="1727"/>
      <c r="BB26" s="1727"/>
      <c r="BC26" s="1727"/>
      <c r="BD26" s="1728"/>
    </row>
    <row r="27" spans="2:65" s="150" customFormat="1" ht="25" customHeight="1" thickBot="1" x14ac:dyDescent="0.4">
      <c r="B27" s="178" t="s">
        <v>153</v>
      </c>
      <c r="C27" s="1718" t="s">
        <v>558</v>
      </c>
      <c r="D27" s="1718"/>
      <c r="E27" s="1718"/>
      <c r="F27" s="1718"/>
      <c r="G27" s="1718"/>
      <c r="H27" s="1718"/>
      <c r="I27" s="1718"/>
      <c r="J27" s="1718"/>
      <c r="K27" s="1718"/>
      <c r="L27" s="1718"/>
      <c r="M27" s="1718"/>
      <c r="N27" s="1719"/>
      <c r="O27" s="1743">
        <v>0</v>
      </c>
      <c r="P27" s="1744"/>
      <c r="Q27" s="1745"/>
      <c r="R27" s="1746">
        <v>0</v>
      </c>
      <c r="S27" s="1744"/>
      <c r="T27" s="1745"/>
      <c r="U27" s="1746">
        <v>0</v>
      </c>
      <c r="V27" s="1744"/>
      <c r="W27" s="1747"/>
      <c r="X27" s="1748">
        <f t="shared" si="4"/>
        <v>0</v>
      </c>
      <c r="Y27" s="1749"/>
      <c r="Z27" s="1750"/>
      <c r="AA27" s="1743">
        <v>0</v>
      </c>
      <c r="AB27" s="1744"/>
      <c r="AC27" s="1745"/>
      <c r="AD27" s="1746">
        <v>0</v>
      </c>
      <c r="AE27" s="1744"/>
      <c r="AF27" s="1747"/>
      <c r="AG27" s="1748">
        <f t="shared" si="5"/>
        <v>0</v>
      </c>
      <c r="AH27" s="1749"/>
      <c r="AI27" s="1750"/>
      <c r="AJ27" s="1729"/>
      <c r="AK27" s="1730"/>
      <c r="AL27" s="1730"/>
      <c r="AM27" s="1730"/>
      <c r="AN27" s="1730"/>
      <c r="AO27" s="1730"/>
      <c r="AP27" s="1730"/>
      <c r="AQ27" s="1730"/>
      <c r="AR27" s="1730"/>
      <c r="AS27" s="1730"/>
      <c r="AT27" s="1730"/>
      <c r="AU27" s="1730"/>
      <c r="AV27" s="1730"/>
      <c r="AW27" s="1730"/>
      <c r="AX27" s="1730"/>
      <c r="AY27" s="1730"/>
      <c r="AZ27" s="1730"/>
      <c r="BA27" s="1730"/>
      <c r="BB27" s="1730"/>
      <c r="BC27" s="1730"/>
      <c r="BD27" s="1731"/>
    </row>
    <row r="28" spans="2:65" s="150" customFormat="1" ht="25" customHeight="1" thickTop="1" thickBot="1" x14ac:dyDescent="0.4">
      <c r="B28" s="1735" t="s">
        <v>16</v>
      </c>
      <c r="C28" s="1736"/>
      <c r="D28" s="1736"/>
      <c r="E28" s="1736"/>
      <c r="F28" s="1736"/>
      <c r="G28" s="1736"/>
      <c r="H28" s="1736"/>
      <c r="I28" s="1736"/>
      <c r="J28" s="1736"/>
      <c r="K28" s="1736"/>
      <c r="L28" s="1736"/>
      <c r="M28" s="1736"/>
      <c r="N28" s="1737"/>
      <c r="O28" s="1738">
        <f>SUM(O7:Q16,O18,O20:Q27)</f>
        <v>0</v>
      </c>
      <c r="P28" s="1739"/>
      <c r="Q28" s="1740"/>
      <c r="R28" s="1739">
        <f t="shared" ref="R28" si="6">SUM(R7:T16,R18,R20:T27)</f>
        <v>0</v>
      </c>
      <c r="S28" s="1739"/>
      <c r="T28" s="1740"/>
      <c r="U28" s="1739">
        <f t="shared" ref="U28" si="7">SUM(U7:W16,U18,U20:W27)</f>
        <v>0</v>
      </c>
      <c r="V28" s="1739"/>
      <c r="W28" s="1740"/>
      <c r="X28" s="1741">
        <f t="shared" ref="X28" si="8">SUM(X7:Z16,X18,X20:Z27)</f>
        <v>0</v>
      </c>
      <c r="Y28" s="1739"/>
      <c r="Z28" s="1742"/>
      <c r="AA28" s="1738">
        <f>SUM(AA7:AC16,AA18,AA20:AC27)</f>
        <v>0</v>
      </c>
      <c r="AB28" s="1739"/>
      <c r="AC28" s="1740"/>
      <c r="AD28" s="1739">
        <f t="shared" ref="AD28" si="9">SUM(AD7:AF16,AD18,AD20:AF27)</f>
        <v>0</v>
      </c>
      <c r="AE28" s="1739"/>
      <c r="AF28" s="1740"/>
      <c r="AG28" s="1741">
        <f t="shared" ref="AG28" si="10">SUM(AG7:AI16,AG18,AG20:AI27)</f>
        <v>0</v>
      </c>
      <c r="AH28" s="1739"/>
      <c r="AI28" s="1742"/>
      <c r="AJ28" s="1752">
        <f>SUM(AJ7:AL16,AJ18)</f>
        <v>0</v>
      </c>
      <c r="AK28" s="1753"/>
      <c r="AL28" s="1754"/>
      <c r="AM28" s="1757">
        <f t="shared" ref="AM28" si="11">SUM(AM7:AO16,AM18)</f>
        <v>0</v>
      </c>
      <c r="AN28" s="1753"/>
      <c r="AO28" s="1754"/>
      <c r="AP28" s="1753">
        <f t="shared" ref="AP28" si="12">SUM(AP7:AR16,AP18)</f>
        <v>0</v>
      </c>
      <c r="AQ28" s="1753"/>
      <c r="AR28" s="1753"/>
      <c r="AS28" s="1755">
        <f t="shared" ref="AS28" si="13">SUM(AS7:AU16,AS18)</f>
        <v>0</v>
      </c>
      <c r="AT28" s="1753"/>
      <c r="AU28" s="1756"/>
      <c r="AV28" s="1752">
        <f t="shared" ref="AV28" si="14">SUM(AV7:AX16,AV18)</f>
        <v>0</v>
      </c>
      <c r="AW28" s="1753"/>
      <c r="AX28" s="1754"/>
      <c r="AY28" s="1753">
        <f t="shared" ref="AY28" si="15">SUM(AY7:BA16,AY18)</f>
        <v>0</v>
      </c>
      <c r="AZ28" s="1753"/>
      <c r="BA28" s="1753"/>
      <c r="BB28" s="1755">
        <f t="shared" ref="BB28" si="16">SUM(BB7:BD16,BB18)</f>
        <v>0</v>
      </c>
      <c r="BC28" s="1753"/>
      <c r="BD28" s="1756"/>
    </row>
    <row r="29" spans="2:65" s="150" customFormat="1" ht="22.25" customHeight="1" x14ac:dyDescent="0.35">
      <c r="B29" s="151"/>
      <c r="C29" s="151"/>
      <c r="D29" s="151"/>
      <c r="E29" s="151"/>
      <c r="F29" s="151"/>
      <c r="G29" s="151"/>
      <c r="H29" s="151"/>
      <c r="I29" s="151"/>
      <c r="J29" s="151"/>
      <c r="K29" s="151"/>
      <c r="L29" s="151"/>
      <c r="M29" s="151"/>
      <c r="N29" s="151"/>
      <c r="O29" s="183" t="str">
        <f>IF(OR(learners_wd_uhhbp_wdlms_home_shpcd_12to15&lt;learners_wd_uhhbp_wdlms_home_ca_12to15,learners_wd_uhhbp_wdlms_home_shpcd_16to20&lt;learners_wd_uhhbp_wdlms_home_ca_16to20,learners_wd_uhhbp_wdlms_home_shpcd_21to25&lt;learners_wd_uhhbp_wdlms_home_ca_21to25,learners_wd_uhhbp_wdlms_home_shpcd_tp&lt;learners_wd_uhhbp_wdlms_home_ca_tp,learners_wd_uhhbp_wdlms_home_shpcd_g7tog10&lt;learners_wd_uhhbp_wdlms_home_ca_g7tog10,learners_wd_uhhbp_wdlms_hosp_shpcd_12to15&lt;learners_wd_uhhbp_wdlms_hosp_ca_12to15,learners_wd_uhhbp_wdlms_hosp_shpcd_16to20&lt;learners_wd_uhhbp_wdlms_hosp_ca_16to20,learners_wd_uhhbp_wdlms_hosp_shpcd_21to25&lt;learners_wd_uhhbp_wdlms_hosp_ca_21to25,learners_wd_uhhbp_wdlms_hosp_shpcd_tp&lt;learners_wd_uhhbp_wdlms_hosp_ca_tp,learners_wd_uhhbp_wdlms_hosp_shpcd_g7tog10&lt;learners_wd_uhhbp_wdlms_hosp_ca_g7tog10), "Values in 10. Special Health Problem/Chronic Disease shall be greater than or equal to the values in 10.a. Cancer.","")</f>
        <v/>
      </c>
      <c r="P29" s="152"/>
      <c r="Q29" s="152"/>
      <c r="R29" s="152"/>
      <c r="S29" s="152"/>
      <c r="T29" s="152"/>
      <c r="U29" s="152"/>
      <c r="V29" s="152"/>
      <c r="W29" s="152"/>
      <c r="X29" s="152"/>
      <c r="Y29" s="152"/>
      <c r="Z29" s="152"/>
      <c r="AA29" s="152"/>
      <c r="AB29" s="152"/>
      <c r="AC29" s="152"/>
      <c r="AD29" s="152"/>
      <c r="AE29" s="152"/>
      <c r="AF29" s="152"/>
      <c r="AG29" s="152"/>
      <c r="AH29" s="152"/>
      <c r="AI29" s="152"/>
      <c r="AJ29" s="152"/>
      <c r="AK29" s="152"/>
      <c r="AL29" s="152"/>
      <c r="AM29" s="152"/>
      <c r="AN29" s="152"/>
      <c r="AO29" s="152"/>
      <c r="AP29" s="152"/>
      <c r="AQ29" s="152"/>
      <c r="AR29" s="152"/>
      <c r="AS29" s="152"/>
      <c r="AT29" s="152"/>
      <c r="AU29" s="152"/>
      <c r="AV29" s="152"/>
      <c r="AW29" s="152"/>
      <c r="AX29" s="152"/>
      <c r="AY29" s="152"/>
      <c r="AZ29" s="152"/>
      <c r="BA29" s="152"/>
      <c r="BB29" s="152"/>
      <c r="BC29" s="152"/>
      <c r="BD29" s="152"/>
    </row>
    <row r="30" spans="2:65" s="157" customFormat="1" x14ac:dyDescent="0.3">
      <c r="B30" s="85" t="s">
        <v>1286</v>
      </c>
      <c r="C30" s="153"/>
      <c r="D30" s="154"/>
      <c r="E30" s="154"/>
      <c r="F30" s="154"/>
      <c r="G30" s="154"/>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c r="AU30" s="155"/>
      <c r="AV30" s="155"/>
      <c r="AW30" s="155"/>
      <c r="AX30" s="155"/>
      <c r="AY30" s="155"/>
      <c r="AZ30" s="155"/>
      <c r="BA30" s="155"/>
      <c r="BB30" s="155"/>
      <c r="BC30" s="155"/>
      <c r="BD30" s="155"/>
      <c r="BE30" s="155"/>
      <c r="BF30" s="155"/>
      <c r="BG30" s="155"/>
      <c r="BH30" s="155"/>
      <c r="BI30" s="155"/>
      <c r="BJ30" s="156"/>
      <c r="BK30" s="156"/>
      <c r="BL30" s="156"/>
    </row>
    <row r="31" spans="2:65" s="161" customFormat="1" ht="16.5" x14ac:dyDescent="0.35">
      <c r="B31" s="158"/>
      <c r="C31" s="159"/>
      <c r="D31" s="159"/>
      <c r="E31" s="159"/>
      <c r="F31" s="159"/>
      <c r="G31" s="159"/>
      <c r="H31" s="160"/>
      <c r="I31" s="160"/>
      <c r="J31" s="160"/>
      <c r="K31" s="160"/>
      <c r="L31" s="160"/>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c r="BB31" s="160"/>
      <c r="BC31" s="160"/>
      <c r="BD31" s="160"/>
      <c r="BE31" s="160"/>
      <c r="BF31" s="160"/>
      <c r="BG31" s="160"/>
      <c r="BH31" s="160"/>
      <c r="BI31" s="160"/>
      <c r="BJ31" s="160"/>
      <c r="BK31" s="160"/>
      <c r="BL31" s="160"/>
      <c r="BM31" s="160"/>
    </row>
    <row r="32" spans="2:65" s="164" customFormat="1" ht="16.5" x14ac:dyDescent="0.35">
      <c r="B32" s="85" t="s">
        <v>652</v>
      </c>
      <c r="C32" s="162"/>
      <c r="D32" s="162"/>
      <c r="E32" s="163" t="s">
        <v>150</v>
      </c>
      <c r="F32" s="1760" t="s">
        <v>1107</v>
      </c>
      <c r="G32" s="1760"/>
      <c r="H32" s="1760"/>
      <c r="I32" s="1760"/>
      <c r="J32" s="1760"/>
      <c r="K32" s="1760"/>
      <c r="L32" s="1760"/>
      <c r="M32" s="1760"/>
      <c r="N32" s="1760"/>
      <c r="O32" s="1760"/>
      <c r="P32" s="1760"/>
      <c r="Q32" s="1760"/>
      <c r="R32" s="1760"/>
      <c r="S32" s="1760"/>
      <c r="T32" s="1760"/>
      <c r="U32" s="1760"/>
      <c r="V32" s="1760"/>
      <c r="W32" s="1760"/>
      <c r="X32" s="1760"/>
      <c r="Y32" s="1760"/>
      <c r="Z32" s="1760"/>
      <c r="AA32" s="1760"/>
      <c r="AB32" s="1760"/>
      <c r="AC32" s="1760"/>
      <c r="AD32" s="1760"/>
      <c r="AE32" s="1760"/>
      <c r="AF32" s="1760"/>
      <c r="AG32" s="1760"/>
      <c r="AH32" s="1760"/>
      <c r="AI32" s="1760"/>
      <c r="AJ32" s="1760"/>
      <c r="AK32" s="1760"/>
      <c r="AL32" s="1760"/>
      <c r="AM32" s="1760"/>
      <c r="AN32" s="1760"/>
      <c r="AO32" s="1760"/>
      <c r="AP32" s="1760"/>
      <c r="AQ32" s="1760"/>
      <c r="AR32" s="1760"/>
      <c r="AS32" s="1760"/>
      <c r="AT32" s="1760"/>
      <c r="AU32" s="1760"/>
      <c r="AV32" s="1760"/>
      <c r="AW32" s="1760"/>
      <c r="AX32" s="1760"/>
      <c r="AY32" s="1760"/>
      <c r="AZ32" s="1760"/>
      <c r="BA32" s="1760"/>
      <c r="BB32" s="1760"/>
      <c r="BC32" s="1760"/>
      <c r="BD32" s="1760"/>
    </row>
    <row r="33" spans="2:66" s="112" customFormat="1" ht="16.5" x14ac:dyDescent="0.35">
      <c r="B33" s="165"/>
      <c r="C33" s="72"/>
      <c r="D33" s="166"/>
      <c r="E33" s="167" t="s">
        <v>151</v>
      </c>
      <c r="F33" s="1761" t="s">
        <v>1199</v>
      </c>
      <c r="G33" s="1761"/>
      <c r="H33" s="1761"/>
      <c r="I33" s="1761"/>
      <c r="J33" s="1761"/>
      <c r="K33" s="1761"/>
      <c r="L33" s="1761"/>
      <c r="M33" s="1761"/>
      <c r="N33" s="1761"/>
      <c r="O33" s="1761"/>
      <c r="P33" s="1761"/>
      <c r="Q33" s="1761"/>
      <c r="R33" s="1761"/>
      <c r="S33" s="1761"/>
      <c r="T33" s="1761"/>
      <c r="U33" s="1761"/>
      <c r="V33" s="1761"/>
      <c r="W33" s="1761"/>
      <c r="X33" s="1761"/>
      <c r="Y33" s="1761"/>
      <c r="Z33" s="1761"/>
      <c r="AA33" s="1761"/>
      <c r="AB33" s="1761"/>
      <c r="AC33" s="1761"/>
      <c r="AD33" s="1761"/>
      <c r="AE33" s="1761"/>
      <c r="AF33" s="1761"/>
      <c r="AG33" s="1761"/>
      <c r="AH33" s="1761"/>
      <c r="AI33" s="1761"/>
      <c r="AJ33" s="1761"/>
      <c r="AK33" s="1761"/>
      <c r="AL33" s="1761"/>
      <c r="AM33" s="1761"/>
      <c r="AN33" s="1761"/>
      <c r="AO33" s="1761"/>
      <c r="AP33" s="1761"/>
      <c r="AQ33" s="1761"/>
      <c r="AR33" s="1761"/>
      <c r="AS33" s="1761"/>
      <c r="AT33" s="1761"/>
      <c r="AU33" s="1761"/>
      <c r="AV33" s="1761"/>
      <c r="AW33" s="1761"/>
      <c r="AX33" s="1761"/>
      <c r="AY33" s="1761"/>
      <c r="AZ33" s="1761"/>
      <c r="BA33" s="1761"/>
      <c r="BB33" s="1761"/>
      <c r="BC33" s="1761"/>
      <c r="BD33" s="1761"/>
      <c r="BE33" s="120"/>
      <c r="BF33" s="120"/>
      <c r="BG33" s="120"/>
      <c r="BH33" s="120"/>
      <c r="BI33" s="120"/>
      <c r="BJ33" s="120"/>
      <c r="BK33" s="120"/>
      <c r="BL33" s="120"/>
      <c r="BM33" s="120"/>
      <c r="BN33" s="120"/>
    </row>
    <row r="34" spans="2:66" s="112" customFormat="1" ht="16.5" x14ac:dyDescent="0.35">
      <c r="B34" s="168"/>
      <c r="D34" s="169"/>
      <c r="E34" s="170"/>
      <c r="F34" s="171"/>
      <c r="P34" s="120"/>
      <c r="Q34" s="120"/>
      <c r="R34" s="120"/>
      <c r="S34" s="120"/>
      <c r="T34" s="120"/>
      <c r="U34" s="120"/>
      <c r="V34" s="120"/>
      <c r="W34" s="120"/>
      <c r="X34" s="120"/>
      <c r="Y34" s="120"/>
      <c r="Z34" s="120"/>
      <c r="AA34" s="120"/>
      <c r="AB34" s="120"/>
      <c r="AC34" s="120"/>
      <c r="AD34" s="120"/>
      <c r="AE34" s="120"/>
      <c r="AF34" s="120"/>
      <c r="AG34" s="120"/>
      <c r="AH34" s="120"/>
      <c r="AI34" s="120"/>
      <c r="AJ34" s="120"/>
      <c r="AK34" s="120"/>
      <c r="AL34" s="120"/>
      <c r="AM34" s="120"/>
      <c r="AN34" s="120"/>
      <c r="AO34" s="120"/>
      <c r="AP34" s="120"/>
      <c r="AQ34" s="120"/>
      <c r="AR34" s="120"/>
      <c r="AS34" s="120"/>
      <c r="AT34" s="120"/>
      <c r="AU34" s="120"/>
      <c r="AV34" s="120"/>
      <c r="AW34" s="120"/>
      <c r="AX34" s="120"/>
      <c r="AY34" s="120"/>
      <c r="AZ34" s="120"/>
      <c r="BA34" s="120"/>
      <c r="BB34" s="120"/>
      <c r="BC34" s="120"/>
      <c r="BD34" s="120"/>
      <c r="BE34" s="120"/>
      <c r="BF34" s="120"/>
      <c r="BG34" s="120"/>
      <c r="BH34" s="120"/>
      <c r="BI34" s="120"/>
      <c r="BJ34" s="120"/>
      <c r="BK34" s="120"/>
      <c r="BL34" s="120"/>
      <c r="BM34" s="120"/>
      <c r="BN34" s="120"/>
    </row>
    <row r="35" spans="2:66" s="87" customFormat="1" ht="30" customHeight="1" x14ac:dyDescent="0.3">
      <c r="B35" s="99"/>
      <c r="C35" s="100"/>
      <c r="D35" s="101"/>
      <c r="E35" s="101"/>
      <c r="F35" s="101"/>
      <c r="G35" s="101"/>
      <c r="H35" s="101"/>
      <c r="I35" s="101"/>
      <c r="J35" s="101"/>
      <c r="K35" s="101"/>
      <c r="L35" s="101"/>
      <c r="M35" s="101"/>
      <c r="N35" s="101"/>
      <c r="O35" s="101"/>
      <c r="P35" s="101"/>
      <c r="Q35" s="101"/>
      <c r="R35" s="101"/>
      <c r="S35" s="101"/>
    </row>
    <row r="36" spans="2:66" s="44" customFormat="1" x14ac:dyDescent="0.35">
      <c r="B36" s="60" t="s">
        <v>913</v>
      </c>
      <c r="X36" s="60" t="s">
        <v>911</v>
      </c>
      <c r="Y36" s="60"/>
      <c r="AP36" s="60" t="s">
        <v>922</v>
      </c>
      <c r="AQ36" s="73"/>
      <c r="AR36" s="73"/>
      <c r="AS36" s="73"/>
      <c r="AT36" s="73"/>
      <c r="AU36" s="73"/>
      <c r="AV36" s="73"/>
      <c r="AW36" s="73"/>
      <c r="AX36" s="73"/>
      <c r="AY36" s="73"/>
      <c r="AZ36" s="73"/>
      <c r="BA36" s="73"/>
      <c r="BB36" s="73"/>
      <c r="BC36" s="73"/>
    </row>
    <row r="37" spans="2:66" s="44" customFormat="1" ht="21.75" customHeight="1" x14ac:dyDescent="0.35">
      <c r="B37" s="60" t="s">
        <v>780</v>
      </c>
      <c r="F37" s="1581" t="str">
        <f>SchInfo!F38</f>
        <v>MELCHESIEDICK Q. BOLANIO/ March 17, 2023</v>
      </c>
      <c r="G37" s="1581"/>
      <c r="H37" s="1581"/>
      <c r="I37" s="1581"/>
      <c r="J37" s="1581"/>
      <c r="K37" s="1581"/>
      <c r="L37" s="1581"/>
      <c r="M37" s="1581"/>
      <c r="N37" s="1581"/>
      <c r="O37" s="1581"/>
      <c r="P37" s="1581"/>
      <c r="Q37" s="1581"/>
      <c r="R37" s="1581"/>
      <c r="S37" s="1581"/>
      <c r="T37" s="1581"/>
      <c r="X37" s="1758" t="s">
        <v>12804</v>
      </c>
      <c r="Y37" s="1759"/>
      <c r="Z37" s="1759"/>
      <c r="AA37" s="1759"/>
      <c r="AB37" s="1759"/>
      <c r="AC37" s="1759"/>
      <c r="AD37" s="1759"/>
      <c r="AE37" s="1759"/>
      <c r="AF37" s="1759"/>
      <c r="AG37" s="1759"/>
      <c r="AH37" s="1759"/>
      <c r="AI37" s="1759"/>
      <c r="AJ37" s="1759"/>
      <c r="AK37" s="1759"/>
      <c r="AL37" s="1759"/>
      <c r="AP37" s="1582" t="str">
        <f>SchInfo!R38</f>
        <v>MICHAEL T. JAMIS   /  March 17, 2023</v>
      </c>
      <c r="AQ37" s="1582"/>
      <c r="AR37" s="1582"/>
      <c r="AS37" s="1582"/>
      <c r="AT37" s="1582"/>
      <c r="AU37" s="1582"/>
      <c r="AV37" s="1582"/>
      <c r="AW37" s="1582"/>
      <c r="AX37" s="1582"/>
      <c r="AY37" s="1582"/>
      <c r="AZ37" s="1582"/>
      <c r="BA37" s="1582"/>
      <c r="BB37" s="1582"/>
      <c r="BC37" s="1582"/>
      <c r="BD37" s="1582"/>
    </row>
    <row r="38" spans="2:66" s="51" customFormat="1" ht="14" x14ac:dyDescent="0.3">
      <c r="B38" s="74"/>
      <c r="F38" s="1452" t="s">
        <v>779</v>
      </c>
      <c r="G38" s="1452"/>
      <c r="H38" s="1452"/>
      <c r="I38" s="1452"/>
      <c r="J38" s="1452"/>
      <c r="K38" s="1452"/>
      <c r="L38" s="1452"/>
      <c r="M38" s="1452"/>
      <c r="N38" s="1452"/>
      <c r="O38" s="1452"/>
      <c r="P38" s="1452"/>
      <c r="Q38" s="1452"/>
      <c r="R38" s="1452"/>
      <c r="S38" s="1452"/>
      <c r="T38" s="1452"/>
      <c r="U38" s="172"/>
      <c r="V38" s="76"/>
      <c r="W38" s="76"/>
      <c r="X38" s="1452" t="s">
        <v>779</v>
      </c>
      <c r="Y38" s="1452"/>
      <c r="Z38" s="1452"/>
      <c r="AA38" s="1452"/>
      <c r="AB38" s="1452"/>
      <c r="AC38" s="1452"/>
      <c r="AD38" s="1452"/>
      <c r="AE38" s="1452"/>
      <c r="AF38" s="1452"/>
      <c r="AG38" s="1452"/>
      <c r="AH38" s="1452"/>
      <c r="AI38" s="1452"/>
      <c r="AJ38" s="1452"/>
      <c r="AK38" s="1452"/>
      <c r="AL38" s="1452"/>
      <c r="AM38" s="172"/>
      <c r="AN38" s="172"/>
      <c r="AO38" s="172"/>
      <c r="AP38" s="1583"/>
      <c r="AQ38" s="1583"/>
      <c r="AR38" s="1583"/>
      <c r="AS38" s="1583"/>
      <c r="AT38" s="1583"/>
      <c r="AU38" s="1583"/>
      <c r="AV38" s="1583"/>
      <c r="AW38" s="1583"/>
      <c r="AX38" s="1583"/>
      <c r="AY38" s="1583"/>
      <c r="AZ38" s="1583"/>
      <c r="BA38" s="1583"/>
      <c r="BB38" s="1583"/>
      <c r="BC38" s="1583"/>
      <c r="BD38" s="1583"/>
    </row>
    <row r="39" spans="2:66" s="44" customFormat="1" ht="21.75" customHeight="1" x14ac:dyDescent="0.35">
      <c r="B39" s="60" t="s">
        <v>784</v>
      </c>
      <c r="F39" s="1581" t="str">
        <f>SchInfo!F40</f>
        <v>Principal IV</v>
      </c>
      <c r="G39" s="1581"/>
      <c r="H39" s="1581"/>
      <c r="I39" s="1581"/>
      <c r="J39" s="1581"/>
      <c r="K39" s="1581"/>
      <c r="L39" s="1581"/>
      <c r="M39" s="1581"/>
      <c r="N39" s="1581"/>
      <c r="O39" s="1581"/>
      <c r="P39" s="1581"/>
      <c r="Q39" s="1581"/>
      <c r="R39" s="1581"/>
      <c r="S39" s="1581"/>
      <c r="T39" s="1581"/>
      <c r="X39" s="60" t="s">
        <v>784</v>
      </c>
      <c r="Y39" s="60"/>
      <c r="AB39" s="1758" t="s">
        <v>12805</v>
      </c>
      <c r="AC39" s="1759"/>
      <c r="AD39" s="1759"/>
      <c r="AE39" s="1759"/>
      <c r="AF39" s="1759"/>
      <c r="AG39" s="1759"/>
      <c r="AH39" s="1759"/>
      <c r="AI39" s="1759"/>
      <c r="AJ39" s="1759"/>
      <c r="AK39" s="1759"/>
      <c r="AL39" s="1759"/>
      <c r="AP39" s="1452" t="s">
        <v>779</v>
      </c>
      <c r="AQ39" s="1452"/>
      <c r="AR39" s="1452"/>
      <c r="AS39" s="1452"/>
      <c r="AT39" s="1452"/>
      <c r="AU39" s="1452"/>
      <c r="AV39" s="1452"/>
      <c r="AW39" s="1452"/>
      <c r="AX39" s="1452"/>
      <c r="AY39" s="1452"/>
      <c r="AZ39" s="1452"/>
      <c r="BA39" s="1452"/>
      <c r="BB39" s="1452"/>
      <c r="BC39" s="1452"/>
      <c r="BD39" s="1452"/>
    </row>
  </sheetData>
  <sheetProtection algorithmName="SHA-512" hashValue="z+OE0r1/WlRYRfs0XLfT/RWeLo/3XKguaR6G4HbaL8y9IviUwRoKzZxeZfKx9E8jNmUICmLA+PjBCMHOv1AGIA==" saltValue="yTB9fn8BeRxu7lP015VUoQ==" spinCount="100000" sheet="1" objects="1" scenarios="1"/>
  <mergeCells count="296">
    <mergeCell ref="F39:T39"/>
    <mergeCell ref="AB39:AL39"/>
    <mergeCell ref="AP39:BD39"/>
    <mergeCell ref="F32:BD32"/>
    <mergeCell ref="F33:BD33"/>
    <mergeCell ref="F37:T37"/>
    <mergeCell ref="X37:AL37"/>
    <mergeCell ref="AP37:BD38"/>
    <mergeCell ref="F38:T38"/>
    <mergeCell ref="X38:AL38"/>
    <mergeCell ref="AV28:AX28"/>
    <mergeCell ref="AY28:BA28"/>
    <mergeCell ref="BB28:BD28"/>
    <mergeCell ref="AD28:AF28"/>
    <mergeCell ref="AG28:AI28"/>
    <mergeCell ref="AJ28:AL28"/>
    <mergeCell ref="AM28:AO28"/>
    <mergeCell ref="AP28:AR28"/>
    <mergeCell ref="AS28:AU28"/>
    <mergeCell ref="B28:N28"/>
    <mergeCell ref="O28:Q28"/>
    <mergeCell ref="R28:T28"/>
    <mergeCell ref="U28:W28"/>
    <mergeCell ref="X28:Z28"/>
    <mergeCell ref="AA28:AC28"/>
    <mergeCell ref="AD26:AF26"/>
    <mergeCell ref="AG26:AI26"/>
    <mergeCell ref="C27:N27"/>
    <mergeCell ref="O27:Q27"/>
    <mergeCell ref="R27:T27"/>
    <mergeCell ref="U27:W27"/>
    <mergeCell ref="X27:Z27"/>
    <mergeCell ref="AA27:AC27"/>
    <mergeCell ref="AD27:AF27"/>
    <mergeCell ref="AG27:AI27"/>
    <mergeCell ref="C26:N26"/>
    <mergeCell ref="O26:Q26"/>
    <mergeCell ref="R26:T26"/>
    <mergeCell ref="U26:W26"/>
    <mergeCell ref="X26:Z26"/>
    <mergeCell ref="AA26:AC26"/>
    <mergeCell ref="AD24:AF24"/>
    <mergeCell ref="AG24:AI24"/>
    <mergeCell ref="C25:N25"/>
    <mergeCell ref="O25:Q25"/>
    <mergeCell ref="R25:T25"/>
    <mergeCell ref="U25:W25"/>
    <mergeCell ref="X25:Z25"/>
    <mergeCell ref="AA25:AC25"/>
    <mergeCell ref="AD25:AF25"/>
    <mergeCell ref="AG25:AI25"/>
    <mergeCell ref="C24:N24"/>
    <mergeCell ref="O24:Q24"/>
    <mergeCell ref="R24:T24"/>
    <mergeCell ref="U24:W24"/>
    <mergeCell ref="X24:Z24"/>
    <mergeCell ref="AA24:AC24"/>
    <mergeCell ref="AG21:AI21"/>
    <mergeCell ref="C22:N22"/>
    <mergeCell ref="AG22:AI22"/>
    <mergeCell ref="C23:N23"/>
    <mergeCell ref="O23:Q23"/>
    <mergeCell ref="R23:T23"/>
    <mergeCell ref="U23:W23"/>
    <mergeCell ref="X23:Z23"/>
    <mergeCell ref="AA23:AC23"/>
    <mergeCell ref="AD23:AF23"/>
    <mergeCell ref="AG23:AI23"/>
    <mergeCell ref="O22:Q22"/>
    <mergeCell ref="R22:T22"/>
    <mergeCell ref="U22:W22"/>
    <mergeCell ref="X22:Z22"/>
    <mergeCell ref="AA22:AC22"/>
    <mergeCell ref="AD22:AF22"/>
    <mergeCell ref="AV17:AX17"/>
    <mergeCell ref="BB18:BD18"/>
    <mergeCell ref="AJ18:AL18"/>
    <mergeCell ref="AM18:AO18"/>
    <mergeCell ref="C20:N20"/>
    <mergeCell ref="O20:Q20"/>
    <mergeCell ref="R20:T20"/>
    <mergeCell ref="U20:W20"/>
    <mergeCell ref="X20:Z20"/>
    <mergeCell ref="AA20:AC20"/>
    <mergeCell ref="AD20:AF20"/>
    <mergeCell ref="AG20:AI20"/>
    <mergeCell ref="AP18:AR18"/>
    <mergeCell ref="AS18:AU18"/>
    <mergeCell ref="AV18:AX18"/>
    <mergeCell ref="AY18:BA18"/>
    <mergeCell ref="AJ20:BD27"/>
    <mergeCell ref="C21:N21"/>
    <mergeCell ref="O21:Q21"/>
    <mergeCell ref="R21:T21"/>
    <mergeCell ref="U21:W21"/>
    <mergeCell ref="X21:Z21"/>
    <mergeCell ref="AA21:AC21"/>
    <mergeCell ref="AD21:AF21"/>
    <mergeCell ref="C18:N18"/>
    <mergeCell ref="O18:Q18"/>
    <mergeCell ref="R18:T18"/>
    <mergeCell ref="U18:W18"/>
    <mergeCell ref="X18:Z18"/>
    <mergeCell ref="AA18:AC18"/>
    <mergeCell ref="AD18:AF18"/>
    <mergeCell ref="AG18:AI18"/>
    <mergeCell ref="AG17:AI17"/>
    <mergeCell ref="X15:Z15"/>
    <mergeCell ref="AA15:AC15"/>
    <mergeCell ref="AY16:BA16"/>
    <mergeCell ref="BB16:BD16"/>
    <mergeCell ref="C17:D17"/>
    <mergeCell ref="E17:N17"/>
    <mergeCell ref="O17:Q17"/>
    <mergeCell ref="R17:T17"/>
    <mergeCell ref="U17:W17"/>
    <mergeCell ref="X17:Z17"/>
    <mergeCell ref="AA17:AC17"/>
    <mergeCell ref="AD17:AF17"/>
    <mergeCell ref="AG16:AI16"/>
    <mergeCell ref="AJ16:AL16"/>
    <mergeCell ref="AM16:AO16"/>
    <mergeCell ref="AP16:AR16"/>
    <mergeCell ref="AS16:AU16"/>
    <mergeCell ref="AV16:AX16"/>
    <mergeCell ref="AY17:BA17"/>
    <mergeCell ref="BB17:BD17"/>
    <mergeCell ref="AJ17:AL17"/>
    <mergeCell ref="AM17:AO17"/>
    <mergeCell ref="AP17:AR17"/>
    <mergeCell ref="AS17:AU17"/>
    <mergeCell ref="R13:T13"/>
    <mergeCell ref="U13:W13"/>
    <mergeCell ref="X13:Z13"/>
    <mergeCell ref="AA13:AC13"/>
    <mergeCell ref="AV15:AX15"/>
    <mergeCell ref="AY15:BA15"/>
    <mergeCell ref="BB15:BD15"/>
    <mergeCell ref="C16:N16"/>
    <mergeCell ref="O16:Q16"/>
    <mergeCell ref="R16:T16"/>
    <mergeCell ref="U16:W16"/>
    <mergeCell ref="X16:Z16"/>
    <mergeCell ref="AA16:AC16"/>
    <mergeCell ref="AD16:AF16"/>
    <mergeCell ref="AD15:AF15"/>
    <mergeCell ref="AG15:AI15"/>
    <mergeCell ref="AJ15:AL15"/>
    <mergeCell ref="AM15:AO15"/>
    <mergeCell ref="AP15:AR15"/>
    <mergeCell ref="AS15:AU15"/>
    <mergeCell ref="C15:N15"/>
    <mergeCell ref="O15:Q15"/>
    <mergeCell ref="R15:T15"/>
    <mergeCell ref="U15:W15"/>
    <mergeCell ref="AM14:AO14"/>
    <mergeCell ref="AP14:AR14"/>
    <mergeCell ref="AS14:AU14"/>
    <mergeCell ref="AV14:AX14"/>
    <mergeCell ref="AY14:BA14"/>
    <mergeCell ref="BB14:BD14"/>
    <mergeCell ref="BB13:BD13"/>
    <mergeCell ref="C14:N14"/>
    <mergeCell ref="O14:Q14"/>
    <mergeCell ref="R14:T14"/>
    <mergeCell ref="U14:W14"/>
    <mergeCell ref="X14:Z14"/>
    <mergeCell ref="AA14:AC14"/>
    <mergeCell ref="AD14:AF14"/>
    <mergeCell ref="AG14:AI14"/>
    <mergeCell ref="AJ14:AL14"/>
    <mergeCell ref="AJ13:AL13"/>
    <mergeCell ref="AM13:AO13"/>
    <mergeCell ref="AP13:AR13"/>
    <mergeCell ref="AS13:AU13"/>
    <mergeCell ref="AV13:AX13"/>
    <mergeCell ref="AY13:BA13"/>
    <mergeCell ref="C13:N13"/>
    <mergeCell ref="O13:Q13"/>
    <mergeCell ref="AD13:AF13"/>
    <mergeCell ref="AG13:AI13"/>
    <mergeCell ref="AG12:AI12"/>
    <mergeCell ref="AV11:AX11"/>
    <mergeCell ref="AY11:BA11"/>
    <mergeCell ref="C12:N12"/>
    <mergeCell ref="O12:Q12"/>
    <mergeCell ref="R12:T12"/>
    <mergeCell ref="U12:W12"/>
    <mergeCell ref="X12:Z12"/>
    <mergeCell ref="AA12:AC12"/>
    <mergeCell ref="AD12:AF12"/>
    <mergeCell ref="AD11:AF11"/>
    <mergeCell ref="AG11:AI11"/>
    <mergeCell ref="AJ11:AL11"/>
    <mergeCell ref="AM11:AO11"/>
    <mergeCell ref="AP11:AR11"/>
    <mergeCell ref="AS11:AU11"/>
    <mergeCell ref="C11:N11"/>
    <mergeCell ref="O11:Q11"/>
    <mergeCell ref="R11:T11"/>
    <mergeCell ref="U11:W11"/>
    <mergeCell ref="X11:Z11"/>
    <mergeCell ref="AJ12:AL12"/>
    <mergeCell ref="AY12:BA12"/>
    <mergeCell ref="BB12:BD12"/>
    <mergeCell ref="AY10:BA10"/>
    <mergeCell ref="BB10:BD10"/>
    <mergeCell ref="BB11:BD11"/>
    <mergeCell ref="AV12:AX12"/>
    <mergeCell ref="C10:N10"/>
    <mergeCell ref="O10:Q10"/>
    <mergeCell ref="R10:T10"/>
    <mergeCell ref="U10:W10"/>
    <mergeCell ref="X10:Z10"/>
    <mergeCell ref="AA10:AC10"/>
    <mergeCell ref="AD10:AF10"/>
    <mergeCell ref="AG10:AI10"/>
    <mergeCell ref="AJ10:AL10"/>
    <mergeCell ref="AM12:AO12"/>
    <mergeCell ref="AP12:AR12"/>
    <mergeCell ref="AS12:AU12"/>
    <mergeCell ref="BB9:BD9"/>
    <mergeCell ref="AJ9:AL9"/>
    <mergeCell ref="AM9:AO9"/>
    <mergeCell ref="AP9:AR9"/>
    <mergeCell ref="AM10:AO10"/>
    <mergeCell ref="AP10:AR10"/>
    <mergeCell ref="AS10:AU10"/>
    <mergeCell ref="AV10:AX10"/>
    <mergeCell ref="AA11:AC11"/>
    <mergeCell ref="AS9:AU9"/>
    <mergeCell ref="AV9:AX9"/>
    <mergeCell ref="AY9:BA9"/>
    <mergeCell ref="AV7:AX7"/>
    <mergeCell ref="AY7:BA7"/>
    <mergeCell ref="BB7:BD7"/>
    <mergeCell ref="AJ7:AL7"/>
    <mergeCell ref="AM7:AO7"/>
    <mergeCell ref="AP7:AR7"/>
    <mergeCell ref="AS7:AU7"/>
    <mergeCell ref="AY8:BA8"/>
    <mergeCell ref="BB8:BD8"/>
    <mergeCell ref="AJ8:AL8"/>
    <mergeCell ref="AM8:AO8"/>
    <mergeCell ref="AP8:AR8"/>
    <mergeCell ref="AS8:AU8"/>
    <mergeCell ref="AV8:AX8"/>
    <mergeCell ref="AG7:AI7"/>
    <mergeCell ref="C7:N7"/>
    <mergeCell ref="O7:Q7"/>
    <mergeCell ref="R7:T7"/>
    <mergeCell ref="U7:W7"/>
    <mergeCell ref="X7:Z7"/>
    <mergeCell ref="AA7:AC7"/>
    <mergeCell ref="U9:W9"/>
    <mergeCell ref="X9:Z9"/>
    <mergeCell ref="AA9:AC9"/>
    <mergeCell ref="AD9:AF9"/>
    <mergeCell ref="AG9:AI9"/>
    <mergeCell ref="AG8:AI8"/>
    <mergeCell ref="C9:N9"/>
    <mergeCell ref="O9:Q9"/>
    <mergeCell ref="R9:T9"/>
    <mergeCell ref="B6:N6"/>
    <mergeCell ref="C8:N8"/>
    <mergeCell ref="O8:Q8"/>
    <mergeCell ref="R8:T8"/>
    <mergeCell ref="U8:W8"/>
    <mergeCell ref="X8:Z8"/>
    <mergeCell ref="AA8:AC8"/>
    <mergeCell ref="AD8:AF8"/>
    <mergeCell ref="AD7:AF7"/>
    <mergeCell ref="B19:N19"/>
    <mergeCell ref="O6:BD6"/>
    <mergeCell ref="O19:BD19"/>
    <mergeCell ref="AP5:AR5"/>
    <mergeCell ref="AS5:AU5"/>
    <mergeCell ref="AV5:AX5"/>
    <mergeCell ref="AY5:BA5"/>
    <mergeCell ref="BB5:BD5"/>
    <mergeCell ref="X5:Z5"/>
    <mergeCell ref="AA5:AC5"/>
    <mergeCell ref="AD5:AF5"/>
    <mergeCell ref="AG5:AI5"/>
    <mergeCell ref="AJ5:AL5"/>
    <mergeCell ref="AM5:AO5"/>
    <mergeCell ref="B3:N5"/>
    <mergeCell ref="O3:AI3"/>
    <mergeCell ref="AJ3:BD3"/>
    <mergeCell ref="O4:Z4"/>
    <mergeCell ref="AA4:AI4"/>
    <mergeCell ref="AJ4:AU4"/>
    <mergeCell ref="AV4:BD4"/>
    <mergeCell ref="O5:Q5"/>
    <mergeCell ref="R5:T5"/>
    <mergeCell ref="U5:W5"/>
  </mergeCells>
  <dataValidations count="1">
    <dataValidation type="whole" allowBlank="1" showErrorMessage="1" errorTitle="GJHSP SY 2022-2023" error="Please enter valid number between 0-20,000." sqref="O7:W18 AA7:AF18 AJ7:AR18 AV7:BA18 O20:W27 AA20:AF27" xr:uid="{A676497A-D890-4F8E-8265-0B46988EB97D}">
      <formula1>0</formula1>
      <formula2>20000</formula2>
    </dataValidation>
  </dataValidations>
  <printOptions horizontalCentered="1" verticalCentered="1"/>
  <pageMargins left="0.25" right="0.25" top="0.2" bottom="0.2" header="0" footer="0.1"/>
  <pageSetup paperSize="9" scale="57" orientation="landscape" r:id="rId1"/>
  <headerFooter alignWithMargins="0">
    <oddFooter>&amp;L&amp;10&amp;F &amp;A&amp;R&amp;10Page 6 of 63</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111C1-F828-48D8-93DE-6CF02CAFBC6C}">
  <sheetPr codeName="Sheet8">
    <pageSetUpPr fitToPage="1"/>
  </sheetPr>
  <dimension ref="B1:BS50"/>
  <sheetViews>
    <sheetView showGridLines="0" zoomScaleNormal="100" workbookViewId="0">
      <selection activeCell="C30" sqref="C30:BD30"/>
    </sheetView>
  </sheetViews>
  <sheetFormatPr defaultRowHeight="15.5" x14ac:dyDescent="0.35"/>
  <cols>
    <col min="1" max="1" width="2.08203125" style="44" customWidth="1"/>
    <col min="2" max="56" width="3.58203125" style="44" customWidth="1"/>
    <col min="57" max="57" width="2.08203125" style="44" customWidth="1"/>
    <col min="58" max="70" width="3.58203125" style="44" customWidth="1"/>
    <col min="71" max="73" width="7.08203125" style="44" customWidth="1"/>
    <col min="74" max="245" width="3.58203125" style="44" customWidth="1"/>
    <col min="246" max="257" width="8.6640625" style="44"/>
    <col min="258" max="258" width="1.6640625" style="44" customWidth="1"/>
    <col min="259" max="295" width="5.58203125" style="44" customWidth="1"/>
    <col min="296" max="298" width="6.6640625" style="44" customWidth="1"/>
    <col min="299" max="317" width="3.58203125" style="44" customWidth="1"/>
    <col min="318" max="329" width="7.08203125" style="44" customWidth="1"/>
    <col min="330" max="501" width="3.58203125" style="44" customWidth="1"/>
    <col min="502" max="513" width="8.6640625" style="44"/>
    <col min="514" max="514" width="1.6640625" style="44" customWidth="1"/>
    <col min="515" max="551" width="5.58203125" style="44" customWidth="1"/>
    <col min="552" max="554" width="6.6640625" style="44" customWidth="1"/>
    <col min="555" max="573" width="3.58203125" style="44" customWidth="1"/>
    <col min="574" max="585" width="7.08203125" style="44" customWidth="1"/>
    <col min="586" max="757" width="3.58203125" style="44" customWidth="1"/>
    <col min="758" max="769" width="8.6640625" style="44"/>
    <col min="770" max="770" width="1.6640625" style="44" customWidth="1"/>
    <col min="771" max="807" width="5.58203125" style="44" customWidth="1"/>
    <col min="808" max="810" width="6.6640625" style="44" customWidth="1"/>
    <col min="811" max="829" width="3.58203125" style="44" customWidth="1"/>
    <col min="830" max="841" width="7.08203125" style="44" customWidth="1"/>
    <col min="842" max="1013" width="3.58203125" style="44" customWidth="1"/>
    <col min="1014" max="1025" width="8.6640625" style="44"/>
    <col min="1026" max="1026" width="1.6640625" style="44" customWidth="1"/>
    <col min="1027" max="1063" width="5.58203125" style="44" customWidth="1"/>
    <col min="1064" max="1066" width="6.6640625" style="44" customWidth="1"/>
    <col min="1067" max="1085" width="3.58203125" style="44" customWidth="1"/>
    <col min="1086" max="1097" width="7.08203125" style="44" customWidth="1"/>
    <col min="1098" max="1269" width="3.58203125" style="44" customWidth="1"/>
    <col min="1270" max="1281" width="8.6640625" style="44"/>
    <col min="1282" max="1282" width="1.6640625" style="44" customWidth="1"/>
    <col min="1283" max="1319" width="5.58203125" style="44" customWidth="1"/>
    <col min="1320" max="1322" width="6.6640625" style="44" customWidth="1"/>
    <col min="1323" max="1341" width="3.58203125" style="44" customWidth="1"/>
    <col min="1342" max="1353" width="7.08203125" style="44" customWidth="1"/>
    <col min="1354" max="1525" width="3.58203125" style="44" customWidth="1"/>
    <col min="1526" max="1537" width="8.6640625" style="44"/>
    <col min="1538" max="1538" width="1.6640625" style="44" customWidth="1"/>
    <col min="1539" max="1575" width="5.58203125" style="44" customWidth="1"/>
    <col min="1576" max="1578" width="6.6640625" style="44" customWidth="1"/>
    <col min="1579" max="1597" width="3.58203125" style="44" customWidth="1"/>
    <col min="1598" max="1609" width="7.08203125" style="44" customWidth="1"/>
    <col min="1610" max="1781" width="3.58203125" style="44" customWidth="1"/>
    <col min="1782" max="1793" width="8.6640625" style="44"/>
    <col min="1794" max="1794" width="1.6640625" style="44" customWidth="1"/>
    <col min="1795" max="1831" width="5.58203125" style="44" customWidth="1"/>
    <col min="1832" max="1834" width="6.6640625" style="44" customWidth="1"/>
    <col min="1835" max="1853" width="3.58203125" style="44" customWidth="1"/>
    <col min="1854" max="1865" width="7.08203125" style="44" customWidth="1"/>
    <col min="1866" max="2037" width="3.58203125" style="44" customWidth="1"/>
    <col min="2038" max="2049" width="8.6640625" style="44"/>
    <col min="2050" max="2050" width="1.6640625" style="44" customWidth="1"/>
    <col min="2051" max="2087" width="5.58203125" style="44" customWidth="1"/>
    <col min="2088" max="2090" width="6.6640625" style="44" customWidth="1"/>
    <col min="2091" max="2109" width="3.58203125" style="44" customWidth="1"/>
    <col min="2110" max="2121" width="7.08203125" style="44" customWidth="1"/>
    <col min="2122" max="2293" width="3.58203125" style="44" customWidth="1"/>
    <col min="2294" max="2305" width="8.6640625" style="44"/>
    <col min="2306" max="2306" width="1.6640625" style="44" customWidth="1"/>
    <col min="2307" max="2343" width="5.58203125" style="44" customWidth="1"/>
    <col min="2344" max="2346" width="6.6640625" style="44" customWidth="1"/>
    <col min="2347" max="2365" width="3.58203125" style="44" customWidth="1"/>
    <col min="2366" max="2377" width="7.08203125" style="44" customWidth="1"/>
    <col min="2378" max="2549" width="3.58203125" style="44" customWidth="1"/>
    <col min="2550" max="2561" width="8.6640625" style="44"/>
    <col min="2562" max="2562" width="1.6640625" style="44" customWidth="1"/>
    <col min="2563" max="2599" width="5.58203125" style="44" customWidth="1"/>
    <col min="2600" max="2602" width="6.6640625" style="44" customWidth="1"/>
    <col min="2603" max="2621" width="3.58203125" style="44" customWidth="1"/>
    <col min="2622" max="2633" width="7.08203125" style="44" customWidth="1"/>
    <col min="2634" max="2805" width="3.58203125" style="44" customWidth="1"/>
    <col min="2806" max="2817" width="8.6640625" style="44"/>
    <col min="2818" max="2818" width="1.6640625" style="44" customWidth="1"/>
    <col min="2819" max="2855" width="5.58203125" style="44" customWidth="1"/>
    <col min="2856" max="2858" width="6.6640625" style="44" customWidth="1"/>
    <col min="2859" max="2877" width="3.58203125" style="44" customWidth="1"/>
    <col min="2878" max="2889" width="7.08203125" style="44" customWidth="1"/>
    <col min="2890" max="3061" width="3.58203125" style="44" customWidth="1"/>
    <col min="3062" max="3073" width="8.6640625" style="44"/>
    <col min="3074" max="3074" width="1.6640625" style="44" customWidth="1"/>
    <col min="3075" max="3111" width="5.58203125" style="44" customWidth="1"/>
    <col min="3112" max="3114" width="6.6640625" style="44" customWidth="1"/>
    <col min="3115" max="3133" width="3.58203125" style="44" customWidth="1"/>
    <col min="3134" max="3145" width="7.08203125" style="44" customWidth="1"/>
    <col min="3146" max="3317" width="3.58203125" style="44" customWidth="1"/>
    <col min="3318" max="3329" width="8.6640625" style="44"/>
    <col min="3330" max="3330" width="1.6640625" style="44" customWidth="1"/>
    <col min="3331" max="3367" width="5.58203125" style="44" customWidth="1"/>
    <col min="3368" max="3370" width="6.6640625" style="44" customWidth="1"/>
    <col min="3371" max="3389" width="3.58203125" style="44" customWidth="1"/>
    <col min="3390" max="3401" width="7.08203125" style="44" customWidth="1"/>
    <col min="3402" max="3573" width="3.58203125" style="44" customWidth="1"/>
    <col min="3574" max="3585" width="8.6640625" style="44"/>
    <col min="3586" max="3586" width="1.6640625" style="44" customWidth="1"/>
    <col min="3587" max="3623" width="5.58203125" style="44" customWidth="1"/>
    <col min="3624" max="3626" width="6.6640625" style="44" customWidth="1"/>
    <col min="3627" max="3645" width="3.58203125" style="44" customWidth="1"/>
    <col min="3646" max="3657" width="7.08203125" style="44" customWidth="1"/>
    <col min="3658" max="3829" width="3.58203125" style="44" customWidth="1"/>
    <col min="3830" max="3841" width="8.6640625" style="44"/>
    <col min="3842" max="3842" width="1.6640625" style="44" customWidth="1"/>
    <col min="3843" max="3879" width="5.58203125" style="44" customWidth="1"/>
    <col min="3880" max="3882" width="6.6640625" style="44" customWidth="1"/>
    <col min="3883" max="3901" width="3.58203125" style="44" customWidth="1"/>
    <col min="3902" max="3913" width="7.08203125" style="44" customWidth="1"/>
    <col min="3914" max="4085" width="3.58203125" style="44" customWidth="1"/>
    <col min="4086" max="4097" width="8.6640625" style="44"/>
    <col min="4098" max="4098" width="1.6640625" style="44" customWidth="1"/>
    <col min="4099" max="4135" width="5.58203125" style="44" customWidth="1"/>
    <col min="4136" max="4138" width="6.6640625" style="44" customWidth="1"/>
    <col min="4139" max="4157" width="3.58203125" style="44" customWidth="1"/>
    <col min="4158" max="4169" width="7.08203125" style="44" customWidth="1"/>
    <col min="4170" max="4341" width="3.58203125" style="44" customWidth="1"/>
    <col min="4342" max="4353" width="8.6640625" style="44"/>
    <col min="4354" max="4354" width="1.6640625" style="44" customWidth="1"/>
    <col min="4355" max="4391" width="5.58203125" style="44" customWidth="1"/>
    <col min="4392" max="4394" width="6.6640625" style="44" customWidth="1"/>
    <col min="4395" max="4413" width="3.58203125" style="44" customWidth="1"/>
    <col min="4414" max="4425" width="7.08203125" style="44" customWidth="1"/>
    <col min="4426" max="4597" width="3.58203125" style="44" customWidth="1"/>
    <col min="4598" max="4609" width="8.6640625" style="44"/>
    <col min="4610" max="4610" width="1.6640625" style="44" customWidth="1"/>
    <col min="4611" max="4647" width="5.58203125" style="44" customWidth="1"/>
    <col min="4648" max="4650" width="6.6640625" style="44" customWidth="1"/>
    <col min="4651" max="4669" width="3.58203125" style="44" customWidth="1"/>
    <col min="4670" max="4681" width="7.08203125" style="44" customWidth="1"/>
    <col min="4682" max="4853" width="3.58203125" style="44" customWidth="1"/>
    <col min="4854" max="4865" width="8.6640625" style="44"/>
    <col min="4866" max="4866" width="1.6640625" style="44" customWidth="1"/>
    <col min="4867" max="4903" width="5.58203125" style="44" customWidth="1"/>
    <col min="4904" max="4906" width="6.6640625" style="44" customWidth="1"/>
    <col min="4907" max="4925" width="3.58203125" style="44" customWidth="1"/>
    <col min="4926" max="4937" width="7.08203125" style="44" customWidth="1"/>
    <col min="4938" max="5109" width="3.58203125" style="44" customWidth="1"/>
    <col min="5110" max="5121" width="8.6640625" style="44"/>
    <col min="5122" max="5122" width="1.6640625" style="44" customWidth="1"/>
    <col min="5123" max="5159" width="5.58203125" style="44" customWidth="1"/>
    <col min="5160" max="5162" width="6.6640625" style="44" customWidth="1"/>
    <col min="5163" max="5181" width="3.58203125" style="44" customWidth="1"/>
    <col min="5182" max="5193" width="7.08203125" style="44" customWidth="1"/>
    <col min="5194" max="5365" width="3.58203125" style="44" customWidth="1"/>
    <col min="5366" max="5377" width="8.6640625" style="44"/>
    <col min="5378" max="5378" width="1.6640625" style="44" customWidth="1"/>
    <col min="5379" max="5415" width="5.58203125" style="44" customWidth="1"/>
    <col min="5416" max="5418" width="6.6640625" style="44" customWidth="1"/>
    <col min="5419" max="5437" width="3.58203125" style="44" customWidth="1"/>
    <col min="5438" max="5449" width="7.08203125" style="44" customWidth="1"/>
    <col min="5450" max="5621" width="3.58203125" style="44" customWidth="1"/>
    <col min="5622" max="5633" width="8.6640625" style="44"/>
    <col min="5634" max="5634" width="1.6640625" style="44" customWidth="1"/>
    <col min="5635" max="5671" width="5.58203125" style="44" customWidth="1"/>
    <col min="5672" max="5674" width="6.6640625" style="44" customWidth="1"/>
    <col min="5675" max="5693" width="3.58203125" style="44" customWidth="1"/>
    <col min="5694" max="5705" width="7.08203125" style="44" customWidth="1"/>
    <col min="5706" max="5877" width="3.58203125" style="44" customWidth="1"/>
    <col min="5878" max="5889" width="8.6640625" style="44"/>
    <col min="5890" max="5890" width="1.6640625" style="44" customWidth="1"/>
    <col min="5891" max="5927" width="5.58203125" style="44" customWidth="1"/>
    <col min="5928" max="5930" width="6.6640625" style="44" customWidth="1"/>
    <col min="5931" max="5949" width="3.58203125" style="44" customWidth="1"/>
    <col min="5950" max="5961" width="7.08203125" style="44" customWidth="1"/>
    <col min="5962" max="6133" width="3.58203125" style="44" customWidth="1"/>
    <col min="6134" max="6145" width="8.6640625" style="44"/>
    <col min="6146" max="6146" width="1.6640625" style="44" customWidth="1"/>
    <col min="6147" max="6183" width="5.58203125" style="44" customWidth="1"/>
    <col min="6184" max="6186" width="6.6640625" style="44" customWidth="1"/>
    <col min="6187" max="6205" width="3.58203125" style="44" customWidth="1"/>
    <col min="6206" max="6217" width="7.08203125" style="44" customWidth="1"/>
    <col min="6218" max="6389" width="3.58203125" style="44" customWidth="1"/>
    <col min="6390" max="6401" width="8.6640625" style="44"/>
    <col min="6402" max="6402" width="1.6640625" style="44" customWidth="1"/>
    <col min="6403" max="6439" width="5.58203125" style="44" customWidth="1"/>
    <col min="6440" max="6442" width="6.6640625" style="44" customWidth="1"/>
    <col min="6443" max="6461" width="3.58203125" style="44" customWidth="1"/>
    <col min="6462" max="6473" width="7.08203125" style="44" customWidth="1"/>
    <col min="6474" max="6645" width="3.58203125" style="44" customWidth="1"/>
    <col min="6646" max="6657" width="8.6640625" style="44"/>
    <col min="6658" max="6658" width="1.6640625" style="44" customWidth="1"/>
    <col min="6659" max="6695" width="5.58203125" style="44" customWidth="1"/>
    <col min="6696" max="6698" width="6.6640625" style="44" customWidth="1"/>
    <col min="6699" max="6717" width="3.58203125" style="44" customWidth="1"/>
    <col min="6718" max="6729" width="7.08203125" style="44" customWidth="1"/>
    <col min="6730" max="6901" width="3.58203125" style="44" customWidth="1"/>
    <col min="6902" max="6913" width="8.6640625" style="44"/>
    <col min="6914" max="6914" width="1.6640625" style="44" customWidth="1"/>
    <col min="6915" max="6951" width="5.58203125" style="44" customWidth="1"/>
    <col min="6952" max="6954" width="6.6640625" style="44" customWidth="1"/>
    <col min="6955" max="6973" width="3.58203125" style="44" customWidth="1"/>
    <col min="6974" max="6985" width="7.08203125" style="44" customWidth="1"/>
    <col min="6986" max="7157" width="3.58203125" style="44" customWidth="1"/>
    <col min="7158" max="7169" width="8.6640625" style="44"/>
    <col min="7170" max="7170" width="1.6640625" style="44" customWidth="1"/>
    <col min="7171" max="7207" width="5.58203125" style="44" customWidth="1"/>
    <col min="7208" max="7210" width="6.6640625" style="44" customWidth="1"/>
    <col min="7211" max="7229" width="3.58203125" style="44" customWidth="1"/>
    <col min="7230" max="7241" width="7.08203125" style="44" customWidth="1"/>
    <col min="7242" max="7413" width="3.58203125" style="44" customWidth="1"/>
    <col min="7414" max="7425" width="8.6640625" style="44"/>
    <col min="7426" max="7426" width="1.6640625" style="44" customWidth="1"/>
    <col min="7427" max="7463" width="5.58203125" style="44" customWidth="1"/>
    <col min="7464" max="7466" width="6.6640625" style="44" customWidth="1"/>
    <col min="7467" max="7485" width="3.58203125" style="44" customWidth="1"/>
    <col min="7486" max="7497" width="7.08203125" style="44" customWidth="1"/>
    <col min="7498" max="7669" width="3.58203125" style="44" customWidth="1"/>
    <col min="7670" max="7681" width="8.6640625" style="44"/>
    <col min="7682" max="7682" width="1.6640625" style="44" customWidth="1"/>
    <col min="7683" max="7719" width="5.58203125" style="44" customWidth="1"/>
    <col min="7720" max="7722" width="6.6640625" style="44" customWidth="1"/>
    <col min="7723" max="7741" width="3.58203125" style="44" customWidth="1"/>
    <col min="7742" max="7753" width="7.08203125" style="44" customWidth="1"/>
    <col min="7754" max="7925" width="3.58203125" style="44" customWidth="1"/>
    <col min="7926" max="7937" width="8.6640625" style="44"/>
    <col min="7938" max="7938" width="1.6640625" style="44" customWidth="1"/>
    <col min="7939" max="7975" width="5.58203125" style="44" customWidth="1"/>
    <col min="7976" max="7978" width="6.6640625" style="44" customWidth="1"/>
    <col min="7979" max="7997" width="3.58203125" style="44" customWidth="1"/>
    <col min="7998" max="8009" width="7.08203125" style="44" customWidth="1"/>
    <col min="8010" max="8181" width="3.58203125" style="44" customWidth="1"/>
    <col min="8182" max="8193" width="8.6640625" style="44"/>
    <col min="8194" max="8194" width="1.6640625" style="44" customWidth="1"/>
    <col min="8195" max="8231" width="5.58203125" style="44" customWidth="1"/>
    <col min="8232" max="8234" width="6.6640625" style="44" customWidth="1"/>
    <col min="8235" max="8253" width="3.58203125" style="44" customWidth="1"/>
    <col min="8254" max="8265" width="7.08203125" style="44" customWidth="1"/>
    <col min="8266" max="8437" width="3.58203125" style="44" customWidth="1"/>
    <col min="8438" max="8449" width="8.6640625" style="44"/>
    <col min="8450" max="8450" width="1.6640625" style="44" customWidth="1"/>
    <col min="8451" max="8487" width="5.58203125" style="44" customWidth="1"/>
    <col min="8488" max="8490" width="6.6640625" style="44" customWidth="1"/>
    <col min="8491" max="8509" width="3.58203125" style="44" customWidth="1"/>
    <col min="8510" max="8521" width="7.08203125" style="44" customWidth="1"/>
    <col min="8522" max="8693" width="3.58203125" style="44" customWidth="1"/>
    <col min="8694" max="8705" width="8.6640625" style="44"/>
    <col min="8706" max="8706" width="1.6640625" style="44" customWidth="1"/>
    <col min="8707" max="8743" width="5.58203125" style="44" customWidth="1"/>
    <col min="8744" max="8746" width="6.6640625" style="44" customWidth="1"/>
    <col min="8747" max="8765" width="3.58203125" style="44" customWidth="1"/>
    <col min="8766" max="8777" width="7.08203125" style="44" customWidth="1"/>
    <col min="8778" max="8949" width="3.58203125" style="44" customWidth="1"/>
    <col min="8950" max="8961" width="8.6640625" style="44"/>
    <col min="8962" max="8962" width="1.6640625" style="44" customWidth="1"/>
    <col min="8963" max="8999" width="5.58203125" style="44" customWidth="1"/>
    <col min="9000" max="9002" width="6.6640625" style="44" customWidth="1"/>
    <col min="9003" max="9021" width="3.58203125" style="44" customWidth="1"/>
    <col min="9022" max="9033" width="7.08203125" style="44" customWidth="1"/>
    <col min="9034" max="9205" width="3.58203125" style="44" customWidth="1"/>
    <col min="9206" max="9217" width="8.6640625" style="44"/>
    <col min="9218" max="9218" width="1.6640625" style="44" customWidth="1"/>
    <col min="9219" max="9255" width="5.58203125" style="44" customWidth="1"/>
    <col min="9256" max="9258" width="6.6640625" style="44" customWidth="1"/>
    <col min="9259" max="9277" width="3.58203125" style="44" customWidth="1"/>
    <col min="9278" max="9289" width="7.08203125" style="44" customWidth="1"/>
    <col min="9290" max="9461" width="3.58203125" style="44" customWidth="1"/>
    <col min="9462" max="9473" width="8.6640625" style="44"/>
    <col min="9474" max="9474" width="1.6640625" style="44" customWidth="1"/>
    <col min="9475" max="9511" width="5.58203125" style="44" customWidth="1"/>
    <col min="9512" max="9514" width="6.6640625" style="44" customWidth="1"/>
    <col min="9515" max="9533" width="3.58203125" style="44" customWidth="1"/>
    <col min="9534" max="9545" width="7.08203125" style="44" customWidth="1"/>
    <col min="9546" max="9717" width="3.58203125" style="44" customWidth="1"/>
    <col min="9718" max="9729" width="8.6640625" style="44"/>
    <col min="9730" max="9730" width="1.6640625" style="44" customWidth="1"/>
    <col min="9731" max="9767" width="5.58203125" style="44" customWidth="1"/>
    <col min="9768" max="9770" width="6.6640625" style="44" customWidth="1"/>
    <col min="9771" max="9789" width="3.58203125" style="44" customWidth="1"/>
    <col min="9790" max="9801" width="7.08203125" style="44" customWidth="1"/>
    <col min="9802" max="9973" width="3.58203125" style="44" customWidth="1"/>
    <col min="9974" max="9985" width="8.6640625" style="44"/>
    <col min="9986" max="9986" width="1.6640625" style="44" customWidth="1"/>
    <col min="9987" max="10023" width="5.58203125" style="44" customWidth="1"/>
    <col min="10024" max="10026" width="6.6640625" style="44" customWidth="1"/>
    <col min="10027" max="10045" width="3.58203125" style="44" customWidth="1"/>
    <col min="10046" max="10057" width="7.08203125" style="44" customWidth="1"/>
    <col min="10058" max="10229" width="3.58203125" style="44" customWidth="1"/>
    <col min="10230" max="10241" width="8.6640625" style="44"/>
    <col min="10242" max="10242" width="1.6640625" style="44" customWidth="1"/>
    <col min="10243" max="10279" width="5.58203125" style="44" customWidth="1"/>
    <col min="10280" max="10282" width="6.6640625" style="44" customWidth="1"/>
    <col min="10283" max="10301" width="3.58203125" style="44" customWidth="1"/>
    <col min="10302" max="10313" width="7.08203125" style="44" customWidth="1"/>
    <col min="10314" max="10485" width="3.58203125" style="44" customWidth="1"/>
    <col min="10486" max="10497" width="8.6640625" style="44"/>
    <col min="10498" max="10498" width="1.6640625" style="44" customWidth="1"/>
    <col min="10499" max="10535" width="5.58203125" style="44" customWidth="1"/>
    <col min="10536" max="10538" width="6.6640625" style="44" customWidth="1"/>
    <col min="10539" max="10557" width="3.58203125" style="44" customWidth="1"/>
    <col min="10558" max="10569" width="7.08203125" style="44" customWidth="1"/>
    <col min="10570" max="10741" width="3.58203125" style="44" customWidth="1"/>
    <col min="10742" max="10753" width="8.6640625" style="44"/>
    <col min="10754" max="10754" width="1.6640625" style="44" customWidth="1"/>
    <col min="10755" max="10791" width="5.58203125" style="44" customWidth="1"/>
    <col min="10792" max="10794" width="6.6640625" style="44" customWidth="1"/>
    <col min="10795" max="10813" width="3.58203125" style="44" customWidth="1"/>
    <col min="10814" max="10825" width="7.08203125" style="44" customWidth="1"/>
    <col min="10826" max="10997" width="3.58203125" style="44" customWidth="1"/>
    <col min="10998" max="11009" width="8.6640625" style="44"/>
    <col min="11010" max="11010" width="1.6640625" style="44" customWidth="1"/>
    <col min="11011" max="11047" width="5.58203125" style="44" customWidth="1"/>
    <col min="11048" max="11050" width="6.6640625" style="44" customWidth="1"/>
    <col min="11051" max="11069" width="3.58203125" style="44" customWidth="1"/>
    <col min="11070" max="11081" width="7.08203125" style="44" customWidth="1"/>
    <col min="11082" max="11253" width="3.58203125" style="44" customWidth="1"/>
    <col min="11254" max="11265" width="8.6640625" style="44"/>
    <col min="11266" max="11266" width="1.6640625" style="44" customWidth="1"/>
    <col min="11267" max="11303" width="5.58203125" style="44" customWidth="1"/>
    <col min="11304" max="11306" width="6.6640625" style="44" customWidth="1"/>
    <col min="11307" max="11325" width="3.58203125" style="44" customWidth="1"/>
    <col min="11326" max="11337" width="7.08203125" style="44" customWidth="1"/>
    <col min="11338" max="11509" width="3.58203125" style="44" customWidth="1"/>
    <col min="11510" max="11521" width="8.6640625" style="44"/>
    <col min="11522" max="11522" width="1.6640625" style="44" customWidth="1"/>
    <col min="11523" max="11559" width="5.58203125" style="44" customWidth="1"/>
    <col min="11560" max="11562" width="6.6640625" style="44" customWidth="1"/>
    <col min="11563" max="11581" width="3.58203125" style="44" customWidth="1"/>
    <col min="11582" max="11593" width="7.08203125" style="44" customWidth="1"/>
    <col min="11594" max="11765" width="3.58203125" style="44" customWidth="1"/>
    <col min="11766" max="11777" width="8.6640625" style="44"/>
    <col min="11778" max="11778" width="1.6640625" style="44" customWidth="1"/>
    <col min="11779" max="11815" width="5.58203125" style="44" customWidth="1"/>
    <col min="11816" max="11818" width="6.6640625" style="44" customWidth="1"/>
    <col min="11819" max="11837" width="3.58203125" style="44" customWidth="1"/>
    <col min="11838" max="11849" width="7.08203125" style="44" customWidth="1"/>
    <col min="11850" max="12021" width="3.58203125" style="44" customWidth="1"/>
    <col min="12022" max="12033" width="8.6640625" style="44"/>
    <col min="12034" max="12034" width="1.6640625" style="44" customWidth="1"/>
    <col min="12035" max="12071" width="5.58203125" style="44" customWidth="1"/>
    <col min="12072" max="12074" width="6.6640625" style="44" customWidth="1"/>
    <col min="12075" max="12093" width="3.58203125" style="44" customWidth="1"/>
    <col min="12094" max="12105" width="7.08203125" style="44" customWidth="1"/>
    <col min="12106" max="12277" width="3.58203125" style="44" customWidth="1"/>
    <col min="12278" max="12289" width="8.6640625" style="44"/>
    <col min="12290" max="12290" width="1.6640625" style="44" customWidth="1"/>
    <col min="12291" max="12327" width="5.58203125" style="44" customWidth="1"/>
    <col min="12328" max="12330" width="6.6640625" style="44" customWidth="1"/>
    <col min="12331" max="12349" width="3.58203125" style="44" customWidth="1"/>
    <col min="12350" max="12361" width="7.08203125" style="44" customWidth="1"/>
    <col min="12362" max="12533" width="3.58203125" style="44" customWidth="1"/>
    <col min="12534" max="12545" width="8.6640625" style="44"/>
    <col min="12546" max="12546" width="1.6640625" style="44" customWidth="1"/>
    <col min="12547" max="12583" width="5.58203125" style="44" customWidth="1"/>
    <col min="12584" max="12586" width="6.6640625" style="44" customWidth="1"/>
    <col min="12587" max="12605" width="3.58203125" style="44" customWidth="1"/>
    <col min="12606" max="12617" width="7.08203125" style="44" customWidth="1"/>
    <col min="12618" max="12789" width="3.58203125" style="44" customWidth="1"/>
    <col min="12790" max="12801" width="8.6640625" style="44"/>
    <col min="12802" max="12802" width="1.6640625" style="44" customWidth="1"/>
    <col min="12803" max="12839" width="5.58203125" style="44" customWidth="1"/>
    <col min="12840" max="12842" width="6.6640625" style="44" customWidth="1"/>
    <col min="12843" max="12861" width="3.58203125" style="44" customWidth="1"/>
    <col min="12862" max="12873" width="7.08203125" style="44" customWidth="1"/>
    <col min="12874" max="13045" width="3.58203125" style="44" customWidth="1"/>
    <col min="13046" max="13057" width="8.6640625" style="44"/>
    <col min="13058" max="13058" width="1.6640625" style="44" customWidth="1"/>
    <col min="13059" max="13095" width="5.58203125" style="44" customWidth="1"/>
    <col min="13096" max="13098" width="6.6640625" style="44" customWidth="1"/>
    <col min="13099" max="13117" width="3.58203125" style="44" customWidth="1"/>
    <col min="13118" max="13129" width="7.08203125" style="44" customWidth="1"/>
    <col min="13130" max="13301" width="3.58203125" style="44" customWidth="1"/>
    <col min="13302" max="13313" width="8.6640625" style="44"/>
    <col min="13314" max="13314" width="1.6640625" style="44" customWidth="1"/>
    <col min="13315" max="13351" width="5.58203125" style="44" customWidth="1"/>
    <col min="13352" max="13354" width="6.6640625" style="44" customWidth="1"/>
    <col min="13355" max="13373" width="3.58203125" style="44" customWidth="1"/>
    <col min="13374" max="13385" width="7.08203125" style="44" customWidth="1"/>
    <col min="13386" max="13557" width="3.58203125" style="44" customWidth="1"/>
    <col min="13558" max="13569" width="8.6640625" style="44"/>
    <col min="13570" max="13570" width="1.6640625" style="44" customWidth="1"/>
    <col min="13571" max="13607" width="5.58203125" style="44" customWidth="1"/>
    <col min="13608" max="13610" width="6.6640625" style="44" customWidth="1"/>
    <col min="13611" max="13629" width="3.58203125" style="44" customWidth="1"/>
    <col min="13630" max="13641" width="7.08203125" style="44" customWidth="1"/>
    <col min="13642" max="13813" width="3.58203125" style="44" customWidth="1"/>
    <col min="13814" max="13825" width="8.6640625" style="44"/>
    <col min="13826" max="13826" width="1.6640625" style="44" customWidth="1"/>
    <col min="13827" max="13863" width="5.58203125" style="44" customWidth="1"/>
    <col min="13864" max="13866" width="6.6640625" style="44" customWidth="1"/>
    <col min="13867" max="13885" width="3.58203125" style="44" customWidth="1"/>
    <col min="13886" max="13897" width="7.08203125" style="44" customWidth="1"/>
    <col min="13898" max="14069" width="3.58203125" style="44" customWidth="1"/>
    <col min="14070" max="14081" width="8.6640625" style="44"/>
    <col min="14082" max="14082" width="1.6640625" style="44" customWidth="1"/>
    <col min="14083" max="14119" width="5.58203125" style="44" customWidth="1"/>
    <col min="14120" max="14122" width="6.6640625" style="44" customWidth="1"/>
    <col min="14123" max="14141" width="3.58203125" style="44" customWidth="1"/>
    <col min="14142" max="14153" width="7.08203125" style="44" customWidth="1"/>
    <col min="14154" max="14325" width="3.58203125" style="44" customWidth="1"/>
    <col min="14326" max="14337" width="8.6640625" style="44"/>
    <col min="14338" max="14338" width="1.6640625" style="44" customWidth="1"/>
    <col min="14339" max="14375" width="5.58203125" style="44" customWidth="1"/>
    <col min="14376" max="14378" width="6.6640625" style="44" customWidth="1"/>
    <col min="14379" max="14397" width="3.58203125" style="44" customWidth="1"/>
    <col min="14398" max="14409" width="7.08203125" style="44" customWidth="1"/>
    <col min="14410" max="14581" width="3.58203125" style="44" customWidth="1"/>
    <col min="14582" max="14593" width="8.6640625" style="44"/>
    <col min="14594" max="14594" width="1.6640625" style="44" customWidth="1"/>
    <col min="14595" max="14631" width="5.58203125" style="44" customWidth="1"/>
    <col min="14632" max="14634" width="6.6640625" style="44" customWidth="1"/>
    <col min="14635" max="14653" width="3.58203125" style="44" customWidth="1"/>
    <col min="14654" max="14665" width="7.08203125" style="44" customWidth="1"/>
    <col min="14666" max="14837" width="3.58203125" style="44" customWidth="1"/>
    <col min="14838" max="14849" width="8.6640625" style="44"/>
    <col min="14850" max="14850" width="1.6640625" style="44" customWidth="1"/>
    <col min="14851" max="14887" width="5.58203125" style="44" customWidth="1"/>
    <col min="14888" max="14890" width="6.6640625" style="44" customWidth="1"/>
    <col min="14891" max="14909" width="3.58203125" style="44" customWidth="1"/>
    <col min="14910" max="14921" width="7.08203125" style="44" customWidth="1"/>
    <col min="14922" max="15093" width="3.58203125" style="44" customWidth="1"/>
    <col min="15094" max="15105" width="8.6640625" style="44"/>
    <col min="15106" max="15106" width="1.6640625" style="44" customWidth="1"/>
    <col min="15107" max="15143" width="5.58203125" style="44" customWidth="1"/>
    <col min="15144" max="15146" width="6.6640625" style="44" customWidth="1"/>
    <col min="15147" max="15165" width="3.58203125" style="44" customWidth="1"/>
    <col min="15166" max="15177" width="7.08203125" style="44" customWidth="1"/>
    <col min="15178" max="15349" width="3.58203125" style="44" customWidth="1"/>
    <col min="15350" max="15361" width="8.6640625" style="44"/>
    <col min="15362" max="15362" width="1.6640625" style="44" customWidth="1"/>
    <col min="15363" max="15399" width="5.58203125" style="44" customWidth="1"/>
    <col min="15400" max="15402" width="6.6640625" style="44" customWidth="1"/>
    <col min="15403" max="15421" width="3.58203125" style="44" customWidth="1"/>
    <col min="15422" max="15433" width="7.08203125" style="44" customWidth="1"/>
    <col min="15434" max="15605" width="3.58203125" style="44" customWidth="1"/>
    <col min="15606" max="15617" width="8.6640625" style="44"/>
    <col min="15618" max="15618" width="1.6640625" style="44" customWidth="1"/>
    <col min="15619" max="15655" width="5.58203125" style="44" customWidth="1"/>
    <col min="15656" max="15658" width="6.6640625" style="44" customWidth="1"/>
    <col min="15659" max="15677" width="3.58203125" style="44" customWidth="1"/>
    <col min="15678" max="15689" width="7.08203125" style="44" customWidth="1"/>
    <col min="15690" max="15861" width="3.58203125" style="44" customWidth="1"/>
    <col min="15862" max="15873" width="8.6640625" style="44"/>
    <col min="15874" max="15874" width="1.6640625" style="44" customWidth="1"/>
    <col min="15875" max="15911" width="5.58203125" style="44" customWidth="1"/>
    <col min="15912" max="15914" width="6.6640625" style="44" customWidth="1"/>
    <col min="15915" max="15933" width="3.58203125" style="44" customWidth="1"/>
    <col min="15934" max="15945" width="7.08203125" style="44" customWidth="1"/>
    <col min="15946" max="16117" width="3.58203125" style="44" customWidth="1"/>
    <col min="16118" max="16129" width="8.6640625" style="44"/>
    <col min="16130" max="16130" width="1.6640625" style="44" customWidth="1"/>
    <col min="16131" max="16167" width="5.58203125" style="44" customWidth="1"/>
    <col min="16168" max="16170" width="6.6640625" style="44" customWidth="1"/>
    <col min="16171" max="16189" width="3.58203125" style="44" customWidth="1"/>
    <col min="16190" max="16201" width="7.08203125" style="44" customWidth="1"/>
    <col min="16202" max="16373" width="3.58203125" style="44" customWidth="1"/>
    <col min="16374" max="16384" width="8.6640625" style="44"/>
  </cols>
  <sheetData>
    <row r="1" spans="2:71" ht="12" customHeight="1" x14ac:dyDescent="0.35"/>
    <row r="2" spans="2:71" s="157" customFormat="1" ht="17.149999999999999" customHeight="1" x14ac:dyDescent="0.3">
      <c r="B2" s="165" t="s">
        <v>1110</v>
      </c>
      <c r="C2" s="191"/>
      <c r="D2" s="191"/>
      <c r="E2" s="191"/>
      <c r="F2" s="191"/>
      <c r="G2" s="191"/>
      <c r="H2" s="191"/>
      <c r="I2" s="191"/>
      <c r="J2" s="191"/>
      <c r="K2" s="191"/>
      <c r="L2" s="191"/>
      <c r="M2" s="191"/>
      <c r="N2" s="191"/>
      <c r="O2" s="191"/>
      <c r="P2" s="191"/>
      <c r="Q2" s="191"/>
      <c r="R2" s="191"/>
      <c r="S2" s="191"/>
      <c r="T2" s="191"/>
      <c r="U2" s="191"/>
      <c r="V2" s="191"/>
      <c r="W2" s="191"/>
      <c r="X2" s="191"/>
      <c r="Y2" s="191"/>
      <c r="Z2" s="191"/>
      <c r="AA2" s="191"/>
      <c r="AB2" s="191"/>
      <c r="AC2" s="191"/>
      <c r="AD2" s="191"/>
      <c r="AE2" s="191"/>
      <c r="AF2" s="191"/>
      <c r="AG2" s="191"/>
      <c r="AH2" s="191"/>
      <c r="AI2" s="191"/>
      <c r="AJ2" s="191"/>
      <c r="AK2" s="191"/>
      <c r="AL2" s="191"/>
      <c r="AM2" s="191"/>
      <c r="AN2" s="191"/>
      <c r="AO2" s="191"/>
      <c r="AP2" s="191"/>
      <c r="AQ2" s="191"/>
      <c r="AR2" s="191"/>
      <c r="AS2" s="191"/>
      <c r="AT2" s="191"/>
      <c r="AU2" s="191"/>
      <c r="AV2" s="191"/>
      <c r="AW2" s="191"/>
      <c r="AX2" s="191"/>
      <c r="AY2" s="191"/>
      <c r="AZ2" s="192"/>
      <c r="BA2" s="192"/>
      <c r="BB2" s="192"/>
      <c r="BC2" s="192"/>
      <c r="BD2" s="192"/>
    </row>
    <row r="3" spans="2:71" s="157" customFormat="1" ht="8" customHeight="1" x14ac:dyDescent="0.3">
      <c r="B3" s="165"/>
      <c r="C3" s="191"/>
      <c r="D3" s="191"/>
      <c r="E3" s="191"/>
      <c r="F3" s="191"/>
      <c r="G3" s="191"/>
      <c r="H3" s="191"/>
      <c r="I3" s="191"/>
      <c r="J3" s="191"/>
      <c r="K3" s="191"/>
      <c r="L3" s="191"/>
      <c r="M3" s="191"/>
      <c r="N3" s="191"/>
      <c r="O3" s="191"/>
      <c r="P3" s="191"/>
      <c r="Q3" s="191"/>
      <c r="R3" s="191"/>
      <c r="S3" s="191"/>
      <c r="T3" s="191"/>
      <c r="U3" s="191"/>
      <c r="V3" s="191"/>
      <c r="W3" s="191"/>
      <c r="X3" s="191"/>
      <c r="Y3" s="191"/>
      <c r="Z3" s="191"/>
      <c r="AA3" s="191"/>
      <c r="AB3" s="191"/>
      <c r="AC3" s="191"/>
      <c r="AD3" s="191"/>
      <c r="AE3" s="191"/>
      <c r="AF3" s="191"/>
      <c r="AG3" s="191"/>
      <c r="AH3" s="191"/>
      <c r="AI3" s="191"/>
      <c r="AJ3" s="191"/>
      <c r="AK3" s="191"/>
      <c r="AL3" s="191"/>
      <c r="AM3" s="191"/>
      <c r="AN3" s="191"/>
      <c r="AO3" s="191"/>
      <c r="AP3" s="191"/>
      <c r="AQ3" s="191"/>
      <c r="AR3" s="191"/>
      <c r="AS3" s="191"/>
      <c r="AT3" s="191"/>
      <c r="AU3" s="191"/>
      <c r="AV3" s="191"/>
      <c r="AW3" s="191"/>
      <c r="AX3" s="191"/>
      <c r="AY3" s="191"/>
      <c r="AZ3" s="192"/>
      <c r="BA3" s="192"/>
      <c r="BB3" s="192"/>
      <c r="BC3" s="192"/>
      <c r="BD3" s="192"/>
    </row>
    <row r="4" spans="2:71" s="98" customFormat="1" x14ac:dyDescent="0.35">
      <c r="B4" s="153" t="s">
        <v>1106</v>
      </c>
      <c r="D4" s="154"/>
      <c r="E4" s="154"/>
      <c r="F4" s="154"/>
      <c r="G4" s="154"/>
      <c r="H4" s="154"/>
      <c r="I4" s="154"/>
      <c r="J4" s="154"/>
      <c r="K4" s="154"/>
      <c r="L4" s="154"/>
      <c r="M4" s="154"/>
      <c r="N4" s="154"/>
      <c r="O4" s="154"/>
      <c r="P4" s="154"/>
      <c r="Q4" s="154"/>
      <c r="R4" s="154"/>
      <c r="S4" s="154"/>
      <c r="T4" s="154"/>
      <c r="U4" s="154"/>
      <c r="V4" s="154"/>
      <c r="W4" s="154"/>
      <c r="X4" s="154"/>
      <c r="Y4" s="154"/>
      <c r="Z4" s="154"/>
      <c r="AA4" s="154"/>
      <c r="AB4" s="154"/>
      <c r="AC4" s="154"/>
      <c r="AD4" s="154"/>
      <c r="AE4" s="154"/>
      <c r="AF4" s="154"/>
      <c r="AG4" s="154"/>
      <c r="AH4" s="154"/>
      <c r="AI4" s="154"/>
      <c r="AJ4" s="154"/>
      <c r="AK4" s="154"/>
      <c r="AL4" s="154"/>
      <c r="AM4" s="154"/>
      <c r="AN4" s="154"/>
      <c r="AO4" s="154"/>
      <c r="AP4" s="154"/>
      <c r="AQ4" s="154"/>
      <c r="AR4" s="154"/>
      <c r="AS4" s="154"/>
      <c r="AT4" s="154"/>
      <c r="AU4" s="154"/>
      <c r="AV4" s="154"/>
      <c r="AW4" s="154"/>
      <c r="AX4" s="158"/>
      <c r="AY4" s="158"/>
      <c r="AZ4" s="158"/>
    </row>
    <row r="5" spans="2:71" s="98" customFormat="1" ht="31" customHeight="1" x14ac:dyDescent="0.35">
      <c r="B5" s="193" t="s">
        <v>150</v>
      </c>
      <c r="C5" s="1778" t="s">
        <v>1359</v>
      </c>
      <c r="D5" s="1778"/>
      <c r="E5" s="1778"/>
      <c r="F5" s="1778"/>
      <c r="G5" s="1778"/>
      <c r="H5" s="1778"/>
      <c r="I5" s="1778"/>
      <c r="J5" s="1778"/>
      <c r="K5" s="1778"/>
      <c r="L5" s="1778"/>
      <c r="M5" s="1778"/>
      <c r="N5" s="1778"/>
      <c r="O5" s="1778"/>
      <c r="P5" s="1778"/>
      <c r="Q5" s="1778"/>
      <c r="R5" s="1778"/>
      <c r="S5" s="1778"/>
      <c r="T5" s="1778"/>
      <c r="U5" s="1778"/>
      <c r="V5" s="1778"/>
      <c r="W5" s="1778"/>
      <c r="X5" s="1778"/>
      <c r="Y5" s="1778"/>
      <c r="Z5" s="1778"/>
      <c r="AA5" s="1778"/>
      <c r="AB5" s="1778"/>
      <c r="AC5" s="1778"/>
      <c r="AD5" s="1778"/>
      <c r="AE5" s="1778"/>
      <c r="AF5" s="1778"/>
      <c r="AG5" s="1778"/>
      <c r="AH5" s="1778"/>
      <c r="AI5" s="1778"/>
      <c r="AJ5" s="1778"/>
      <c r="AK5" s="1778"/>
      <c r="AL5" s="1778"/>
      <c r="AM5" s="1778"/>
      <c r="AN5" s="1778"/>
      <c r="AO5" s="1778"/>
      <c r="AP5" s="1778"/>
      <c r="AQ5" s="1778"/>
      <c r="AR5" s="1778"/>
      <c r="AS5" s="1778"/>
      <c r="AT5" s="1778"/>
      <c r="AU5" s="1778"/>
      <c r="AV5" s="1778"/>
      <c r="AW5" s="1778"/>
      <c r="AX5" s="1778"/>
      <c r="AY5" s="1778"/>
      <c r="AZ5" s="1778"/>
      <c r="BA5" s="1778"/>
      <c r="BB5" s="1778"/>
      <c r="BC5" s="1778"/>
      <c r="BD5" s="1778"/>
    </row>
    <row r="6" spans="2:71" s="98" customFormat="1" x14ac:dyDescent="0.35">
      <c r="B6" s="193" t="s">
        <v>151</v>
      </c>
      <c r="C6" s="1778" t="s">
        <v>1181</v>
      </c>
      <c r="D6" s="1778"/>
      <c r="E6" s="1778"/>
      <c r="F6" s="1778"/>
      <c r="G6" s="1778"/>
      <c r="H6" s="1778"/>
      <c r="I6" s="1778"/>
      <c r="J6" s="1778"/>
      <c r="K6" s="1778"/>
      <c r="L6" s="1778"/>
      <c r="M6" s="1778"/>
      <c r="N6" s="1778"/>
      <c r="O6" s="1778"/>
      <c r="P6" s="1778"/>
      <c r="Q6" s="1778"/>
      <c r="R6" s="1778"/>
      <c r="S6" s="1778"/>
      <c r="T6" s="1778"/>
      <c r="U6" s="1778"/>
      <c r="V6" s="1778"/>
      <c r="W6" s="1778"/>
      <c r="X6" s="1778"/>
      <c r="Y6" s="1778"/>
      <c r="Z6" s="1778"/>
      <c r="AA6" s="1778"/>
      <c r="AB6" s="1778"/>
      <c r="AC6" s="1778"/>
      <c r="AD6" s="1778"/>
      <c r="AE6" s="1778"/>
      <c r="AF6" s="1778"/>
      <c r="AG6" s="1778"/>
      <c r="AH6" s="1778"/>
      <c r="AI6" s="1778"/>
      <c r="AJ6" s="1778"/>
      <c r="AK6" s="1778"/>
      <c r="AL6" s="1778"/>
      <c r="AM6" s="1778"/>
      <c r="AN6" s="1778"/>
      <c r="AO6" s="1778"/>
      <c r="AP6" s="1778"/>
      <c r="AQ6" s="1778"/>
      <c r="AR6" s="1778"/>
      <c r="AS6" s="1778"/>
      <c r="AT6" s="1778"/>
      <c r="AU6" s="1778"/>
      <c r="AV6" s="1778"/>
      <c r="AW6" s="1778"/>
      <c r="AX6" s="1778"/>
      <c r="AY6" s="1778"/>
      <c r="AZ6" s="1778"/>
      <c r="BA6" s="1778"/>
      <c r="BB6" s="1778"/>
      <c r="BC6" s="1778"/>
      <c r="BD6" s="1778"/>
    </row>
    <row r="7" spans="2:71" s="157" customFormat="1" ht="8" customHeight="1" x14ac:dyDescent="0.3">
      <c r="B7" s="165"/>
      <c r="C7" s="191"/>
      <c r="D7" s="191"/>
      <c r="E7" s="191"/>
      <c r="F7" s="191"/>
      <c r="G7" s="191"/>
      <c r="H7" s="191"/>
      <c r="I7" s="191"/>
      <c r="J7" s="191"/>
      <c r="K7" s="191"/>
      <c r="L7" s="191"/>
      <c r="M7" s="191"/>
      <c r="N7" s="191"/>
      <c r="O7" s="191"/>
      <c r="P7" s="191"/>
      <c r="Q7" s="191"/>
      <c r="R7" s="191"/>
      <c r="S7" s="191"/>
      <c r="T7" s="191"/>
      <c r="U7" s="191"/>
      <c r="V7" s="191"/>
      <c r="W7" s="191"/>
      <c r="X7" s="191"/>
      <c r="Y7" s="191"/>
      <c r="Z7" s="191"/>
      <c r="AA7" s="191"/>
      <c r="AB7" s="191"/>
      <c r="AC7" s="191"/>
      <c r="AD7" s="191"/>
      <c r="AE7" s="191"/>
      <c r="AF7" s="191"/>
      <c r="AG7" s="191"/>
      <c r="AH7" s="191"/>
      <c r="AI7" s="191"/>
      <c r="AJ7" s="191"/>
      <c r="AK7" s="191"/>
      <c r="AL7" s="191"/>
      <c r="AM7" s="191"/>
      <c r="AN7" s="191"/>
      <c r="AO7" s="191"/>
      <c r="AP7" s="191"/>
      <c r="AQ7" s="191"/>
      <c r="AR7" s="191"/>
      <c r="AS7" s="191"/>
      <c r="AT7" s="191"/>
      <c r="AU7" s="191"/>
      <c r="AV7" s="191"/>
      <c r="AW7" s="191"/>
      <c r="AX7" s="191"/>
      <c r="AY7" s="191"/>
      <c r="AZ7" s="192"/>
      <c r="BA7" s="192"/>
      <c r="BB7" s="192"/>
      <c r="BC7" s="192"/>
      <c r="BD7" s="192"/>
    </row>
    <row r="8" spans="2:71" s="98" customFormat="1" x14ac:dyDescent="0.35">
      <c r="B8" s="194" t="s">
        <v>1327</v>
      </c>
      <c r="D8" s="195"/>
      <c r="E8" s="195"/>
      <c r="F8" s="195"/>
      <c r="G8" s="195"/>
      <c r="H8" s="195"/>
      <c r="I8" s="195"/>
      <c r="J8" s="195"/>
      <c r="K8" s="195"/>
      <c r="L8" s="195"/>
      <c r="M8" s="195"/>
      <c r="N8" s="195"/>
      <c r="O8" s="195"/>
      <c r="P8" s="195"/>
      <c r="Q8" s="195"/>
      <c r="R8" s="195"/>
      <c r="S8" s="195"/>
      <c r="T8" s="195"/>
      <c r="U8" s="195"/>
      <c r="V8" s="195"/>
      <c r="W8" s="195"/>
      <c r="X8" s="195"/>
      <c r="Y8" s="195"/>
      <c r="Z8" s="195"/>
      <c r="AA8" s="195"/>
      <c r="AB8" s="195"/>
      <c r="AC8" s="195"/>
      <c r="AD8" s="195"/>
      <c r="AE8" s="195"/>
      <c r="AF8" s="195"/>
      <c r="AG8" s="195"/>
      <c r="AH8" s="195"/>
      <c r="AI8" s="195"/>
      <c r="AJ8" s="196"/>
      <c r="AK8" s="196"/>
      <c r="AL8" s="196"/>
      <c r="AM8" s="196"/>
      <c r="AN8" s="197"/>
      <c r="AO8" s="197"/>
      <c r="AP8" s="197"/>
      <c r="AQ8" s="197"/>
      <c r="AR8" s="197"/>
      <c r="AS8" s="197"/>
      <c r="AT8" s="197"/>
      <c r="AU8" s="197"/>
      <c r="AV8" s="197"/>
      <c r="AW8" s="197"/>
      <c r="AX8" s="197"/>
      <c r="AY8" s="197"/>
      <c r="AZ8" s="197"/>
    </row>
    <row r="9" spans="2:71" s="173" customFormat="1" ht="31" customHeight="1" x14ac:dyDescent="0.35">
      <c r="B9" s="198" t="s">
        <v>150</v>
      </c>
      <c r="C9" s="1762" t="s">
        <v>1328</v>
      </c>
      <c r="D9" s="1762"/>
      <c r="E9" s="1762"/>
      <c r="F9" s="1762"/>
      <c r="G9" s="1762"/>
      <c r="H9" s="1762"/>
      <c r="I9" s="1762"/>
      <c r="J9" s="1762"/>
      <c r="K9" s="1762"/>
      <c r="L9" s="1762"/>
      <c r="M9" s="1762"/>
      <c r="N9" s="1762"/>
      <c r="O9" s="1762"/>
      <c r="P9" s="1762"/>
      <c r="Q9" s="1762"/>
      <c r="R9" s="1762"/>
      <c r="S9" s="1762"/>
      <c r="T9" s="1762"/>
      <c r="U9" s="1762"/>
      <c r="V9" s="1762"/>
      <c r="W9" s="1762"/>
      <c r="X9" s="1762"/>
      <c r="Y9" s="1762"/>
      <c r="Z9" s="1762"/>
      <c r="AA9" s="1762"/>
      <c r="AB9" s="1762"/>
      <c r="AC9" s="1762"/>
      <c r="AD9" s="1762"/>
      <c r="AE9" s="1762"/>
      <c r="AF9" s="1762"/>
      <c r="AG9" s="1762"/>
      <c r="AH9" s="1762"/>
      <c r="AI9" s="1762"/>
      <c r="AJ9" s="1762"/>
      <c r="AK9" s="1762"/>
      <c r="AL9" s="1762"/>
      <c r="AM9" s="1762"/>
      <c r="AN9" s="1762"/>
      <c r="AO9" s="1762"/>
      <c r="AP9" s="1762"/>
      <c r="AQ9" s="1762"/>
      <c r="AR9" s="1762"/>
      <c r="AS9" s="1762"/>
      <c r="AT9" s="1762"/>
      <c r="AU9" s="1762"/>
      <c r="AV9" s="1762"/>
      <c r="AW9" s="1762"/>
      <c r="AX9" s="1762"/>
      <c r="AY9" s="1762"/>
      <c r="AZ9" s="1762"/>
      <c r="BA9" s="1762"/>
      <c r="BB9" s="1762"/>
      <c r="BC9" s="1762"/>
      <c r="BD9" s="1762"/>
      <c r="BE9" s="199"/>
      <c r="BF9" s="199"/>
      <c r="BG9" s="199"/>
      <c r="BH9" s="199"/>
      <c r="BI9" s="199"/>
      <c r="BJ9" s="199"/>
      <c r="BK9" s="199"/>
      <c r="BL9" s="199"/>
      <c r="BM9" s="199"/>
      <c r="BN9" s="199"/>
      <c r="BO9" s="199"/>
      <c r="BP9" s="199"/>
      <c r="BQ9" s="199"/>
      <c r="BR9" s="199"/>
      <c r="BS9" s="199"/>
    </row>
    <row r="10" spans="2:71" s="200" customFormat="1" ht="15.5" customHeight="1" x14ac:dyDescent="0.35">
      <c r="B10" s="198" t="s">
        <v>151</v>
      </c>
      <c r="C10" s="1762" t="s">
        <v>1182</v>
      </c>
      <c r="D10" s="1762"/>
      <c r="E10" s="1762"/>
      <c r="F10" s="1762"/>
      <c r="G10" s="1762"/>
      <c r="H10" s="1762"/>
      <c r="I10" s="1762"/>
      <c r="J10" s="1762"/>
      <c r="K10" s="1762"/>
      <c r="L10" s="1762"/>
      <c r="M10" s="1762"/>
      <c r="N10" s="1762"/>
      <c r="O10" s="1762"/>
      <c r="P10" s="1762"/>
      <c r="Q10" s="1762"/>
      <c r="R10" s="1762"/>
      <c r="S10" s="1762"/>
      <c r="T10" s="1762"/>
      <c r="U10" s="1762"/>
      <c r="V10" s="1762"/>
      <c r="W10" s="1762"/>
      <c r="X10" s="1762"/>
      <c r="Y10" s="1762"/>
      <c r="Z10" s="1762"/>
      <c r="AA10" s="1762"/>
      <c r="AB10" s="1762"/>
      <c r="AC10" s="1762"/>
      <c r="AD10" s="1762"/>
      <c r="AE10" s="1762"/>
      <c r="AF10" s="1762"/>
      <c r="AG10" s="1762"/>
      <c r="AH10" s="1762"/>
      <c r="AI10" s="1762"/>
      <c r="AJ10" s="1762"/>
      <c r="AK10" s="1762"/>
      <c r="AL10" s="1762"/>
      <c r="AM10" s="1762"/>
      <c r="AN10" s="1762"/>
      <c r="AO10" s="1762"/>
      <c r="AP10" s="1762"/>
      <c r="AQ10" s="1762"/>
      <c r="AR10" s="1762"/>
      <c r="AS10" s="1762"/>
      <c r="AT10" s="1762"/>
      <c r="AU10" s="1762"/>
      <c r="AV10" s="1762"/>
      <c r="AW10" s="1762"/>
      <c r="AX10" s="1762"/>
      <c r="AY10" s="1762"/>
      <c r="AZ10" s="1762"/>
      <c r="BA10" s="1762"/>
      <c r="BB10" s="1762"/>
      <c r="BC10" s="1762"/>
      <c r="BD10" s="1762"/>
      <c r="BE10" s="199"/>
      <c r="BF10" s="199"/>
      <c r="BG10" s="199"/>
      <c r="BH10" s="199"/>
      <c r="BI10" s="199"/>
      <c r="BJ10" s="199"/>
      <c r="BK10" s="199"/>
      <c r="BL10" s="199"/>
      <c r="BM10" s="199"/>
      <c r="BN10" s="199"/>
      <c r="BO10" s="199"/>
      <c r="BP10" s="199"/>
      <c r="BQ10" s="199"/>
      <c r="BR10" s="199"/>
      <c r="BS10" s="199"/>
    </row>
    <row r="11" spans="2:71" s="173" customFormat="1" ht="15.5" customHeight="1" x14ac:dyDescent="0.35">
      <c r="B11" s="198" t="s">
        <v>152</v>
      </c>
      <c r="C11" s="1762" t="s">
        <v>1293</v>
      </c>
      <c r="D11" s="1762"/>
      <c r="E11" s="1762"/>
      <c r="F11" s="1762"/>
      <c r="G11" s="1762"/>
      <c r="H11" s="1762"/>
      <c r="I11" s="1762"/>
      <c r="J11" s="1762"/>
      <c r="K11" s="1762"/>
      <c r="L11" s="1762"/>
      <c r="M11" s="1762"/>
      <c r="N11" s="1762"/>
      <c r="O11" s="1762"/>
      <c r="P11" s="1762"/>
      <c r="Q11" s="1762"/>
      <c r="R11" s="1762"/>
      <c r="S11" s="1762"/>
      <c r="T11" s="1762"/>
      <c r="U11" s="1762"/>
      <c r="V11" s="1762"/>
      <c r="W11" s="1762"/>
      <c r="X11" s="1762"/>
      <c r="Y11" s="1762"/>
      <c r="Z11" s="1762"/>
      <c r="AA11" s="1762"/>
      <c r="AB11" s="1762"/>
      <c r="AC11" s="1762"/>
      <c r="AD11" s="1762"/>
      <c r="AE11" s="1762"/>
      <c r="AF11" s="1762"/>
      <c r="AG11" s="1762"/>
      <c r="AH11" s="1762"/>
      <c r="AI11" s="1762"/>
      <c r="AJ11" s="1762"/>
      <c r="AK11" s="1762"/>
      <c r="AL11" s="1762"/>
      <c r="AM11" s="1762"/>
      <c r="AN11" s="1762"/>
      <c r="AO11" s="1762"/>
      <c r="AP11" s="1762"/>
      <c r="AQ11" s="1762"/>
      <c r="AR11" s="1762"/>
      <c r="AS11" s="1762"/>
      <c r="AT11" s="1762"/>
      <c r="AU11" s="1762"/>
      <c r="AV11" s="1762"/>
      <c r="AW11" s="1762"/>
      <c r="AX11" s="1762"/>
      <c r="AY11" s="1762"/>
      <c r="AZ11" s="1762"/>
      <c r="BA11" s="1762"/>
      <c r="BB11" s="1762"/>
      <c r="BC11" s="1762"/>
      <c r="BD11" s="1762"/>
      <c r="BE11" s="199"/>
      <c r="BF11" s="199"/>
      <c r="BG11" s="199"/>
      <c r="BH11" s="199"/>
      <c r="BI11" s="199"/>
      <c r="BJ11" s="199"/>
      <c r="BK11" s="199"/>
      <c r="BL11" s="199"/>
      <c r="BM11" s="199"/>
      <c r="BN11" s="199"/>
      <c r="BO11" s="199"/>
      <c r="BP11" s="199"/>
      <c r="BQ11" s="199"/>
      <c r="BR11" s="199"/>
      <c r="BS11" s="199"/>
    </row>
    <row r="12" spans="2:71" s="173" customFormat="1" ht="15.5" customHeight="1" x14ac:dyDescent="0.35">
      <c r="B12" s="198" t="s">
        <v>155</v>
      </c>
      <c r="C12" s="1762" t="s">
        <v>1294</v>
      </c>
      <c r="D12" s="1762"/>
      <c r="E12" s="1762"/>
      <c r="F12" s="1762"/>
      <c r="G12" s="1762"/>
      <c r="H12" s="1762"/>
      <c r="I12" s="1762"/>
      <c r="J12" s="1762"/>
      <c r="K12" s="1762"/>
      <c r="L12" s="1762"/>
      <c r="M12" s="1762"/>
      <c r="N12" s="1762"/>
      <c r="O12" s="1762"/>
      <c r="P12" s="1762"/>
      <c r="Q12" s="1762"/>
      <c r="R12" s="1762"/>
      <c r="S12" s="1762"/>
      <c r="T12" s="1762"/>
      <c r="U12" s="1762"/>
      <c r="V12" s="1762"/>
      <c r="W12" s="1762"/>
      <c r="X12" s="1762"/>
      <c r="Y12" s="1762"/>
      <c r="Z12" s="1762"/>
      <c r="AA12" s="1762"/>
      <c r="AB12" s="1762"/>
      <c r="AC12" s="1762"/>
      <c r="AD12" s="1762"/>
      <c r="AE12" s="1762"/>
      <c r="AF12" s="1762"/>
      <c r="AG12" s="1762"/>
      <c r="AH12" s="1762"/>
      <c r="AI12" s="1762"/>
      <c r="AJ12" s="1762"/>
      <c r="AK12" s="1762"/>
      <c r="AL12" s="1762"/>
      <c r="AM12" s="1762"/>
      <c r="AN12" s="1762"/>
      <c r="AO12" s="1762"/>
      <c r="AP12" s="1762"/>
      <c r="AQ12" s="1762"/>
      <c r="AR12" s="1762"/>
      <c r="AS12" s="1762"/>
      <c r="AT12" s="1762"/>
      <c r="AU12" s="1762"/>
      <c r="AV12" s="1762"/>
      <c r="AW12" s="1762"/>
      <c r="AX12" s="1762"/>
      <c r="AY12" s="1762"/>
      <c r="AZ12" s="1762"/>
      <c r="BA12" s="1762"/>
      <c r="BB12" s="1762"/>
      <c r="BC12" s="1762"/>
      <c r="BD12" s="1762"/>
      <c r="BE12" s="199"/>
      <c r="BF12" s="199"/>
      <c r="BG12" s="199"/>
      <c r="BH12" s="199"/>
      <c r="BI12" s="199"/>
      <c r="BJ12" s="199"/>
      <c r="BK12" s="199"/>
      <c r="BL12" s="199"/>
      <c r="BM12" s="199"/>
      <c r="BN12" s="199"/>
      <c r="BO12" s="199"/>
      <c r="BP12" s="199"/>
      <c r="BQ12" s="199"/>
      <c r="BR12" s="199"/>
      <c r="BS12" s="199"/>
    </row>
    <row r="13" spans="2:71" s="157" customFormat="1" ht="32" customHeight="1" x14ac:dyDescent="0.3">
      <c r="B13" s="193" t="s">
        <v>156</v>
      </c>
      <c r="C13" s="1580" t="s">
        <v>1311</v>
      </c>
      <c r="D13" s="1580"/>
      <c r="E13" s="1580"/>
      <c r="F13" s="1580"/>
      <c r="G13" s="1580"/>
      <c r="H13" s="1580"/>
      <c r="I13" s="1580"/>
      <c r="J13" s="1580"/>
      <c r="K13" s="1580"/>
      <c r="L13" s="1580"/>
      <c r="M13" s="1580"/>
      <c r="N13" s="1580"/>
      <c r="O13" s="1580"/>
      <c r="P13" s="1580"/>
      <c r="Q13" s="1580"/>
      <c r="R13" s="1580"/>
      <c r="S13" s="1580"/>
      <c r="T13" s="1580"/>
      <c r="U13" s="1580"/>
      <c r="V13" s="1580"/>
      <c r="W13" s="1580"/>
      <c r="X13" s="1580"/>
      <c r="Y13" s="1580"/>
      <c r="Z13" s="1580"/>
      <c r="AA13" s="1580"/>
      <c r="AB13" s="1580"/>
      <c r="AC13" s="1580"/>
      <c r="AD13" s="1580"/>
      <c r="AE13" s="1580"/>
      <c r="AF13" s="1580"/>
      <c r="AG13" s="1580"/>
      <c r="AH13" s="1580"/>
      <c r="AI13" s="1580"/>
      <c r="AJ13" s="1580"/>
      <c r="AK13" s="1580"/>
      <c r="AL13" s="1580"/>
      <c r="AM13" s="1580"/>
      <c r="AN13" s="1580"/>
      <c r="AO13" s="1580"/>
      <c r="AP13" s="1580"/>
      <c r="AQ13" s="1580"/>
      <c r="AR13" s="1580"/>
      <c r="AS13" s="1580"/>
      <c r="AT13" s="1580"/>
      <c r="AU13" s="1580"/>
      <c r="AV13" s="1580"/>
      <c r="AW13" s="1580"/>
      <c r="AX13" s="1580"/>
      <c r="AY13" s="1580"/>
      <c r="AZ13" s="1580"/>
      <c r="BA13" s="1580"/>
      <c r="BB13" s="1580"/>
      <c r="BC13" s="1580"/>
      <c r="BD13" s="1580"/>
    </row>
    <row r="14" spans="2:71" s="157" customFormat="1" ht="8" customHeight="1" x14ac:dyDescent="0.3">
      <c r="B14" s="165"/>
      <c r="C14" s="191"/>
      <c r="D14" s="191"/>
      <c r="E14" s="191"/>
      <c r="F14" s="191"/>
      <c r="G14" s="191"/>
      <c r="H14" s="191"/>
      <c r="I14" s="191"/>
      <c r="J14" s="191"/>
      <c r="K14" s="191"/>
      <c r="L14" s="191"/>
      <c r="M14" s="191"/>
      <c r="N14" s="191"/>
      <c r="O14" s="191"/>
      <c r="P14" s="191"/>
      <c r="Q14" s="191"/>
      <c r="R14" s="191"/>
      <c r="S14" s="191"/>
      <c r="T14" s="191"/>
      <c r="U14" s="191"/>
      <c r="V14" s="191"/>
      <c r="W14" s="191"/>
      <c r="X14" s="191"/>
      <c r="Y14" s="191"/>
      <c r="Z14" s="191"/>
      <c r="AA14" s="191"/>
      <c r="AB14" s="191"/>
      <c r="AC14" s="191"/>
      <c r="AD14" s="191"/>
      <c r="AE14" s="191"/>
      <c r="AF14" s="191"/>
      <c r="AG14" s="191"/>
      <c r="AH14" s="191"/>
      <c r="AI14" s="191"/>
      <c r="AJ14" s="191"/>
      <c r="AK14" s="191"/>
      <c r="AL14" s="191"/>
      <c r="AM14" s="191"/>
      <c r="AN14" s="191"/>
      <c r="AO14" s="191"/>
      <c r="AP14" s="191"/>
      <c r="AQ14" s="191"/>
      <c r="AR14" s="191"/>
      <c r="AS14" s="191"/>
      <c r="AT14" s="191"/>
      <c r="AU14" s="191"/>
      <c r="AV14" s="191"/>
      <c r="AW14" s="191"/>
      <c r="AX14" s="191"/>
      <c r="AY14" s="191"/>
      <c r="AZ14" s="192"/>
      <c r="BA14" s="192"/>
      <c r="BB14" s="192"/>
      <c r="BC14" s="192"/>
      <c r="BD14" s="192"/>
    </row>
    <row r="15" spans="2:71" s="157" customFormat="1" ht="15" x14ac:dyDescent="0.3">
      <c r="B15" s="153" t="s">
        <v>1108</v>
      </c>
      <c r="D15" s="155"/>
      <c r="E15" s="155"/>
      <c r="F15" s="155"/>
      <c r="G15" s="155"/>
      <c r="H15" s="155"/>
      <c r="I15" s="155"/>
      <c r="J15" s="155"/>
      <c r="K15" s="155"/>
      <c r="L15" s="155"/>
      <c r="M15" s="155"/>
      <c r="N15" s="155"/>
      <c r="O15" s="155"/>
      <c r="P15" s="155"/>
      <c r="Q15" s="155"/>
      <c r="R15" s="155"/>
      <c r="S15" s="155"/>
      <c r="T15" s="155"/>
      <c r="U15" s="155"/>
      <c r="V15" s="155"/>
      <c r="W15" s="155"/>
      <c r="X15" s="155"/>
      <c r="Y15" s="155"/>
      <c r="Z15" s="155"/>
      <c r="AA15" s="155"/>
      <c r="AB15" s="155"/>
      <c r="AC15" s="155"/>
      <c r="AD15" s="155"/>
      <c r="AE15" s="155"/>
      <c r="AF15" s="155"/>
      <c r="AG15" s="155"/>
      <c r="AH15" s="155"/>
      <c r="AI15" s="155"/>
      <c r="AJ15" s="155"/>
      <c r="AK15" s="155"/>
      <c r="AL15" s="155"/>
      <c r="AM15" s="155"/>
      <c r="AN15" s="155"/>
      <c r="AO15" s="155"/>
      <c r="AP15" s="155"/>
      <c r="AQ15" s="155"/>
      <c r="AR15" s="155"/>
      <c r="AS15" s="155"/>
      <c r="AT15" s="155"/>
      <c r="AU15" s="155"/>
      <c r="AV15" s="155"/>
      <c r="AW15" s="155"/>
      <c r="AX15" s="156"/>
      <c r="AY15" s="156"/>
      <c r="AZ15" s="156"/>
    </row>
    <row r="16" spans="2:71" s="98" customFormat="1" x14ac:dyDescent="0.35">
      <c r="B16" s="193" t="s">
        <v>150</v>
      </c>
      <c r="C16" s="1762" t="s">
        <v>1295</v>
      </c>
      <c r="D16" s="1762"/>
      <c r="E16" s="1762"/>
      <c r="F16" s="1762"/>
      <c r="G16" s="1762"/>
      <c r="H16" s="1762"/>
      <c r="I16" s="1762"/>
      <c r="J16" s="1762"/>
      <c r="K16" s="1762"/>
      <c r="L16" s="1762"/>
      <c r="M16" s="1762"/>
      <c r="N16" s="1762"/>
      <c r="O16" s="1762"/>
      <c r="P16" s="1762"/>
      <c r="Q16" s="1762"/>
      <c r="R16" s="1762"/>
      <c r="S16" s="1762"/>
      <c r="T16" s="1762"/>
      <c r="U16" s="1762"/>
      <c r="V16" s="1762"/>
      <c r="W16" s="1762"/>
      <c r="X16" s="1762"/>
      <c r="Y16" s="1762"/>
      <c r="Z16" s="1762"/>
      <c r="AA16" s="1762"/>
      <c r="AB16" s="1762"/>
      <c r="AC16" s="1762"/>
      <c r="AD16" s="1762"/>
      <c r="AE16" s="1762"/>
      <c r="AF16" s="1762"/>
      <c r="AG16" s="1762"/>
      <c r="AH16" s="1762"/>
      <c r="AI16" s="1762"/>
      <c r="AJ16" s="1762"/>
      <c r="AK16" s="1762"/>
      <c r="AL16" s="1762"/>
      <c r="AM16" s="1762"/>
      <c r="AN16" s="1762"/>
      <c r="AO16" s="1762"/>
      <c r="AP16" s="1762"/>
      <c r="AQ16" s="1762"/>
      <c r="AR16" s="1762"/>
      <c r="AS16" s="1762"/>
      <c r="AT16" s="1762"/>
      <c r="AU16" s="1762"/>
      <c r="AV16" s="1762"/>
      <c r="AW16" s="1762"/>
      <c r="AX16" s="1762"/>
      <c r="AY16" s="1762"/>
      <c r="AZ16" s="1762"/>
      <c r="BA16" s="1762"/>
      <c r="BB16" s="1762"/>
      <c r="BC16" s="1762"/>
      <c r="BD16" s="1762"/>
    </row>
    <row r="17" spans="2:56" s="98" customFormat="1" x14ac:dyDescent="0.35">
      <c r="B17" s="193" t="s">
        <v>151</v>
      </c>
      <c r="C17" s="1762" t="s">
        <v>1183</v>
      </c>
      <c r="D17" s="1762"/>
      <c r="E17" s="1762"/>
      <c r="F17" s="1762"/>
      <c r="G17" s="1762"/>
      <c r="H17" s="1762"/>
      <c r="I17" s="1762"/>
      <c r="J17" s="1762"/>
      <c r="K17" s="1762"/>
      <c r="L17" s="1762"/>
      <c r="M17" s="1762"/>
      <c r="N17" s="1762"/>
      <c r="O17" s="1762"/>
      <c r="P17" s="1762"/>
      <c r="Q17" s="1762"/>
      <c r="R17" s="1762"/>
      <c r="S17" s="1762"/>
      <c r="T17" s="1762"/>
      <c r="U17" s="1762"/>
      <c r="V17" s="1762"/>
      <c r="W17" s="1762"/>
      <c r="X17" s="1762"/>
      <c r="Y17" s="1762"/>
      <c r="Z17" s="1762"/>
      <c r="AA17" s="1762"/>
      <c r="AB17" s="1762"/>
      <c r="AC17" s="1762"/>
      <c r="AD17" s="1762"/>
      <c r="AE17" s="1762"/>
      <c r="AF17" s="1762"/>
      <c r="AG17" s="1762"/>
      <c r="AH17" s="1762"/>
      <c r="AI17" s="1762"/>
      <c r="AJ17" s="1762"/>
      <c r="AK17" s="1762"/>
      <c r="AL17" s="1762"/>
      <c r="AM17" s="1762"/>
      <c r="AN17" s="1762"/>
      <c r="AO17" s="1762"/>
      <c r="AP17" s="1762"/>
      <c r="AQ17" s="1762"/>
      <c r="AR17" s="1762"/>
      <c r="AS17" s="1762"/>
      <c r="AT17" s="1762"/>
      <c r="AU17" s="1762"/>
      <c r="AV17" s="1762"/>
      <c r="AW17" s="1762"/>
      <c r="AX17" s="1762"/>
      <c r="AY17" s="1762"/>
      <c r="AZ17" s="1762"/>
      <c r="BA17" s="1762"/>
      <c r="BB17" s="1762"/>
      <c r="BC17" s="1762"/>
      <c r="BD17" s="1762"/>
    </row>
    <row r="18" spans="2:56" s="98" customFormat="1" x14ac:dyDescent="0.35">
      <c r="B18" s="193" t="s">
        <v>152</v>
      </c>
      <c r="C18" s="1762" t="s">
        <v>1184</v>
      </c>
      <c r="D18" s="1762"/>
      <c r="E18" s="1762"/>
      <c r="F18" s="1762"/>
      <c r="G18" s="1762"/>
      <c r="H18" s="1762"/>
      <c r="I18" s="1762"/>
      <c r="J18" s="1762"/>
      <c r="K18" s="1762"/>
      <c r="L18" s="1762"/>
      <c r="M18" s="1762"/>
      <c r="N18" s="1762"/>
      <c r="O18" s="1762"/>
      <c r="P18" s="1762"/>
      <c r="Q18" s="1762"/>
      <c r="R18" s="1762"/>
      <c r="S18" s="1762"/>
      <c r="T18" s="1762"/>
      <c r="U18" s="1762"/>
      <c r="V18" s="1762"/>
      <c r="W18" s="1762"/>
      <c r="X18" s="1762"/>
      <c r="Y18" s="1762"/>
      <c r="Z18" s="1762"/>
      <c r="AA18" s="1762"/>
      <c r="AB18" s="1762"/>
      <c r="AC18" s="1762"/>
      <c r="AD18" s="1762"/>
      <c r="AE18" s="1762"/>
      <c r="AF18" s="1762"/>
      <c r="AG18" s="1762"/>
      <c r="AH18" s="1762"/>
      <c r="AI18" s="1762"/>
      <c r="AJ18" s="1762"/>
      <c r="AK18" s="1762"/>
      <c r="AL18" s="1762"/>
      <c r="AM18" s="1762"/>
      <c r="AN18" s="1762"/>
      <c r="AO18" s="1762"/>
      <c r="AP18" s="1762"/>
      <c r="AQ18" s="1762"/>
      <c r="AR18" s="1762"/>
      <c r="AS18" s="1762"/>
      <c r="AT18" s="1762"/>
      <c r="AU18" s="1762"/>
      <c r="AV18" s="1762"/>
      <c r="AW18" s="1762"/>
      <c r="AX18" s="1762"/>
      <c r="AY18" s="1762"/>
      <c r="AZ18" s="1762"/>
      <c r="BA18" s="1762"/>
      <c r="BB18" s="1762"/>
      <c r="BC18" s="1762"/>
      <c r="BD18" s="1762"/>
    </row>
    <row r="19" spans="2:56" s="98" customFormat="1" ht="31" customHeight="1" x14ac:dyDescent="0.35">
      <c r="B19" s="193" t="s">
        <v>155</v>
      </c>
      <c r="C19" s="1762" t="s">
        <v>1185</v>
      </c>
      <c r="D19" s="1762"/>
      <c r="E19" s="1762"/>
      <c r="F19" s="1762"/>
      <c r="G19" s="1762"/>
      <c r="H19" s="1762"/>
      <c r="I19" s="1762"/>
      <c r="J19" s="1762"/>
      <c r="K19" s="1762"/>
      <c r="L19" s="1762"/>
      <c r="M19" s="1762"/>
      <c r="N19" s="1762"/>
      <c r="O19" s="1762"/>
      <c r="P19" s="1762"/>
      <c r="Q19" s="1762"/>
      <c r="R19" s="1762"/>
      <c r="S19" s="1762"/>
      <c r="T19" s="1762"/>
      <c r="U19" s="1762"/>
      <c r="V19" s="1762"/>
      <c r="W19" s="1762"/>
      <c r="X19" s="1762"/>
      <c r="Y19" s="1762"/>
      <c r="Z19" s="1762"/>
      <c r="AA19" s="1762"/>
      <c r="AB19" s="1762"/>
      <c r="AC19" s="1762"/>
      <c r="AD19" s="1762"/>
      <c r="AE19" s="1762"/>
      <c r="AF19" s="1762"/>
      <c r="AG19" s="1762"/>
      <c r="AH19" s="1762"/>
      <c r="AI19" s="1762"/>
      <c r="AJ19" s="1762"/>
      <c r="AK19" s="1762"/>
      <c r="AL19" s="1762"/>
      <c r="AM19" s="1762"/>
      <c r="AN19" s="1762"/>
      <c r="AO19" s="1762"/>
      <c r="AP19" s="1762"/>
      <c r="AQ19" s="1762"/>
      <c r="AR19" s="1762"/>
      <c r="AS19" s="1762"/>
      <c r="AT19" s="1762"/>
      <c r="AU19" s="1762"/>
      <c r="AV19" s="1762"/>
      <c r="AW19" s="1762"/>
      <c r="AX19" s="1762"/>
      <c r="AY19" s="1762"/>
      <c r="AZ19" s="1762"/>
      <c r="BA19" s="1762"/>
      <c r="BB19" s="1762"/>
      <c r="BC19" s="1762"/>
      <c r="BD19" s="1762"/>
    </row>
    <row r="20" spans="2:56" s="98" customFormat="1" x14ac:dyDescent="0.35">
      <c r="B20" s="193" t="s">
        <v>156</v>
      </c>
      <c r="C20" s="1762" t="s">
        <v>1186</v>
      </c>
      <c r="D20" s="1762"/>
      <c r="E20" s="1762"/>
      <c r="F20" s="1762"/>
      <c r="G20" s="1762"/>
      <c r="H20" s="1762"/>
      <c r="I20" s="1762"/>
      <c r="J20" s="1762"/>
      <c r="K20" s="1762"/>
      <c r="L20" s="1762"/>
      <c r="M20" s="1762"/>
      <c r="N20" s="1762"/>
      <c r="O20" s="1762"/>
      <c r="P20" s="1762"/>
      <c r="Q20" s="1762"/>
      <c r="R20" s="1762"/>
      <c r="S20" s="1762"/>
      <c r="T20" s="1762"/>
      <c r="U20" s="1762"/>
      <c r="V20" s="1762"/>
      <c r="W20" s="1762"/>
      <c r="X20" s="1762"/>
      <c r="Y20" s="1762"/>
      <c r="Z20" s="1762"/>
      <c r="AA20" s="1762"/>
      <c r="AB20" s="1762"/>
      <c r="AC20" s="1762"/>
      <c r="AD20" s="1762"/>
      <c r="AE20" s="1762"/>
      <c r="AF20" s="1762"/>
      <c r="AG20" s="1762"/>
      <c r="AH20" s="1762"/>
      <c r="AI20" s="1762"/>
      <c r="AJ20" s="1762"/>
      <c r="AK20" s="1762"/>
      <c r="AL20" s="1762"/>
      <c r="AM20" s="1762"/>
      <c r="AN20" s="1762"/>
      <c r="AO20" s="1762"/>
      <c r="AP20" s="1762"/>
      <c r="AQ20" s="1762"/>
      <c r="AR20" s="1762"/>
      <c r="AS20" s="1762"/>
      <c r="AT20" s="1762"/>
      <c r="AU20" s="1762"/>
      <c r="AV20" s="1762"/>
      <c r="AW20" s="1762"/>
      <c r="AX20" s="1762"/>
      <c r="AY20" s="1762"/>
      <c r="AZ20" s="1762"/>
      <c r="BA20" s="1762"/>
      <c r="BB20" s="1762"/>
      <c r="BC20" s="1762"/>
      <c r="BD20" s="1762"/>
    </row>
    <row r="21" spans="2:56" s="98" customFormat="1" ht="47" customHeight="1" x14ac:dyDescent="0.35">
      <c r="B21" s="193" t="s">
        <v>157</v>
      </c>
      <c r="C21" s="1762" t="s">
        <v>1187</v>
      </c>
      <c r="D21" s="1762"/>
      <c r="E21" s="1762"/>
      <c r="F21" s="1762"/>
      <c r="G21" s="1762"/>
      <c r="H21" s="1762"/>
      <c r="I21" s="1762"/>
      <c r="J21" s="1762"/>
      <c r="K21" s="1762"/>
      <c r="L21" s="1762"/>
      <c r="M21" s="1762"/>
      <c r="N21" s="1762"/>
      <c r="O21" s="1762"/>
      <c r="P21" s="1762"/>
      <c r="Q21" s="1762"/>
      <c r="R21" s="1762"/>
      <c r="S21" s="1762"/>
      <c r="T21" s="1762"/>
      <c r="U21" s="1762"/>
      <c r="V21" s="1762"/>
      <c r="W21" s="1762"/>
      <c r="X21" s="1762"/>
      <c r="Y21" s="1762"/>
      <c r="Z21" s="1762"/>
      <c r="AA21" s="1762"/>
      <c r="AB21" s="1762"/>
      <c r="AC21" s="1762"/>
      <c r="AD21" s="1762"/>
      <c r="AE21" s="1762"/>
      <c r="AF21" s="1762"/>
      <c r="AG21" s="1762"/>
      <c r="AH21" s="1762"/>
      <c r="AI21" s="1762"/>
      <c r="AJ21" s="1762"/>
      <c r="AK21" s="1762"/>
      <c r="AL21" s="1762"/>
      <c r="AM21" s="1762"/>
      <c r="AN21" s="1762"/>
      <c r="AO21" s="1762"/>
      <c r="AP21" s="1762"/>
      <c r="AQ21" s="1762"/>
      <c r="AR21" s="1762"/>
      <c r="AS21" s="1762"/>
      <c r="AT21" s="1762"/>
      <c r="AU21" s="1762"/>
      <c r="AV21" s="1762"/>
      <c r="AW21" s="1762"/>
      <c r="AX21" s="1762"/>
      <c r="AY21" s="1762"/>
      <c r="AZ21" s="1762"/>
      <c r="BA21" s="1762"/>
      <c r="BB21" s="1762"/>
      <c r="BC21" s="1762"/>
      <c r="BD21" s="1762"/>
    </row>
    <row r="22" spans="2:56" s="98" customFormat="1" ht="15.5" customHeight="1" x14ac:dyDescent="0.35">
      <c r="B22" s="193" t="s">
        <v>159</v>
      </c>
      <c r="C22" s="1762" t="s">
        <v>1296</v>
      </c>
      <c r="D22" s="1762"/>
      <c r="E22" s="1762"/>
      <c r="F22" s="1762"/>
      <c r="G22" s="1762"/>
      <c r="H22" s="1762"/>
      <c r="I22" s="1762"/>
      <c r="J22" s="1762"/>
      <c r="K22" s="1762"/>
      <c r="L22" s="1762"/>
      <c r="M22" s="1762"/>
      <c r="N22" s="1762"/>
      <c r="O22" s="1762"/>
      <c r="P22" s="1762"/>
      <c r="Q22" s="1762"/>
      <c r="R22" s="1762"/>
      <c r="S22" s="1762"/>
      <c r="T22" s="1762"/>
      <c r="U22" s="1762"/>
      <c r="V22" s="1762"/>
      <c r="W22" s="1762"/>
      <c r="X22" s="1762"/>
      <c r="Y22" s="1762"/>
      <c r="Z22" s="1762"/>
      <c r="AA22" s="1762"/>
      <c r="AB22" s="1762"/>
      <c r="AC22" s="1762"/>
      <c r="AD22" s="1762"/>
      <c r="AE22" s="1762"/>
      <c r="AF22" s="1762"/>
      <c r="AG22" s="1762"/>
      <c r="AH22" s="1762"/>
      <c r="AI22" s="1762"/>
      <c r="AJ22" s="1762"/>
      <c r="AK22" s="1762"/>
      <c r="AL22" s="1762"/>
      <c r="AM22" s="1762"/>
      <c r="AN22" s="1762"/>
      <c r="AO22" s="1762"/>
      <c r="AP22" s="1762"/>
      <c r="AQ22" s="1762"/>
      <c r="AR22" s="1762"/>
      <c r="AS22" s="1762"/>
      <c r="AT22" s="1762"/>
      <c r="AU22" s="1762"/>
      <c r="AV22" s="1762"/>
      <c r="AW22" s="1762"/>
      <c r="AX22" s="1762"/>
      <c r="AY22" s="1762"/>
      <c r="AZ22" s="1762"/>
      <c r="BA22" s="1762"/>
      <c r="BB22" s="1762"/>
      <c r="BC22" s="1762"/>
      <c r="BD22" s="1762"/>
    </row>
    <row r="23" spans="2:56" s="98" customFormat="1" x14ac:dyDescent="0.35">
      <c r="B23" s="193" t="s">
        <v>153</v>
      </c>
      <c r="C23" s="1762" t="s">
        <v>1297</v>
      </c>
      <c r="D23" s="1762"/>
      <c r="E23" s="1762"/>
      <c r="F23" s="1762"/>
      <c r="G23" s="1762"/>
      <c r="H23" s="1762"/>
      <c r="I23" s="1762"/>
      <c r="J23" s="1762"/>
      <c r="K23" s="1762"/>
      <c r="L23" s="1762"/>
      <c r="M23" s="1762"/>
      <c r="N23" s="1762"/>
      <c r="O23" s="1762"/>
      <c r="P23" s="1762"/>
      <c r="Q23" s="1762"/>
      <c r="R23" s="1762"/>
      <c r="S23" s="1762"/>
      <c r="T23" s="1762"/>
      <c r="U23" s="1762"/>
      <c r="V23" s="1762"/>
      <c r="W23" s="1762"/>
      <c r="X23" s="1762"/>
      <c r="Y23" s="1762"/>
      <c r="Z23" s="1762"/>
      <c r="AA23" s="1762"/>
      <c r="AB23" s="1762"/>
      <c r="AC23" s="1762"/>
      <c r="AD23" s="1762"/>
      <c r="AE23" s="1762"/>
      <c r="AF23" s="1762"/>
      <c r="AG23" s="1762"/>
      <c r="AH23" s="1762"/>
      <c r="AI23" s="1762"/>
      <c r="AJ23" s="1762"/>
      <c r="AK23" s="1762"/>
      <c r="AL23" s="1762"/>
      <c r="AM23" s="1762"/>
      <c r="AN23" s="1762"/>
      <c r="AO23" s="1762"/>
      <c r="AP23" s="1762"/>
      <c r="AQ23" s="1762"/>
      <c r="AR23" s="1762"/>
      <c r="AS23" s="1762"/>
      <c r="AT23" s="1762"/>
      <c r="AU23" s="1762"/>
      <c r="AV23" s="1762"/>
      <c r="AW23" s="1762"/>
      <c r="AX23" s="1762"/>
      <c r="AY23" s="1762"/>
      <c r="AZ23" s="1762"/>
      <c r="BA23" s="1762"/>
      <c r="BB23" s="1762"/>
      <c r="BC23" s="1762"/>
      <c r="BD23" s="1762"/>
    </row>
    <row r="24" spans="2:56" s="98" customFormat="1" x14ac:dyDescent="0.35">
      <c r="B24" s="193" t="s">
        <v>154</v>
      </c>
      <c r="C24" s="1762" t="s">
        <v>1298</v>
      </c>
      <c r="D24" s="1762"/>
      <c r="E24" s="1762"/>
      <c r="F24" s="1762"/>
      <c r="G24" s="1762"/>
      <c r="H24" s="1762"/>
      <c r="I24" s="1762"/>
      <c r="J24" s="1762"/>
      <c r="K24" s="1762"/>
      <c r="L24" s="1762"/>
      <c r="M24" s="1762"/>
      <c r="N24" s="1762"/>
      <c r="O24" s="1762"/>
      <c r="P24" s="1762"/>
      <c r="Q24" s="1762"/>
      <c r="R24" s="1762"/>
      <c r="S24" s="1762"/>
      <c r="T24" s="1762"/>
      <c r="U24" s="1762"/>
      <c r="V24" s="1762"/>
      <c r="W24" s="1762"/>
      <c r="X24" s="1762"/>
      <c r="Y24" s="1762"/>
      <c r="Z24" s="1762"/>
      <c r="AA24" s="1762"/>
      <c r="AB24" s="1762"/>
      <c r="AC24" s="1762"/>
      <c r="AD24" s="1762"/>
      <c r="AE24" s="1762"/>
      <c r="AF24" s="1762"/>
      <c r="AG24" s="1762"/>
      <c r="AH24" s="1762"/>
      <c r="AI24" s="1762"/>
      <c r="AJ24" s="1762"/>
      <c r="AK24" s="1762"/>
      <c r="AL24" s="1762"/>
      <c r="AM24" s="1762"/>
      <c r="AN24" s="1762"/>
      <c r="AO24" s="1762"/>
      <c r="AP24" s="1762"/>
      <c r="AQ24" s="1762"/>
      <c r="AR24" s="1762"/>
      <c r="AS24" s="1762"/>
      <c r="AT24" s="1762"/>
      <c r="AU24" s="1762"/>
      <c r="AV24" s="1762"/>
      <c r="AW24" s="1762"/>
      <c r="AX24" s="1762"/>
      <c r="AY24" s="1762"/>
      <c r="AZ24" s="1762"/>
      <c r="BA24" s="1762"/>
      <c r="BB24" s="1762"/>
      <c r="BC24" s="1762"/>
      <c r="BD24" s="1762"/>
    </row>
    <row r="25" spans="2:56" s="98" customFormat="1" ht="31" customHeight="1" x14ac:dyDescent="0.35">
      <c r="B25" s="193" t="s">
        <v>160</v>
      </c>
      <c r="C25" s="1762" t="s">
        <v>1188</v>
      </c>
      <c r="D25" s="1762"/>
      <c r="E25" s="1762"/>
      <c r="F25" s="1762"/>
      <c r="G25" s="1762"/>
      <c r="H25" s="1762"/>
      <c r="I25" s="1762"/>
      <c r="J25" s="1762"/>
      <c r="K25" s="1762"/>
      <c r="L25" s="1762"/>
      <c r="M25" s="1762"/>
      <c r="N25" s="1762"/>
      <c r="O25" s="1762"/>
      <c r="P25" s="1762"/>
      <c r="Q25" s="1762"/>
      <c r="R25" s="1762"/>
      <c r="S25" s="1762"/>
      <c r="T25" s="1762"/>
      <c r="U25" s="1762"/>
      <c r="V25" s="1762"/>
      <c r="W25" s="1762"/>
      <c r="X25" s="1762"/>
      <c r="Y25" s="1762"/>
      <c r="Z25" s="1762"/>
      <c r="AA25" s="1762"/>
      <c r="AB25" s="1762"/>
      <c r="AC25" s="1762"/>
      <c r="AD25" s="1762"/>
      <c r="AE25" s="1762"/>
      <c r="AF25" s="1762"/>
      <c r="AG25" s="1762"/>
      <c r="AH25" s="1762"/>
      <c r="AI25" s="1762"/>
      <c r="AJ25" s="1762"/>
      <c r="AK25" s="1762"/>
      <c r="AL25" s="1762"/>
      <c r="AM25" s="1762"/>
      <c r="AN25" s="1762"/>
      <c r="AO25" s="1762"/>
      <c r="AP25" s="1762"/>
      <c r="AQ25" s="1762"/>
      <c r="AR25" s="1762"/>
      <c r="AS25" s="1762"/>
      <c r="AT25" s="1762"/>
      <c r="AU25" s="1762"/>
      <c r="AV25" s="1762"/>
      <c r="AW25" s="1762"/>
      <c r="AX25" s="1762"/>
      <c r="AY25" s="1762"/>
      <c r="AZ25" s="1762"/>
      <c r="BA25" s="1762"/>
      <c r="BB25" s="1762"/>
      <c r="BC25" s="1762"/>
      <c r="BD25" s="1762"/>
    </row>
    <row r="26" spans="2:56" s="98" customFormat="1" ht="16.5" customHeight="1" x14ac:dyDescent="0.35">
      <c r="B26" s="193"/>
      <c r="C26" s="1763" t="s">
        <v>1063</v>
      </c>
      <c r="D26" s="1763"/>
      <c r="E26" s="1499" t="s">
        <v>1189</v>
      </c>
      <c r="F26" s="1499"/>
      <c r="G26" s="1499"/>
      <c r="H26" s="1499"/>
      <c r="I26" s="1499"/>
      <c r="J26" s="1499"/>
      <c r="K26" s="1499"/>
      <c r="L26" s="1499"/>
      <c r="M26" s="1499"/>
      <c r="N26" s="1499"/>
      <c r="O26" s="1499"/>
      <c r="P26" s="1499"/>
      <c r="Q26" s="1499"/>
      <c r="R26" s="1499"/>
      <c r="S26" s="1499"/>
      <c r="T26" s="1499"/>
      <c r="U26" s="1499"/>
      <c r="V26" s="1499"/>
      <c r="W26" s="1499"/>
      <c r="X26" s="1499"/>
      <c r="Y26" s="1499"/>
      <c r="Z26" s="1499"/>
      <c r="AA26" s="1499"/>
      <c r="AB26" s="1499"/>
      <c r="AC26" s="1499"/>
      <c r="AD26" s="1499"/>
      <c r="AE26" s="1499"/>
      <c r="AF26" s="1499"/>
      <c r="AG26" s="1499"/>
      <c r="AH26" s="1499"/>
      <c r="AI26" s="1499"/>
      <c r="AJ26" s="1499"/>
      <c r="AK26" s="1499"/>
      <c r="AL26" s="1499"/>
      <c r="AM26" s="1499"/>
      <c r="AN26" s="1499"/>
      <c r="AO26" s="1499"/>
      <c r="AP26" s="1499"/>
      <c r="AQ26" s="1499"/>
      <c r="AR26" s="1499"/>
      <c r="AS26" s="1499"/>
      <c r="AT26" s="1499"/>
      <c r="AU26" s="1499"/>
      <c r="AV26" s="1499"/>
      <c r="AW26" s="1499"/>
      <c r="AX26" s="1499"/>
      <c r="AY26" s="1499"/>
      <c r="AZ26" s="1499"/>
      <c r="BA26" s="1499"/>
      <c r="BB26" s="1499"/>
      <c r="BC26" s="1499"/>
      <c r="BD26" s="1499"/>
    </row>
    <row r="27" spans="2:56" s="98" customFormat="1" ht="31" customHeight="1" x14ac:dyDescent="0.35">
      <c r="B27" s="193" t="s">
        <v>158</v>
      </c>
      <c r="C27" s="1762" t="s">
        <v>1190</v>
      </c>
      <c r="D27" s="1762"/>
      <c r="E27" s="1762"/>
      <c r="F27" s="1762"/>
      <c r="G27" s="1762"/>
      <c r="H27" s="1762"/>
      <c r="I27" s="1762"/>
      <c r="J27" s="1762"/>
      <c r="K27" s="1762"/>
      <c r="L27" s="1762"/>
      <c r="M27" s="1762"/>
      <c r="N27" s="1762"/>
      <c r="O27" s="1762"/>
      <c r="P27" s="1762"/>
      <c r="Q27" s="1762"/>
      <c r="R27" s="1762"/>
      <c r="S27" s="1762"/>
      <c r="T27" s="1762"/>
      <c r="U27" s="1762"/>
      <c r="V27" s="1762"/>
      <c r="W27" s="1762"/>
      <c r="X27" s="1762"/>
      <c r="Y27" s="1762"/>
      <c r="Z27" s="1762"/>
      <c r="AA27" s="1762"/>
      <c r="AB27" s="1762"/>
      <c r="AC27" s="1762"/>
      <c r="AD27" s="1762"/>
      <c r="AE27" s="1762"/>
      <c r="AF27" s="1762"/>
      <c r="AG27" s="1762"/>
      <c r="AH27" s="1762"/>
      <c r="AI27" s="1762"/>
      <c r="AJ27" s="1762"/>
      <c r="AK27" s="1762"/>
      <c r="AL27" s="1762"/>
      <c r="AM27" s="1762"/>
      <c r="AN27" s="1762"/>
      <c r="AO27" s="1762"/>
      <c r="AP27" s="1762"/>
      <c r="AQ27" s="1762"/>
      <c r="AR27" s="1762"/>
      <c r="AS27" s="1762"/>
      <c r="AT27" s="1762"/>
      <c r="AU27" s="1762"/>
      <c r="AV27" s="1762"/>
      <c r="AW27" s="1762"/>
      <c r="AX27" s="1762"/>
      <c r="AY27" s="1762"/>
      <c r="AZ27" s="1762"/>
      <c r="BA27" s="1762"/>
      <c r="BB27" s="1762"/>
      <c r="BC27" s="1762"/>
      <c r="BD27" s="1762"/>
    </row>
    <row r="28" spans="2:56" s="98" customFormat="1" ht="10" customHeight="1" x14ac:dyDescent="0.35">
      <c r="B28" s="201"/>
      <c r="C28" s="1764"/>
      <c r="D28" s="1764"/>
      <c r="E28" s="1764"/>
      <c r="F28" s="1764"/>
      <c r="G28" s="1764"/>
      <c r="H28" s="1764"/>
      <c r="I28" s="1764"/>
      <c r="J28" s="1764"/>
      <c r="K28" s="1764"/>
      <c r="L28" s="1764"/>
      <c r="M28" s="1764"/>
      <c r="N28" s="1764"/>
      <c r="O28" s="1764"/>
      <c r="P28" s="1764"/>
      <c r="Q28" s="1764"/>
      <c r="R28" s="1764"/>
      <c r="S28" s="1764"/>
      <c r="T28" s="1764"/>
      <c r="U28" s="1764"/>
      <c r="V28" s="1764"/>
      <c r="W28" s="1764"/>
      <c r="X28" s="1764"/>
      <c r="Y28" s="1764"/>
      <c r="Z28" s="1764"/>
      <c r="AA28" s="1764"/>
      <c r="AB28" s="1764"/>
      <c r="AC28" s="1764"/>
      <c r="AD28" s="1764"/>
      <c r="AE28" s="1764"/>
      <c r="AF28" s="1764"/>
      <c r="AG28" s="1764"/>
      <c r="AH28" s="1764"/>
      <c r="AI28" s="1764"/>
      <c r="AJ28" s="1764"/>
      <c r="AK28" s="1764"/>
      <c r="AL28" s="1764"/>
      <c r="AM28" s="1764"/>
      <c r="AN28" s="1764"/>
      <c r="AO28" s="1764"/>
      <c r="AP28" s="1764"/>
      <c r="AQ28" s="1764"/>
      <c r="AR28" s="1764"/>
      <c r="AS28" s="1764"/>
      <c r="AT28" s="1764"/>
      <c r="AU28" s="1764"/>
      <c r="AV28" s="1764"/>
      <c r="AW28" s="1764"/>
    </row>
    <row r="29" spans="2:56" s="156" customFormat="1" ht="15" x14ac:dyDescent="0.35">
      <c r="B29" s="153" t="s">
        <v>1109</v>
      </c>
      <c r="D29" s="155"/>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c r="AU29" s="155"/>
      <c r="AV29" s="155"/>
      <c r="AW29" s="155"/>
    </row>
    <row r="30" spans="2:56" s="98" customFormat="1" x14ac:dyDescent="0.35">
      <c r="B30" s="193" t="s">
        <v>150</v>
      </c>
      <c r="C30" s="1762" t="s">
        <v>1191</v>
      </c>
      <c r="D30" s="1762"/>
      <c r="E30" s="1762"/>
      <c r="F30" s="1762"/>
      <c r="G30" s="1762"/>
      <c r="H30" s="1762"/>
      <c r="I30" s="1762"/>
      <c r="J30" s="1762"/>
      <c r="K30" s="1762"/>
      <c r="L30" s="1762"/>
      <c r="M30" s="1762"/>
      <c r="N30" s="1762"/>
      <c r="O30" s="1762"/>
      <c r="P30" s="1762"/>
      <c r="Q30" s="1762"/>
      <c r="R30" s="1762"/>
      <c r="S30" s="1762"/>
      <c r="T30" s="1762"/>
      <c r="U30" s="1762"/>
      <c r="V30" s="1762"/>
      <c r="W30" s="1762"/>
      <c r="X30" s="1762"/>
      <c r="Y30" s="1762"/>
      <c r="Z30" s="1762"/>
      <c r="AA30" s="1762"/>
      <c r="AB30" s="1762"/>
      <c r="AC30" s="1762"/>
      <c r="AD30" s="1762"/>
      <c r="AE30" s="1762"/>
      <c r="AF30" s="1762"/>
      <c r="AG30" s="1762"/>
      <c r="AH30" s="1762"/>
      <c r="AI30" s="1762"/>
      <c r="AJ30" s="1762"/>
      <c r="AK30" s="1762"/>
      <c r="AL30" s="1762"/>
      <c r="AM30" s="1762"/>
      <c r="AN30" s="1762"/>
      <c r="AO30" s="1762"/>
      <c r="AP30" s="1762"/>
      <c r="AQ30" s="1762"/>
      <c r="AR30" s="1762"/>
      <c r="AS30" s="1762"/>
      <c r="AT30" s="1762"/>
      <c r="AU30" s="1762"/>
      <c r="AV30" s="1762"/>
      <c r="AW30" s="1762"/>
      <c r="AX30" s="1762"/>
      <c r="AY30" s="1762"/>
      <c r="AZ30" s="1762"/>
      <c r="BA30" s="1762"/>
      <c r="BB30" s="1762"/>
      <c r="BC30" s="1762"/>
      <c r="BD30" s="1762"/>
    </row>
    <row r="31" spans="2:56" s="98" customFormat="1" x14ac:dyDescent="0.35">
      <c r="B31" s="193" t="s">
        <v>151</v>
      </c>
      <c r="C31" s="1762" t="s">
        <v>1192</v>
      </c>
      <c r="D31" s="1762"/>
      <c r="E31" s="1762"/>
      <c r="F31" s="1762"/>
      <c r="G31" s="1762"/>
      <c r="H31" s="1762"/>
      <c r="I31" s="1762"/>
      <c r="J31" s="1762"/>
      <c r="K31" s="1762"/>
      <c r="L31" s="1762"/>
      <c r="M31" s="1762"/>
      <c r="N31" s="1762"/>
      <c r="O31" s="1762"/>
      <c r="P31" s="1762"/>
      <c r="Q31" s="1762"/>
      <c r="R31" s="1762"/>
      <c r="S31" s="1762"/>
      <c r="T31" s="1762"/>
      <c r="U31" s="1762"/>
      <c r="V31" s="1762"/>
      <c r="W31" s="1762"/>
      <c r="X31" s="1762"/>
      <c r="Y31" s="1762"/>
      <c r="Z31" s="1762"/>
      <c r="AA31" s="1762"/>
      <c r="AB31" s="1762"/>
      <c r="AC31" s="1762"/>
      <c r="AD31" s="1762"/>
      <c r="AE31" s="1762"/>
      <c r="AF31" s="1762"/>
      <c r="AG31" s="1762"/>
      <c r="AH31" s="1762"/>
      <c r="AI31" s="1762"/>
      <c r="AJ31" s="1762"/>
      <c r="AK31" s="1762"/>
      <c r="AL31" s="1762"/>
      <c r="AM31" s="1762"/>
      <c r="AN31" s="1762"/>
      <c r="AO31" s="1762"/>
      <c r="AP31" s="1762"/>
      <c r="AQ31" s="1762"/>
      <c r="AR31" s="1762"/>
      <c r="AS31" s="1762"/>
      <c r="AT31" s="1762"/>
      <c r="AU31" s="1762"/>
      <c r="AV31" s="1762"/>
      <c r="AW31" s="1762"/>
      <c r="AX31" s="1762"/>
      <c r="AY31" s="1762"/>
      <c r="AZ31" s="1762"/>
      <c r="BA31" s="1762"/>
      <c r="BB31" s="1762"/>
      <c r="BC31" s="1762"/>
      <c r="BD31" s="1762"/>
    </row>
    <row r="32" spans="2:56" s="98" customFormat="1" ht="31" customHeight="1" x14ac:dyDescent="0.35">
      <c r="B32" s="193" t="s">
        <v>152</v>
      </c>
      <c r="C32" s="1762" t="s">
        <v>1299</v>
      </c>
      <c r="D32" s="1762"/>
      <c r="E32" s="1762"/>
      <c r="F32" s="1762"/>
      <c r="G32" s="1762"/>
      <c r="H32" s="1762"/>
      <c r="I32" s="1762"/>
      <c r="J32" s="1762"/>
      <c r="K32" s="1762"/>
      <c r="L32" s="1762"/>
      <c r="M32" s="1762"/>
      <c r="N32" s="1762"/>
      <c r="O32" s="1762"/>
      <c r="P32" s="1762"/>
      <c r="Q32" s="1762"/>
      <c r="R32" s="1762"/>
      <c r="S32" s="1762"/>
      <c r="T32" s="1762"/>
      <c r="U32" s="1762"/>
      <c r="V32" s="1762"/>
      <c r="W32" s="1762"/>
      <c r="X32" s="1762"/>
      <c r="Y32" s="1762"/>
      <c r="Z32" s="1762"/>
      <c r="AA32" s="1762"/>
      <c r="AB32" s="1762"/>
      <c r="AC32" s="1762"/>
      <c r="AD32" s="1762"/>
      <c r="AE32" s="1762"/>
      <c r="AF32" s="1762"/>
      <c r="AG32" s="1762"/>
      <c r="AH32" s="1762"/>
      <c r="AI32" s="1762"/>
      <c r="AJ32" s="1762"/>
      <c r="AK32" s="1762"/>
      <c r="AL32" s="1762"/>
      <c r="AM32" s="1762"/>
      <c r="AN32" s="1762"/>
      <c r="AO32" s="1762"/>
      <c r="AP32" s="1762"/>
      <c r="AQ32" s="1762"/>
      <c r="AR32" s="1762"/>
      <c r="AS32" s="1762"/>
      <c r="AT32" s="1762"/>
      <c r="AU32" s="1762"/>
      <c r="AV32" s="1762"/>
      <c r="AW32" s="1762"/>
      <c r="AX32" s="1762"/>
      <c r="AY32" s="1762"/>
      <c r="AZ32" s="1762"/>
      <c r="BA32" s="1762"/>
      <c r="BB32" s="1762"/>
      <c r="BC32" s="1762"/>
      <c r="BD32" s="1762"/>
    </row>
    <row r="33" spans="2:71" s="98" customFormat="1" ht="47" customHeight="1" x14ac:dyDescent="0.35">
      <c r="B33" s="193" t="s">
        <v>155</v>
      </c>
      <c r="C33" s="1762" t="s">
        <v>1300</v>
      </c>
      <c r="D33" s="1762"/>
      <c r="E33" s="1762"/>
      <c r="F33" s="1762"/>
      <c r="G33" s="1762"/>
      <c r="H33" s="1762"/>
      <c r="I33" s="1762"/>
      <c r="J33" s="1762"/>
      <c r="K33" s="1762"/>
      <c r="L33" s="1762"/>
      <c r="M33" s="1762"/>
      <c r="N33" s="1762"/>
      <c r="O33" s="1762"/>
      <c r="P33" s="1762"/>
      <c r="Q33" s="1762"/>
      <c r="R33" s="1762"/>
      <c r="S33" s="1762"/>
      <c r="T33" s="1762"/>
      <c r="U33" s="1762"/>
      <c r="V33" s="1762"/>
      <c r="W33" s="1762"/>
      <c r="X33" s="1762"/>
      <c r="Y33" s="1762"/>
      <c r="Z33" s="1762"/>
      <c r="AA33" s="1762"/>
      <c r="AB33" s="1762"/>
      <c r="AC33" s="1762"/>
      <c r="AD33" s="1762"/>
      <c r="AE33" s="1762"/>
      <c r="AF33" s="1762"/>
      <c r="AG33" s="1762"/>
      <c r="AH33" s="1762"/>
      <c r="AI33" s="1762"/>
      <c r="AJ33" s="1762"/>
      <c r="AK33" s="1762"/>
      <c r="AL33" s="1762"/>
      <c r="AM33" s="1762"/>
      <c r="AN33" s="1762"/>
      <c r="AO33" s="1762"/>
      <c r="AP33" s="1762"/>
      <c r="AQ33" s="1762"/>
      <c r="AR33" s="1762"/>
      <c r="AS33" s="1762"/>
      <c r="AT33" s="1762"/>
      <c r="AU33" s="1762"/>
      <c r="AV33" s="1762"/>
      <c r="AW33" s="1762"/>
      <c r="AX33" s="1762"/>
      <c r="AY33" s="1762"/>
      <c r="AZ33" s="1762"/>
      <c r="BA33" s="1762"/>
      <c r="BB33" s="1762"/>
      <c r="BC33" s="1762"/>
      <c r="BD33" s="1762"/>
    </row>
    <row r="34" spans="2:71" s="98" customFormat="1" x14ac:dyDescent="0.35">
      <c r="B34" s="193" t="s">
        <v>156</v>
      </c>
      <c r="C34" s="1762" t="s">
        <v>1193</v>
      </c>
      <c r="D34" s="1762"/>
      <c r="E34" s="1762"/>
      <c r="F34" s="1762"/>
      <c r="G34" s="1762"/>
      <c r="H34" s="1762"/>
      <c r="I34" s="1762"/>
      <c r="J34" s="1762"/>
      <c r="K34" s="1762"/>
      <c r="L34" s="1762"/>
      <c r="M34" s="1762"/>
      <c r="N34" s="1762"/>
      <c r="O34" s="1762"/>
      <c r="P34" s="1762"/>
      <c r="Q34" s="1762"/>
      <c r="R34" s="1762"/>
      <c r="S34" s="1762"/>
      <c r="T34" s="1762"/>
      <c r="U34" s="1762"/>
      <c r="V34" s="1762"/>
      <c r="W34" s="1762"/>
      <c r="X34" s="1762"/>
      <c r="Y34" s="1762"/>
      <c r="Z34" s="1762"/>
      <c r="AA34" s="1762"/>
      <c r="AB34" s="1762"/>
      <c r="AC34" s="1762"/>
      <c r="AD34" s="1762"/>
      <c r="AE34" s="1762"/>
      <c r="AF34" s="1762"/>
      <c r="AG34" s="1762"/>
      <c r="AH34" s="1762"/>
      <c r="AI34" s="1762"/>
      <c r="AJ34" s="1762"/>
      <c r="AK34" s="1762"/>
      <c r="AL34" s="1762"/>
      <c r="AM34" s="1762"/>
      <c r="AN34" s="1762"/>
      <c r="AO34" s="1762"/>
      <c r="AP34" s="1762"/>
      <c r="AQ34" s="1762"/>
      <c r="AR34" s="1762"/>
      <c r="AS34" s="1762"/>
      <c r="AT34" s="1762"/>
      <c r="AU34" s="1762"/>
      <c r="AV34" s="1762"/>
      <c r="AW34" s="1762"/>
      <c r="AX34" s="1762"/>
      <c r="AY34" s="1762"/>
      <c r="AZ34" s="1762"/>
      <c r="BA34" s="1762"/>
      <c r="BB34" s="1762"/>
      <c r="BC34" s="1762"/>
      <c r="BD34" s="1762"/>
    </row>
    <row r="35" spans="2:71" s="98" customFormat="1" ht="47" customHeight="1" x14ac:dyDescent="0.35">
      <c r="B35" s="193" t="s">
        <v>157</v>
      </c>
      <c r="C35" s="1762" t="s">
        <v>1194</v>
      </c>
      <c r="D35" s="1762"/>
      <c r="E35" s="1762"/>
      <c r="F35" s="1762"/>
      <c r="G35" s="1762"/>
      <c r="H35" s="1762"/>
      <c r="I35" s="1762"/>
      <c r="J35" s="1762"/>
      <c r="K35" s="1762"/>
      <c r="L35" s="1762"/>
      <c r="M35" s="1762"/>
      <c r="N35" s="1762"/>
      <c r="O35" s="1762"/>
      <c r="P35" s="1762"/>
      <c r="Q35" s="1762"/>
      <c r="R35" s="1762"/>
      <c r="S35" s="1762"/>
      <c r="T35" s="1762"/>
      <c r="U35" s="1762"/>
      <c r="V35" s="1762"/>
      <c r="W35" s="1762"/>
      <c r="X35" s="1762"/>
      <c r="Y35" s="1762"/>
      <c r="Z35" s="1762"/>
      <c r="AA35" s="1762"/>
      <c r="AB35" s="1762"/>
      <c r="AC35" s="1762"/>
      <c r="AD35" s="1762"/>
      <c r="AE35" s="1762"/>
      <c r="AF35" s="1762"/>
      <c r="AG35" s="1762"/>
      <c r="AH35" s="1762"/>
      <c r="AI35" s="1762"/>
      <c r="AJ35" s="1762"/>
      <c r="AK35" s="1762"/>
      <c r="AL35" s="1762"/>
      <c r="AM35" s="1762"/>
      <c r="AN35" s="1762"/>
      <c r="AO35" s="1762"/>
      <c r="AP35" s="1762"/>
      <c r="AQ35" s="1762"/>
      <c r="AR35" s="1762"/>
      <c r="AS35" s="1762"/>
      <c r="AT35" s="1762"/>
      <c r="AU35" s="1762"/>
      <c r="AV35" s="1762"/>
      <c r="AW35" s="1762"/>
      <c r="AX35" s="1762"/>
      <c r="AY35" s="1762"/>
      <c r="AZ35" s="1762"/>
      <c r="BA35" s="1762"/>
      <c r="BB35" s="1762"/>
      <c r="BC35" s="1762"/>
      <c r="BD35" s="1762"/>
    </row>
    <row r="36" spans="2:71" s="98" customFormat="1" ht="31" customHeight="1" x14ac:dyDescent="0.35">
      <c r="B36" s="193" t="s">
        <v>159</v>
      </c>
      <c r="C36" s="1762" t="s">
        <v>1195</v>
      </c>
      <c r="D36" s="1762"/>
      <c r="E36" s="1762"/>
      <c r="F36" s="1762"/>
      <c r="G36" s="1762"/>
      <c r="H36" s="1762"/>
      <c r="I36" s="1762"/>
      <c r="J36" s="1762"/>
      <c r="K36" s="1762"/>
      <c r="L36" s="1762"/>
      <c r="M36" s="1762"/>
      <c r="N36" s="1762"/>
      <c r="O36" s="1762"/>
      <c r="P36" s="1762"/>
      <c r="Q36" s="1762"/>
      <c r="R36" s="1762"/>
      <c r="S36" s="1762"/>
      <c r="T36" s="1762"/>
      <c r="U36" s="1762"/>
      <c r="V36" s="1762"/>
      <c r="W36" s="1762"/>
      <c r="X36" s="1762"/>
      <c r="Y36" s="1762"/>
      <c r="Z36" s="1762"/>
      <c r="AA36" s="1762"/>
      <c r="AB36" s="1762"/>
      <c r="AC36" s="1762"/>
      <c r="AD36" s="1762"/>
      <c r="AE36" s="1762"/>
      <c r="AF36" s="1762"/>
      <c r="AG36" s="1762"/>
      <c r="AH36" s="1762"/>
      <c r="AI36" s="1762"/>
      <c r="AJ36" s="1762"/>
      <c r="AK36" s="1762"/>
      <c r="AL36" s="1762"/>
      <c r="AM36" s="1762"/>
      <c r="AN36" s="1762"/>
      <c r="AO36" s="1762"/>
      <c r="AP36" s="1762"/>
      <c r="AQ36" s="1762"/>
      <c r="AR36" s="1762"/>
      <c r="AS36" s="1762"/>
      <c r="AT36" s="1762"/>
      <c r="AU36" s="1762"/>
      <c r="AV36" s="1762"/>
      <c r="AW36" s="1762"/>
      <c r="AX36" s="1762"/>
      <c r="AY36" s="1762"/>
      <c r="AZ36" s="1762"/>
      <c r="BA36" s="1762"/>
      <c r="BB36" s="1762"/>
      <c r="BC36" s="1762"/>
      <c r="BD36" s="1762"/>
    </row>
    <row r="37" spans="2:71" s="98" customFormat="1" ht="31" customHeight="1" x14ac:dyDescent="0.35">
      <c r="B37" s="193" t="s">
        <v>153</v>
      </c>
      <c r="C37" s="1762" t="s">
        <v>1196</v>
      </c>
      <c r="D37" s="1762"/>
      <c r="E37" s="1762"/>
      <c r="F37" s="1762"/>
      <c r="G37" s="1762"/>
      <c r="H37" s="1762"/>
      <c r="I37" s="1762"/>
      <c r="J37" s="1762"/>
      <c r="K37" s="1762"/>
      <c r="L37" s="1762"/>
      <c r="M37" s="1762"/>
      <c r="N37" s="1762"/>
      <c r="O37" s="1762"/>
      <c r="P37" s="1762"/>
      <c r="Q37" s="1762"/>
      <c r="R37" s="1762"/>
      <c r="S37" s="1762"/>
      <c r="T37" s="1762"/>
      <c r="U37" s="1762"/>
      <c r="V37" s="1762"/>
      <c r="W37" s="1762"/>
      <c r="X37" s="1762"/>
      <c r="Y37" s="1762"/>
      <c r="Z37" s="1762"/>
      <c r="AA37" s="1762"/>
      <c r="AB37" s="1762"/>
      <c r="AC37" s="1762"/>
      <c r="AD37" s="1762"/>
      <c r="AE37" s="1762"/>
      <c r="AF37" s="1762"/>
      <c r="AG37" s="1762"/>
      <c r="AH37" s="1762"/>
      <c r="AI37" s="1762"/>
      <c r="AJ37" s="1762"/>
      <c r="AK37" s="1762"/>
      <c r="AL37" s="1762"/>
      <c r="AM37" s="1762"/>
      <c r="AN37" s="1762"/>
      <c r="AO37" s="1762"/>
      <c r="AP37" s="1762"/>
      <c r="AQ37" s="1762"/>
      <c r="AR37" s="1762"/>
      <c r="AS37" s="1762"/>
      <c r="AT37" s="1762"/>
      <c r="AU37" s="1762"/>
      <c r="AV37" s="1762"/>
      <c r="AW37" s="1762"/>
      <c r="AX37" s="1762"/>
      <c r="AY37" s="1762"/>
      <c r="AZ37" s="1762"/>
      <c r="BA37" s="1762"/>
      <c r="BB37" s="1762"/>
      <c r="BC37" s="1762"/>
      <c r="BD37" s="1762"/>
    </row>
    <row r="38" spans="2:71" s="173" customFormat="1" ht="30" customHeight="1" x14ac:dyDescent="0.35">
      <c r="B38" s="202"/>
      <c r="C38" s="203"/>
      <c r="D38" s="203"/>
      <c r="E38" s="203"/>
      <c r="F38" s="203"/>
      <c r="G38" s="203"/>
      <c r="H38" s="203"/>
      <c r="I38" s="203"/>
      <c r="J38" s="203"/>
      <c r="K38" s="203"/>
      <c r="L38" s="203"/>
      <c r="M38" s="203"/>
      <c r="N38" s="203"/>
      <c r="O38" s="203"/>
      <c r="P38" s="203"/>
      <c r="Q38" s="203"/>
      <c r="R38" s="203"/>
      <c r="S38" s="203"/>
      <c r="T38" s="203"/>
      <c r="U38" s="203"/>
      <c r="V38" s="203"/>
      <c r="W38" s="203"/>
      <c r="X38" s="203"/>
      <c r="Y38" s="203"/>
      <c r="Z38" s="203"/>
      <c r="AA38" s="203"/>
      <c r="AB38" s="203"/>
      <c r="AC38" s="203"/>
      <c r="AD38" s="203"/>
      <c r="AE38" s="203"/>
      <c r="AF38" s="203"/>
      <c r="AG38" s="203"/>
      <c r="AH38" s="203"/>
      <c r="AI38" s="203"/>
      <c r="AJ38" s="203"/>
      <c r="AK38" s="203"/>
      <c r="AL38" s="203"/>
      <c r="AM38" s="203"/>
      <c r="AN38" s="203"/>
      <c r="AO38" s="203"/>
      <c r="AP38" s="203"/>
      <c r="AQ38" s="203"/>
      <c r="AR38" s="203"/>
      <c r="AS38" s="203"/>
      <c r="AT38" s="203"/>
      <c r="AU38" s="203"/>
      <c r="AV38" s="203"/>
      <c r="AW38" s="203"/>
      <c r="AX38" s="203"/>
      <c r="AY38" s="203"/>
      <c r="AZ38" s="203"/>
      <c r="BA38" s="203"/>
      <c r="BB38" s="203"/>
      <c r="BC38" s="203"/>
      <c r="BD38" s="203"/>
      <c r="BE38" s="199"/>
      <c r="BF38" s="199"/>
      <c r="BG38" s="199"/>
      <c r="BH38" s="199"/>
      <c r="BI38" s="199"/>
      <c r="BJ38" s="199"/>
      <c r="BK38" s="199"/>
      <c r="BL38" s="199"/>
      <c r="BM38" s="199"/>
      <c r="BN38" s="199"/>
      <c r="BO38" s="199"/>
      <c r="BP38" s="199"/>
      <c r="BQ38" s="199"/>
      <c r="BR38" s="199"/>
      <c r="BS38" s="199"/>
    </row>
    <row r="39" spans="2:71" s="184" customFormat="1" ht="16.5" x14ac:dyDescent="0.35">
      <c r="B39" s="204" t="s">
        <v>1111</v>
      </c>
      <c r="C39" s="204"/>
      <c r="D39" s="204"/>
      <c r="E39" s="204"/>
      <c r="F39" s="204"/>
      <c r="G39" s="204"/>
      <c r="H39" s="204"/>
      <c r="I39" s="204"/>
      <c r="J39" s="204"/>
      <c r="K39" s="204"/>
      <c r="L39" s="204"/>
      <c r="M39" s="204"/>
      <c r="N39" s="204"/>
      <c r="O39" s="204"/>
      <c r="P39" s="204"/>
      <c r="Q39" s="204"/>
      <c r="R39" s="204"/>
      <c r="S39" s="204"/>
      <c r="T39" s="204"/>
      <c r="U39" s="204"/>
      <c r="V39" s="204"/>
      <c r="W39" s="204"/>
    </row>
    <row r="40" spans="2:71" s="72" customFormat="1" ht="17" thickBot="1" x14ac:dyDescent="0.4">
      <c r="B40" s="205" t="s">
        <v>12684</v>
      </c>
      <c r="C40" s="206"/>
      <c r="D40" s="206"/>
      <c r="E40" s="206"/>
      <c r="F40" s="206"/>
      <c r="G40" s="206"/>
      <c r="H40" s="206"/>
      <c r="I40" s="206"/>
      <c r="J40" s="206"/>
      <c r="K40" s="206"/>
      <c r="L40" s="206"/>
      <c r="M40" s="206"/>
      <c r="N40" s="206"/>
      <c r="O40" s="206"/>
      <c r="P40" s="206"/>
      <c r="Q40" s="206"/>
      <c r="R40" s="206"/>
      <c r="S40" s="206"/>
      <c r="T40" s="206"/>
      <c r="U40" s="206"/>
      <c r="V40" s="206"/>
      <c r="W40" s="206"/>
      <c r="X40" s="206"/>
    </row>
    <row r="41" spans="2:71" s="184" customFormat="1" ht="35" customHeight="1" thickBot="1" x14ac:dyDescent="0.4">
      <c r="B41" s="1765" t="s">
        <v>986</v>
      </c>
      <c r="C41" s="1766"/>
      <c r="D41" s="1766"/>
      <c r="E41" s="1766"/>
      <c r="F41" s="1766"/>
      <c r="G41" s="1766"/>
      <c r="H41" s="1766"/>
      <c r="I41" s="1766"/>
      <c r="J41" s="1766"/>
      <c r="K41" s="1767"/>
      <c r="L41" s="1765" t="s">
        <v>987</v>
      </c>
      <c r="M41" s="1766"/>
      <c r="N41" s="1766"/>
      <c r="O41" s="1766"/>
      <c r="P41" s="1766"/>
      <c r="Q41" s="1767"/>
      <c r="S41" s="207"/>
      <c r="T41" s="208"/>
      <c r="U41" s="1768" t="s">
        <v>1310</v>
      </c>
      <c r="V41" s="1768"/>
      <c r="W41" s="1768"/>
      <c r="X41" s="1768"/>
      <c r="Y41" s="1768"/>
      <c r="Z41" s="1768"/>
      <c r="AA41" s="1768"/>
      <c r="AB41" s="1768"/>
      <c r="AC41" s="1768"/>
      <c r="AD41" s="1768"/>
      <c r="AE41" s="1768"/>
      <c r="AF41" s="1768"/>
      <c r="AG41" s="1768"/>
      <c r="AH41" s="1768"/>
      <c r="AI41" s="1768"/>
      <c r="AJ41" s="1768"/>
      <c r="AK41" s="1768"/>
      <c r="AL41" s="1768"/>
      <c r="AM41" s="1768"/>
      <c r="AN41" s="1768"/>
      <c r="AO41" s="1768"/>
      <c r="AP41" s="1768"/>
      <c r="AQ41" s="1768"/>
      <c r="AR41" s="1768"/>
      <c r="AS41" s="1768"/>
      <c r="AT41" s="1768"/>
      <c r="AU41" s="1768"/>
      <c r="AV41" s="1768"/>
      <c r="AW41" s="1768"/>
      <c r="AX41" s="1768"/>
      <c r="AY41" s="1768"/>
      <c r="AZ41" s="1768"/>
      <c r="BA41" s="1768"/>
      <c r="BB41" s="1768"/>
      <c r="BC41" s="1768"/>
      <c r="BD41" s="1768"/>
    </row>
    <row r="42" spans="2:71" s="184" customFormat="1" ht="25" customHeight="1" x14ac:dyDescent="0.35">
      <c r="B42" s="189"/>
      <c r="C42" s="190" t="s">
        <v>1058</v>
      </c>
      <c r="D42" s="190"/>
      <c r="E42" s="190"/>
      <c r="F42" s="190"/>
      <c r="G42" s="190"/>
      <c r="H42" s="190"/>
      <c r="I42" s="190"/>
      <c r="J42" s="190"/>
      <c r="K42" s="190"/>
      <c r="L42" s="1775">
        <v>0</v>
      </c>
      <c r="M42" s="1776"/>
      <c r="N42" s="1776"/>
      <c r="O42" s="1776"/>
      <c r="P42" s="1776"/>
      <c r="Q42" s="1777"/>
      <c r="R42" s="186"/>
      <c r="U42" s="1768"/>
      <c r="V42" s="1768"/>
      <c r="W42" s="1768"/>
      <c r="X42" s="1768"/>
      <c r="Y42" s="1768"/>
      <c r="Z42" s="1768"/>
      <c r="AA42" s="1768"/>
      <c r="AB42" s="1768"/>
      <c r="AC42" s="1768"/>
      <c r="AD42" s="1768"/>
      <c r="AE42" s="1768"/>
      <c r="AF42" s="1768"/>
      <c r="AG42" s="1768"/>
      <c r="AH42" s="1768"/>
      <c r="AI42" s="1768"/>
      <c r="AJ42" s="1768"/>
      <c r="AK42" s="1768"/>
      <c r="AL42" s="1768"/>
      <c r="AM42" s="1768"/>
      <c r="AN42" s="1768"/>
      <c r="AO42" s="1768"/>
      <c r="AP42" s="1768"/>
      <c r="AQ42" s="1768"/>
      <c r="AR42" s="1768"/>
      <c r="AS42" s="1768"/>
      <c r="AT42" s="1768"/>
      <c r="AU42" s="1768"/>
      <c r="AV42" s="1768"/>
      <c r="AW42" s="1768"/>
      <c r="AX42" s="1768"/>
      <c r="AY42" s="1768"/>
      <c r="AZ42" s="1768"/>
      <c r="BA42" s="1768"/>
      <c r="BB42" s="1768"/>
      <c r="BC42" s="1768"/>
      <c r="BD42" s="1768"/>
    </row>
    <row r="43" spans="2:71" s="184" customFormat="1" ht="25" customHeight="1" thickBot="1" x14ac:dyDescent="0.4">
      <c r="B43" s="187"/>
      <c r="C43" s="188" t="s">
        <v>1059</v>
      </c>
      <c r="D43" s="188"/>
      <c r="E43" s="188"/>
      <c r="F43" s="188"/>
      <c r="G43" s="188"/>
      <c r="H43" s="188"/>
      <c r="I43" s="188"/>
      <c r="J43" s="188"/>
      <c r="K43" s="188"/>
      <c r="L43" s="1772">
        <v>0</v>
      </c>
      <c r="M43" s="1773"/>
      <c r="N43" s="1773"/>
      <c r="O43" s="1773"/>
      <c r="P43" s="1773"/>
      <c r="Q43" s="1774"/>
      <c r="R43" s="186"/>
      <c r="S43" s="186"/>
      <c r="T43" s="186"/>
      <c r="U43" s="1768" t="s">
        <v>1197</v>
      </c>
      <c r="V43" s="1768"/>
      <c r="W43" s="1768"/>
      <c r="X43" s="1768"/>
      <c r="Y43" s="1768"/>
      <c r="Z43" s="1768"/>
      <c r="AA43" s="1768"/>
      <c r="AB43" s="1768"/>
      <c r="AC43" s="1768"/>
      <c r="AD43" s="1768"/>
      <c r="AE43" s="1768"/>
      <c r="AF43" s="1768"/>
      <c r="AG43" s="1768"/>
      <c r="AH43" s="1768"/>
      <c r="AI43" s="1768"/>
      <c r="AJ43" s="1768"/>
      <c r="AK43" s="1768"/>
      <c r="AL43" s="1768"/>
      <c r="AM43" s="1768"/>
      <c r="AN43" s="1768"/>
      <c r="AO43" s="1768"/>
      <c r="AP43" s="1768"/>
      <c r="AQ43" s="1768"/>
      <c r="AR43" s="1768"/>
      <c r="AS43" s="1768"/>
      <c r="AT43" s="1768"/>
      <c r="AU43" s="1768"/>
      <c r="AV43" s="1768"/>
      <c r="AW43" s="1768"/>
      <c r="AX43" s="1768"/>
      <c r="AY43" s="1768"/>
      <c r="AZ43" s="1768"/>
      <c r="BA43" s="1768"/>
      <c r="BB43" s="1768"/>
      <c r="BC43" s="1768"/>
      <c r="BD43" s="1768"/>
    </row>
    <row r="44" spans="2:71" s="184" customFormat="1" ht="25" customHeight="1" thickTop="1" thickBot="1" x14ac:dyDescent="0.4">
      <c r="B44" s="1779" t="s">
        <v>988</v>
      </c>
      <c r="C44" s="1780"/>
      <c r="D44" s="1780"/>
      <c r="E44" s="1780"/>
      <c r="F44" s="1780"/>
      <c r="G44" s="1780"/>
      <c r="H44" s="1780"/>
      <c r="I44" s="1780"/>
      <c r="J44" s="1780"/>
      <c r="K44" s="1781"/>
      <c r="L44" s="1769">
        <f>SUM(L42:Q43)</f>
        <v>0</v>
      </c>
      <c r="M44" s="1770"/>
      <c r="N44" s="1770"/>
      <c r="O44" s="1770"/>
      <c r="P44" s="1770"/>
      <c r="Q44" s="1771"/>
      <c r="R44" s="185"/>
      <c r="U44" s="186"/>
      <c r="V44" s="186"/>
      <c r="W44" s="186"/>
      <c r="X44" s="186"/>
      <c r="Y44" s="186"/>
      <c r="Z44" s="186"/>
      <c r="AA44" s="186"/>
      <c r="AB44" s="186"/>
      <c r="AC44" s="186"/>
      <c r="AD44" s="186"/>
      <c r="AE44" s="186"/>
      <c r="AF44" s="186"/>
      <c r="AG44" s="186"/>
      <c r="AH44" s="186"/>
      <c r="AI44" s="186"/>
      <c r="AJ44" s="186"/>
      <c r="AK44" s="186"/>
      <c r="AL44" s="186"/>
    </row>
    <row r="45" spans="2:71" s="87" customFormat="1" ht="30" customHeight="1" x14ac:dyDescent="0.3">
      <c r="B45" s="99"/>
      <c r="C45" s="100"/>
      <c r="D45" s="101"/>
      <c r="E45" s="101"/>
      <c r="F45" s="101"/>
      <c r="G45" s="101"/>
      <c r="H45" s="101"/>
      <c r="I45" s="101"/>
      <c r="J45" s="101"/>
      <c r="K45" s="101"/>
      <c r="L45" s="101"/>
      <c r="M45" s="101"/>
      <c r="N45" s="101"/>
      <c r="O45" s="101"/>
      <c r="P45" s="101"/>
      <c r="Q45" s="101"/>
      <c r="R45" s="101"/>
      <c r="S45" s="101"/>
    </row>
    <row r="46" spans="2:71" x14ac:dyDescent="0.35">
      <c r="B46" s="60" t="s">
        <v>913</v>
      </c>
      <c r="X46" s="60" t="s">
        <v>911</v>
      </c>
      <c r="Y46" s="60"/>
      <c r="AP46" s="60" t="s">
        <v>922</v>
      </c>
      <c r="AQ46" s="73"/>
      <c r="AR46" s="73"/>
      <c r="AS46" s="73"/>
      <c r="AT46" s="73"/>
      <c r="AU46" s="73"/>
      <c r="AV46" s="73"/>
      <c r="AW46" s="73"/>
      <c r="AX46" s="73"/>
      <c r="AY46" s="73"/>
      <c r="AZ46" s="73"/>
      <c r="BA46" s="73"/>
      <c r="BB46" s="73"/>
      <c r="BC46" s="73"/>
    </row>
    <row r="47" spans="2:71" ht="21.75" customHeight="1" x14ac:dyDescent="0.35">
      <c r="B47" s="60" t="s">
        <v>780</v>
      </c>
      <c r="F47" s="1581" t="str">
        <f>SchInfo!F38</f>
        <v>MELCHESIEDICK Q. BOLANIO/ March 17, 2023</v>
      </c>
      <c r="G47" s="1581"/>
      <c r="H47" s="1581"/>
      <c r="I47" s="1581"/>
      <c r="J47" s="1581"/>
      <c r="K47" s="1581"/>
      <c r="L47" s="1581"/>
      <c r="M47" s="1581"/>
      <c r="N47" s="1581"/>
      <c r="O47" s="1581"/>
      <c r="P47" s="1581"/>
      <c r="Q47" s="1581"/>
      <c r="R47" s="1581"/>
      <c r="S47" s="1581"/>
      <c r="T47" s="1581"/>
      <c r="X47" s="1581" t="str">
        <f>Table5!X37</f>
        <v>RONE RAY M. PORTACION  /  March 17, 2023</v>
      </c>
      <c r="Y47" s="1581"/>
      <c r="Z47" s="1581"/>
      <c r="AA47" s="1581"/>
      <c r="AB47" s="1581"/>
      <c r="AC47" s="1581"/>
      <c r="AD47" s="1581"/>
      <c r="AE47" s="1581"/>
      <c r="AF47" s="1581"/>
      <c r="AG47" s="1581"/>
      <c r="AH47" s="1581"/>
      <c r="AI47" s="1581"/>
      <c r="AJ47" s="1581"/>
      <c r="AK47" s="1581"/>
      <c r="AL47" s="1581"/>
      <c r="AP47" s="1582" t="str">
        <f>SchInfo!R38</f>
        <v>MICHAEL T. JAMIS   /  March 17, 2023</v>
      </c>
      <c r="AQ47" s="1582"/>
      <c r="AR47" s="1582"/>
      <c r="AS47" s="1582"/>
      <c r="AT47" s="1582"/>
      <c r="AU47" s="1582"/>
      <c r="AV47" s="1582"/>
      <c r="AW47" s="1582"/>
      <c r="AX47" s="1582"/>
      <c r="AY47" s="1582"/>
      <c r="AZ47" s="1582"/>
      <c r="BA47" s="1582"/>
      <c r="BB47" s="1582"/>
      <c r="BC47" s="1582"/>
      <c r="BD47" s="1582"/>
    </row>
    <row r="48" spans="2:71" s="51" customFormat="1" ht="14" x14ac:dyDescent="0.3">
      <c r="B48" s="74"/>
      <c r="F48" s="1452" t="s">
        <v>779</v>
      </c>
      <c r="G48" s="1452"/>
      <c r="H48" s="1452"/>
      <c r="I48" s="1452"/>
      <c r="J48" s="1452"/>
      <c r="K48" s="1452"/>
      <c r="L48" s="1452"/>
      <c r="M48" s="1452"/>
      <c r="N48" s="1452"/>
      <c r="O48" s="1452"/>
      <c r="P48" s="1452"/>
      <c r="Q48" s="1452"/>
      <c r="R48" s="1452"/>
      <c r="S48" s="1452"/>
      <c r="T48" s="1452"/>
      <c r="U48" s="172"/>
      <c r="V48" s="76"/>
      <c r="W48" s="76"/>
      <c r="X48" s="1452" t="s">
        <v>779</v>
      </c>
      <c r="Y48" s="1452"/>
      <c r="Z48" s="1452"/>
      <c r="AA48" s="1452"/>
      <c r="AB48" s="1452"/>
      <c r="AC48" s="1452"/>
      <c r="AD48" s="1452"/>
      <c r="AE48" s="1452"/>
      <c r="AF48" s="1452"/>
      <c r="AG48" s="1452"/>
      <c r="AH48" s="1452"/>
      <c r="AI48" s="1452"/>
      <c r="AJ48" s="1452"/>
      <c r="AK48" s="1452"/>
      <c r="AL48" s="1452"/>
      <c r="AM48" s="172"/>
      <c r="AN48" s="172"/>
      <c r="AO48" s="172"/>
      <c r="AP48" s="1583"/>
      <c r="AQ48" s="1583"/>
      <c r="AR48" s="1583"/>
      <c r="AS48" s="1583"/>
      <c r="AT48" s="1583"/>
      <c r="AU48" s="1583"/>
      <c r="AV48" s="1583"/>
      <c r="AW48" s="1583"/>
      <c r="AX48" s="1583"/>
      <c r="AY48" s="1583"/>
      <c r="AZ48" s="1583"/>
      <c r="BA48" s="1583"/>
      <c r="BB48" s="1583"/>
      <c r="BC48" s="1583"/>
      <c r="BD48" s="1583"/>
    </row>
    <row r="49" spans="2:56" ht="21.75" customHeight="1" x14ac:dyDescent="0.35">
      <c r="B49" s="60" t="s">
        <v>784</v>
      </c>
      <c r="F49" s="1581" t="str">
        <f>SchInfo!F40</f>
        <v>Principal IV</v>
      </c>
      <c r="G49" s="1581"/>
      <c r="H49" s="1581"/>
      <c r="I49" s="1581"/>
      <c r="J49" s="1581"/>
      <c r="K49" s="1581"/>
      <c r="L49" s="1581"/>
      <c r="M49" s="1581"/>
      <c r="N49" s="1581"/>
      <c r="O49" s="1581"/>
      <c r="P49" s="1581"/>
      <c r="Q49" s="1581"/>
      <c r="R49" s="1581"/>
      <c r="S49" s="1581"/>
      <c r="T49" s="1581"/>
      <c r="X49" s="60" t="s">
        <v>784</v>
      </c>
      <c r="Y49" s="60"/>
      <c r="AB49" s="1581" t="str">
        <f>Table5!AB39</f>
        <v>Education Program Supervisor</v>
      </c>
      <c r="AC49" s="1581"/>
      <c r="AD49" s="1581"/>
      <c r="AE49" s="1581"/>
      <c r="AF49" s="1581"/>
      <c r="AG49" s="1581"/>
      <c r="AH49" s="1581"/>
      <c r="AI49" s="1581"/>
      <c r="AJ49" s="1581"/>
      <c r="AK49" s="1581"/>
      <c r="AL49" s="1581"/>
      <c r="AP49" s="1452" t="s">
        <v>779</v>
      </c>
      <c r="AQ49" s="1452"/>
      <c r="AR49" s="1452"/>
      <c r="AS49" s="1452"/>
      <c r="AT49" s="1452"/>
      <c r="AU49" s="1452"/>
      <c r="AV49" s="1452"/>
      <c r="AW49" s="1452"/>
      <c r="AX49" s="1452"/>
      <c r="AY49" s="1452"/>
      <c r="AZ49" s="1452"/>
      <c r="BA49" s="1452"/>
      <c r="BB49" s="1452"/>
      <c r="BC49" s="1452"/>
      <c r="BD49" s="1452"/>
    </row>
    <row r="50" spans="2:56" s="98" customFormat="1" x14ac:dyDescent="0.35">
      <c r="B50" s="158"/>
      <c r="C50" s="159"/>
      <c r="D50" s="159"/>
      <c r="E50" s="159"/>
      <c r="F50" s="159"/>
      <c r="G50" s="159"/>
      <c r="H50" s="159"/>
      <c r="I50" s="159"/>
      <c r="J50" s="159"/>
      <c r="K50" s="159"/>
      <c r="L50" s="159"/>
      <c r="M50" s="159"/>
      <c r="N50" s="159"/>
      <c r="O50" s="159"/>
      <c r="P50" s="159"/>
      <c r="Q50" s="159"/>
      <c r="R50" s="159"/>
      <c r="S50" s="159"/>
      <c r="T50" s="159"/>
      <c r="U50" s="159"/>
      <c r="V50" s="159"/>
      <c r="W50" s="159"/>
      <c r="X50" s="159"/>
      <c r="Y50" s="159"/>
      <c r="Z50" s="159"/>
      <c r="AA50" s="159"/>
      <c r="AB50" s="159"/>
      <c r="AC50" s="159"/>
      <c r="AD50" s="159"/>
      <c r="AE50" s="159"/>
      <c r="AF50" s="159"/>
      <c r="AG50" s="159"/>
      <c r="AH50" s="159"/>
      <c r="AI50" s="159"/>
      <c r="AJ50" s="159"/>
      <c r="AK50" s="159"/>
      <c r="AL50" s="159"/>
      <c r="AM50" s="159"/>
      <c r="AN50" s="159"/>
      <c r="AO50" s="159"/>
      <c r="AP50" s="159"/>
      <c r="AQ50" s="159"/>
      <c r="AR50" s="159"/>
      <c r="AS50" s="159"/>
      <c r="AT50" s="159"/>
      <c r="AU50" s="159"/>
      <c r="AV50" s="159"/>
      <c r="AW50" s="159"/>
      <c r="AX50" s="159"/>
      <c r="AY50" s="159"/>
      <c r="AZ50" s="159"/>
      <c r="BA50" s="159"/>
    </row>
  </sheetData>
  <sheetProtection algorithmName="SHA-512" hashValue="5SJWu9qLJmTpon8kJsoJwuc2cxy2LnhAiBJ9J/jehyoa1N4U7tcQJ6SrfZ37fMFUJ0yzQgtK0Rw4vAyfvao8xw==" saltValue="3Qy6w4TlgfN/LsrR8fM0pg==" spinCount="100000" sheet="1" objects="1" scenarios="1"/>
  <mergeCells count="45">
    <mergeCell ref="F49:T49"/>
    <mergeCell ref="AB49:AL49"/>
    <mergeCell ref="AP49:BD49"/>
    <mergeCell ref="C5:BD5"/>
    <mergeCell ref="C6:BD6"/>
    <mergeCell ref="C9:BD9"/>
    <mergeCell ref="C10:BD10"/>
    <mergeCell ref="C11:BD11"/>
    <mergeCell ref="C12:BD12"/>
    <mergeCell ref="C16:BD16"/>
    <mergeCell ref="B44:K44"/>
    <mergeCell ref="F47:T47"/>
    <mergeCell ref="X47:AL47"/>
    <mergeCell ref="AP47:BD48"/>
    <mergeCell ref="F48:T48"/>
    <mergeCell ref="C24:BD24"/>
    <mergeCell ref="X48:AL48"/>
    <mergeCell ref="B41:K41"/>
    <mergeCell ref="L41:Q41"/>
    <mergeCell ref="C33:BD33"/>
    <mergeCell ref="C34:BD34"/>
    <mergeCell ref="C35:BD35"/>
    <mergeCell ref="C36:BD36"/>
    <mergeCell ref="C37:BD37"/>
    <mergeCell ref="U43:BD43"/>
    <mergeCell ref="U41:BD42"/>
    <mergeCell ref="L44:Q44"/>
    <mergeCell ref="L43:Q43"/>
    <mergeCell ref="L42:Q42"/>
    <mergeCell ref="C32:BD32"/>
    <mergeCell ref="C26:D26"/>
    <mergeCell ref="C21:BD21"/>
    <mergeCell ref="C22:BD22"/>
    <mergeCell ref="C23:BD23"/>
    <mergeCell ref="C31:BD31"/>
    <mergeCell ref="C25:BD25"/>
    <mergeCell ref="E26:BD26"/>
    <mergeCell ref="C27:BD27"/>
    <mergeCell ref="C30:BD30"/>
    <mergeCell ref="C28:AW28"/>
    <mergeCell ref="C13:BD13"/>
    <mergeCell ref="C17:BD17"/>
    <mergeCell ref="C18:BD18"/>
    <mergeCell ref="C19:BD19"/>
    <mergeCell ref="C20:BD20"/>
  </mergeCells>
  <dataValidations count="1">
    <dataValidation type="whole" allowBlank="1" showErrorMessage="1" errorTitle="GJHSP SY 2022-2023" error="Please enter valid number between 0-999." sqref="L42:Q43" xr:uid="{B1342473-FE49-4AB2-9BC0-F740BBDE316D}">
      <formula1>0</formula1>
      <formula2>999</formula2>
    </dataValidation>
  </dataValidations>
  <printOptions horizontalCentered="1" verticalCentered="1"/>
  <pageMargins left="0.23622047244094491" right="0.23622047244094491" top="0.19685039370078741" bottom="0.19685039370078741" header="0" footer="0.11811023622047245"/>
  <pageSetup paperSize="14" scale="55" orientation="landscape" cellComments="asDisplayed" r:id="rId1"/>
  <headerFooter alignWithMargins="0">
    <oddFooter>&amp;L&amp;10&amp;F &amp;A&amp;R&amp;10Page 7 of 63</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8E9A5-E084-445A-81B7-C25F95C0C33C}">
  <sheetPr codeName="Sheet10"/>
  <dimension ref="B1:BM40"/>
  <sheetViews>
    <sheetView showGridLines="0" zoomScaleNormal="100" workbookViewId="0">
      <selection activeCell="AI24" sqref="AI24:AV25"/>
    </sheetView>
  </sheetViews>
  <sheetFormatPr defaultColWidth="9" defaultRowHeight="15.5" x14ac:dyDescent="0.35"/>
  <cols>
    <col min="1" max="1" width="2.08203125" style="44" customWidth="1"/>
    <col min="2" max="48" width="3.58203125" style="44" customWidth="1"/>
    <col min="49" max="49" width="2.08203125" style="44" customWidth="1"/>
    <col min="50" max="57" width="3.58203125" style="44" customWidth="1"/>
    <col min="58" max="16384" width="9" style="44"/>
  </cols>
  <sheetData>
    <row r="1" spans="2:48" ht="12" customHeight="1" x14ac:dyDescent="0.35"/>
    <row r="2" spans="2:48" x14ac:dyDescent="0.35">
      <c r="B2" s="215" t="s">
        <v>1112</v>
      </c>
      <c r="X2" s="49"/>
    </row>
    <row r="3" spans="2:48" ht="16" thickBot="1" x14ac:dyDescent="0.4">
      <c r="B3" s="215" t="s">
        <v>12684</v>
      </c>
      <c r="X3" s="49"/>
    </row>
    <row r="4" spans="2:48" s="110" customFormat="1" ht="17" customHeight="1" thickBot="1" x14ac:dyDescent="0.4">
      <c r="B4" s="1597" t="s">
        <v>76</v>
      </c>
      <c r="C4" s="1596"/>
      <c r="D4" s="1596"/>
      <c r="E4" s="1596"/>
      <c r="F4" s="1596"/>
      <c r="G4" s="1596"/>
      <c r="H4" s="1596"/>
      <c r="I4" s="1596"/>
      <c r="J4" s="1596"/>
      <c r="K4" s="1596"/>
      <c r="L4" s="1596"/>
      <c r="M4" s="1596"/>
      <c r="N4" s="1596"/>
      <c r="O4" s="1596"/>
      <c r="P4" s="1596"/>
      <c r="Q4" s="1596"/>
      <c r="R4" s="1596"/>
      <c r="S4" s="1596"/>
      <c r="T4" s="1596"/>
      <c r="U4" s="1596"/>
      <c r="V4" s="1596"/>
      <c r="W4" s="1596"/>
      <c r="X4" s="1596"/>
      <c r="Y4" s="1596"/>
      <c r="Z4" s="1596"/>
      <c r="AA4" s="1596"/>
      <c r="AB4" s="1596"/>
      <c r="AC4" s="1596"/>
      <c r="AD4" s="1596"/>
      <c r="AE4" s="1808"/>
      <c r="AF4" s="140"/>
      <c r="AG4" s="140"/>
      <c r="AH4" s="140"/>
      <c r="AI4" s="60" t="s">
        <v>912</v>
      </c>
      <c r="AJ4" s="73"/>
      <c r="AK4" s="73"/>
      <c r="AL4" s="73"/>
      <c r="AM4" s="73"/>
      <c r="AN4" s="73"/>
      <c r="AO4" s="73"/>
      <c r="AP4" s="73"/>
      <c r="AQ4" s="73"/>
      <c r="AR4" s="73"/>
      <c r="AS4" s="73"/>
      <c r="AT4" s="73"/>
      <c r="AU4" s="73"/>
      <c r="AV4" s="73"/>
    </row>
    <row r="5" spans="2:48" s="110" customFormat="1" ht="26.5" customHeight="1" x14ac:dyDescent="0.35">
      <c r="B5" s="1804" t="s">
        <v>512</v>
      </c>
      <c r="C5" s="1805"/>
      <c r="D5" s="1805"/>
      <c r="E5" s="1805"/>
      <c r="F5" s="1805"/>
      <c r="G5" s="1805"/>
      <c r="H5" s="1805"/>
      <c r="I5" s="1805"/>
      <c r="J5" s="1805"/>
      <c r="K5" s="1805"/>
      <c r="L5" s="1805"/>
      <c r="M5" s="1809"/>
      <c r="N5" s="1812" t="s">
        <v>56</v>
      </c>
      <c r="O5" s="1512"/>
      <c r="P5" s="1512"/>
      <c r="Q5" s="1512"/>
      <c r="R5" s="1512"/>
      <c r="S5" s="1813"/>
      <c r="T5" s="1812" t="s">
        <v>18</v>
      </c>
      <c r="U5" s="1512"/>
      <c r="V5" s="1512"/>
      <c r="W5" s="1512"/>
      <c r="X5" s="1512"/>
      <c r="Y5" s="1817"/>
      <c r="Z5" s="1511" t="s">
        <v>1240</v>
      </c>
      <c r="AA5" s="1512"/>
      <c r="AB5" s="1512"/>
      <c r="AC5" s="1512"/>
      <c r="AD5" s="1512"/>
      <c r="AE5" s="1513"/>
      <c r="AF5" s="140"/>
      <c r="AG5" s="140"/>
      <c r="AI5" s="1802" t="s">
        <v>12806</v>
      </c>
      <c r="AJ5" s="1803"/>
      <c r="AK5" s="1803"/>
      <c r="AL5" s="1803"/>
      <c r="AM5" s="1803"/>
      <c r="AN5" s="1803"/>
      <c r="AO5" s="1803"/>
      <c r="AP5" s="1803"/>
      <c r="AQ5" s="1803"/>
      <c r="AR5" s="1803"/>
      <c r="AS5" s="1803"/>
      <c r="AT5" s="1803"/>
      <c r="AU5" s="1803"/>
      <c r="AV5" s="1803"/>
    </row>
    <row r="6" spans="2:48" s="110" customFormat="1" ht="26.5" customHeight="1" thickBot="1" x14ac:dyDescent="0.4">
      <c r="B6" s="1517" t="s">
        <v>363</v>
      </c>
      <c r="C6" s="1518"/>
      <c r="D6" s="1518"/>
      <c r="E6" s="1518"/>
      <c r="F6" s="1518"/>
      <c r="G6" s="1810"/>
      <c r="H6" s="1811" t="s">
        <v>364</v>
      </c>
      <c r="I6" s="1518"/>
      <c r="J6" s="1518"/>
      <c r="K6" s="1518"/>
      <c r="L6" s="1518"/>
      <c r="M6" s="1519"/>
      <c r="N6" s="1814"/>
      <c r="O6" s="1815"/>
      <c r="P6" s="1815"/>
      <c r="Q6" s="1815"/>
      <c r="R6" s="1815"/>
      <c r="S6" s="1816"/>
      <c r="T6" s="1814"/>
      <c r="U6" s="1815"/>
      <c r="V6" s="1815"/>
      <c r="W6" s="1815"/>
      <c r="X6" s="1815"/>
      <c r="Y6" s="1818"/>
      <c r="Z6" s="1819"/>
      <c r="AA6" s="1815"/>
      <c r="AB6" s="1815"/>
      <c r="AC6" s="1815"/>
      <c r="AD6" s="1815"/>
      <c r="AE6" s="1820"/>
      <c r="AI6" s="1452" t="s">
        <v>779</v>
      </c>
      <c r="AJ6" s="1452"/>
      <c r="AK6" s="1452"/>
      <c r="AL6" s="1452"/>
      <c r="AM6" s="1452"/>
      <c r="AN6" s="1452"/>
      <c r="AO6" s="1452"/>
      <c r="AP6" s="1452"/>
      <c r="AQ6" s="1452"/>
      <c r="AR6" s="1452"/>
      <c r="AS6" s="1452"/>
      <c r="AT6" s="1452"/>
      <c r="AU6" s="1452"/>
      <c r="AV6" s="1452"/>
    </row>
    <row r="7" spans="2:48" s="110" customFormat="1" ht="16.5" x14ac:dyDescent="0.35">
      <c r="B7" s="1800">
        <v>0</v>
      </c>
      <c r="C7" s="1785"/>
      <c r="D7" s="1785"/>
      <c r="E7" s="1785"/>
      <c r="F7" s="1785"/>
      <c r="G7" s="1821"/>
      <c r="H7" s="1784">
        <v>0</v>
      </c>
      <c r="I7" s="1785"/>
      <c r="J7" s="1785"/>
      <c r="K7" s="1785"/>
      <c r="L7" s="1785"/>
      <c r="M7" s="1786"/>
      <c r="N7" s="1829">
        <v>0</v>
      </c>
      <c r="O7" s="1830"/>
      <c r="P7" s="1830"/>
      <c r="Q7" s="1830"/>
      <c r="R7" s="1830"/>
      <c r="S7" s="1835"/>
      <c r="T7" s="1829">
        <v>0</v>
      </c>
      <c r="U7" s="1830"/>
      <c r="V7" s="1830"/>
      <c r="W7" s="1830"/>
      <c r="X7" s="1830"/>
      <c r="Y7" s="1831"/>
      <c r="Z7" s="1823">
        <f>SUM(B7:Y8)</f>
        <v>0</v>
      </c>
      <c r="AA7" s="1824"/>
      <c r="AB7" s="1824"/>
      <c r="AC7" s="1824"/>
      <c r="AD7" s="1824"/>
      <c r="AE7" s="1825"/>
      <c r="AI7" s="60" t="s">
        <v>782</v>
      </c>
      <c r="AJ7" s="44"/>
      <c r="AK7" s="44"/>
      <c r="AL7" s="44"/>
      <c r="AM7" s="1802" t="s">
        <v>12807</v>
      </c>
      <c r="AN7" s="1803"/>
      <c r="AO7" s="1803"/>
      <c r="AP7" s="1803"/>
      <c r="AQ7" s="1803"/>
      <c r="AR7" s="1803"/>
      <c r="AS7" s="1803"/>
      <c r="AT7" s="1803"/>
      <c r="AU7" s="1803"/>
      <c r="AV7" s="1803"/>
    </row>
    <row r="8" spans="2:48" s="110" customFormat="1" ht="17" customHeight="1" thickBot="1" x14ac:dyDescent="0.4">
      <c r="B8" s="1801"/>
      <c r="C8" s="1788"/>
      <c r="D8" s="1788"/>
      <c r="E8" s="1788"/>
      <c r="F8" s="1788"/>
      <c r="G8" s="1822"/>
      <c r="H8" s="1787"/>
      <c r="I8" s="1788"/>
      <c r="J8" s="1788"/>
      <c r="K8" s="1788"/>
      <c r="L8" s="1788"/>
      <c r="M8" s="1789"/>
      <c r="N8" s="1832"/>
      <c r="O8" s="1833"/>
      <c r="P8" s="1833"/>
      <c r="Q8" s="1833"/>
      <c r="R8" s="1833"/>
      <c r="S8" s="1836"/>
      <c r="T8" s="1832"/>
      <c r="U8" s="1833"/>
      <c r="V8" s="1833"/>
      <c r="W8" s="1833"/>
      <c r="X8" s="1833"/>
      <c r="Y8" s="1834"/>
      <c r="Z8" s="1826"/>
      <c r="AA8" s="1827"/>
      <c r="AB8" s="1827"/>
      <c r="AC8" s="1827"/>
      <c r="AD8" s="1827"/>
      <c r="AE8" s="1828"/>
      <c r="AH8" s="211"/>
      <c r="AI8" s="211"/>
      <c r="AJ8" s="211"/>
      <c r="AK8" s="211"/>
      <c r="AL8" s="211"/>
    </row>
    <row r="9" spans="2:48" s="110" customFormat="1" ht="25.75" customHeight="1" x14ac:dyDescent="0.35">
      <c r="B9" s="219" t="str">
        <f>IF(OR(Z7&lt;L25,Z7&lt;AA25),"Total of Locally-funded Teachers shall be greater than or equal to the Total of Qualified / Trained Teachers in Table 8.","")</f>
        <v/>
      </c>
      <c r="C9" s="216"/>
      <c r="D9" s="216"/>
      <c r="E9" s="216"/>
      <c r="F9" s="216"/>
      <c r="G9" s="216"/>
      <c r="H9" s="216"/>
      <c r="I9" s="216"/>
      <c r="J9" s="216"/>
      <c r="K9" s="216"/>
      <c r="L9" s="216"/>
      <c r="M9" s="216"/>
      <c r="N9" s="217"/>
      <c r="O9" s="217"/>
      <c r="P9" s="217"/>
      <c r="Q9" s="217"/>
      <c r="R9" s="217"/>
      <c r="S9" s="217"/>
      <c r="T9" s="217"/>
      <c r="U9" s="217"/>
      <c r="V9" s="217"/>
      <c r="W9" s="217"/>
      <c r="X9" s="217"/>
      <c r="Y9" s="217"/>
      <c r="Z9" s="218"/>
      <c r="AA9" s="218"/>
      <c r="AB9" s="218"/>
      <c r="AC9" s="218"/>
      <c r="AD9" s="218"/>
      <c r="AE9" s="218"/>
      <c r="AH9" s="211"/>
      <c r="AI9" s="211"/>
      <c r="AJ9" s="211"/>
      <c r="AK9" s="211"/>
      <c r="AL9" s="211"/>
    </row>
    <row r="10" spans="2:48" s="89" customFormat="1" ht="15.5" customHeight="1" x14ac:dyDescent="0.35">
      <c r="B10" s="1584" t="s">
        <v>1175</v>
      </c>
      <c r="C10" s="1584"/>
      <c r="D10" s="1584"/>
      <c r="E10" s="1584"/>
      <c r="F10" s="1584"/>
      <c r="G10" s="1584"/>
      <c r="H10" s="1584"/>
      <c r="I10" s="1584"/>
      <c r="J10" s="1584"/>
      <c r="K10" s="1584"/>
      <c r="L10" s="1584"/>
      <c r="M10" s="1584"/>
      <c r="N10" s="1584"/>
      <c r="O10" s="1584"/>
      <c r="P10" s="1584"/>
      <c r="Q10" s="1584"/>
      <c r="R10" s="1584"/>
      <c r="S10" s="1584"/>
      <c r="T10" s="1584"/>
      <c r="U10" s="1584"/>
      <c r="V10" s="1584"/>
      <c r="W10" s="1584"/>
      <c r="X10" s="1584"/>
      <c r="Y10" s="1584"/>
      <c r="Z10" s="1584"/>
      <c r="AA10" s="1584"/>
      <c r="AB10" s="1584"/>
      <c r="AC10" s="1584"/>
      <c r="AD10" s="1584"/>
      <c r="AE10" s="1584"/>
      <c r="AF10" s="211"/>
      <c r="AG10" s="211"/>
      <c r="AH10" s="211"/>
    </row>
    <row r="11" spans="2:48" s="89" customFormat="1" ht="15.5" customHeight="1" x14ac:dyDescent="0.35">
      <c r="B11" s="1584"/>
      <c r="C11" s="1584"/>
      <c r="D11" s="1584"/>
      <c r="E11" s="1584"/>
      <c r="F11" s="1584"/>
      <c r="G11" s="1584"/>
      <c r="H11" s="1584"/>
      <c r="I11" s="1584"/>
      <c r="J11" s="1584"/>
      <c r="K11" s="1584"/>
      <c r="L11" s="1584"/>
      <c r="M11" s="1584"/>
      <c r="N11" s="1584"/>
      <c r="O11" s="1584"/>
      <c r="P11" s="1584"/>
      <c r="Q11" s="1584"/>
      <c r="R11" s="1584"/>
      <c r="S11" s="1584"/>
      <c r="T11" s="1584"/>
      <c r="U11" s="1584"/>
      <c r="V11" s="1584"/>
      <c r="W11" s="1584"/>
      <c r="X11" s="1584"/>
      <c r="Y11" s="1584"/>
      <c r="Z11" s="1584"/>
      <c r="AA11" s="1584"/>
      <c r="AB11" s="1584"/>
      <c r="AC11" s="1584"/>
      <c r="AD11" s="1584"/>
      <c r="AE11" s="1584"/>
      <c r="AF11" s="211"/>
      <c r="AG11" s="211"/>
      <c r="AH11" s="211"/>
    </row>
    <row r="12" spans="2:48" s="89" customFormat="1" ht="15.5" customHeight="1" x14ac:dyDescent="0.35">
      <c r="B12" s="162" t="s">
        <v>77</v>
      </c>
      <c r="E12" s="85"/>
      <c r="F12" s="85"/>
      <c r="G12" s="85"/>
      <c r="H12" s="85"/>
      <c r="I12" s="85"/>
      <c r="J12" s="85"/>
    </row>
    <row r="13" spans="2:48" s="89" customFormat="1" ht="15.5" customHeight="1" x14ac:dyDescent="0.35">
      <c r="B13" s="213"/>
      <c r="C13" s="214" t="s">
        <v>107</v>
      </c>
      <c r="D13" s="1584" t="s">
        <v>1176</v>
      </c>
      <c r="E13" s="1584"/>
      <c r="F13" s="1584"/>
      <c r="G13" s="1584"/>
      <c r="H13" s="1584"/>
      <c r="I13" s="1584"/>
      <c r="J13" s="1584"/>
      <c r="K13" s="1584"/>
      <c r="L13" s="1584"/>
      <c r="M13" s="1584"/>
      <c r="N13" s="1584"/>
      <c r="O13" s="1584"/>
      <c r="P13" s="1584"/>
      <c r="Q13" s="1584"/>
      <c r="R13" s="1584"/>
      <c r="S13" s="1584"/>
      <c r="T13" s="1584"/>
      <c r="U13" s="1584"/>
      <c r="V13" s="1584"/>
      <c r="W13" s="1584"/>
      <c r="X13" s="1584"/>
      <c r="Y13" s="1584"/>
      <c r="Z13" s="1584"/>
      <c r="AA13" s="1584"/>
      <c r="AB13" s="1584"/>
      <c r="AC13" s="1584"/>
      <c r="AD13" s="1584"/>
      <c r="AE13" s="1584"/>
    </row>
    <row r="14" spans="2:48" s="89" customFormat="1" ht="15.5" customHeight="1" x14ac:dyDescent="0.35">
      <c r="B14" s="213"/>
      <c r="C14" s="214"/>
      <c r="D14" s="1584"/>
      <c r="E14" s="1584"/>
      <c r="F14" s="1584"/>
      <c r="G14" s="1584"/>
      <c r="H14" s="1584"/>
      <c r="I14" s="1584"/>
      <c r="J14" s="1584"/>
      <c r="K14" s="1584"/>
      <c r="L14" s="1584"/>
      <c r="M14" s="1584"/>
      <c r="N14" s="1584"/>
      <c r="O14" s="1584"/>
      <c r="P14" s="1584"/>
      <c r="Q14" s="1584"/>
      <c r="R14" s="1584"/>
      <c r="S14" s="1584"/>
      <c r="T14" s="1584"/>
      <c r="U14" s="1584"/>
      <c r="V14" s="1584"/>
      <c r="W14" s="1584"/>
      <c r="X14" s="1584"/>
      <c r="Y14" s="1584"/>
      <c r="Z14" s="1584"/>
      <c r="AA14" s="1584"/>
      <c r="AB14" s="1584"/>
      <c r="AC14" s="1584"/>
      <c r="AD14" s="1584"/>
      <c r="AE14" s="1584"/>
      <c r="AI14" s="44"/>
      <c r="AJ14" s="44"/>
      <c r="AK14" s="44"/>
      <c r="AL14" s="44"/>
      <c r="AM14" s="44"/>
      <c r="AN14" s="44"/>
      <c r="AO14" s="44"/>
      <c r="AP14" s="44"/>
      <c r="AQ14" s="44"/>
      <c r="AR14" s="44"/>
      <c r="AS14" s="44"/>
      <c r="AT14" s="44"/>
      <c r="AU14" s="44"/>
      <c r="AV14" s="44"/>
    </row>
    <row r="15" spans="2:48" s="89" customFormat="1" ht="15.5" customHeight="1" x14ac:dyDescent="0.35">
      <c r="B15" s="213"/>
      <c r="C15" s="214" t="s">
        <v>108</v>
      </c>
      <c r="D15" s="85" t="s">
        <v>1177</v>
      </c>
      <c r="E15" s="85"/>
      <c r="F15" s="85"/>
      <c r="G15" s="85"/>
      <c r="H15" s="85"/>
      <c r="I15" s="85"/>
      <c r="J15" s="85"/>
      <c r="K15" s="85"/>
      <c r="L15" s="85"/>
      <c r="M15" s="85"/>
      <c r="N15" s="85"/>
      <c r="O15" s="85"/>
      <c r="P15" s="85"/>
      <c r="Q15" s="85"/>
      <c r="R15" s="85"/>
      <c r="S15" s="85"/>
      <c r="T15" s="85"/>
      <c r="U15" s="85"/>
      <c r="V15" s="85"/>
      <c r="W15" s="85"/>
      <c r="X15" s="85"/>
      <c r="Y15" s="85"/>
      <c r="Z15" s="85"/>
      <c r="AA15" s="85"/>
      <c r="AB15" s="85"/>
    </row>
    <row r="16" spans="2:48" s="89" customFormat="1" ht="15.5" customHeight="1" x14ac:dyDescent="0.35">
      <c r="B16" s="213"/>
      <c r="C16" s="214" t="s">
        <v>131</v>
      </c>
      <c r="D16" s="85" t="s">
        <v>1178</v>
      </c>
      <c r="E16" s="85"/>
      <c r="F16" s="85"/>
      <c r="G16" s="85"/>
      <c r="H16" s="85"/>
      <c r="I16" s="85"/>
      <c r="J16" s="85"/>
      <c r="K16" s="85"/>
      <c r="L16" s="85"/>
      <c r="M16" s="85"/>
      <c r="N16" s="85"/>
      <c r="O16" s="85"/>
      <c r="P16" s="85"/>
      <c r="Q16" s="85"/>
      <c r="R16" s="85"/>
      <c r="S16" s="85"/>
      <c r="T16" s="85"/>
      <c r="U16" s="85"/>
      <c r="V16" s="85"/>
      <c r="W16" s="85"/>
      <c r="X16" s="85"/>
      <c r="Y16" s="85"/>
      <c r="Z16" s="85"/>
      <c r="AA16" s="85"/>
      <c r="AB16" s="85"/>
    </row>
    <row r="17" spans="2:48" s="89" customFormat="1" ht="15.5" customHeight="1" x14ac:dyDescent="0.35">
      <c r="B17" s="212"/>
      <c r="C17" s="212"/>
      <c r="D17" s="212"/>
      <c r="E17" s="212"/>
      <c r="F17" s="212"/>
      <c r="G17" s="212"/>
      <c r="H17" s="212"/>
      <c r="I17" s="212"/>
      <c r="J17" s="212"/>
      <c r="K17" s="212"/>
      <c r="L17" s="212"/>
      <c r="M17" s="212"/>
      <c r="N17" s="212"/>
      <c r="O17" s="212"/>
      <c r="P17" s="212"/>
      <c r="Q17" s="212"/>
      <c r="R17" s="212"/>
      <c r="S17" s="212"/>
      <c r="T17" s="212"/>
      <c r="U17" s="212"/>
      <c r="V17" s="212"/>
      <c r="W17" s="212"/>
      <c r="X17" s="212"/>
      <c r="Y17" s="212"/>
      <c r="Z17" s="212"/>
      <c r="AA17" s="212"/>
      <c r="AB17" s="212"/>
      <c r="AC17" s="212"/>
      <c r="AD17" s="212"/>
      <c r="AE17" s="212"/>
    </row>
    <row r="18" spans="2:48" s="87" customFormat="1" x14ac:dyDescent="0.35">
      <c r="B18" s="96" t="s">
        <v>1330</v>
      </c>
      <c r="C18" s="101"/>
      <c r="D18" s="101"/>
      <c r="F18" s="101"/>
      <c r="G18" s="101"/>
      <c r="H18" s="101"/>
      <c r="I18" s="101"/>
      <c r="J18" s="101"/>
      <c r="K18" s="101"/>
      <c r="L18" s="101"/>
    </row>
    <row r="19" spans="2:48" s="89" customFormat="1" ht="10" customHeight="1" x14ac:dyDescent="0.35">
      <c r="B19" s="213"/>
      <c r="C19" s="214"/>
      <c r="D19" s="122"/>
      <c r="E19" s="122"/>
      <c r="F19" s="122"/>
      <c r="G19" s="122"/>
      <c r="H19" s="122"/>
      <c r="I19" s="122"/>
      <c r="J19" s="122"/>
      <c r="K19" s="122"/>
      <c r="L19" s="122"/>
      <c r="M19" s="122"/>
      <c r="N19" s="122"/>
      <c r="O19" s="122"/>
      <c r="P19" s="122"/>
      <c r="Q19" s="122"/>
      <c r="R19" s="122"/>
      <c r="S19" s="122"/>
      <c r="T19" s="122"/>
      <c r="U19" s="122"/>
      <c r="V19" s="122"/>
      <c r="W19" s="122"/>
      <c r="X19" s="122"/>
      <c r="Y19" s="122"/>
      <c r="Z19" s="122"/>
      <c r="AA19" s="85"/>
      <c r="AB19" s="85"/>
    </row>
    <row r="20" spans="2:48" s="110" customFormat="1" ht="15" customHeight="1" x14ac:dyDescent="0.35">
      <c r="B20" s="120"/>
      <c r="C20" s="120"/>
      <c r="D20" s="120"/>
      <c r="E20" s="120"/>
      <c r="F20" s="120"/>
      <c r="G20" s="120"/>
      <c r="H20" s="120"/>
      <c r="I20" s="120"/>
      <c r="J20" s="120"/>
      <c r="K20" s="120"/>
      <c r="L20" s="120"/>
      <c r="M20" s="120"/>
      <c r="N20" s="120"/>
      <c r="O20" s="120"/>
      <c r="P20" s="120"/>
      <c r="Q20" s="120"/>
      <c r="R20" s="120"/>
      <c r="S20" s="120"/>
      <c r="T20" s="120"/>
      <c r="U20" s="120"/>
      <c r="V20" s="120"/>
      <c r="W20" s="120"/>
      <c r="X20" s="120"/>
      <c r="Y20" s="120"/>
      <c r="Z20" s="120"/>
      <c r="AA20" s="120"/>
      <c r="AB20" s="120"/>
    </row>
    <row r="21" spans="2:48" x14ac:dyDescent="0.35">
      <c r="B21" s="215" t="s">
        <v>1113</v>
      </c>
      <c r="V21" s="49"/>
      <c r="W21" s="49"/>
    </row>
    <row r="22" spans="2:48" ht="16" thickBot="1" x14ac:dyDescent="0.4">
      <c r="B22" s="153" t="s">
        <v>12684</v>
      </c>
      <c r="V22" s="49"/>
      <c r="W22" s="49"/>
    </row>
    <row r="23" spans="2:48" s="110" customFormat="1" ht="17" customHeight="1" x14ac:dyDescent="0.35">
      <c r="B23" s="1804" t="s">
        <v>776</v>
      </c>
      <c r="C23" s="1805"/>
      <c r="D23" s="1805"/>
      <c r="E23" s="1805"/>
      <c r="F23" s="1805"/>
      <c r="G23" s="1805"/>
      <c r="H23" s="1805"/>
      <c r="I23" s="1805"/>
      <c r="J23" s="1805"/>
      <c r="K23" s="1805"/>
      <c r="L23" s="1805"/>
      <c r="M23" s="1805"/>
      <c r="N23" s="1805"/>
      <c r="O23" s="1805"/>
      <c r="P23" s="1806"/>
      <c r="Q23" s="1804" t="s">
        <v>777</v>
      </c>
      <c r="R23" s="1805"/>
      <c r="S23" s="1805"/>
      <c r="T23" s="1805"/>
      <c r="U23" s="1805"/>
      <c r="V23" s="1805"/>
      <c r="W23" s="1805"/>
      <c r="X23" s="1805"/>
      <c r="Y23" s="1805"/>
      <c r="Z23" s="1805"/>
      <c r="AA23" s="1805"/>
      <c r="AB23" s="1805"/>
      <c r="AC23" s="1805"/>
      <c r="AD23" s="1805"/>
      <c r="AE23" s="1806"/>
      <c r="AF23" s="140"/>
      <c r="AG23" s="140"/>
      <c r="AH23" s="140"/>
      <c r="AI23" s="60" t="s">
        <v>905</v>
      </c>
    </row>
    <row r="24" spans="2:48" s="110" customFormat="1" ht="17" customHeight="1" thickBot="1" x14ac:dyDescent="0.4">
      <c r="B24" s="1517" t="s">
        <v>14</v>
      </c>
      <c r="C24" s="1518"/>
      <c r="D24" s="1518"/>
      <c r="E24" s="1518"/>
      <c r="F24" s="1519"/>
      <c r="G24" s="1520" t="s">
        <v>15</v>
      </c>
      <c r="H24" s="1518"/>
      <c r="I24" s="1518"/>
      <c r="J24" s="1518"/>
      <c r="K24" s="1536"/>
      <c r="L24" s="1537" t="s">
        <v>16</v>
      </c>
      <c r="M24" s="1518"/>
      <c r="N24" s="1518"/>
      <c r="O24" s="1518"/>
      <c r="P24" s="1521"/>
      <c r="Q24" s="1517" t="s">
        <v>14</v>
      </c>
      <c r="R24" s="1518"/>
      <c r="S24" s="1518"/>
      <c r="T24" s="1518"/>
      <c r="U24" s="1519"/>
      <c r="V24" s="1520" t="s">
        <v>15</v>
      </c>
      <c r="W24" s="1518"/>
      <c r="X24" s="1518"/>
      <c r="Y24" s="1518"/>
      <c r="Z24" s="1536"/>
      <c r="AA24" s="1537" t="s">
        <v>16</v>
      </c>
      <c r="AB24" s="1518"/>
      <c r="AC24" s="1518"/>
      <c r="AD24" s="1518"/>
      <c r="AE24" s="1521"/>
      <c r="AG24" s="140"/>
      <c r="AI24" s="1782" t="s">
        <v>12806</v>
      </c>
      <c r="AJ24" s="1783"/>
      <c r="AK24" s="1783"/>
      <c r="AL24" s="1783"/>
      <c r="AM24" s="1783"/>
      <c r="AN24" s="1783"/>
      <c r="AO24" s="1783"/>
      <c r="AP24" s="1783"/>
      <c r="AQ24" s="1783"/>
      <c r="AR24" s="1783"/>
      <c r="AS24" s="1783"/>
      <c r="AT24" s="1783"/>
      <c r="AU24" s="1783"/>
      <c r="AV24" s="1783"/>
    </row>
    <row r="25" spans="2:48" s="110" customFormat="1" ht="17" customHeight="1" x14ac:dyDescent="0.35">
      <c r="B25" s="1800">
        <v>0</v>
      </c>
      <c r="C25" s="1785"/>
      <c r="D25" s="1785"/>
      <c r="E25" s="1785"/>
      <c r="F25" s="1786"/>
      <c r="G25" s="1796">
        <v>0</v>
      </c>
      <c r="H25" s="1785"/>
      <c r="I25" s="1785"/>
      <c r="J25" s="1785"/>
      <c r="K25" s="1797"/>
      <c r="L25" s="1790">
        <f>SUM(B25:K26)</f>
        <v>0</v>
      </c>
      <c r="M25" s="1791"/>
      <c r="N25" s="1791"/>
      <c r="O25" s="1791"/>
      <c r="P25" s="1792"/>
      <c r="Q25" s="1800">
        <v>0</v>
      </c>
      <c r="R25" s="1785"/>
      <c r="S25" s="1785"/>
      <c r="T25" s="1785"/>
      <c r="U25" s="1786"/>
      <c r="V25" s="1796">
        <v>0</v>
      </c>
      <c r="W25" s="1785"/>
      <c r="X25" s="1785"/>
      <c r="Y25" s="1785"/>
      <c r="Z25" s="1797"/>
      <c r="AA25" s="1790">
        <f>SUM(Q25:Z26)</f>
        <v>0</v>
      </c>
      <c r="AB25" s="1791"/>
      <c r="AC25" s="1791"/>
      <c r="AD25" s="1791"/>
      <c r="AE25" s="1792"/>
      <c r="AI25" s="1444"/>
      <c r="AJ25" s="1444"/>
      <c r="AK25" s="1444"/>
      <c r="AL25" s="1444"/>
      <c r="AM25" s="1444"/>
      <c r="AN25" s="1444"/>
      <c r="AO25" s="1444"/>
      <c r="AP25" s="1444"/>
      <c r="AQ25" s="1444"/>
      <c r="AR25" s="1444"/>
      <c r="AS25" s="1444"/>
      <c r="AT25" s="1444"/>
      <c r="AU25" s="1444"/>
      <c r="AV25" s="1444"/>
    </row>
    <row r="26" spans="2:48" s="110" customFormat="1" ht="17" customHeight="1" thickBot="1" x14ac:dyDescent="0.4">
      <c r="B26" s="1801"/>
      <c r="C26" s="1788"/>
      <c r="D26" s="1788"/>
      <c r="E26" s="1788"/>
      <c r="F26" s="1789"/>
      <c r="G26" s="1798"/>
      <c r="H26" s="1788"/>
      <c r="I26" s="1788"/>
      <c r="J26" s="1788"/>
      <c r="K26" s="1799"/>
      <c r="L26" s="1793"/>
      <c r="M26" s="1794"/>
      <c r="N26" s="1794"/>
      <c r="O26" s="1794"/>
      <c r="P26" s="1795"/>
      <c r="Q26" s="1801"/>
      <c r="R26" s="1788"/>
      <c r="S26" s="1788"/>
      <c r="T26" s="1788"/>
      <c r="U26" s="1789"/>
      <c r="V26" s="1798"/>
      <c r="W26" s="1788"/>
      <c r="X26" s="1788"/>
      <c r="Y26" s="1788"/>
      <c r="Z26" s="1799"/>
      <c r="AA26" s="1793"/>
      <c r="AB26" s="1794"/>
      <c r="AC26" s="1794"/>
      <c r="AD26" s="1794"/>
      <c r="AE26" s="1795"/>
      <c r="AI26" s="1452" t="s">
        <v>779</v>
      </c>
      <c r="AJ26" s="1452"/>
      <c r="AK26" s="1452"/>
      <c r="AL26" s="1452"/>
      <c r="AM26" s="1452"/>
      <c r="AN26" s="1452"/>
      <c r="AO26" s="1452"/>
      <c r="AP26" s="1452"/>
      <c r="AQ26" s="1452"/>
      <c r="AR26" s="1452"/>
      <c r="AS26" s="1452"/>
      <c r="AT26" s="1452"/>
      <c r="AU26" s="1452"/>
      <c r="AV26" s="1452"/>
    </row>
    <row r="27" spans="2:48" s="110" customFormat="1" ht="25.75" customHeight="1" x14ac:dyDescent="0.35">
      <c r="B27" s="219" t="str">
        <f>IF(OR(L25&gt;Z7,AA25&gt;Z7),"Total of Qualified / Trained Teachers shall be less than or equal to the Total of Locally-funded Teachers in Table 7.","")</f>
        <v/>
      </c>
      <c r="C27" s="216"/>
      <c r="D27" s="216"/>
      <c r="E27" s="216"/>
      <c r="F27" s="216"/>
      <c r="G27" s="216"/>
      <c r="H27" s="216"/>
      <c r="I27" s="216"/>
      <c r="J27" s="216"/>
      <c r="K27" s="216"/>
      <c r="L27" s="221"/>
      <c r="M27" s="221"/>
      <c r="N27" s="221"/>
      <c r="O27" s="221"/>
      <c r="P27" s="221"/>
      <c r="Q27" s="216"/>
      <c r="R27" s="216"/>
      <c r="S27" s="216"/>
      <c r="T27" s="216"/>
      <c r="U27" s="216"/>
      <c r="V27" s="216"/>
      <c r="W27" s="216"/>
      <c r="X27" s="216"/>
      <c r="Y27" s="216"/>
      <c r="Z27" s="216"/>
      <c r="AA27" s="221"/>
      <c r="AB27" s="221"/>
      <c r="AC27" s="221"/>
      <c r="AD27" s="221"/>
      <c r="AE27" s="221"/>
      <c r="AI27" s="220"/>
      <c r="AJ27" s="220"/>
      <c r="AK27" s="220"/>
      <c r="AL27" s="220"/>
      <c r="AM27" s="220"/>
      <c r="AN27" s="220"/>
      <c r="AO27" s="220"/>
      <c r="AP27" s="220"/>
      <c r="AQ27" s="220"/>
      <c r="AR27" s="220"/>
      <c r="AS27" s="220"/>
      <c r="AT27" s="220"/>
      <c r="AU27" s="220"/>
      <c r="AV27" s="220"/>
    </row>
    <row r="28" spans="2:48" s="110" customFormat="1" ht="17" customHeight="1" x14ac:dyDescent="0.35">
      <c r="B28" s="1807" t="s">
        <v>1179</v>
      </c>
      <c r="C28" s="1807"/>
      <c r="D28" s="1807"/>
      <c r="E28" s="1807"/>
      <c r="F28" s="1807"/>
      <c r="G28" s="1807"/>
      <c r="H28" s="1807"/>
      <c r="I28" s="1807"/>
      <c r="J28" s="1807"/>
      <c r="K28" s="1807"/>
      <c r="L28" s="1807"/>
      <c r="M28" s="1807"/>
      <c r="N28" s="1807"/>
      <c r="O28" s="1807"/>
      <c r="P28" s="1807"/>
      <c r="Q28" s="1807"/>
      <c r="R28" s="1807"/>
      <c r="S28" s="1807"/>
      <c r="T28" s="1807"/>
      <c r="U28" s="1807"/>
      <c r="V28" s="1807"/>
      <c r="W28" s="1807"/>
      <c r="X28" s="1807"/>
      <c r="Y28" s="1807"/>
      <c r="Z28" s="1807"/>
      <c r="AA28" s="1807"/>
      <c r="AB28" s="1807"/>
      <c r="AC28" s="1807"/>
      <c r="AD28" s="1807"/>
      <c r="AE28" s="1807"/>
      <c r="AF28" s="211"/>
    </row>
    <row r="29" spans="2:48" s="89" customFormat="1" ht="15.5" customHeight="1" x14ac:dyDescent="0.35">
      <c r="B29" s="1807"/>
      <c r="C29" s="1807"/>
      <c r="D29" s="1807"/>
      <c r="E29" s="1807"/>
      <c r="F29" s="1807"/>
      <c r="G29" s="1807"/>
      <c r="H29" s="1807"/>
      <c r="I29" s="1807"/>
      <c r="J29" s="1807"/>
      <c r="K29" s="1807"/>
      <c r="L29" s="1807"/>
      <c r="M29" s="1807"/>
      <c r="N29" s="1807"/>
      <c r="O29" s="1807"/>
      <c r="P29" s="1807"/>
      <c r="Q29" s="1807"/>
      <c r="R29" s="1807"/>
      <c r="S29" s="1807"/>
      <c r="T29" s="1807"/>
      <c r="U29" s="1807"/>
      <c r="V29" s="1807"/>
      <c r="W29" s="1807"/>
      <c r="X29" s="1807"/>
      <c r="Y29" s="1807"/>
      <c r="Z29" s="1807"/>
      <c r="AA29" s="1807"/>
      <c r="AB29" s="1807"/>
      <c r="AC29" s="1807"/>
      <c r="AD29" s="1807"/>
      <c r="AE29" s="1807"/>
      <c r="AF29" s="211"/>
      <c r="AG29" s="211"/>
    </row>
    <row r="30" spans="2:48" s="89" customFormat="1" ht="15.5" customHeight="1" x14ac:dyDescent="0.35">
      <c r="B30" s="1807"/>
      <c r="C30" s="1807"/>
      <c r="D30" s="1807"/>
      <c r="E30" s="1807"/>
      <c r="F30" s="1807"/>
      <c r="G30" s="1807"/>
      <c r="H30" s="1807"/>
      <c r="I30" s="1807"/>
      <c r="J30" s="1807"/>
      <c r="K30" s="1807"/>
      <c r="L30" s="1807"/>
      <c r="M30" s="1807"/>
      <c r="N30" s="1807"/>
      <c r="O30" s="1807"/>
      <c r="P30" s="1807"/>
      <c r="Q30" s="1807"/>
      <c r="R30" s="1807"/>
      <c r="S30" s="1807"/>
      <c r="T30" s="1807"/>
      <c r="U30" s="1807"/>
      <c r="V30" s="1807"/>
      <c r="W30" s="1807"/>
      <c r="X30" s="1807"/>
      <c r="Y30" s="1807"/>
      <c r="Z30" s="1807"/>
      <c r="AA30" s="1807"/>
      <c r="AB30" s="1807"/>
      <c r="AC30" s="1807"/>
      <c r="AD30" s="1807"/>
      <c r="AE30" s="1807"/>
      <c r="AF30" s="211"/>
      <c r="AG30" s="211"/>
    </row>
    <row r="31" spans="2:48" s="89" customFormat="1" ht="15.5" customHeight="1" x14ac:dyDescent="0.35">
      <c r="B31" s="1807"/>
      <c r="C31" s="1807"/>
      <c r="D31" s="1807"/>
      <c r="E31" s="1807"/>
      <c r="F31" s="1807"/>
      <c r="G31" s="1807"/>
      <c r="H31" s="1807"/>
      <c r="I31" s="1807"/>
      <c r="J31" s="1807"/>
      <c r="K31" s="1807"/>
      <c r="L31" s="1807"/>
      <c r="M31" s="1807"/>
      <c r="N31" s="1807"/>
      <c r="O31" s="1807"/>
      <c r="P31" s="1807"/>
      <c r="Q31" s="1807"/>
      <c r="R31" s="1807"/>
      <c r="S31" s="1807"/>
      <c r="T31" s="1807"/>
      <c r="U31" s="1807"/>
      <c r="V31" s="1807"/>
      <c r="W31" s="1807"/>
      <c r="X31" s="1807"/>
      <c r="Y31" s="1807"/>
      <c r="Z31" s="1807"/>
      <c r="AA31" s="1807"/>
      <c r="AB31" s="1807"/>
      <c r="AC31" s="1807"/>
      <c r="AD31" s="1807"/>
      <c r="AE31" s="1807"/>
    </row>
    <row r="32" spans="2:48" s="89" customFormat="1" ht="15.5" customHeight="1" x14ac:dyDescent="0.35">
      <c r="B32" s="1807" t="s">
        <v>1180</v>
      </c>
      <c r="C32" s="1807"/>
      <c r="D32" s="1807"/>
      <c r="E32" s="1807"/>
      <c r="F32" s="1807"/>
      <c r="G32" s="1807"/>
      <c r="H32" s="1807"/>
      <c r="I32" s="1807"/>
      <c r="J32" s="1807"/>
      <c r="K32" s="1807"/>
      <c r="L32" s="1807"/>
      <c r="M32" s="1807"/>
      <c r="N32" s="1807"/>
      <c r="O32" s="1807"/>
      <c r="P32" s="1807"/>
      <c r="Q32" s="1807"/>
      <c r="R32" s="1807"/>
      <c r="S32" s="1807"/>
      <c r="T32" s="1807"/>
      <c r="U32" s="1807"/>
      <c r="V32" s="1807"/>
      <c r="W32" s="1807"/>
      <c r="X32" s="1807"/>
      <c r="Y32" s="1807"/>
      <c r="Z32" s="1807"/>
      <c r="AA32" s="1807"/>
      <c r="AB32" s="1807"/>
      <c r="AC32" s="1807"/>
      <c r="AD32" s="1807"/>
      <c r="AE32" s="1807"/>
    </row>
    <row r="33" spans="2:65" s="89" customFormat="1" ht="15.5" customHeight="1" x14ac:dyDescent="0.35">
      <c r="B33" s="1807"/>
      <c r="C33" s="1807"/>
      <c r="D33" s="1807"/>
      <c r="E33" s="1807"/>
      <c r="F33" s="1807"/>
      <c r="G33" s="1807"/>
      <c r="H33" s="1807"/>
      <c r="I33" s="1807"/>
      <c r="J33" s="1807"/>
      <c r="K33" s="1807"/>
      <c r="L33" s="1807"/>
      <c r="M33" s="1807"/>
      <c r="N33" s="1807"/>
      <c r="O33" s="1807"/>
      <c r="P33" s="1807"/>
      <c r="Q33" s="1807"/>
      <c r="R33" s="1807"/>
      <c r="S33" s="1807"/>
      <c r="T33" s="1807"/>
      <c r="U33" s="1807"/>
      <c r="V33" s="1807"/>
      <c r="W33" s="1807"/>
      <c r="X33" s="1807"/>
      <c r="Y33" s="1807"/>
      <c r="Z33" s="1807"/>
      <c r="AA33" s="1807"/>
      <c r="AB33" s="1807"/>
      <c r="AC33" s="1807"/>
      <c r="AD33" s="1807"/>
      <c r="AE33" s="1807"/>
    </row>
    <row r="34" spans="2:65" s="89" customFormat="1" ht="15.5" customHeight="1" x14ac:dyDescent="0.35">
      <c r="B34" s="212"/>
      <c r="C34" s="212"/>
      <c r="D34" s="212"/>
      <c r="E34" s="212"/>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row>
    <row r="35" spans="2:65" s="87" customFormat="1" x14ac:dyDescent="0.35">
      <c r="B35" s="96" t="s">
        <v>1120</v>
      </c>
      <c r="C35" s="101"/>
      <c r="D35" s="101"/>
      <c r="F35" s="101"/>
      <c r="G35" s="101"/>
      <c r="H35" s="101"/>
      <c r="I35" s="101"/>
      <c r="J35" s="101"/>
      <c r="K35" s="101"/>
      <c r="L35" s="101"/>
    </row>
    <row r="36" spans="2:65" ht="30" customHeight="1" x14ac:dyDescent="0.35">
      <c r="C36" s="123"/>
    </row>
    <row r="37" spans="2:65" x14ac:dyDescent="0.35">
      <c r="B37" s="60" t="s">
        <v>913</v>
      </c>
      <c r="AI37" s="60" t="s">
        <v>922</v>
      </c>
    </row>
    <row r="38" spans="2:65" ht="21.75" customHeight="1" x14ac:dyDescent="0.35">
      <c r="B38" s="60" t="s">
        <v>780</v>
      </c>
      <c r="F38" s="1581" t="str">
        <f>SchInfo!F38</f>
        <v>MELCHESIEDICK Q. BOLANIO/ March 17, 2023</v>
      </c>
      <c r="G38" s="1581"/>
      <c r="H38" s="1581"/>
      <c r="I38" s="1581"/>
      <c r="J38" s="1581"/>
      <c r="K38" s="1581"/>
      <c r="L38" s="1581"/>
      <c r="M38" s="1581"/>
      <c r="N38" s="1581"/>
      <c r="O38" s="1581"/>
      <c r="AI38" s="1582" t="str">
        <f>SchInfo!R38</f>
        <v>MICHAEL T. JAMIS   /  March 17, 2023</v>
      </c>
      <c r="AJ38" s="1582"/>
      <c r="AK38" s="1582"/>
      <c r="AL38" s="1582"/>
      <c r="AM38" s="1582"/>
      <c r="AN38" s="1582"/>
      <c r="AO38" s="1582"/>
      <c r="AP38" s="1582"/>
      <c r="AQ38" s="1582"/>
      <c r="AR38" s="1582"/>
      <c r="AS38" s="1582"/>
      <c r="AT38" s="1582"/>
      <c r="AU38" s="1582"/>
      <c r="AV38" s="1582"/>
    </row>
    <row r="39" spans="2:65" s="68" customFormat="1" ht="15.75" customHeight="1" x14ac:dyDescent="0.3">
      <c r="B39" s="210"/>
      <c r="F39" s="1452" t="s">
        <v>779</v>
      </c>
      <c r="G39" s="1452"/>
      <c r="H39" s="1452"/>
      <c r="I39" s="1452"/>
      <c r="J39" s="1452"/>
      <c r="K39" s="1452"/>
      <c r="L39" s="1452"/>
      <c r="M39" s="1452"/>
      <c r="N39" s="1452"/>
      <c r="O39" s="1452"/>
      <c r="P39" s="64"/>
      <c r="Q39" s="64"/>
      <c r="R39" s="64"/>
      <c r="S39" s="64"/>
      <c r="AH39" s="64"/>
      <c r="AI39" s="1583"/>
      <c r="AJ39" s="1583"/>
      <c r="AK39" s="1583"/>
      <c r="AL39" s="1583"/>
      <c r="AM39" s="1583"/>
      <c r="AN39" s="1583"/>
      <c r="AO39" s="1583"/>
      <c r="AP39" s="1583"/>
      <c r="AQ39" s="1583"/>
      <c r="AR39" s="1583"/>
      <c r="AS39" s="1583"/>
      <c r="AT39" s="1583"/>
      <c r="AU39" s="1583"/>
      <c r="AV39" s="1583"/>
      <c r="AW39" s="209"/>
      <c r="AX39" s="209"/>
      <c r="AY39" s="209"/>
      <c r="AZ39" s="209"/>
      <c r="BA39" s="209"/>
      <c r="BB39" s="209"/>
      <c r="BC39" s="209"/>
      <c r="BD39" s="209"/>
      <c r="BE39" s="209"/>
      <c r="BF39" s="209"/>
      <c r="BG39" s="209"/>
      <c r="BH39" s="209"/>
      <c r="BI39" s="209"/>
      <c r="BJ39" s="209"/>
      <c r="BK39" s="209"/>
      <c r="BL39" s="209"/>
      <c r="BM39" s="209"/>
    </row>
    <row r="40" spans="2:65" ht="21.75" customHeight="1" x14ac:dyDescent="0.35">
      <c r="B40" s="60" t="s">
        <v>782</v>
      </c>
      <c r="F40" s="1581" t="str">
        <f>SchInfo!F40</f>
        <v>Principal IV</v>
      </c>
      <c r="G40" s="1581"/>
      <c r="H40" s="1581"/>
      <c r="I40" s="1581"/>
      <c r="J40" s="1581"/>
      <c r="K40" s="1581"/>
      <c r="L40" s="1581"/>
      <c r="M40" s="1581"/>
      <c r="N40" s="1581"/>
      <c r="O40" s="1581"/>
      <c r="AI40" s="1452" t="s">
        <v>779</v>
      </c>
      <c r="AJ40" s="1452"/>
      <c r="AK40" s="1452"/>
      <c r="AL40" s="1452"/>
      <c r="AM40" s="1452"/>
      <c r="AN40" s="1452"/>
      <c r="AO40" s="1452"/>
      <c r="AP40" s="1452"/>
      <c r="AQ40" s="1452"/>
      <c r="AR40" s="1452"/>
      <c r="AS40" s="1452"/>
      <c r="AT40" s="1452"/>
      <c r="AU40" s="1452"/>
      <c r="AV40" s="1452"/>
    </row>
  </sheetData>
  <sheetProtection algorithmName="SHA-512" hashValue="ibtMeEwCuNqu2Jd87ydDY3M59QfGjYujighhRPAyS38QuMV3W3csabYK75fj1rPwvtQTuirQ/m6/DHBb/0d25Q==" saltValue="DbqOFkJJ+marlENPSrSXsw==" spinCount="100000" sheet="1" objects="1" scenarios="1"/>
  <mergeCells count="40">
    <mergeCell ref="B28:AE31"/>
    <mergeCell ref="B32:AE33"/>
    <mergeCell ref="B4:AE4"/>
    <mergeCell ref="B5:M5"/>
    <mergeCell ref="B6:G6"/>
    <mergeCell ref="H6:M6"/>
    <mergeCell ref="N5:S6"/>
    <mergeCell ref="T5:Y6"/>
    <mergeCell ref="Z5:AE6"/>
    <mergeCell ref="D13:AE14"/>
    <mergeCell ref="B10:AE11"/>
    <mergeCell ref="B7:G8"/>
    <mergeCell ref="Z7:AE8"/>
    <mergeCell ref="T7:Y8"/>
    <mergeCell ref="N7:S8"/>
    <mergeCell ref="B25:F26"/>
    <mergeCell ref="F40:O40"/>
    <mergeCell ref="AM7:AV7"/>
    <mergeCell ref="AI40:AV40"/>
    <mergeCell ref="F38:O38"/>
    <mergeCell ref="AI5:AV5"/>
    <mergeCell ref="AI38:AV39"/>
    <mergeCell ref="F39:O39"/>
    <mergeCell ref="AI6:AV6"/>
    <mergeCell ref="B23:P23"/>
    <mergeCell ref="Q23:AE23"/>
    <mergeCell ref="B24:F24"/>
    <mergeCell ref="G24:K24"/>
    <mergeCell ref="L24:P24"/>
    <mergeCell ref="Q24:U24"/>
    <mergeCell ref="AI26:AV26"/>
    <mergeCell ref="V24:Z24"/>
    <mergeCell ref="AI24:AV25"/>
    <mergeCell ref="H7:M8"/>
    <mergeCell ref="AA25:AE26"/>
    <mergeCell ref="V25:Z26"/>
    <mergeCell ref="Q25:U26"/>
    <mergeCell ref="L25:P26"/>
    <mergeCell ref="G25:K26"/>
    <mergeCell ref="AA24:AE24"/>
  </mergeCells>
  <dataValidations count="3">
    <dataValidation type="whole" allowBlank="1" showInputMessage="1" showErrorMessage="1" errorTitle="GJHSP SY 2021-2022" error="Please enter valid number between 0-999." sqref="C9:Y9" xr:uid="{D090AB34-FEE4-49EF-9C62-9B52C978D3F1}">
      <formula1>0</formula1>
      <formula2>999</formula2>
    </dataValidation>
    <dataValidation allowBlank="1" showInputMessage="1" showErrorMessage="1" errorTitle="GJHSP SY 2021-2022" error="Please enter valid number between 0-999." sqref="B9 B27:AE27" xr:uid="{0D5373C7-6559-48F6-A165-F1F5469CAFA9}"/>
    <dataValidation type="whole" allowBlank="1" showInputMessage="1" showErrorMessage="1" errorTitle="GJHSP SY 2022-2023" error="Please enter valid number between 0-999." sqref="B7:Y8 B25:K26 Q25:Z26" xr:uid="{E467C81C-0E54-4B63-945A-0CEB2DF8854A}">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70" orientation="landscape" r:id="rId1"/>
  <headerFooter alignWithMargins="0">
    <oddFooter>&amp;L&amp;10&amp;F &amp;A&amp;R&amp;10Page 8 of 63</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pageSetUpPr fitToPage="1"/>
  </sheetPr>
  <dimension ref="B1:BZ56"/>
  <sheetViews>
    <sheetView showGridLines="0" topLeftCell="A37" zoomScaleNormal="100" workbookViewId="0">
      <selection activeCell="AK47" sqref="AK47:AN47"/>
    </sheetView>
  </sheetViews>
  <sheetFormatPr defaultColWidth="9" defaultRowHeight="15.5" x14ac:dyDescent="0.35"/>
  <cols>
    <col min="1" max="1" width="2.08203125" style="44" customWidth="1"/>
    <col min="2" max="64" width="3.58203125" style="44" customWidth="1"/>
    <col min="65" max="65" width="2.08203125" style="44" customWidth="1"/>
    <col min="66" max="89" width="3.1640625" style="44" customWidth="1"/>
    <col min="90" max="16384" width="9" style="44"/>
  </cols>
  <sheetData>
    <row r="1" spans="2:66" ht="12" customHeight="1" x14ac:dyDescent="0.35"/>
    <row r="2" spans="2:66" ht="17" thickBot="1" x14ac:dyDescent="0.4">
      <c r="B2" s="141" t="s">
        <v>12685</v>
      </c>
      <c r="C2" s="49"/>
      <c r="D2" s="49"/>
      <c r="E2" s="49"/>
    </row>
    <row r="3" spans="2:66" ht="13.75" customHeight="1" thickTop="1" thickBot="1" x14ac:dyDescent="0.4">
      <c r="B3" s="1969" t="s">
        <v>23</v>
      </c>
      <c r="C3" s="1970"/>
      <c r="D3" s="1970"/>
      <c r="E3" s="1970"/>
      <c r="F3" s="1970"/>
      <c r="G3" s="1970"/>
      <c r="H3" s="1970"/>
      <c r="I3" s="1970"/>
      <c r="J3" s="1970"/>
      <c r="K3" s="1970"/>
      <c r="L3" s="1971"/>
      <c r="M3" s="1904" t="s">
        <v>24</v>
      </c>
      <c r="N3" s="1905"/>
      <c r="O3" s="1905"/>
      <c r="P3" s="1905"/>
      <c r="Q3" s="1905"/>
      <c r="R3" s="1905"/>
      <c r="S3" s="1905"/>
      <c r="T3" s="1905"/>
      <c r="U3" s="1905"/>
      <c r="V3" s="1905"/>
      <c r="W3" s="1905"/>
      <c r="X3" s="1905"/>
      <c r="Y3" s="1905"/>
      <c r="Z3" s="1905"/>
      <c r="AA3" s="1905"/>
      <c r="AB3" s="1905"/>
      <c r="AC3" s="1905"/>
      <c r="AD3" s="1905"/>
      <c r="AE3" s="1905"/>
      <c r="AF3" s="1905"/>
      <c r="AG3" s="1905"/>
      <c r="AH3" s="1905"/>
      <c r="AI3" s="1905"/>
      <c r="AJ3" s="1905"/>
      <c r="AK3" s="1905"/>
      <c r="AL3" s="1905"/>
      <c r="AM3" s="1905"/>
      <c r="AN3" s="1905"/>
      <c r="AO3" s="1905"/>
      <c r="AP3" s="1905"/>
      <c r="AQ3" s="1905"/>
      <c r="AR3" s="1905"/>
      <c r="AS3" s="1905"/>
      <c r="AT3" s="1905"/>
      <c r="AU3" s="1905"/>
      <c r="AV3" s="1905"/>
      <c r="AW3" s="1905"/>
      <c r="AX3" s="1905"/>
      <c r="AY3" s="1905"/>
      <c r="AZ3" s="1905"/>
      <c r="BA3" s="1905"/>
      <c r="BB3" s="1905"/>
      <c r="BC3" s="1905"/>
      <c r="BD3" s="1905"/>
      <c r="BE3" s="1905"/>
      <c r="BF3" s="1905"/>
      <c r="BG3" s="1905"/>
      <c r="BH3" s="1905"/>
      <c r="BI3" s="1905"/>
      <c r="BJ3" s="1905"/>
      <c r="BK3" s="1905"/>
      <c r="BL3" s="1906"/>
    </row>
    <row r="4" spans="2:66" ht="16" thickBot="1" x14ac:dyDescent="0.4">
      <c r="B4" s="1972"/>
      <c r="C4" s="1973"/>
      <c r="D4" s="1973"/>
      <c r="E4" s="1973"/>
      <c r="F4" s="1973"/>
      <c r="G4" s="1973"/>
      <c r="H4" s="1973"/>
      <c r="I4" s="1973"/>
      <c r="J4" s="1973"/>
      <c r="K4" s="1973"/>
      <c r="L4" s="1974"/>
      <c r="M4" s="1907" t="s">
        <v>444</v>
      </c>
      <c r="N4" s="1908"/>
      <c r="O4" s="1909"/>
      <c r="P4" s="1913" t="s">
        <v>25</v>
      </c>
      <c r="Q4" s="1914"/>
      <c r="R4" s="1914"/>
      <c r="S4" s="1914"/>
      <c r="T4" s="1914"/>
      <c r="U4" s="1914"/>
      <c r="V4" s="1914"/>
      <c r="W4" s="1914"/>
      <c r="X4" s="1914"/>
      <c r="Y4" s="1914"/>
      <c r="Z4" s="1914"/>
      <c r="AA4" s="1914"/>
      <c r="AB4" s="1914"/>
      <c r="AC4" s="1914"/>
      <c r="AD4" s="1914"/>
      <c r="AE4" s="1914"/>
      <c r="AF4" s="1914"/>
      <c r="AG4" s="1914"/>
      <c r="AH4" s="1914"/>
      <c r="AI4" s="1914"/>
      <c r="AJ4" s="1914"/>
      <c r="AK4" s="1914"/>
      <c r="AL4" s="1914"/>
      <c r="AM4" s="1914"/>
      <c r="AN4" s="1914"/>
      <c r="AO4" s="1914"/>
      <c r="AP4" s="1914"/>
      <c r="AQ4" s="1914"/>
      <c r="AR4" s="1914"/>
      <c r="AS4" s="1914"/>
      <c r="AT4" s="1915"/>
      <c r="AU4" s="1916" t="s">
        <v>75</v>
      </c>
      <c r="AV4" s="1917"/>
      <c r="AW4" s="1917"/>
      <c r="AX4" s="1917"/>
      <c r="AY4" s="1917"/>
      <c r="AZ4" s="1917"/>
      <c r="BA4" s="1917"/>
      <c r="BB4" s="1917"/>
      <c r="BC4" s="1958"/>
      <c r="BD4" s="1917" t="s">
        <v>1288</v>
      </c>
      <c r="BE4" s="1917"/>
      <c r="BF4" s="1917"/>
      <c r="BG4" s="1917"/>
      <c r="BH4" s="1917"/>
      <c r="BI4" s="1917"/>
      <c r="BJ4" s="1917"/>
      <c r="BK4" s="1917"/>
      <c r="BL4" s="1962"/>
    </row>
    <row r="5" spans="2:66" ht="16" thickBot="1" x14ac:dyDescent="0.4">
      <c r="B5" s="1972"/>
      <c r="C5" s="1973"/>
      <c r="D5" s="1973"/>
      <c r="E5" s="1973"/>
      <c r="F5" s="1973"/>
      <c r="G5" s="1973"/>
      <c r="H5" s="1973"/>
      <c r="I5" s="1973"/>
      <c r="J5" s="1973"/>
      <c r="K5" s="1973"/>
      <c r="L5" s="1974"/>
      <c r="M5" s="1910"/>
      <c r="N5" s="1911"/>
      <c r="O5" s="1912"/>
      <c r="P5" s="1916" t="s">
        <v>295</v>
      </c>
      <c r="Q5" s="1917"/>
      <c r="R5" s="1917"/>
      <c r="S5" s="1917"/>
      <c r="T5" s="1917"/>
      <c r="U5" s="1917"/>
      <c r="V5" s="1917"/>
      <c r="W5" s="1917"/>
      <c r="X5" s="1918"/>
      <c r="Y5" s="1917" t="s">
        <v>27</v>
      </c>
      <c r="Z5" s="1917"/>
      <c r="AA5" s="1922"/>
      <c r="AB5" s="1925" t="s">
        <v>445</v>
      </c>
      <c r="AC5" s="1917"/>
      <c r="AD5" s="1918"/>
      <c r="AE5" s="1965" t="s">
        <v>68</v>
      </c>
      <c r="AF5" s="1966"/>
      <c r="AG5" s="1966"/>
      <c r="AH5" s="1966"/>
      <c r="AI5" s="1966"/>
      <c r="AJ5" s="1966"/>
      <c r="AK5" s="1966"/>
      <c r="AL5" s="1966"/>
      <c r="AM5" s="1966"/>
      <c r="AN5" s="1966"/>
      <c r="AO5" s="1966"/>
      <c r="AP5" s="1966"/>
      <c r="AQ5" s="1967"/>
      <c r="AR5" s="1908" t="s">
        <v>1235</v>
      </c>
      <c r="AS5" s="1908"/>
      <c r="AT5" s="1909"/>
      <c r="AU5" s="1959"/>
      <c r="AV5" s="1927"/>
      <c r="AW5" s="1927"/>
      <c r="AX5" s="1927"/>
      <c r="AY5" s="1927"/>
      <c r="AZ5" s="1927"/>
      <c r="BA5" s="1927"/>
      <c r="BB5" s="1927"/>
      <c r="BC5" s="1960"/>
      <c r="BD5" s="1927"/>
      <c r="BE5" s="1927"/>
      <c r="BF5" s="1927"/>
      <c r="BG5" s="1927"/>
      <c r="BH5" s="1927"/>
      <c r="BI5" s="1927"/>
      <c r="BJ5" s="1927"/>
      <c r="BK5" s="1927"/>
      <c r="BL5" s="1963"/>
    </row>
    <row r="6" spans="2:66" ht="19.5" customHeight="1" thickBot="1" x14ac:dyDescent="0.4">
      <c r="B6" s="1972"/>
      <c r="C6" s="1973"/>
      <c r="D6" s="1973"/>
      <c r="E6" s="1973"/>
      <c r="F6" s="1973"/>
      <c r="G6" s="1973"/>
      <c r="H6" s="1973"/>
      <c r="I6" s="1973"/>
      <c r="J6" s="1973"/>
      <c r="K6" s="1973"/>
      <c r="L6" s="1974"/>
      <c r="M6" s="1910"/>
      <c r="N6" s="1911"/>
      <c r="O6" s="1912"/>
      <c r="P6" s="1919"/>
      <c r="Q6" s="1920"/>
      <c r="R6" s="1920"/>
      <c r="S6" s="1920"/>
      <c r="T6" s="1920"/>
      <c r="U6" s="1920"/>
      <c r="V6" s="1920"/>
      <c r="W6" s="1920"/>
      <c r="X6" s="1921"/>
      <c r="Y6" s="1923"/>
      <c r="Z6" s="1923"/>
      <c r="AA6" s="1924"/>
      <c r="AB6" s="1926"/>
      <c r="AC6" s="1927"/>
      <c r="AD6" s="1928"/>
      <c r="AE6" s="1954" t="s">
        <v>86</v>
      </c>
      <c r="AF6" s="1954"/>
      <c r="AG6" s="1954"/>
      <c r="AH6" s="1955" t="s">
        <v>67</v>
      </c>
      <c r="AI6" s="1911"/>
      <c r="AJ6" s="1956"/>
      <c r="AK6" s="1955" t="s">
        <v>134</v>
      </c>
      <c r="AL6" s="1911"/>
      <c r="AM6" s="1911"/>
      <c r="AN6" s="1957"/>
      <c r="AO6" s="1935" t="s">
        <v>16</v>
      </c>
      <c r="AP6" s="1936"/>
      <c r="AQ6" s="1937"/>
      <c r="AR6" s="1911"/>
      <c r="AS6" s="1911"/>
      <c r="AT6" s="1912"/>
      <c r="AU6" s="1919"/>
      <c r="AV6" s="1920"/>
      <c r="AW6" s="1920"/>
      <c r="AX6" s="1920"/>
      <c r="AY6" s="1920"/>
      <c r="AZ6" s="1920"/>
      <c r="BA6" s="1920"/>
      <c r="BB6" s="1920"/>
      <c r="BC6" s="1961"/>
      <c r="BD6" s="1920"/>
      <c r="BE6" s="1920"/>
      <c r="BF6" s="1920"/>
      <c r="BG6" s="1920"/>
      <c r="BH6" s="1920"/>
      <c r="BI6" s="1920"/>
      <c r="BJ6" s="1920"/>
      <c r="BK6" s="1920"/>
      <c r="BL6" s="1964"/>
    </row>
    <row r="7" spans="2:66" ht="21" customHeight="1" x14ac:dyDescent="0.35">
      <c r="B7" s="1972"/>
      <c r="C7" s="1973"/>
      <c r="D7" s="1973"/>
      <c r="E7" s="1973"/>
      <c r="F7" s="1973"/>
      <c r="G7" s="1973"/>
      <c r="H7" s="1973"/>
      <c r="I7" s="1973"/>
      <c r="J7" s="1973"/>
      <c r="K7" s="1973"/>
      <c r="L7" s="1974"/>
      <c r="M7" s="1910"/>
      <c r="N7" s="1911"/>
      <c r="O7" s="1912"/>
      <c r="P7" s="1959" t="s">
        <v>14</v>
      </c>
      <c r="Q7" s="1927"/>
      <c r="R7" s="1928"/>
      <c r="S7" s="1926" t="s">
        <v>15</v>
      </c>
      <c r="T7" s="1927"/>
      <c r="U7" s="1968"/>
      <c r="V7" s="1929" t="s">
        <v>16</v>
      </c>
      <c r="W7" s="1930"/>
      <c r="X7" s="1931"/>
      <c r="Y7" s="1923"/>
      <c r="Z7" s="1923"/>
      <c r="AA7" s="1924"/>
      <c r="AB7" s="1926"/>
      <c r="AC7" s="1927"/>
      <c r="AD7" s="1928"/>
      <c r="AE7" s="1954"/>
      <c r="AF7" s="1954"/>
      <c r="AG7" s="1954"/>
      <c r="AH7" s="1955"/>
      <c r="AI7" s="1911"/>
      <c r="AJ7" s="1956"/>
      <c r="AK7" s="1955"/>
      <c r="AL7" s="1911"/>
      <c r="AM7" s="1911"/>
      <c r="AN7" s="1957"/>
      <c r="AO7" s="1932" t="s">
        <v>1238</v>
      </c>
      <c r="AP7" s="1933"/>
      <c r="AQ7" s="1938"/>
      <c r="AR7" s="1911"/>
      <c r="AS7" s="1911"/>
      <c r="AT7" s="1912"/>
      <c r="AU7" s="1959" t="s">
        <v>14</v>
      </c>
      <c r="AV7" s="1927"/>
      <c r="AW7" s="1928"/>
      <c r="AX7" s="1926" t="s">
        <v>15</v>
      </c>
      <c r="AY7" s="1927"/>
      <c r="AZ7" s="1968"/>
      <c r="BA7" s="1939" t="s">
        <v>16</v>
      </c>
      <c r="BB7" s="1940"/>
      <c r="BC7" s="1941"/>
      <c r="BD7" s="1945" t="s">
        <v>14</v>
      </c>
      <c r="BE7" s="1940"/>
      <c r="BF7" s="1946"/>
      <c r="BG7" s="1947" t="s">
        <v>15</v>
      </c>
      <c r="BH7" s="1940"/>
      <c r="BI7" s="1948"/>
      <c r="BJ7" s="1939" t="s">
        <v>16</v>
      </c>
      <c r="BK7" s="1940"/>
      <c r="BL7" s="1949"/>
    </row>
    <row r="8" spans="2:66" ht="24" customHeight="1" x14ac:dyDescent="0.35">
      <c r="B8" s="1972"/>
      <c r="C8" s="1973"/>
      <c r="D8" s="1973"/>
      <c r="E8" s="1973"/>
      <c r="F8" s="1973"/>
      <c r="G8" s="1973"/>
      <c r="H8" s="1973"/>
      <c r="I8" s="1973"/>
      <c r="J8" s="1973"/>
      <c r="K8" s="1973"/>
      <c r="L8" s="1974"/>
      <c r="M8" s="1910"/>
      <c r="N8" s="1911"/>
      <c r="O8" s="1912"/>
      <c r="P8" s="1959"/>
      <c r="Q8" s="1927"/>
      <c r="R8" s="1928"/>
      <c r="S8" s="1926"/>
      <c r="T8" s="1927"/>
      <c r="U8" s="1968"/>
      <c r="V8" s="1932" t="s">
        <v>1237</v>
      </c>
      <c r="W8" s="1933"/>
      <c r="X8" s="1934"/>
      <c r="Y8" s="1923"/>
      <c r="Z8" s="1923"/>
      <c r="AA8" s="1924"/>
      <c r="AB8" s="1926"/>
      <c r="AC8" s="1927"/>
      <c r="AD8" s="1928"/>
      <c r="AE8" s="1954"/>
      <c r="AF8" s="1954"/>
      <c r="AG8" s="1954"/>
      <c r="AH8" s="1955"/>
      <c r="AI8" s="1911"/>
      <c r="AJ8" s="1956"/>
      <c r="AK8" s="1955"/>
      <c r="AL8" s="1911"/>
      <c r="AM8" s="1911"/>
      <c r="AN8" s="1957"/>
      <c r="AO8" s="1932"/>
      <c r="AP8" s="1933"/>
      <c r="AQ8" s="1938"/>
      <c r="AR8" s="1911"/>
      <c r="AS8" s="1911"/>
      <c r="AT8" s="1912"/>
      <c r="AU8" s="1959"/>
      <c r="AV8" s="1927"/>
      <c r="AW8" s="1928"/>
      <c r="AX8" s="1926"/>
      <c r="AY8" s="1927"/>
      <c r="AZ8" s="1968"/>
      <c r="BA8" s="1932" t="s">
        <v>1239</v>
      </c>
      <c r="BB8" s="1933"/>
      <c r="BC8" s="1934"/>
      <c r="BD8" s="1950" t="s">
        <v>71</v>
      </c>
      <c r="BE8" s="1933"/>
      <c r="BF8" s="1951"/>
      <c r="BG8" s="1952" t="s">
        <v>72</v>
      </c>
      <c r="BH8" s="1933"/>
      <c r="BI8" s="1938"/>
      <c r="BJ8" s="1932" t="s">
        <v>73</v>
      </c>
      <c r="BK8" s="1933"/>
      <c r="BL8" s="1953"/>
    </row>
    <row r="9" spans="2:66" s="223" customFormat="1" ht="12" customHeight="1" thickBot="1" x14ac:dyDescent="0.3">
      <c r="B9" s="1942" t="s">
        <v>28</v>
      </c>
      <c r="C9" s="1943"/>
      <c r="D9" s="1943"/>
      <c r="E9" s="1943"/>
      <c r="F9" s="1943"/>
      <c r="G9" s="1943"/>
      <c r="H9" s="1943"/>
      <c r="I9" s="1943"/>
      <c r="J9" s="1943"/>
      <c r="K9" s="1943"/>
      <c r="L9" s="1944"/>
      <c r="M9" s="1894" t="s">
        <v>29</v>
      </c>
      <c r="N9" s="1895"/>
      <c r="O9" s="1899"/>
      <c r="P9" s="1894" t="s">
        <v>30</v>
      </c>
      <c r="Q9" s="1895"/>
      <c r="R9" s="1895"/>
      <c r="S9" s="1897" t="s">
        <v>31</v>
      </c>
      <c r="T9" s="1895"/>
      <c r="U9" s="1898"/>
      <c r="V9" s="1901" t="s">
        <v>32</v>
      </c>
      <c r="W9" s="1895"/>
      <c r="X9" s="1899"/>
      <c r="Y9" s="1895" t="s">
        <v>33</v>
      </c>
      <c r="Z9" s="1895"/>
      <c r="AA9" s="1896"/>
      <c r="AB9" s="1897" t="s">
        <v>34</v>
      </c>
      <c r="AC9" s="1895"/>
      <c r="AD9" s="1896"/>
      <c r="AE9" s="1897" t="s">
        <v>35</v>
      </c>
      <c r="AF9" s="1895"/>
      <c r="AG9" s="1895"/>
      <c r="AH9" s="1897" t="s">
        <v>36</v>
      </c>
      <c r="AI9" s="1895"/>
      <c r="AJ9" s="1896"/>
      <c r="AK9" s="1897" t="s">
        <v>37</v>
      </c>
      <c r="AL9" s="1895"/>
      <c r="AM9" s="1895"/>
      <c r="AN9" s="1898"/>
      <c r="AO9" s="1901" t="s">
        <v>38</v>
      </c>
      <c r="AP9" s="1895"/>
      <c r="AQ9" s="1898"/>
      <c r="AR9" s="1902" t="s">
        <v>39</v>
      </c>
      <c r="AS9" s="1903"/>
      <c r="AT9" s="1899"/>
      <c r="AU9" s="1894" t="s">
        <v>40</v>
      </c>
      <c r="AV9" s="1895"/>
      <c r="AW9" s="1896"/>
      <c r="AX9" s="1897" t="s">
        <v>62</v>
      </c>
      <c r="AY9" s="1895"/>
      <c r="AZ9" s="1898"/>
      <c r="BA9" s="1895" t="s">
        <v>63</v>
      </c>
      <c r="BB9" s="1895"/>
      <c r="BC9" s="1899"/>
      <c r="BD9" s="1894" t="s">
        <v>64</v>
      </c>
      <c r="BE9" s="1895"/>
      <c r="BF9" s="1896"/>
      <c r="BG9" s="1897" t="s">
        <v>69</v>
      </c>
      <c r="BH9" s="1895"/>
      <c r="BI9" s="1898"/>
      <c r="BJ9" s="1895" t="s">
        <v>70</v>
      </c>
      <c r="BK9" s="1895"/>
      <c r="BL9" s="1900"/>
    </row>
    <row r="10" spans="2:66" s="72" customFormat="1" ht="21" customHeight="1" x14ac:dyDescent="0.35">
      <c r="B10" s="225"/>
      <c r="C10" s="226" t="s">
        <v>174</v>
      </c>
      <c r="D10" s="226"/>
      <c r="E10" s="226"/>
      <c r="F10" s="226"/>
      <c r="G10" s="226"/>
      <c r="H10" s="226"/>
      <c r="I10" s="226"/>
      <c r="J10" s="226"/>
      <c r="K10" s="226"/>
      <c r="L10" s="226"/>
      <c r="M10" s="1892">
        <v>0</v>
      </c>
      <c r="N10" s="1893"/>
      <c r="O10" s="1893"/>
      <c r="P10" s="1883">
        <v>0</v>
      </c>
      <c r="Q10" s="1883"/>
      <c r="R10" s="1883"/>
      <c r="S10" s="1883">
        <v>0</v>
      </c>
      <c r="T10" s="1883"/>
      <c r="U10" s="1884"/>
      <c r="V10" s="1885">
        <f>SUM(P10:U10)</f>
        <v>0</v>
      </c>
      <c r="W10" s="1886"/>
      <c r="X10" s="1887"/>
      <c r="Y10" s="1891">
        <v>0</v>
      </c>
      <c r="Z10" s="1883"/>
      <c r="AA10" s="1883"/>
      <c r="AB10" s="1883">
        <v>0</v>
      </c>
      <c r="AC10" s="1883"/>
      <c r="AD10" s="1883"/>
      <c r="AE10" s="1883">
        <v>0</v>
      </c>
      <c r="AF10" s="1883"/>
      <c r="AG10" s="1883"/>
      <c r="AH10" s="1883">
        <v>0</v>
      </c>
      <c r="AI10" s="1883"/>
      <c r="AJ10" s="1883"/>
      <c r="AK10" s="1883">
        <v>0</v>
      </c>
      <c r="AL10" s="1883"/>
      <c r="AM10" s="1883"/>
      <c r="AN10" s="1884"/>
      <c r="AO10" s="1885">
        <f>SUM(AE10:AN10)</f>
        <v>0</v>
      </c>
      <c r="AP10" s="1886"/>
      <c r="AQ10" s="1889"/>
      <c r="AR10" s="1885">
        <f>SUM(V10:AD10,AO10)</f>
        <v>0</v>
      </c>
      <c r="AS10" s="1886"/>
      <c r="AT10" s="1887"/>
      <c r="AU10" s="1891">
        <v>0</v>
      </c>
      <c r="AV10" s="1883"/>
      <c r="AW10" s="1883"/>
      <c r="AX10" s="1883">
        <v>0</v>
      </c>
      <c r="AY10" s="1883"/>
      <c r="AZ10" s="1884"/>
      <c r="BA10" s="1885">
        <f>SUM(AU10:AZ10)</f>
        <v>0</v>
      </c>
      <c r="BB10" s="1886"/>
      <c r="BC10" s="1887"/>
      <c r="BD10" s="1888">
        <f>P10+AU10</f>
        <v>0</v>
      </c>
      <c r="BE10" s="1886"/>
      <c r="BF10" s="1886"/>
      <c r="BG10" s="1886">
        <f>S10+AX10</f>
        <v>0</v>
      </c>
      <c r="BH10" s="1886"/>
      <c r="BI10" s="1889"/>
      <c r="BJ10" s="1885">
        <f>SUM(BD10:BI10)</f>
        <v>0</v>
      </c>
      <c r="BK10" s="1886"/>
      <c r="BL10" s="1890"/>
      <c r="BN10" s="230" t="str">
        <f>IF(M10&lt;&gt;AR10,"Totals in Column 12 shall tally with entries in Column 2.","")</f>
        <v/>
      </c>
    </row>
    <row r="11" spans="2:66" s="72" customFormat="1" ht="21" customHeight="1" x14ac:dyDescent="0.35">
      <c r="B11" s="224"/>
      <c r="C11" s="107" t="s">
        <v>173</v>
      </c>
      <c r="D11" s="107"/>
      <c r="E11" s="107"/>
      <c r="F11" s="107"/>
      <c r="G11" s="107"/>
      <c r="H11" s="107"/>
      <c r="I11" s="107"/>
      <c r="J11" s="107"/>
      <c r="K11" s="107"/>
      <c r="L11" s="107"/>
      <c r="M11" s="1876">
        <v>0</v>
      </c>
      <c r="N11" s="1864"/>
      <c r="O11" s="1864"/>
      <c r="P11" s="1864">
        <v>0</v>
      </c>
      <c r="Q11" s="1864"/>
      <c r="R11" s="1864"/>
      <c r="S11" s="1864">
        <v>0</v>
      </c>
      <c r="T11" s="1864"/>
      <c r="U11" s="1865"/>
      <c r="V11" s="1866">
        <f t="shared" ref="V11:V48" si="0">SUM(P11:U11)</f>
        <v>0</v>
      </c>
      <c r="W11" s="1867"/>
      <c r="X11" s="1868"/>
      <c r="Y11" s="1875">
        <v>0</v>
      </c>
      <c r="Z11" s="1864"/>
      <c r="AA11" s="1864"/>
      <c r="AB11" s="1864">
        <v>0</v>
      </c>
      <c r="AC11" s="1864"/>
      <c r="AD11" s="1864"/>
      <c r="AE11" s="1864">
        <v>0</v>
      </c>
      <c r="AF11" s="1864"/>
      <c r="AG11" s="1864"/>
      <c r="AH11" s="1864">
        <v>0</v>
      </c>
      <c r="AI11" s="1864"/>
      <c r="AJ11" s="1864"/>
      <c r="AK11" s="1864">
        <v>0</v>
      </c>
      <c r="AL11" s="1864"/>
      <c r="AM11" s="1864"/>
      <c r="AN11" s="1865"/>
      <c r="AO11" s="1880">
        <f t="shared" ref="AO11:AO48" si="1">SUM(AE11:AN11)</f>
        <v>0</v>
      </c>
      <c r="AP11" s="1881"/>
      <c r="AQ11" s="1882"/>
      <c r="AR11" s="1866">
        <f t="shared" ref="AR11:AR48" si="2">SUM(V11:AD11,AO11)</f>
        <v>0</v>
      </c>
      <c r="AS11" s="1867"/>
      <c r="AT11" s="1868"/>
      <c r="AU11" s="1875">
        <v>0</v>
      </c>
      <c r="AV11" s="1864"/>
      <c r="AW11" s="1864"/>
      <c r="AX11" s="1864">
        <v>0</v>
      </c>
      <c r="AY11" s="1864"/>
      <c r="AZ11" s="1865"/>
      <c r="BA11" s="1866">
        <f t="shared" ref="BA11:BA49" si="3">SUM(AU11:AZ11)</f>
        <v>0</v>
      </c>
      <c r="BB11" s="1867"/>
      <c r="BC11" s="1868"/>
      <c r="BD11" s="1869">
        <f t="shared" ref="BD11:BD48" si="4">P11+AU11</f>
        <v>0</v>
      </c>
      <c r="BE11" s="1867"/>
      <c r="BF11" s="1867"/>
      <c r="BG11" s="1867">
        <f t="shared" ref="BG11:BG49" si="5">S11+AX11</f>
        <v>0</v>
      </c>
      <c r="BH11" s="1867"/>
      <c r="BI11" s="1870"/>
      <c r="BJ11" s="1866">
        <f t="shared" ref="BJ11:BJ49" si="6">SUM(BD11:BI11)</f>
        <v>0</v>
      </c>
      <c r="BK11" s="1867"/>
      <c r="BL11" s="1871"/>
      <c r="BN11" s="230" t="str">
        <f t="shared" ref="BN11:BN48" si="7">IF(M11&lt;&gt;AR11,"Totals in Column 12 shall tally with entries in Column 2.","")</f>
        <v/>
      </c>
    </row>
    <row r="12" spans="2:66" s="72" customFormat="1" ht="21" customHeight="1" x14ac:dyDescent="0.35">
      <c r="B12" s="224"/>
      <c r="C12" s="107" t="s">
        <v>172</v>
      </c>
      <c r="D12" s="107"/>
      <c r="E12" s="107"/>
      <c r="F12" s="107"/>
      <c r="G12" s="107"/>
      <c r="H12" s="107"/>
      <c r="I12" s="107"/>
      <c r="J12" s="107"/>
      <c r="K12" s="107"/>
      <c r="L12" s="107"/>
      <c r="M12" s="1877">
        <v>0</v>
      </c>
      <c r="N12" s="1878"/>
      <c r="O12" s="1878"/>
      <c r="P12" s="1864">
        <v>0</v>
      </c>
      <c r="Q12" s="1864"/>
      <c r="R12" s="1864"/>
      <c r="S12" s="1864">
        <v>0</v>
      </c>
      <c r="T12" s="1864"/>
      <c r="U12" s="1865"/>
      <c r="V12" s="1866">
        <f t="shared" si="0"/>
        <v>0</v>
      </c>
      <c r="W12" s="1867"/>
      <c r="X12" s="1868"/>
      <c r="Y12" s="1875">
        <v>0</v>
      </c>
      <c r="Z12" s="1864"/>
      <c r="AA12" s="1864"/>
      <c r="AB12" s="1864">
        <v>0</v>
      </c>
      <c r="AC12" s="1864"/>
      <c r="AD12" s="1864"/>
      <c r="AE12" s="1864">
        <v>0</v>
      </c>
      <c r="AF12" s="1864"/>
      <c r="AG12" s="1864"/>
      <c r="AH12" s="1864">
        <v>0</v>
      </c>
      <c r="AI12" s="1864"/>
      <c r="AJ12" s="1864"/>
      <c r="AK12" s="1864">
        <v>0</v>
      </c>
      <c r="AL12" s="1864"/>
      <c r="AM12" s="1864"/>
      <c r="AN12" s="1865"/>
      <c r="AO12" s="1880">
        <f t="shared" si="1"/>
        <v>0</v>
      </c>
      <c r="AP12" s="1881"/>
      <c r="AQ12" s="1882"/>
      <c r="AR12" s="1866">
        <f t="shared" si="2"/>
        <v>0</v>
      </c>
      <c r="AS12" s="1867"/>
      <c r="AT12" s="1868"/>
      <c r="AU12" s="1875">
        <v>0</v>
      </c>
      <c r="AV12" s="1864"/>
      <c r="AW12" s="1864"/>
      <c r="AX12" s="1864">
        <v>0</v>
      </c>
      <c r="AY12" s="1864"/>
      <c r="AZ12" s="1865"/>
      <c r="BA12" s="1866">
        <f t="shared" si="3"/>
        <v>0</v>
      </c>
      <c r="BB12" s="1867"/>
      <c r="BC12" s="1868"/>
      <c r="BD12" s="1869">
        <f t="shared" si="4"/>
        <v>0</v>
      </c>
      <c r="BE12" s="1867"/>
      <c r="BF12" s="1867"/>
      <c r="BG12" s="1867">
        <f t="shared" si="5"/>
        <v>0</v>
      </c>
      <c r="BH12" s="1867"/>
      <c r="BI12" s="1870"/>
      <c r="BJ12" s="1866">
        <f t="shared" si="6"/>
        <v>0</v>
      </c>
      <c r="BK12" s="1867"/>
      <c r="BL12" s="1871"/>
      <c r="BN12" s="230" t="str">
        <f t="shared" si="7"/>
        <v/>
      </c>
    </row>
    <row r="13" spans="2:66" s="72" customFormat="1" ht="21" customHeight="1" x14ac:dyDescent="0.35">
      <c r="B13" s="224"/>
      <c r="C13" s="107" t="s">
        <v>375</v>
      </c>
      <c r="D13" s="107"/>
      <c r="E13" s="107"/>
      <c r="F13" s="107"/>
      <c r="G13" s="107"/>
      <c r="H13" s="107"/>
      <c r="I13" s="107"/>
      <c r="J13" s="107"/>
      <c r="K13" s="107"/>
      <c r="L13" s="107"/>
      <c r="M13" s="1876">
        <v>0</v>
      </c>
      <c r="N13" s="1864"/>
      <c r="O13" s="1864"/>
      <c r="P13" s="1864">
        <v>0</v>
      </c>
      <c r="Q13" s="1864"/>
      <c r="R13" s="1864"/>
      <c r="S13" s="1864">
        <v>0</v>
      </c>
      <c r="T13" s="1864"/>
      <c r="U13" s="1865"/>
      <c r="V13" s="1866">
        <f t="shared" si="0"/>
        <v>0</v>
      </c>
      <c r="W13" s="1867"/>
      <c r="X13" s="1868"/>
      <c r="Y13" s="1875">
        <v>0</v>
      </c>
      <c r="Z13" s="1864"/>
      <c r="AA13" s="1864"/>
      <c r="AB13" s="1864">
        <v>0</v>
      </c>
      <c r="AC13" s="1864"/>
      <c r="AD13" s="1864"/>
      <c r="AE13" s="1864">
        <v>0</v>
      </c>
      <c r="AF13" s="1864"/>
      <c r="AG13" s="1864"/>
      <c r="AH13" s="1864">
        <v>0</v>
      </c>
      <c r="AI13" s="1864"/>
      <c r="AJ13" s="1864"/>
      <c r="AK13" s="1864">
        <v>0</v>
      </c>
      <c r="AL13" s="1864"/>
      <c r="AM13" s="1864"/>
      <c r="AN13" s="1865"/>
      <c r="AO13" s="1880">
        <f t="shared" si="1"/>
        <v>0</v>
      </c>
      <c r="AP13" s="1881"/>
      <c r="AQ13" s="1882"/>
      <c r="AR13" s="1866">
        <f t="shared" si="2"/>
        <v>0</v>
      </c>
      <c r="AS13" s="1867"/>
      <c r="AT13" s="1868"/>
      <c r="AU13" s="1875">
        <v>1</v>
      </c>
      <c r="AV13" s="1864"/>
      <c r="AW13" s="1864"/>
      <c r="AX13" s="1864">
        <v>0</v>
      </c>
      <c r="AY13" s="1864"/>
      <c r="AZ13" s="1865"/>
      <c r="BA13" s="1866">
        <f t="shared" si="3"/>
        <v>1</v>
      </c>
      <c r="BB13" s="1867"/>
      <c r="BC13" s="1868"/>
      <c r="BD13" s="1869">
        <f t="shared" si="4"/>
        <v>1</v>
      </c>
      <c r="BE13" s="1867"/>
      <c r="BF13" s="1867"/>
      <c r="BG13" s="1867">
        <f t="shared" si="5"/>
        <v>0</v>
      </c>
      <c r="BH13" s="1867"/>
      <c r="BI13" s="1870"/>
      <c r="BJ13" s="1866">
        <f t="shared" si="6"/>
        <v>1</v>
      </c>
      <c r="BK13" s="1867"/>
      <c r="BL13" s="1871"/>
      <c r="BN13" s="230" t="str">
        <f t="shared" si="7"/>
        <v/>
      </c>
    </row>
    <row r="14" spans="2:66" s="72" customFormat="1" ht="21" customHeight="1" x14ac:dyDescent="0.35">
      <c r="B14" s="224"/>
      <c r="C14" s="107" t="s">
        <v>376</v>
      </c>
      <c r="D14" s="107"/>
      <c r="E14" s="107"/>
      <c r="F14" s="107"/>
      <c r="G14" s="107"/>
      <c r="H14" s="107"/>
      <c r="I14" s="107"/>
      <c r="J14" s="107"/>
      <c r="K14" s="107"/>
      <c r="L14" s="107"/>
      <c r="M14" s="1877">
        <v>0</v>
      </c>
      <c r="N14" s="1878"/>
      <c r="O14" s="1878"/>
      <c r="P14" s="1864">
        <v>0</v>
      </c>
      <c r="Q14" s="1864"/>
      <c r="R14" s="1864"/>
      <c r="S14" s="1864">
        <v>0</v>
      </c>
      <c r="T14" s="1864"/>
      <c r="U14" s="1865"/>
      <c r="V14" s="1866">
        <f t="shared" si="0"/>
        <v>0</v>
      </c>
      <c r="W14" s="1867"/>
      <c r="X14" s="1868"/>
      <c r="Y14" s="1875">
        <v>0</v>
      </c>
      <c r="Z14" s="1864"/>
      <c r="AA14" s="1864"/>
      <c r="AB14" s="1864">
        <v>0</v>
      </c>
      <c r="AC14" s="1864"/>
      <c r="AD14" s="1864"/>
      <c r="AE14" s="1864">
        <v>0</v>
      </c>
      <c r="AF14" s="1864"/>
      <c r="AG14" s="1864"/>
      <c r="AH14" s="1864">
        <v>0</v>
      </c>
      <c r="AI14" s="1864"/>
      <c r="AJ14" s="1864"/>
      <c r="AK14" s="1864">
        <v>0</v>
      </c>
      <c r="AL14" s="1864"/>
      <c r="AM14" s="1864"/>
      <c r="AN14" s="1865"/>
      <c r="AO14" s="1880">
        <f t="shared" si="1"/>
        <v>0</v>
      </c>
      <c r="AP14" s="1881"/>
      <c r="AQ14" s="1882"/>
      <c r="AR14" s="1866">
        <f t="shared" si="2"/>
        <v>0</v>
      </c>
      <c r="AS14" s="1867"/>
      <c r="AT14" s="1868"/>
      <c r="AU14" s="1875">
        <v>0</v>
      </c>
      <c r="AV14" s="1864"/>
      <c r="AW14" s="1864"/>
      <c r="AX14" s="1864">
        <v>0</v>
      </c>
      <c r="AY14" s="1864"/>
      <c r="AZ14" s="1865"/>
      <c r="BA14" s="1866">
        <f t="shared" si="3"/>
        <v>0</v>
      </c>
      <c r="BB14" s="1867"/>
      <c r="BC14" s="1868"/>
      <c r="BD14" s="1869">
        <f t="shared" si="4"/>
        <v>0</v>
      </c>
      <c r="BE14" s="1867"/>
      <c r="BF14" s="1867"/>
      <c r="BG14" s="1867">
        <f t="shared" si="5"/>
        <v>0</v>
      </c>
      <c r="BH14" s="1867"/>
      <c r="BI14" s="1870"/>
      <c r="BJ14" s="1866">
        <f t="shared" si="6"/>
        <v>0</v>
      </c>
      <c r="BK14" s="1867"/>
      <c r="BL14" s="1871"/>
      <c r="BN14" s="230" t="str">
        <f t="shared" si="7"/>
        <v/>
      </c>
    </row>
    <row r="15" spans="2:66" s="72" customFormat="1" ht="21" customHeight="1" x14ac:dyDescent="0.35">
      <c r="B15" s="224"/>
      <c r="C15" s="107" t="s">
        <v>377</v>
      </c>
      <c r="D15" s="107"/>
      <c r="E15" s="107"/>
      <c r="F15" s="107"/>
      <c r="G15" s="107"/>
      <c r="H15" s="107"/>
      <c r="I15" s="107"/>
      <c r="J15" s="107"/>
      <c r="K15" s="107"/>
      <c r="L15" s="107"/>
      <c r="M15" s="1876">
        <v>1</v>
      </c>
      <c r="N15" s="1864"/>
      <c r="O15" s="1864"/>
      <c r="P15" s="1864">
        <v>0</v>
      </c>
      <c r="Q15" s="1864"/>
      <c r="R15" s="1864"/>
      <c r="S15" s="1864">
        <v>0</v>
      </c>
      <c r="T15" s="1864"/>
      <c r="U15" s="1865"/>
      <c r="V15" s="1866">
        <f t="shared" si="0"/>
        <v>0</v>
      </c>
      <c r="W15" s="1867"/>
      <c r="X15" s="1868"/>
      <c r="Y15" s="1875">
        <v>0</v>
      </c>
      <c r="Z15" s="1864"/>
      <c r="AA15" s="1864"/>
      <c r="AB15" s="1864">
        <v>0</v>
      </c>
      <c r="AC15" s="1864"/>
      <c r="AD15" s="1864"/>
      <c r="AE15" s="1864">
        <v>1</v>
      </c>
      <c r="AF15" s="1864"/>
      <c r="AG15" s="1864"/>
      <c r="AH15" s="1864">
        <v>0</v>
      </c>
      <c r="AI15" s="1864"/>
      <c r="AJ15" s="1864"/>
      <c r="AK15" s="1864">
        <v>0</v>
      </c>
      <c r="AL15" s="1864"/>
      <c r="AM15" s="1864"/>
      <c r="AN15" s="1865"/>
      <c r="AO15" s="1880">
        <f t="shared" si="1"/>
        <v>1</v>
      </c>
      <c r="AP15" s="1881"/>
      <c r="AQ15" s="1882"/>
      <c r="AR15" s="1866">
        <f t="shared" si="2"/>
        <v>1</v>
      </c>
      <c r="AS15" s="1867"/>
      <c r="AT15" s="1868"/>
      <c r="AU15" s="1875">
        <v>0</v>
      </c>
      <c r="AV15" s="1864"/>
      <c r="AW15" s="1864"/>
      <c r="AX15" s="1864">
        <v>0</v>
      </c>
      <c r="AY15" s="1864"/>
      <c r="AZ15" s="1865"/>
      <c r="BA15" s="1866">
        <f t="shared" si="3"/>
        <v>0</v>
      </c>
      <c r="BB15" s="1867"/>
      <c r="BC15" s="1868"/>
      <c r="BD15" s="1869">
        <f t="shared" si="4"/>
        <v>0</v>
      </c>
      <c r="BE15" s="1867"/>
      <c r="BF15" s="1867"/>
      <c r="BG15" s="1867">
        <f t="shared" si="5"/>
        <v>0</v>
      </c>
      <c r="BH15" s="1867"/>
      <c r="BI15" s="1870"/>
      <c r="BJ15" s="1866">
        <f t="shared" si="6"/>
        <v>0</v>
      </c>
      <c r="BK15" s="1867"/>
      <c r="BL15" s="1871"/>
      <c r="BN15" s="230" t="str">
        <f t="shared" si="7"/>
        <v/>
      </c>
    </row>
    <row r="16" spans="2:66" s="72" customFormat="1" ht="21" customHeight="1" x14ac:dyDescent="0.35">
      <c r="B16" s="224"/>
      <c r="C16" s="107" t="s">
        <v>378</v>
      </c>
      <c r="D16" s="107"/>
      <c r="E16" s="107"/>
      <c r="F16" s="107"/>
      <c r="G16" s="107"/>
      <c r="H16" s="107"/>
      <c r="I16" s="107"/>
      <c r="J16" s="107"/>
      <c r="K16" s="107"/>
      <c r="L16" s="107"/>
      <c r="M16" s="1877">
        <v>0</v>
      </c>
      <c r="N16" s="1878"/>
      <c r="O16" s="1878"/>
      <c r="P16" s="1864">
        <v>0</v>
      </c>
      <c r="Q16" s="1864"/>
      <c r="R16" s="1864"/>
      <c r="S16" s="1864">
        <v>0</v>
      </c>
      <c r="T16" s="1864"/>
      <c r="U16" s="1865"/>
      <c r="V16" s="1866">
        <f t="shared" si="0"/>
        <v>0</v>
      </c>
      <c r="W16" s="1867"/>
      <c r="X16" s="1868"/>
      <c r="Y16" s="1875">
        <v>0</v>
      </c>
      <c r="Z16" s="1864"/>
      <c r="AA16" s="1864"/>
      <c r="AB16" s="1864">
        <v>0</v>
      </c>
      <c r="AC16" s="1864"/>
      <c r="AD16" s="1864"/>
      <c r="AE16" s="1864">
        <v>0</v>
      </c>
      <c r="AF16" s="1864"/>
      <c r="AG16" s="1864"/>
      <c r="AH16" s="1864">
        <v>0</v>
      </c>
      <c r="AI16" s="1864"/>
      <c r="AJ16" s="1864"/>
      <c r="AK16" s="1864">
        <v>0</v>
      </c>
      <c r="AL16" s="1864"/>
      <c r="AM16" s="1864"/>
      <c r="AN16" s="1865"/>
      <c r="AO16" s="1880">
        <f t="shared" si="1"/>
        <v>0</v>
      </c>
      <c r="AP16" s="1881"/>
      <c r="AQ16" s="1882"/>
      <c r="AR16" s="1866">
        <f t="shared" si="2"/>
        <v>0</v>
      </c>
      <c r="AS16" s="1867"/>
      <c r="AT16" s="1868"/>
      <c r="AU16" s="1875">
        <v>0</v>
      </c>
      <c r="AV16" s="1864"/>
      <c r="AW16" s="1864"/>
      <c r="AX16" s="1864">
        <v>0</v>
      </c>
      <c r="AY16" s="1864"/>
      <c r="AZ16" s="1865"/>
      <c r="BA16" s="1866">
        <f t="shared" si="3"/>
        <v>0</v>
      </c>
      <c r="BB16" s="1867"/>
      <c r="BC16" s="1868"/>
      <c r="BD16" s="1869">
        <f t="shared" si="4"/>
        <v>0</v>
      </c>
      <c r="BE16" s="1867"/>
      <c r="BF16" s="1867"/>
      <c r="BG16" s="1867">
        <f t="shared" si="5"/>
        <v>0</v>
      </c>
      <c r="BH16" s="1867"/>
      <c r="BI16" s="1870"/>
      <c r="BJ16" s="1866">
        <f t="shared" si="6"/>
        <v>0</v>
      </c>
      <c r="BK16" s="1867"/>
      <c r="BL16" s="1871"/>
      <c r="BN16" s="230" t="str">
        <f t="shared" si="7"/>
        <v/>
      </c>
    </row>
    <row r="17" spans="2:66" s="72" customFormat="1" ht="21" customHeight="1" x14ac:dyDescent="0.35">
      <c r="B17" s="224"/>
      <c r="C17" s="107" t="s">
        <v>771</v>
      </c>
      <c r="D17" s="107"/>
      <c r="E17" s="107"/>
      <c r="F17" s="107"/>
      <c r="G17" s="107"/>
      <c r="H17" s="107"/>
      <c r="I17" s="107"/>
      <c r="J17" s="107"/>
      <c r="K17" s="107"/>
      <c r="L17" s="107"/>
      <c r="M17" s="1876">
        <v>0</v>
      </c>
      <c r="N17" s="1864"/>
      <c r="O17" s="1864"/>
      <c r="P17" s="1864">
        <v>0</v>
      </c>
      <c r="Q17" s="1864"/>
      <c r="R17" s="1864"/>
      <c r="S17" s="1864">
        <v>0</v>
      </c>
      <c r="T17" s="1864"/>
      <c r="U17" s="1865"/>
      <c r="V17" s="1866">
        <f t="shared" si="0"/>
        <v>0</v>
      </c>
      <c r="W17" s="1867"/>
      <c r="X17" s="1868"/>
      <c r="Y17" s="1875">
        <v>0</v>
      </c>
      <c r="Z17" s="1864"/>
      <c r="AA17" s="1864"/>
      <c r="AB17" s="1864">
        <v>0</v>
      </c>
      <c r="AC17" s="1864"/>
      <c r="AD17" s="1864"/>
      <c r="AE17" s="1864">
        <v>0</v>
      </c>
      <c r="AF17" s="1864"/>
      <c r="AG17" s="1864"/>
      <c r="AH17" s="1864">
        <v>0</v>
      </c>
      <c r="AI17" s="1864"/>
      <c r="AJ17" s="1864"/>
      <c r="AK17" s="1864">
        <v>0</v>
      </c>
      <c r="AL17" s="1864"/>
      <c r="AM17" s="1864"/>
      <c r="AN17" s="1865"/>
      <c r="AO17" s="1880">
        <f t="shared" si="1"/>
        <v>0</v>
      </c>
      <c r="AP17" s="1881"/>
      <c r="AQ17" s="1882"/>
      <c r="AR17" s="1866">
        <f t="shared" si="2"/>
        <v>0</v>
      </c>
      <c r="AS17" s="1867"/>
      <c r="AT17" s="1868"/>
      <c r="AU17" s="1875">
        <v>0</v>
      </c>
      <c r="AV17" s="1864"/>
      <c r="AW17" s="1864"/>
      <c r="AX17" s="1864">
        <v>0</v>
      </c>
      <c r="AY17" s="1864"/>
      <c r="AZ17" s="1865"/>
      <c r="BA17" s="1866">
        <f t="shared" si="3"/>
        <v>0</v>
      </c>
      <c r="BB17" s="1867"/>
      <c r="BC17" s="1868"/>
      <c r="BD17" s="1869">
        <f t="shared" si="4"/>
        <v>0</v>
      </c>
      <c r="BE17" s="1867"/>
      <c r="BF17" s="1867"/>
      <c r="BG17" s="1867">
        <f t="shared" si="5"/>
        <v>0</v>
      </c>
      <c r="BH17" s="1867"/>
      <c r="BI17" s="1870"/>
      <c r="BJ17" s="1866">
        <f t="shared" si="6"/>
        <v>0</v>
      </c>
      <c r="BK17" s="1867"/>
      <c r="BL17" s="1871"/>
      <c r="BN17" s="230" t="str">
        <f t="shared" si="7"/>
        <v/>
      </c>
    </row>
    <row r="18" spans="2:66" s="72" customFormat="1" ht="21" customHeight="1" x14ac:dyDescent="0.35">
      <c r="B18" s="224"/>
      <c r="C18" s="107" t="s">
        <v>773</v>
      </c>
      <c r="D18" s="107"/>
      <c r="E18" s="107"/>
      <c r="F18" s="107"/>
      <c r="G18" s="107"/>
      <c r="H18" s="107"/>
      <c r="I18" s="107"/>
      <c r="J18" s="107"/>
      <c r="K18" s="107"/>
      <c r="L18" s="107"/>
      <c r="M18" s="1877">
        <v>0</v>
      </c>
      <c r="N18" s="1878"/>
      <c r="O18" s="1878"/>
      <c r="P18" s="1864">
        <v>0</v>
      </c>
      <c r="Q18" s="1864"/>
      <c r="R18" s="1864"/>
      <c r="S18" s="1864">
        <v>0</v>
      </c>
      <c r="T18" s="1864"/>
      <c r="U18" s="1865"/>
      <c r="V18" s="1866">
        <f t="shared" si="0"/>
        <v>0</v>
      </c>
      <c r="W18" s="1867"/>
      <c r="X18" s="1868"/>
      <c r="Y18" s="1875">
        <v>0</v>
      </c>
      <c r="Z18" s="1864"/>
      <c r="AA18" s="1864"/>
      <c r="AB18" s="1864">
        <v>0</v>
      </c>
      <c r="AC18" s="1864"/>
      <c r="AD18" s="1864"/>
      <c r="AE18" s="1864">
        <v>0</v>
      </c>
      <c r="AF18" s="1864"/>
      <c r="AG18" s="1864"/>
      <c r="AH18" s="1864">
        <v>0</v>
      </c>
      <c r="AI18" s="1864"/>
      <c r="AJ18" s="1864"/>
      <c r="AK18" s="1864">
        <v>0</v>
      </c>
      <c r="AL18" s="1864"/>
      <c r="AM18" s="1864"/>
      <c r="AN18" s="1865"/>
      <c r="AO18" s="1880">
        <f t="shared" si="1"/>
        <v>0</v>
      </c>
      <c r="AP18" s="1881"/>
      <c r="AQ18" s="1882"/>
      <c r="AR18" s="1866">
        <f t="shared" si="2"/>
        <v>0</v>
      </c>
      <c r="AS18" s="1867"/>
      <c r="AT18" s="1868"/>
      <c r="AU18" s="1875">
        <v>0</v>
      </c>
      <c r="AV18" s="1864"/>
      <c r="AW18" s="1864"/>
      <c r="AX18" s="1864">
        <v>0</v>
      </c>
      <c r="AY18" s="1864"/>
      <c r="AZ18" s="1865"/>
      <c r="BA18" s="1866">
        <f t="shared" si="3"/>
        <v>0</v>
      </c>
      <c r="BB18" s="1867"/>
      <c r="BC18" s="1868"/>
      <c r="BD18" s="1869">
        <f t="shared" si="4"/>
        <v>0</v>
      </c>
      <c r="BE18" s="1867"/>
      <c r="BF18" s="1867"/>
      <c r="BG18" s="1867">
        <f t="shared" si="5"/>
        <v>0</v>
      </c>
      <c r="BH18" s="1867"/>
      <c r="BI18" s="1870"/>
      <c r="BJ18" s="1866">
        <f t="shared" si="6"/>
        <v>0</v>
      </c>
      <c r="BK18" s="1867"/>
      <c r="BL18" s="1871"/>
      <c r="BN18" s="230" t="str">
        <f t="shared" si="7"/>
        <v/>
      </c>
    </row>
    <row r="19" spans="2:66" s="72" customFormat="1" ht="21" customHeight="1" x14ac:dyDescent="0.35">
      <c r="B19" s="224"/>
      <c r="C19" s="107" t="s">
        <v>772</v>
      </c>
      <c r="D19" s="107"/>
      <c r="E19" s="107"/>
      <c r="F19" s="107"/>
      <c r="G19" s="107"/>
      <c r="H19" s="107"/>
      <c r="I19" s="107"/>
      <c r="J19" s="107"/>
      <c r="K19" s="107"/>
      <c r="L19" s="107"/>
      <c r="M19" s="1876">
        <v>0</v>
      </c>
      <c r="N19" s="1864"/>
      <c r="O19" s="1864"/>
      <c r="P19" s="1864">
        <v>0</v>
      </c>
      <c r="Q19" s="1864"/>
      <c r="R19" s="1864"/>
      <c r="S19" s="1864">
        <v>0</v>
      </c>
      <c r="T19" s="1864"/>
      <c r="U19" s="1865"/>
      <c r="V19" s="1866">
        <f t="shared" si="0"/>
        <v>0</v>
      </c>
      <c r="W19" s="1867"/>
      <c r="X19" s="1868"/>
      <c r="Y19" s="1875">
        <v>0</v>
      </c>
      <c r="Z19" s="1864"/>
      <c r="AA19" s="1864"/>
      <c r="AB19" s="1864">
        <v>0</v>
      </c>
      <c r="AC19" s="1864"/>
      <c r="AD19" s="1864"/>
      <c r="AE19" s="1864">
        <v>0</v>
      </c>
      <c r="AF19" s="1864"/>
      <c r="AG19" s="1864"/>
      <c r="AH19" s="1864">
        <v>0</v>
      </c>
      <c r="AI19" s="1864"/>
      <c r="AJ19" s="1864"/>
      <c r="AK19" s="1864">
        <v>0</v>
      </c>
      <c r="AL19" s="1864"/>
      <c r="AM19" s="1864"/>
      <c r="AN19" s="1865"/>
      <c r="AO19" s="1880">
        <f t="shared" si="1"/>
        <v>0</v>
      </c>
      <c r="AP19" s="1881"/>
      <c r="AQ19" s="1882"/>
      <c r="AR19" s="1866">
        <f t="shared" si="2"/>
        <v>0</v>
      </c>
      <c r="AS19" s="1867"/>
      <c r="AT19" s="1868"/>
      <c r="AU19" s="1875">
        <v>0</v>
      </c>
      <c r="AV19" s="1864"/>
      <c r="AW19" s="1864"/>
      <c r="AX19" s="1864">
        <v>0</v>
      </c>
      <c r="AY19" s="1864"/>
      <c r="AZ19" s="1865"/>
      <c r="BA19" s="1866">
        <f t="shared" si="3"/>
        <v>0</v>
      </c>
      <c r="BB19" s="1867"/>
      <c r="BC19" s="1868"/>
      <c r="BD19" s="1869">
        <f t="shared" si="4"/>
        <v>0</v>
      </c>
      <c r="BE19" s="1867"/>
      <c r="BF19" s="1867"/>
      <c r="BG19" s="1867">
        <f t="shared" si="5"/>
        <v>0</v>
      </c>
      <c r="BH19" s="1867"/>
      <c r="BI19" s="1870"/>
      <c r="BJ19" s="1866">
        <f t="shared" si="6"/>
        <v>0</v>
      </c>
      <c r="BK19" s="1867"/>
      <c r="BL19" s="1871"/>
      <c r="BN19" s="230" t="str">
        <f t="shared" si="7"/>
        <v/>
      </c>
    </row>
    <row r="20" spans="2:66" s="72" customFormat="1" ht="21" customHeight="1" x14ac:dyDescent="0.35">
      <c r="B20" s="224"/>
      <c r="C20" s="107" t="s">
        <v>41</v>
      </c>
      <c r="D20" s="107"/>
      <c r="E20" s="107"/>
      <c r="F20" s="107"/>
      <c r="G20" s="107"/>
      <c r="H20" s="107"/>
      <c r="I20" s="107"/>
      <c r="J20" s="107"/>
      <c r="K20" s="107"/>
      <c r="L20" s="107"/>
      <c r="M20" s="1877">
        <v>0</v>
      </c>
      <c r="N20" s="1878"/>
      <c r="O20" s="1878"/>
      <c r="P20" s="1864">
        <v>0</v>
      </c>
      <c r="Q20" s="1864"/>
      <c r="R20" s="1864"/>
      <c r="S20" s="1864">
        <v>0</v>
      </c>
      <c r="T20" s="1864"/>
      <c r="U20" s="1865"/>
      <c r="V20" s="1866">
        <f t="shared" si="0"/>
        <v>0</v>
      </c>
      <c r="W20" s="1867"/>
      <c r="X20" s="1868"/>
      <c r="Y20" s="1875">
        <v>0</v>
      </c>
      <c r="Z20" s="1864"/>
      <c r="AA20" s="1864"/>
      <c r="AB20" s="1864">
        <v>0</v>
      </c>
      <c r="AC20" s="1864"/>
      <c r="AD20" s="1864"/>
      <c r="AE20" s="1864">
        <v>0</v>
      </c>
      <c r="AF20" s="1864"/>
      <c r="AG20" s="1864"/>
      <c r="AH20" s="1864">
        <v>0</v>
      </c>
      <c r="AI20" s="1864"/>
      <c r="AJ20" s="1864"/>
      <c r="AK20" s="1864">
        <v>0</v>
      </c>
      <c r="AL20" s="1864"/>
      <c r="AM20" s="1864"/>
      <c r="AN20" s="1865"/>
      <c r="AO20" s="1880">
        <f t="shared" si="1"/>
        <v>0</v>
      </c>
      <c r="AP20" s="1881"/>
      <c r="AQ20" s="1882"/>
      <c r="AR20" s="1866">
        <f t="shared" si="2"/>
        <v>0</v>
      </c>
      <c r="AS20" s="1867"/>
      <c r="AT20" s="1868"/>
      <c r="AU20" s="1875">
        <v>0</v>
      </c>
      <c r="AV20" s="1864"/>
      <c r="AW20" s="1864"/>
      <c r="AX20" s="1864">
        <v>0</v>
      </c>
      <c r="AY20" s="1864"/>
      <c r="AZ20" s="1865"/>
      <c r="BA20" s="1866">
        <f t="shared" si="3"/>
        <v>0</v>
      </c>
      <c r="BB20" s="1867"/>
      <c r="BC20" s="1868"/>
      <c r="BD20" s="1869">
        <f t="shared" si="4"/>
        <v>0</v>
      </c>
      <c r="BE20" s="1867"/>
      <c r="BF20" s="1867"/>
      <c r="BG20" s="1867">
        <f t="shared" si="5"/>
        <v>0</v>
      </c>
      <c r="BH20" s="1867"/>
      <c r="BI20" s="1870"/>
      <c r="BJ20" s="1866">
        <f t="shared" si="6"/>
        <v>0</v>
      </c>
      <c r="BK20" s="1867"/>
      <c r="BL20" s="1871"/>
      <c r="BN20" s="230" t="str">
        <f t="shared" si="7"/>
        <v/>
      </c>
    </row>
    <row r="21" spans="2:66" s="72" customFormat="1" ht="21" customHeight="1" x14ac:dyDescent="0.35">
      <c r="B21" s="224"/>
      <c r="C21" s="107" t="s">
        <v>42</v>
      </c>
      <c r="D21" s="107"/>
      <c r="E21" s="107"/>
      <c r="F21" s="107"/>
      <c r="G21" s="107"/>
      <c r="H21" s="107"/>
      <c r="I21" s="107"/>
      <c r="J21" s="107"/>
      <c r="K21" s="107"/>
      <c r="L21" s="107"/>
      <c r="M21" s="1876">
        <v>0</v>
      </c>
      <c r="N21" s="1864"/>
      <c r="O21" s="1864"/>
      <c r="P21" s="1864">
        <v>0</v>
      </c>
      <c r="Q21" s="1864"/>
      <c r="R21" s="1864"/>
      <c r="S21" s="1864">
        <v>0</v>
      </c>
      <c r="T21" s="1864"/>
      <c r="U21" s="1865"/>
      <c r="V21" s="1866">
        <f t="shared" si="0"/>
        <v>0</v>
      </c>
      <c r="W21" s="1867"/>
      <c r="X21" s="1868"/>
      <c r="Y21" s="1875">
        <v>0</v>
      </c>
      <c r="Z21" s="1864"/>
      <c r="AA21" s="1864"/>
      <c r="AB21" s="1864">
        <v>0</v>
      </c>
      <c r="AC21" s="1864"/>
      <c r="AD21" s="1864"/>
      <c r="AE21" s="1864">
        <v>0</v>
      </c>
      <c r="AF21" s="1864"/>
      <c r="AG21" s="1864"/>
      <c r="AH21" s="1864">
        <v>0</v>
      </c>
      <c r="AI21" s="1864"/>
      <c r="AJ21" s="1864"/>
      <c r="AK21" s="1864">
        <v>0</v>
      </c>
      <c r="AL21" s="1864"/>
      <c r="AM21" s="1864"/>
      <c r="AN21" s="1865"/>
      <c r="AO21" s="1880">
        <f t="shared" si="1"/>
        <v>0</v>
      </c>
      <c r="AP21" s="1881"/>
      <c r="AQ21" s="1882"/>
      <c r="AR21" s="1866">
        <f t="shared" si="2"/>
        <v>0</v>
      </c>
      <c r="AS21" s="1867"/>
      <c r="AT21" s="1868"/>
      <c r="AU21" s="1875">
        <v>0</v>
      </c>
      <c r="AV21" s="1864"/>
      <c r="AW21" s="1864"/>
      <c r="AX21" s="1864">
        <v>0</v>
      </c>
      <c r="AY21" s="1864"/>
      <c r="AZ21" s="1865"/>
      <c r="BA21" s="1866">
        <f t="shared" si="3"/>
        <v>0</v>
      </c>
      <c r="BB21" s="1867"/>
      <c r="BC21" s="1868"/>
      <c r="BD21" s="1869">
        <f t="shared" si="4"/>
        <v>0</v>
      </c>
      <c r="BE21" s="1867"/>
      <c r="BF21" s="1867"/>
      <c r="BG21" s="1867">
        <f t="shared" si="5"/>
        <v>0</v>
      </c>
      <c r="BH21" s="1867"/>
      <c r="BI21" s="1870"/>
      <c r="BJ21" s="1866">
        <f t="shared" si="6"/>
        <v>0</v>
      </c>
      <c r="BK21" s="1867"/>
      <c r="BL21" s="1871"/>
      <c r="BN21" s="230" t="str">
        <f t="shared" si="7"/>
        <v/>
      </c>
    </row>
    <row r="22" spans="2:66" s="72" customFormat="1" ht="21" customHeight="1" x14ac:dyDescent="0.35">
      <c r="B22" s="224"/>
      <c r="C22" s="107" t="s">
        <v>43</v>
      </c>
      <c r="D22" s="107"/>
      <c r="E22" s="107"/>
      <c r="F22" s="107"/>
      <c r="G22" s="107"/>
      <c r="H22" s="107"/>
      <c r="I22" s="107"/>
      <c r="J22" s="107"/>
      <c r="K22" s="107"/>
      <c r="L22" s="107"/>
      <c r="M22" s="1877">
        <v>0</v>
      </c>
      <c r="N22" s="1878"/>
      <c r="O22" s="1878"/>
      <c r="P22" s="1864">
        <v>0</v>
      </c>
      <c r="Q22" s="1864"/>
      <c r="R22" s="1864"/>
      <c r="S22" s="1864">
        <v>0</v>
      </c>
      <c r="T22" s="1864"/>
      <c r="U22" s="1865"/>
      <c r="V22" s="1866">
        <f t="shared" si="0"/>
        <v>0</v>
      </c>
      <c r="W22" s="1867"/>
      <c r="X22" s="1868"/>
      <c r="Y22" s="1875">
        <v>0</v>
      </c>
      <c r="Z22" s="1864"/>
      <c r="AA22" s="1864"/>
      <c r="AB22" s="1864">
        <v>0</v>
      </c>
      <c r="AC22" s="1864"/>
      <c r="AD22" s="1864"/>
      <c r="AE22" s="1864">
        <v>0</v>
      </c>
      <c r="AF22" s="1864"/>
      <c r="AG22" s="1864"/>
      <c r="AH22" s="1864">
        <v>0</v>
      </c>
      <c r="AI22" s="1864"/>
      <c r="AJ22" s="1864"/>
      <c r="AK22" s="1864">
        <v>0</v>
      </c>
      <c r="AL22" s="1864"/>
      <c r="AM22" s="1864"/>
      <c r="AN22" s="1865"/>
      <c r="AO22" s="1880">
        <f t="shared" si="1"/>
        <v>0</v>
      </c>
      <c r="AP22" s="1881"/>
      <c r="AQ22" s="1882"/>
      <c r="AR22" s="1866">
        <f t="shared" si="2"/>
        <v>0</v>
      </c>
      <c r="AS22" s="1867"/>
      <c r="AT22" s="1868"/>
      <c r="AU22" s="1875">
        <v>0</v>
      </c>
      <c r="AV22" s="1864"/>
      <c r="AW22" s="1864"/>
      <c r="AX22" s="1864">
        <v>0</v>
      </c>
      <c r="AY22" s="1864"/>
      <c r="AZ22" s="1865"/>
      <c r="BA22" s="1866">
        <f t="shared" si="3"/>
        <v>0</v>
      </c>
      <c r="BB22" s="1867"/>
      <c r="BC22" s="1868"/>
      <c r="BD22" s="1869">
        <f t="shared" si="4"/>
        <v>0</v>
      </c>
      <c r="BE22" s="1867"/>
      <c r="BF22" s="1867"/>
      <c r="BG22" s="1867">
        <f t="shared" si="5"/>
        <v>0</v>
      </c>
      <c r="BH22" s="1867"/>
      <c r="BI22" s="1870"/>
      <c r="BJ22" s="1866">
        <f t="shared" si="6"/>
        <v>0</v>
      </c>
      <c r="BK22" s="1867"/>
      <c r="BL22" s="1871"/>
      <c r="BN22" s="230" t="str">
        <f t="shared" si="7"/>
        <v/>
      </c>
    </row>
    <row r="23" spans="2:66" s="72" customFormat="1" ht="21" customHeight="1" x14ac:dyDescent="0.35">
      <c r="B23" s="224"/>
      <c r="C23" s="107" t="s">
        <v>44</v>
      </c>
      <c r="D23" s="107"/>
      <c r="E23" s="107"/>
      <c r="F23" s="107"/>
      <c r="G23" s="107"/>
      <c r="H23" s="107"/>
      <c r="I23" s="107"/>
      <c r="J23" s="107"/>
      <c r="K23" s="107"/>
      <c r="L23" s="107"/>
      <c r="M23" s="1876">
        <v>4</v>
      </c>
      <c r="N23" s="1864"/>
      <c r="O23" s="1864"/>
      <c r="P23" s="1864">
        <v>1</v>
      </c>
      <c r="Q23" s="1864"/>
      <c r="R23" s="1864"/>
      <c r="S23" s="1864">
        <v>3</v>
      </c>
      <c r="T23" s="1864"/>
      <c r="U23" s="1865"/>
      <c r="V23" s="1866">
        <f t="shared" si="0"/>
        <v>4</v>
      </c>
      <c r="W23" s="1867"/>
      <c r="X23" s="1868"/>
      <c r="Y23" s="1875">
        <v>0</v>
      </c>
      <c r="Z23" s="1864"/>
      <c r="AA23" s="1864"/>
      <c r="AB23" s="1864">
        <v>0</v>
      </c>
      <c r="AC23" s="1864"/>
      <c r="AD23" s="1864"/>
      <c r="AE23" s="1864">
        <v>0</v>
      </c>
      <c r="AF23" s="1864"/>
      <c r="AG23" s="1864"/>
      <c r="AH23" s="1864">
        <v>0</v>
      </c>
      <c r="AI23" s="1864"/>
      <c r="AJ23" s="1864"/>
      <c r="AK23" s="1864">
        <v>0</v>
      </c>
      <c r="AL23" s="1864"/>
      <c r="AM23" s="1864"/>
      <c r="AN23" s="1865"/>
      <c r="AO23" s="1880">
        <f t="shared" si="1"/>
        <v>0</v>
      </c>
      <c r="AP23" s="1881"/>
      <c r="AQ23" s="1882"/>
      <c r="AR23" s="1866">
        <f t="shared" si="2"/>
        <v>4</v>
      </c>
      <c r="AS23" s="1867"/>
      <c r="AT23" s="1868"/>
      <c r="AU23" s="1875">
        <v>0</v>
      </c>
      <c r="AV23" s="1864"/>
      <c r="AW23" s="1864"/>
      <c r="AX23" s="1864">
        <v>0</v>
      </c>
      <c r="AY23" s="1864"/>
      <c r="AZ23" s="1865"/>
      <c r="BA23" s="1866">
        <f t="shared" si="3"/>
        <v>0</v>
      </c>
      <c r="BB23" s="1867"/>
      <c r="BC23" s="1868"/>
      <c r="BD23" s="1869">
        <f t="shared" si="4"/>
        <v>1</v>
      </c>
      <c r="BE23" s="1867"/>
      <c r="BF23" s="1867"/>
      <c r="BG23" s="1867">
        <f t="shared" si="5"/>
        <v>3</v>
      </c>
      <c r="BH23" s="1867"/>
      <c r="BI23" s="1870"/>
      <c r="BJ23" s="1866">
        <f t="shared" si="6"/>
        <v>4</v>
      </c>
      <c r="BK23" s="1867"/>
      <c r="BL23" s="1871"/>
      <c r="BN23" s="230" t="str">
        <f t="shared" si="7"/>
        <v/>
      </c>
    </row>
    <row r="24" spans="2:66" s="72" customFormat="1" ht="21" customHeight="1" x14ac:dyDescent="0.35">
      <c r="B24" s="224"/>
      <c r="C24" s="107" t="s">
        <v>45</v>
      </c>
      <c r="D24" s="107"/>
      <c r="E24" s="107"/>
      <c r="F24" s="107"/>
      <c r="G24" s="107"/>
      <c r="H24" s="107"/>
      <c r="I24" s="107"/>
      <c r="J24" s="107"/>
      <c r="K24" s="107"/>
      <c r="L24" s="107"/>
      <c r="M24" s="1877">
        <v>0</v>
      </c>
      <c r="N24" s="1878"/>
      <c r="O24" s="1878"/>
      <c r="P24" s="1864">
        <v>0</v>
      </c>
      <c r="Q24" s="1864"/>
      <c r="R24" s="1864"/>
      <c r="S24" s="1864">
        <v>0</v>
      </c>
      <c r="T24" s="1864"/>
      <c r="U24" s="1865"/>
      <c r="V24" s="1866">
        <f t="shared" si="0"/>
        <v>0</v>
      </c>
      <c r="W24" s="1867"/>
      <c r="X24" s="1868"/>
      <c r="Y24" s="1875">
        <v>0</v>
      </c>
      <c r="Z24" s="1864"/>
      <c r="AA24" s="1864"/>
      <c r="AB24" s="1864">
        <v>0</v>
      </c>
      <c r="AC24" s="1864"/>
      <c r="AD24" s="1864"/>
      <c r="AE24" s="1864">
        <v>0</v>
      </c>
      <c r="AF24" s="1864"/>
      <c r="AG24" s="1864"/>
      <c r="AH24" s="1864">
        <v>0</v>
      </c>
      <c r="AI24" s="1864"/>
      <c r="AJ24" s="1864"/>
      <c r="AK24" s="1864">
        <v>0</v>
      </c>
      <c r="AL24" s="1864"/>
      <c r="AM24" s="1864"/>
      <c r="AN24" s="1865"/>
      <c r="AO24" s="1880">
        <f t="shared" si="1"/>
        <v>0</v>
      </c>
      <c r="AP24" s="1881"/>
      <c r="AQ24" s="1882"/>
      <c r="AR24" s="1866">
        <f t="shared" si="2"/>
        <v>0</v>
      </c>
      <c r="AS24" s="1867"/>
      <c r="AT24" s="1868"/>
      <c r="AU24" s="1875">
        <v>0</v>
      </c>
      <c r="AV24" s="1864"/>
      <c r="AW24" s="1864"/>
      <c r="AX24" s="1864">
        <v>0</v>
      </c>
      <c r="AY24" s="1864"/>
      <c r="AZ24" s="1865"/>
      <c r="BA24" s="1866">
        <f t="shared" si="3"/>
        <v>0</v>
      </c>
      <c r="BB24" s="1867"/>
      <c r="BC24" s="1868"/>
      <c r="BD24" s="1869">
        <f t="shared" si="4"/>
        <v>0</v>
      </c>
      <c r="BE24" s="1867"/>
      <c r="BF24" s="1867"/>
      <c r="BG24" s="1867">
        <f t="shared" si="5"/>
        <v>0</v>
      </c>
      <c r="BH24" s="1867"/>
      <c r="BI24" s="1870"/>
      <c r="BJ24" s="1866">
        <f t="shared" si="6"/>
        <v>0</v>
      </c>
      <c r="BK24" s="1867"/>
      <c r="BL24" s="1871"/>
      <c r="BN24" s="230" t="str">
        <f t="shared" si="7"/>
        <v/>
      </c>
    </row>
    <row r="25" spans="2:66" s="72" customFormat="1" ht="21" customHeight="1" x14ac:dyDescent="0.35">
      <c r="B25" s="224"/>
      <c r="C25" s="107" t="s">
        <v>46</v>
      </c>
      <c r="D25" s="107"/>
      <c r="E25" s="107"/>
      <c r="F25" s="107"/>
      <c r="G25" s="107"/>
      <c r="H25" s="107"/>
      <c r="I25" s="107"/>
      <c r="J25" s="107"/>
      <c r="K25" s="107"/>
      <c r="L25" s="107"/>
      <c r="M25" s="1876">
        <v>2</v>
      </c>
      <c r="N25" s="1864"/>
      <c r="O25" s="1864"/>
      <c r="P25" s="1864">
        <v>1</v>
      </c>
      <c r="Q25" s="1864"/>
      <c r="R25" s="1864"/>
      <c r="S25" s="1864">
        <v>1</v>
      </c>
      <c r="T25" s="1864"/>
      <c r="U25" s="1865"/>
      <c r="V25" s="1866">
        <f t="shared" si="0"/>
        <v>2</v>
      </c>
      <c r="W25" s="1867"/>
      <c r="X25" s="1868"/>
      <c r="Y25" s="1875">
        <v>0</v>
      </c>
      <c r="Z25" s="1864"/>
      <c r="AA25" s="1864"/>
      <c r="AB25" s="1864">
        <v>0</v>
      </c>
      <c r="AC25" s="1864"/>
      <c r="AD25" s="1864"/>
      <c r="AE25" s="1864">
        <v>0</v>
      </c>
      <c r="AF25" s="1864"/>
      <c r="AG25" s="1864"/>
      <c r="AH25" s="1864">
        <v>0</v>
      </c>
      <c r="AI25" s="1864"/>
      <c r="AJ25" s="1864"/>
      <c r="AK25" s="1864">
        <v>0</v>
      </c>
      <c r="AL25" s="1864"/>
      <c r="AM25" s="1864"/>
      <c r="AN25" s="1865"/>
      <c r="AO25" s="1880">
        <f t="shared" si="1"/>
        <v>0</v>
      </c>
      <c r="AP25" s="1881"/>
      <c r="AQ25" s="1882"/>
      <c r="AR25" s="1866">
        <f t="shared" si="2"/>
        <v>2</v>
      </c>
      <c r="AS25" s="1867"/>
      <c r="AT25" s="1868"/>
      <c r="AU25" s="1875">
        <v>0</v>
      </c>
      <c r="AV25" s="1864"/>
      <c r="AW25" s="1864"/>
      <c r="AX25" s="1864">
        <v>0</v>
      </c>
      <c r="AY25" s="1864"/>
      <c r="AZ25" s="1865"/>
      <c r="BA25" s="1866">
        <f t="shared" si="3"/>
        <v>0</v>
      </c>
      <c r="BB25" s="1867"/>
      <c r="BC25" s="1868"/>
      <c r="BD25" s="1869">
        <f t="shared" si="4"/>
        <v>1</v>
      </c>
      <c r="BE25" s="1867"/>
      <c r="BF25" s="1867"/>
      <c r="BG25" s="1867">
        <f t="shared" si="5"/>
        <v>1</v>
      </c>
      <c r="BH25" s="1867"/>
      <c r="BI25" s="1870"/>
      <c r="BJ25" s="1866">
        <f t="shared" si="6"/>
        <v>2</v>
      </c>
      <c r="BK25" s="1867"/>
      <c r="BL25" s="1871"/>
      <c r="BN25" s="230" t="str">
        <f t="shared" si="7"/>
        <v/>
      </c>
    </row>
    <row r="26" spans="2:66" s="72" customFormat="1" ht="21" customHeight="1" x14ac:dyDescent="0.35">
      <c r="B26" s="224"/>
      <c r="C26" s="107" t="s">
        <v>751</v>
      </c>
      <c r="D26" s="107"/>
      <c r="E26" s="107"/>
      <c r="F26" s="107"/>
      <c r="G26" s="107"/>
      <c r="H26" s="107"/>
      <c r="I26" s="107"/>
      <c r="J26" s="107"/>
      <c r="K26" s="107"/>
      <c r="L26" s="107"/>
      <c r="M26" s="1877">
        <v>0</v>
      </c>
      <c r="N26" s="1878"/>
      <c r="O26" s="1878"/>
      <c r="P26" s="1864">
        <v>0</v>
      </c>
      <c r="Q26" s="1864"/>
      <c r="R26" s="1864"/>
      <c r="S26" s="1864">
        <v>0</v>
      </c>
      <c r="T26" s="1864"/>
      <c r="U26" s="1865"/>
      <c r="V26" s="1866">
        <f t="shared" si="0"/>
        <v>0</v>
      </c>
      <c r="W26" s="1867"/>
      <c r="X26" s="1868"/>
      <c r="Y26" s="1875">
        <v>0</v>
      </c>
      <c r="Z26" s="1864"/>
      <c r="AA26" s="1864"/>
      <c r="AB26" s="1864">
        <v>0</v>
      </c>
      <c r="AC26" s="1864"/>
      <c r="AD26" s="1864"/>
      <c r="AE26" s="1864">
        <v>0</v>
      </c>
      <c r="AF26" s="1864"/>
      <c r="AG26" s="1864"/>
      <c r="AH26" s="1864">
        <v>0</v>
      </c>
      <c r="AI26" s="1864"/>
      <c r="AJ26" s="1864"/>
      <c r="AK26" s="1864">
        <v>0</v>
      </c>
      <c r="AL26" s="1864"/>
      <c r="AM26" s="1864"/>
      <c r="AN26" s="1865"/>
      <c r="AO26" s="1880">
        <f t="shared" si="1"/>
        <v>0</v>
      </c>
      <c r="AP26" s="1881"/>
      <c r="AQ26" s="1882"/>
      <c r="AR26" s="1866">
        <f t="shared" si="2"/>
        <v>0</v>
      </c>
      <c r="AS26" s="1867"/>
      <c r="AT26" s="1868"/>
      <c r="AU26" s="1875">
        <v>0</v>
      </c>
      <c r="AV26" s="1864"/>
      <c r="AW26" s="1864"/>
      <c r="AX26" s="1864">
        <v>0</v>
      </c>
      <c r="AY26" s="1864"/>
      <c r="AZ26" s="1865"/>
      <c r="BA26" s="1866">
        <f t="shared" si="3"/>
        <v>0</v>
      </c>
      <c r="BB26" s="1867"/>
      <c r="BC26" s="1868"/>
      <c r="BD26" s="1869">
        <f t="shared" si="4"/>
        <v>0</v>
      </c>
      <c r="BE26" s="1867"/>
      <c r="BF26" s="1867"/>
      <c r="BG26" s="1867">
        <f t="shared" si="5"/>
        <v>0</v>
      </c>
      <c r="BH26" s="1867"/>
      <c r="BI26" s="1870"/>
      <c r="BJ26" s="1866">
        <f t="shared" si="6"/>
        <v>0</v>
      </c>
      <c r="BK26" s="1867"/>
      <c r="BL26" s="1871"/>
      <c r="BN26" s="230" t="str">
        <f t="shared" si="7"/>
        <v/>
      </c>
    </row>
    <row r="27" spans="2:66" s="72" customFormat="1" ht="21" customHeight="1" x14ac:dyDescent="0.35">
      <c r="B27" s="224"/>
      <c r="C27" s="107" t="s">
        <v>752</v>
      </c>
      <c r="D27" s="107"/>
      <c r="E27" s="107"/>
      <c r="F27" s="107"/>
      <c r="G27" s="107"/>
      <c r="H27" s="107"/>
      <c r="I27" s="107"/>
      <c r="J27" s="107"/>
      <c r="K27" s="107"/>
      <c r="L27" s="107"/>
      <c r="M27" s="1876">
        <v>0</v>
      </c>
      <c r="N27" s="1864"/>
      <c r="O27" s="1864"/>
      <c r="P27" s="1864">
        <v>0</v>
      </c>
      <c r="Q27" s="1864"/>
      <c r="R27" s="1864"/>
      <c r="S27" s="1864">
        <v>0</v>
      </c>
      <c r="T27" s="1864"/>
      <c r="U27" s="1865"/>
      <c r="V27" s="1866">
        <f t="shared" si="0"/>
        <v>0</v>
      </c>
      <c r="W27" s="1867"/>
      <c r="X27" s="1868"/>
      <c r="Y27" s="1875">
        <v>0</v>
      </c>
      <c r="Z27" s="1864"/>
      <c r="AA27" s="1864"/>
      <c r="AB27" s="1864">
        <v>0</v>
      </c>
      <c r="AC27" s="1864"/>
      <c r="AD27" s="1864"/>
      <c r="AE27" s="1864">
        <v>0</v>
      </c>
      <c r="AF27" s="1864"/>
      <c r="AG27" s="1864"/>
      <c r="AH27" s="1864">
        <v>0</v>
      </c>
      <c r="AI27" s="1864"/>
      <c r="AJ27" s="1864"/>
      <c r="AK27" s="1864">
        <v>0</v>
      </c>
      <c r="AL27" s="1864"/>
      <c r="AM27" s="1864"/>
      <c r="AN27" s="1865"/>
      <c r="AO27" s="1880">
        <f t="shared" si="1"/>
        <v>0</v>
      </c>
      <c r="AP27" s="1881"/>
      <c r="AQ27" s="1882"/>
      <c r="AR27" s="1866">
        <f t="shared" si="2"/>
        <v>0</v>
      </c>
      <c r="AS27" s="1867"/>
      <c r="AT27" s="1868"/>
      <c r="AU27" s="1875">
        <v>0</v>
      </c>
      <c r="AV27" s="1864"/>
      <c r="AW27" s="1864"/>
      <c r="AX27" s="1864">
        <v>0</v>
      </c>
      <c r="AY27" s="1864"/>
      <c r="AZ27" s="1865"/>
      <c r="BA27" s="1866">
        <f t="shared" si="3"/>
        <v>0</v>
      </c>
      <c r="BB27" s="1867"/>
      <c r="BC27" s="1868"/>
      <c r="BD27" s="1869">
        <f t="shared" si="4"/>
        <v>0</v>
      </c>
      <c r="BE27" s="1867"/>
      <c r="BF27" s="1867"/>
      <c r="BG27" s="1867">
        <f t="shared" si="5"/>
        <v>0</v>
      </c>
      <c r="BH27" s="1867"/>
      <c r="BI27" s="1870"/>
      <c r="BJ27" s="1866">
        <f t="shared" si="6"/>
        <v>0</v>
      </c>
      <c r="BK27" s="1867"/>
      <c r="BL27" s="1871"/>
      <c r="BN27" s="230" t="str">
        <f t="shared" si="7"/>
        <v/>
      </c>
    </row>
    <row r="28" spans="2:66" s="72" customFormat="1" ht="21" customHeight="1" x14ac:dyDescent="0.35">
      <c r="B28" s="224"/>
      <c r="C28" s="107" t="s">
        <v>753</v>
      </c>
      <c r="D28" s="107"/>
      <c r="E28" s="107"/>
      <c r="F28" s="107"/>
      <c r="G28" s="107"/>
      <c r="H28" s="107"/>
      <c r="I28" s="107"/>
      <c r="J28" s="107"/>
      <c r="K28" s="107"/>
      <c r="L28" s="107"/>
      <c r="M28" s="1877">
        <v>0</v>
      </c>
      <c r="N28" s="1878"/>
      <c r="O28" s="1878"/>
      <c r="P28" s="1864">
        <v>0</v>
      </c>
      <c r="Q28" s="1864"/>
      <c r="R28" s="1864"/>
      <c r="S28" s="1864">
        <v>0</v>
      </c>
      <c r="T28" s="1864"/>
      <c r="U28" s="1865"/>
      <c r="V28" s="1866">
        <f t="shared" si="0"/>
        <v>0</v>
      </c>
      <c r="W28" s="1867"/>
      <c r="X28" s="1868"/>
      <c r="Y28" s="1875">
        <v>0</v>
      </c>
      <c r="Z28" s="1864"/>
      <c r="AA28" s="1864"/>
      <c r="AB28" s="1864">
        <v>0</v>
      </c>
      <c r="AC28" s="1864"/>
      <c r="AD28" s="1864"/>
      <c r="AE28" s="1864">
        <v>0</v>
      </c>
      <c r="AF28" s="1864"/>
      <c r="AG28" s="1864"/>
      <c r="AH28" s="1864">
        <v>0</v>
      </c>
      <c r="AI28" s="1864"/>
      <c r="AJ28" s="1864"/>
      <c r="AK28" s="1864">
        <v>0</v>
      </c>
      <c r="AL28" s="1864"/>
      <c r="AM28" s="1864"/>
      <c r="AN28" s="1865"/>
      <c r="AO28" s="1880">
        <f t="shared" si="1"/>
        <v>0</v>
      </c>
      <c r="AP28" s="1881"/>
      <c r="AQ28" s="1882"/>
      <c r="AR28" s="1866">
        <f t="shared" si="2"/>
        <v>0</v>
      </c>
      <c r="AS28" s="1867"/>
      <c r="AT28" s="1868"/>
      <c r="AU28" s="1875">
        <v>0</v>
      </c>
      <c r="AV28" s="1864"/>
      <c r="AW28" s="1864"/>
      <c r="AX28" s="1864">
        <v>0</v>
      </c>
      <c r="AY28" s="1864"/>
      <c r="AZ28" s="1865"/>
      <c r="BA28" s="1866">
        <f t="shared" si="3"/>
        <v>0</v>
      </c>
      <c r="BB28" s="1867"/>
      <c r="BC28" s="1868"/>
      <c r="BD28" s="1869">
        <f t="shared" si="4"/>
        <v>0</v>
      </c>
      <c r="BE28" s="1867"/>
      <c r="BF28" s="1867"/>
      <c r="BG28" s="1867">
        <f t="shared" si="5"/>
        <v>0</v>
      </c>
      <c r="BH28" s="1867"/>
      <c r="BI28" s="1870"/>
      <c r="BJ28" s="1866">
        <f t="shared" si="6"/>
        <v>0</v>
      </c>
      <c r="BK28" s="1867"/>
      <c r="BL28" s="1871"/>
      <c r="BN28" s="230" t="str">
        <f t="shared" si="7"/>
        <v/>
      </c>
    </row>
    <row r="29" spans="2:66" s="72" customFormat="1" ht="21" customHeight="1" x14ac:dyDescent="0.35">
      <c r="B29" s="224"/>
      <c r="C29" s="107" t="s">
        <v>754</v>
      </c>
      <c r="D29" s="107"/>
      <c r="E29" s="107"/>
      <c r="F29" s="107"/>
      <c r="G29" s="107"/>
      <c r="H29" s="107"/>
      <c r="I29" s="107"/>
      <c r="J29" s="107"/>
      <c r="K29" s="107"/>
      <c r="L29" s="107"/>
      <c r="M29" s="1876">
        <v>1</v>
      </c>
      <c r="N29" s="1864"/>
      <c r="O29" s="1864"/>
      <c r="P29" s="1864">
        <v>0</v>
      </c>
      <c r="Q29" s="1864"/>
      <c r="R29" s="1864"/>
      <c r="S29" s="1864">
        <v>1</v>
      </c>
      <c r="T29" s="1864"/>
      <c r="U29" s="1865"/>
      <c r="V29" s="1866">
        <f t="shared" si="0"/>
        <v>1</v>
      </c>
      <c r="W29" s="1867"/>
      <c r="X29" s="1868"/>
      <c r="Y29" s="1875">
        <v>0</v>
      </c>
      <c r="Z29" s="1864"/>
      <c r="AA29" s="1864"/>
      <c r="AB29" s="1864">
        <v>0</v>
      </c>
      <c r="AC29" s="1864"/>
      <c r="AD29" s="1864"/>
      <c r="AE29" s="1864">
        <v>0</v>
      </c>
      <c r="AF29" s="1864"/>
      <c r="AG29" s="1864"/>
      <c r="AH29" s="1864">
        <v>0</v>
      </c>
      <c r="AI29" s="1864"/>
      <c r="AJ29" s="1864"/>
      <c r="AK29" s="1864">
        <v>0</v>
      </c>
      <c r="AL29" s="1864"/>
      <c r="AM29" s="1864"/>
      <c r="AN29" s="1865"/>
      <c r="AO29" s="1880">
        <f t="shared" si="1"/>
        <v>0</v>
      </c>
      <c r="AP29" s="1881"/>
      <c r="AQ29" s="1882"/>
      <c r="AR29" s="1866">
        <f t="shared" si="2"/>
        <v>1</v>
      </c>
      <c r="AS29" s="1867"/>
      <c r="AT29" s="1868"/>
      <c r="AU29" s="1875">
        <v>0</v>
      </c>
      <c r="AV29" s="1864"/>
      <c r="AW29" s="1864"/>
      <c r="AX29" s="1864">
        <v>0</v>
      </c>
      <c r="AY29" s="1864"/>
      <c r="AZ29" s="1865"/>
      <c r="BA29" s="1866">
        <f t="shared" si="3"/>
        <v>0</v>
      </c>
      <c r="BB29" s="1867"/>
      <c r="BC29" s="1868"/>
      <c r="BD29" s="1869">
        <f t="shared" si="4"/>
        <v>0</v>
      </c>
      <c r="BE29" s="1867"/>
      <c r="BF29" s="1867"/>
      <c r="BG29" s="1867">
        <f t="shared" si="5"/>
        <v>1</v>
      </c>
      <c r="BH29" s="1867"/>
      <c r="BI29" s="1870"/>
      <c r="BJ29" s="1866">
        <f t="shared" si="6"/>
        <v>1</v>
      </c>
      <c r="BK29" s="1867"/>
      <c r="BL29" s="1871"/>
      <c r="BN29" s="230" t="str">
        <f t="shared" si="7"/>
        <v/>
      </c>
    </row>
    <row r="30" spans="2:66" s="72" customFormat="1" ht="21" customHeight="1" x14ac:dyDescent="0.35">
      <c r="B30" s="224"/>
      <c r="C30" s="107" t="s">
        <v>755</v>
      </c>
      <c r="D30" s="107"/>
      <c r="E30" s="107"/>
      <c r="F30" s="107"/>
      <c r="G30" s="107"/>
      <c r="H30" s="107"/>
      <c r="I30" s="107"/>
      <c r="J30" s="107"/>
      <c r="K30" s="107"/>
      <c r="L30" s="107"/>
      <c r="M30" s="1877">
        <v>0</v>
      </c>
      <c r="N30" s="1878"/>
      <c r="O30" s="1878"/>
      <c r="P30" s="1864">
        <v>0</v>
      </c>
      <c r="Q30" s="1864"/>
      <c r="R30" s="1864"/>
      <c r="S30" s="1864">
        <v>0</v>
      </c>
      <c r="T30" s="1864"/>
      <c r="U30" s="1865"/>
      <c r="V30" s="1866">
        <f t="shared" si="0"/>
        <v>0</v>
      </c>
      <c r="W30" s="1867"/>
      <c r="X30" s="1868"/>
      <c r="Y30" s="1875">
        <v>0</v>
      </c>
      <c r="Z30" s="1864"/>
      <c r="AA30" s="1864"/>
      <c r="AB30" s="1864">
        <v>0</v>
      </c>
      <c r="AC30" s="1864"/>
      <c r="AD30" s="1864"/>
      <c r="AE30" s="1864">
        <v>0</v>
      </c>
      <c r="AF30" s="1864"/>
      <c r="AG30" s="1864"/>
      <c r="AH30" s="1864">
        <v>0</v>
      </c>
      <c r="AI30" s="1864"/>
      <c r="AJ30" s="1864"/>
      <c r="AK30" s="1864">
        <v>0</v>
      </c>
      <c r="AL30" s="1864"/>
      <c r="AM30" s="1864"/>
      <c r="AN30" s="1865"/>
      <c r="AO30" s="1880">
        <f t="shared" si="1"/>
        <v>0</v>
      </c>
      <c r="AP30" s="1881"/>
      <c r="AQ30" s="1882"/>
      <c r="AR30" s="1866">
        <f t="shared" si="2"/>
        <v>0</v>
      </c>
      <c r="AS30" s="1867"/>
      <c r="AT30" s="1868"/>
      <c r="AU30" s="1875">
        <v>0</v>
      </c>
      <c r="AV30" s="1864"/>
      <c r="AW30" s="1864"/>
      <c r="AX30" s="1864">
        <v>0</v>
      </c>
      <c r="AY30" s="1864"/>
      <c r="AZ30" s="1865"/>
      <c r="BA30" s="1866">
        <f t="shared" si="3"/>
        <v>0</v>
      </c>
      <c r="BB30" s="1867"/>
      <c r="BC30" s="1868"/>
      <c r="BD30" s="1869">
        <f t="shared" si="4"/>
        <v>0</v>
      </c>
      <c r="BE30" s="1867"/>
      <c r="BF30" s="1867"/>
      <c r="BG30" s="1867">
        <f t="shared" si="5"/>
        <v>0</v>
      </c>
      <c r="BH30" s="1867"/>
      <c r="BI30" s="1870"/>
      <c r="BJ30" s="1866">
        <f t="shared" si="6"/>
        <v>0</v>
      </c>
      <c r="BK30" s="1867"/>
      <c r="BL30" s="1871"/>
      <c r="BN30" s="230" t="str">
        <f t="shared" si="7"/>
        <v/>
      </c>
    </row>
    <row r="31" spans="2:66" s="72" customFormat="1" ht="21" customHeight="1" x14ac:dyDescent="0.35">
      <c r="B31" s="224"/>
      <c r="C31" s="107" t="s">
        <v>756</v>
      </c>
      <c r="D31" s="107"/>
      <c r="E31" s="107"/>
      <c r="F31" s="107"/>
      <c r="G31" s="107"/>
      <c r="H31" s="107"/>
      <c r="I31" s="107"/>
      <c r="J31" s="107"/>
      <c r="K31" s="107"/>
      <c r="L31" s="107"/>
      <c r="M31" s="1876">
        <v>0</v>
      </c>
      <c r="N31" s="1864"/>
      <c r="O31" s="1864"/>
      <c r="P31" s="1864">
        <v>0</v>
      </c>
      <c r="Q31" s="1864"/>
      <c r="R31" s="1864"/>
      <c r="S31" s="1864">
        <v>0</v>
      </c>
      <c r="T31" s="1864"/>
      <c r="U31" s="1865"/>
      <c r="V31" s="1866">
        <f t="shared" si="0"/>
        <v>0</v>
      </c>
      <c r="W31" s="1867"/>
      <c r="X31" s="1868"/>
      <c r="Y31" s="1875">
        <v>0</v>
      </c>
      <c r="Z31" s="1864"/>
      <c r="AA31" s="1864"/>
      <c r="AB31" s="1864">
        <v>0</v>
      </c>
      <c r="AC31" s="1864"/>
      <c r="AD31" s="1864"/>
      <c r="AE31" s="1864">
        <v>0</v>
      </c>
      <c r="AF31" s="1864"/>
      <c r="AG31" s="1864"/>
      <c r="AH31" s="1864">
        <v>0</v>
      </c>
      <c r="AI31" s="1864"/>
      <c r="AJ31" s="1864"/>
      <c r="AK31" s="1864">
        <v>0</v>
      </c>
      <c r="AL31" s="1864"/>
      <c r="AM31" s="1864"/>
      <c r="AN31" s="1865"/>
      <c r="AO31" s="1880">
        <f t="shared" si="1"/>
        <v>0</v>
      </c>
      <c r="AP31" s="1881"/>
      <c r="AQ31" s="1882"/>
      <c r="AR31" s="1866">
        <f t="shared" si="2"/>
        <v>0</v>
      </c>
      <c r="AS31" s="1867"/>
      <c r="AT31" s="1868"/>
      <c r="AU31" s="1875">
        <v>0</v>
      </c>
      <c r="AV31" s="1864"/>
      <c r="AW31" s="1864"/>
      <c r="AX31" s="1864">
        <v>0</v>
      </c>
      <c r="AY31" s="1864"/>
      <c r="AZ31" s="1865"/>
      <c r="BA31" s="1866">
        <f t="shared" si="3"/>
        <v>0</v>
      </c>
      <c r="BB31" s="1867"/>
      <c r="BC31" s="1868"/>
      <c r="BD31" s="1869">
        <f t="shared" si="4"/>
        <v>0</v>
      </c>
      <c r="BE31" s="1867"/>
      <c r="BF31" s="1867"/>
      <c r="BG31" s="1867">
        <f t="shared" si="5"/>
        <v>0</v>
      </c>
      <c r="BH31" s="1867"/>
      <c r="BI31" s="1870"/>
      <c r="BJ31" s="1866">
        <f t="shared" si="6"/>
        <v>0</v>
      </c>
      <c r="BK31" s="1867"/>
      <c r="BL31" s="1871"/>
      <c r="BN31" s="230" t="str">
        <f t="shared" si="7"/>
        <v/>
      </c>
    </row>
    <row r="32" spans="2:66" s="72" customFormat="1" ht="21" customHeight="1" x14ac:dyDescent="0.35">
      <c r="B32" s="224"/>
      <c r="C32" s="107" t="s">
        <v>764</v>
      </c>
      <c r="D32" s="107"/>
      <c r="E32" s="107"/>
      <c r="F32" s="107"/>
      <c r="G32" s="107"/>
      <c r="H32" s="107"/>
      <c r="I32" s="107"/>
      <c r="J32" s="107"/>
      <c r="K32" s="107"/>
      <c r="L32" s="107"/>
      <c r="M32" s="1877">
        <v>0</v>
      </c>
      <c r="N32" s="1878"/>
      <c r="O32" s="1878"/>
      <c r="P32" s="1864">
        <v>0</v>
      </c>
      <c r="Q32" s="1864"/>
      <c r="R32" s="1864"/>
      <c r="S32" s="1864">
        <v>0</v>
      </c>
      <c r="T32" s="1864"/>
      <c r="U32" s="1865"/>
      <c r="V32" s="1866">
        <f t="shared" si="0"/>
        <v>0</v>
      </c>
      <c r="W32" s="1867"/>
      <c r="X32" s="1868"/>
      <c r="Y32" s="1875">
        <v>0</v>
      </c>
      <c r="Z32" s="1864"/>
      <c r="AA32" s="1864"/>
      <c r="AB32" s="1864">
        <v>0</v>
      </c>
      <c r="AC32" s="1864"/>
      <c r="AD32" s="1864"/>
      <c r="AE32" s="1864">
        <v>0</v>
      </c>
      <c r="AF32" s="1864"/>
      <c r="AG32" s="1864"/>
      <c r="AH32" s="1864">
        <v>0</v>
      </c>
      <c r="AI32" s="1864"/>
      <c r="AJ32" s="1864"/>
      <c r="AK32" s="1864">
        <v>0</v>
      </c>
      <c r="AL32" s="1864"/>
      <c r="AM32" s="1864"/>
      <c r="AN32" s="1865"/>
      <c r="AO32" s="1880">
        <f t="shared" si="1"/>
        <v>0</v>
      </c>
      <c r="AP32" s="1881"/>
      <c r="AQ32" s="1882"/>
      <c r="AR32" s="1866">
        <f t="shared" si="2"/>
        <v>0</v>
      </c>
      <c r="AS32" s="1867"/>
      <c r="AT32" s="1868"/>
      <c r="AU32" s="1875">
        <v>0</v>
      </c>
      <c r="AV32" s="1864"/>
      <c r="AW32" s="1864"/>
      <c r="AX32" s="1864">
        <v>0</v>
      </c>
      <c r="AY32" s="1864"/>
      <c r="AZ32" s="1865"/>
      <c r="BA32" s="1866">
        <f t="shared" si="3"/>
        <v>0</v>
      </c>
      <c r="BB32" s="1867"/>
      <c r="BC32" s="1868"/>
      <c r="BD32" s="1869">
        <f t="shared" si="4"/>
        <v>0</v>
      </c>
      <c r="BE32" s="1867"/>
      <c r="BF32" s="1867"/>
      <c r="BG32" s="1867">
        <f t="shared" si="5"/>
        <v>0</v>
      </c>
      <c r="BH32" s="1867"/>
      <c r="BI32" s="1870"/>
      <c r="BJ32" s="1866">
        <f t="shared" si="6"/>
        <v>0</v>
      </c>
      <c r="BK32" s="1867"/>
      <c r="BL32" s="1871"/>
      <c r="BN32" s="230" t="str">
        <f t="shared" si="7"/>
        <v/>
      </c>
    </row>
    <row r="33" spans="2:66" s="72" customFormat="1" ht="21" customHeight="1" x14ac:dyDescent="0.35">
      <c r="B33" s="224"/>
      <c r="C33" s="107" t="s">
        <v>757</v>
      </c>
      <c r="D33" s="107"/>
      <c r="E33" s="107"/>
      <c r="F33" s="107"/>
      <c r="G33" s="107"/>
      <c r="H33" s="107"/>
      <c r="I33" s="107"/>
      <c r="J33" s="107"/>
      <c r="K33" s="107"/>
      <c r="L33" s="107"/>
      <c r="M33" s="1876">
        <v>1</v>
      </c>
      <c r="N33" s="1864"/>
      <c r="O33" s="1864"/>
      <c r="P33" s="1864">
        <v>0</v>
      </c>
      <c r="Q33" s="1864"/>
      <c r="R33" s="1864"/>
      <c r="S33" s="1864">
        <v>1</v>
      </c>
      <c r="T33" s="1864"/>
      <c r="U33" s="1865"/>
      <c r="V33" s="1866">
        <f t="shared" si="0"/>
        <v>1</v>
      </c>
      <c r="W33" s="1867"/>
      <c r="X33" s="1868"/>
      <c r="Y33" s="1875">
        <v>0</v>
      </c>
      <c r="Z33" s="1864"/>
      <c r="AA33" s="1864"/>
      <c r="AB33" s="1864">
        <v>0</v>
      </c>
      <c r="AC33" s="1864"/>
      <c r="AD33" s="1864"/>
      <c r="AE33" s="1864">
        <v>0</v>
      </c>
      <c r="AF33" s="1864"/>
      <c r="AG33" s="1864"/>
      <c r="AH33" s="1864">
        <v>0</v>
      </c>
      <c r="AI33" s="1864"/>
      <c r="AJ33" s="1864"/>
      <c r="AK33" s="1864">
        <v>0</v>
      </c>
      <c r="AL33" s="1864"/>
      <c r="AM33" s="1864"/>
      <c r="AN33" s="1865"/>
      <c r="AO33" s="1880">
        <f t="shared" si="1"/>
        <v>0</v>
      </c>
      <c r="AP33" s="1881"/>
      <c r="AQ33" s="1882"/>
      <c r="AR33" s="1866">
        <f t="shared" si="2"/>
        <v>1</v>
      </c>
      <c r="AS33" s="1867"/>
      <c r="AT33" s="1868"/>
      <c r="AU33" s="1875">
        <v>0</v>
      </c>
      <c r="AV33" s="1864"/>
      <c r="AW33" s="1864"/>
      <c r="AX33" s="1864">
        <v>0</v>
      </c>
      <c r="AY33" s="1864"/>
      <c r="AZ33" s="1865"/>
      <c r="BA33" s="1866">
        <f t="shared" si="3"/>
        <v>0</v>
      </c>
      <c r="BB33" s="1867"/>
      <c r="BC33" s="1868"/>
      <c r="BD33" s="1869">
        <f t="shared" si="4"/>
        <v>0</v>
      </c>
      <c r="BE33" s="1867"/>
      <c r="BF33" s="1867"/>
      <c r="BG33" s="1867">
        <f t="shared" si="5"/>
        <v>1</v>
      </c>
      <c r="BH33" s="1867"/>
      <c r="BI33" s="1870"/>
      <c r="BJ33" s="1866">
        <f t="shared" si="6"/>
        <v>1</v>
      </c>
      <c r="BK33" s="1867"/>
      <c r="BL33" s="1871"/>
      <c r="BN33" s="230" t="str">
        <f t="shared" si="7"/>
        <v/>
      </c>
    </row>
    <row r="34" spans="2:66" s="72" customFormat="1" ht="21" customHeight="1" x14ac:dyDescent="0.35">
      <c r="B34" s="224"/>
      <c r="C34" s="107" t="s">
        <v>758</v>
      </c>
      <c r="D34" s="107"/>
      <c r="E34" s="107"/>
      <c r="F34" s="107"/>
      <c r="G34" s="107"/>
      <c r="H34" s="107"/>
      <c r="I34" s="107"/>
      <c r="J34" s="107"/>
      <c r="K34" s="107"/>
      <c r="L34" s="107"/>
      <c r="M34" s="1877">
        <v>0</v>
      </c>
      <c r="N34" s="1878"/>
      <c r="O34" s="1878"/>
      <c r="P34" s="1864">
        <v>0</v>
      </c>
      <c r="Q34" s="1864"/>
      <c r="R34" s="1864"/>
      <c r="S34" s="1864">
        <v>0</v>
      </c>
      <c r="T34" s="1864"/>
      <c r="U34" s="1865"/>
      <c r="V34" s="1866">
        <f t="shared" si="0"/>
        <v>0</v>
      </c>
      <c r="W34" s="1867"/>
      <c r="X34" s="1868"/>
      <c r="Y34" s="1875">
        <v>0</v>
      </c>
      <c r="Z34" s="1864"/>
      <c r="AA34" s="1864"/>
      <c r="AB34" s="1864">
        <v>0</v>
      </c>
      <c r="AC34" s="1864"/>
      <c r="AD34" s="1864"/>
      <c r="AE34" s="1864">
        <v>0</v>
      </c>
      <c r="AF34" s="1864"/>
      <c r="AG34" s="1864"/>
      <c r="AH34" s="1864">
        <v>0</v>
      </c>
      <c r="AI34" s="1864"/>
      <c r="AJ34" s="1864"/>
      <c r="AK34" s="1864">
        <v>0</v>
      </c>
      <c r="AL34" s="1864"/>
      <c r="AM34" s="1864"/>
      <c r="AN34" s="1865"/>
      <c r="AO34" s="1880">
        <f t="shared" si="1"/>
        <v>0</v>
      </c>
      <c r="AP34" s="1881"/>
      <c r="AQ34" s="1882"/>
      <c r="AR34" s="1866">
        <f t="shared" si="2"/>
        <v>0</v>
      </c>
      <c r="AS34" s="1867"/>
      <c r="AT34" s="1868"/>
      <c r="AU34" s="1875">
        <v>0</v>
      </c>
      <c r="AV34" s="1864"/>
      <c r="AW34" s="1864"/>
      <c r="AX34" s="1864">
        <v>0</v>
      </c>
      <c r="AY34" s="1864"/>
      <c r="AZ34" s="1865"/>
      <c r="BA34" s="1866">
        <f t="shared" si="3"/>
        <v>0</v>
      </c>
      <c r="BB34" s="1867"/>
      <c r="BC34" s="1868"/>
      <c r="BD34" s="1869">
        <f t="shared" si="4"/>
        <v>0</v>
      </c>
      <c r="BE34" s="1867"/>
      <c r="BF34" s="1867"/>
      <c r="BG34" s="1867">
        <f t="shared" si="5"/>
        <v>0</v>
      </c>
      <c r="BH34" s="1867"/>
      <c r="BI34" s="1870"/>
      <c r="BJ34" s="1866">
        <f t="shared" si="6"/>
        <v>0</v>
      </c>
      <c r="BK34" s="1867"/>
      <c r="BL34" s="1871"/>
      <c r="BN34" s="230" t="str">
        <f t="shared" si="7"/>
        <v/>
      </c>
    </row>
    <row r="35" spans="2:66" s="72" customFormat="1" ht="21" customHeight="1" x14ac:dyDescent="0.35">
      <c r="B35" s="224"/>
      <c r="C35" s="107" t="s">
        <v>759</v>
      </c>
      <c r="D35" s="107"/>
      <c r="E35" s="107"/>
      <c r="F35" s="107"/>
      <c r="G35" s="107"/>
      <c r="H35" s="107"/>
      <c r="I35" s="107"/>
      <c r="J35" s="107"/>
      <c r="K35" s="107"/>
      <c r="L35" s="107"/>
      <c r="M35" s="1876">
        <v>0</v>
      </c>
      <c r="N35" s="1864"/>
      <c r="O35" s="1864"/>
      <c r="P35" s="1864">
        <v>0</v>
      </c>
      <c r="Q35" s="1864"/>
      <c r="R35" s="1864"/>
      <c r="S35" s="1864">
        <v>0</v>
      </c>
      <c r="T35" s="1864"/>
      <c r="U35" s="1865"/>
      <c r="V35" s="1866">
        <f t="shared" si="0"/>
        <v>0</v>
      </c>
      <c r="W35" s="1867"/>
      <c r="X35" s="1868"/>
      <c r="Y35" s="1875">
        <v>0</v>
      </c>
      <c r="Z35" s="1864"/>
      <c r="AA35" s="1864"/>
      <c r="AB35" s="1864">
        <v>0</v>
      </c>
      <c r="AC35" s="1864"/>
      <c r="AD35" s="1864"/>
      <c r="AE35" s="1864">
        <v>0</v>
      </c>
      <c r="AF35" s="1864"/>
      <c r="AG35" s="1864"/>
      <c r="AH35" s="1864">
        <v>0</v>
      </c>
      <c r="AI35" s="1864"/>
      <c r="AJ35" s="1864"/>
      <c r="AK35" s="1864">
        <v>0</v>
      </c>
      <c r="AL35" s="1864"/>
      <c r="AM35" s="1864"/>
      <c r="AN35" s="1865"/>
      <c r="AO35" s="1880">
        <f t="shared" si="1"/>
        <v>0</v>
      </c>
      <c r="AP35" s="1881"/>
      <c r="AQ35" s="1882"/>
      <c r="AR35" s="1866">
        <f t="shared" si="2"/>
        <v>0</v>
      </c>
      <c r="AS35" s="1867"/>
      <c r="AT35" s="1868"/>
      <c r="AU35" s="1875">
        <v>0</v>
      </c>
      <c r="AV35" s="1864"/>
      <c r="AW35" s="1864"/>
      <c r="AX35" s="1864">
        <v>0</v>
      </c>
      <c r="AY35" s="1864"/>
      <c r="AZ35" s="1865"/>
      <c r="BA35" s="1866">
        <f t="shared" si="3"/>
        <v>0</v>
      </c>
      <c r="BB35" s="1867"/>
      <c r="BC35" s="1868"/>
      <c r="BD35" s="1869">
        <f t="shared" si="4"/>
        <v>0</v>
      </c>
      <c r="BE35" s="1867"/>
      <c r="BF35" s="1867"/>
      <c r="BG35" s="1867">
        <f t="shared" si="5"/>
        <v>0</v>
      </c>
      <c r="BH35" s="1867"/>
      <c r="BI35" s="1870"/>
      <c r="BJ35" s="1866">
        <f t="shared" si="6"/>
        <v>0</v>
      </c>
      <c r="BK35" s="1867"/>
      <c r="BL35" s="1871"/>
      <c r="BN35" s="230" t="str">
        <f t="shared" si="7"/>
        <v/>
      </c>
    </row>
    <row r="36" spans="2:66" s="72" customFormat="1" ht="21" customHeight="1" x14ac:dyDescent="0.35">
      <c r="B36" s="229"/>
      <c r="C36" s="107" t="s">
        <v>765</v>
      </c>
      <c r="D36" s="107"/>
      <c r="E36" s="107"/>
      <c r="F36" s="107"/>
      <c r="G36" s="107"/>
      <c r="H36" s="107"/>
      <c r="I36" s="107"/>
      <c r="J36" s="107"/>
      <c r="K36" s="107"/>
      <c r="L36" s="107"/>
      <c r="M36" s="1877">
        <v>0</v>
      </c>
      <c r="N36" s="1878"/>
      <c r="O36" s="1878"/>
      <c r="P36" s="1864">
        <v>0</v>
      </c>
      <c r="Q36" s="1864"/>
      <c r="R36" s="1864"/>
      <c r="S36" s="1864">
        <v>0</v>
      </c>
      <c r="T36" s="1864"/>
      <c r="U36" s="1865"/>
      <c r="V36" s="1866">
        <f t="shared" si="0"/>
        <v>0</v>
      </c>
      <c r="W36" s="1867"/>
      <c r="X36" s="1868"/>
      <c r="Y36" s="1875">
        <v>0</v>
      </c>
      <c r="Z36" s="1864"/>
      <c r="AA36" s="1864"/>
      <c r="AB36" s="1864">
        <v>0</v>
      </c>
      <c r="AC36" s="1864"/>
      <c r="AD36" s="1864"/>
      <c r="AE36" s="1864">
        <v>0</v>
      </c>
      <c r="AF36" s="1864"/>
      <c r="AG36" s="1864"/>
      <c r="AH36" s="1864">
        <v>0</v>
      </c>
      <c r="AI36" s="1864"/>
      <c r="AJ36" s="1864"/>
      <c r="AK36" s="1864">
        <v>0</v>
      </c>
      <c r="AL36" s="1864"/>
      <c r="AM36" s="1864"/>
      <c r="AN36" s="1865"/>
      <c r="AO36" s="1880">
        <f t="shared" si="1"/>
        <v>0</v>
      </c>
      <c r="AP36" s="1881"/>
      <c r="AQ36" s="1882"/>
      <c r="AR36" s="1866">
        <f t="shared" si="2"/>
        <v>0</v>
      </c>
      <c r="AS36" s="1867"/>
      <c r="AT36" s="1868"/>
      <c r="AU36" s="1875">
        <v>0</v>
      </c>
      <c r="AV36" s="1864"/>
      <c r="AW36" s="1864"/>
      <c r="AX36" s="1864">
        <v>0</v>
      </c>
      <c r="AY36" s="1864"/>
      <c r="AZ36" s="1865"/>
      <c r="BA36" s="1866">
        <f t="shared" si="3"/>
        <v>0</v>
      </c>
      <c r="BB36" s="1867"/>
      <c r="BC36" s="1868"/>
      <c r="BD36" s="1869">
        <f t="shared" si="4"/>
        <v>0</v>
      </c>
      <c r="BE36" s="1867"/>
      <c r="BF36" s="1867"/>
      <c r="BG36" s="1867">
        <f t="shared" si="5"/>
        <v>0</v>
      </c>
      <c r="BH36" s="1867"/>
      <c r="BI36" s="1870"/>
      <c r="BJ36" s="1866">
        <f t="shared" si="6"/>
        <v>0</v>
      </c>
      <c r="BK36" s="1867"/>
      <c r="BL36" s="1871"/>
      <c r="BN36" s="230" t="str">
        <f t="shared" si="7"/>
        <v/>
      </c>
    </row>
    <row r="37" spans="2:66" s="72" customFormat="1" ht="21" customHeight="1" x14ac:dyDescent="0.35">
      <c r="B37" s="224"/>
      <c r="C37" s="107" t="s">
        <v>766</v>
      </c>
      <c r="D37" s="107"/>
      <c r="E37" s="107"/>
      <c r="F37" s="107"/>
      <c r="G37" s="107"/>
      <c r="H37" s="107"/>
      <c r="I37" s="107"/>
      <c r="J37" s="107"/>
      <c r="K37" s="107"/>
      <c r="L37" s="107"/>
      <c r="M37" s="1876">
        <v>0</v>
      </c>
      <c r="N37" s="1864"/>
      <c r="O37" s="1864"/>
      <c r="P37" s="1864">
        <v>0</v>
      </c>
      <c r="Q37" s="1864"/>
      <c r="R37" s="1864"/>
      <c r="S37" s="1864">
        <v>0</v>
      </c>
      <c r="T37" s="1864"/>
      <c r="U37" s="1865"/>
      <c r="V37" s="1866">
        <f t="shared" si="0"/>
        <v>0</v>
      </c>
      <c r="W37" s="1867"/>
      <c r="X37" s="1868"/>
      <c r="Y37" s="1875">
        <v>0</v>
      </c>
      <c r="Z37" s="1864"/>
      <c r="AA37" s="1864"/>
      <c r="AB37" s="1864">
        <v>0</v>
      </c>
      <c r="AC37" s="1864"/>
      <c r="AD37" s="1864"/>
      <c r="AE37" s="1864">
        <v>0</v>
      </c>
      <c r="AF37" s="1864"/>
      <c r="AG37" s="1864"/>
      <c r="AH37" s="1864">
        <v>0</v>
      </c>
      <c r="AI37" s="1864"/>
      <c r="AJ37" s="1864"/>
      <c r="AK37" s="1864">
        <v>0</v>
      </c>
      <c r="AL37" s="1864"/>
      <c r="AM37" s="1864"/>
      <c r="AN37" s="1865"/>
      <c r="AO37" s="1880">
        <f t="shared" si="1"/>
        <v>0</v>
      </c>
      <c r="AP37" s="1881"/>
      <c r="AQ37" s="1882"/>
      <c r="AR37" s="1866">
        <f t="shared" si="2"/>
        <v>0</v>
      </c>
      <c r="AS37" s="1867"/>
      <c r="AT37" s="1868"/>
      <c r="AU37" s="1875">
        <v>0</v>
      </c>
      <c r="AV37" s="1864"/>
      <c r="AW37" s="1864"/>
      <c r="AX37" s="1864">
        <v>0</v>
      </c>
      <c r="AY37" s="1864"/>
      <c r="AZ37" s="1865"/>
      <c r="BA37" s="1866">
        <f t="shared" si="3"/>
        <v>0</v>
      </c>
      <c r="BB37" s="1867"/>
      <c r="BC37" s="1868"/>
      <c r="BD37" s="1869">
        <f t="shared" si="4"/>
        <v>0</v>
      </c>
      <c r="BE37" s="1867"/>
      <c r="BF37" s="1867"/>
      <c r="BG37" s="1867">
        <f t="shared" si="5"/>
        <v>0</v>
      </c>
      <c r="BH37" s="1867"/>
      <c r="BI37" s="1870"/>
      <c r="BJ37" s="1866">
        <f t="shared" si="6"/>
        <v>0</v>
      </c>
      <c r="BK37" s="1867"/>
      <c r="BL37" s="1871"/>
      <c r="BN37" s="230" t="str">
        <f t="shared" si="7"/>
        <v/>
      </c>
    </row>
    <row r="38" spans="2:66" s="72" customFormat="1" ht="21" customHeight="1" x14ac:dyDescent="0.35">
      <c r="B38" s="224"/>
      <c r="C38" s="107" t="s">
        <v>767</v>
      </c>
      <c r="D38" s="107"/>
      <c r="E38" s="107"/>
      <c r="F38" s="107"/>
      <c r="G38" s="107"/>
      <c r="H38" s="107"/>
      <c r="I38" s="107"/>
      <c r="J38" s="107"/>
      <c r="K38" s="107"/>
      <c r="L38" s="107"/>
      <c r="M38" s="1877">
        <v>0</v>
      </c>
      <c r="N38" s="1878"/>
      <c r="O38" s="1878"/>
      <c r="P38" s="1864">
        <v>0</v>
      </c>
      <c r="Q38" s="1864"/>
      <c r="R38" s="1864"/>
      <c r="S38" s="1864">
        <v>0</v>
      </c>
      <c r="T38" s="1864"/>
      <c r="U38" s="1865"/>
      <c r="V38" s="1866">
        <f t="shared" si="0"/>
        <v>0</v>
      </c>
      <c r="W38" s="1867"/>
      <c r="X38" s="1868"/>
      <c r="Y38" s="1875">
        <v>0</v>
      </c>
      <c r="Z38" s="1864"/>
      <c r="AA38" s="1864"/>
      <c r="AB38" s="1864">
        <v>0</v>
      </c>
      <c r="AC38" s="1864"/>
      <c r="AD38" s="1864"/>
      <c r="AE38" s="1864">
        <v>0</v>
      </c>
      <c r="AF38" s="1864"/>
      <c r="AG38" s="1864"/>
      <c r="AH38" s="1864">
        <v>0</v>
      </c>
      <c r="AI38" s="1864"/>
      <c r="AJ38" s="1864"/>
      <c r="AK38" s="1864">
        <v>0</v>
      </c>
      <c r="AL38" s="1864"/>
      <c r="AM38" s="1864"/>
      <c r="AN38" s="1865"/>
      <c r="AO38" s="1880">
        <f t="shared" si="1"/>
        <v>0</v>
      </c>
      <c r="AP38" s="1881"/>
      <c r="AQ38" s="1882"/>
      <c r="AR38" s="1866">
        <f t="shared" si="2"/>
        <v>0</v>
      </c>
      <c r="AS38" s="1867"/>
      <c r="AT38" s="1868"/>
      <c r="AU38" s="1875">
        <v>0</v>
      </c>
      <c r="AV38" s="1864"/>
      <c r="AW38" s="1864"/>
      <c r="AX38" s="1864">
        <v>0</v>
      </c>
      <c r="AY38" s="1864"/>
      <c r="AZ38" s="1865"/>
      <c r="BA38" s="1866">
        <f t="shared" si="3"/>
        <v>0</v>
      </c>
      <c r="BB38" s="1867"/>
      <c r="BC38" s="1868"/>
      <c r="BD38" s="1869">
        <f t="shared" si="4"/>
        <v>0</v>
      </c>
      <c r="BE38" s="1867"/>
      <c r="BF38" s="1867"/>
      <c r="BG38" s="1867">
        <f t="shared" si="5"/>
        <v>0</v>
      </c>
      <c r="BH38" s="1867"/>
      <c r="BI38" s="1870"/>
      <c r="BJ38" s="1866">
        <f t="shared" si="6"/>
        <v>0</v>
      </c>
      <c r="BK38" s="1867"/>
      <c r="BL38" s="1871"/>
      <c r="BN38" s="230" t="str">
        <f t="shared" si="7"/>
        <v/>
      </c>
    </row>
    <row r="39" spans="2:66" s="72" customFormat="1" ht="33" customHeight="1" x14ac:dyDescent="0.35">
      <c r="B39" s="229"/>
      <c r="C39" s="1879" t="s">
        <v>760</v>
      </c>
      <c r="D39" s="1879"/>
      <c r="E39" s="1879"/>
      <c r="F39" s="1879"/>
      <c r="G39" s="1879"/>
      <c r="H39" s="1879"/>
      <c r="I39" s="1879"/>
      <c r="J39" s="1879"/>
      <c r="K39" s="1879"/>
      <c r="L39" s="107"/>
      <c r="M39" s="1876">
        <v>1</v>
      </c>
      <c r="N39" s="1864"/>
      <c r="O39" s="1864"/>
      <c r="P39" s="1864">
        <v>0</v>
      </c>
      <c r="Q39" s="1864"/>
      <c r="R39" s="1864"/>
      <c r="S39" s="1864">
        <v>1</v>
      </c>
      <c r="T39" s="1864"/>
      <c r="U39" s="1865"/>
      <c r="V39" s="1866">
        <f t="shared" si="0"/>
        <v>1</v>
      </c>
      <c r="W39" s="1867"/>
      <c r="X39" s="1868"/>
      <c r="Y39" s="1875">
        <v>0</v>
      </c>
      <c r="Z39" s="1864"/>
      <c r="AA39" s="1864"/>
      <c r="AB39" s="1864">
        <v>0</v>
      </c>
      <c r="AC39" s="1864"/>
      <c r="AD39" s="1864"/>
      <c r="AE39" s="1864">
        <v>0</v>
      </c>
      <c r="AF39" s="1864"/>
      <c r="AG39" s="1864"/>
      <c r="AH39" s="1864">
        <v>0</v>
      </c>
      <c r="AI39" s="1864"/>
      <c r="AJ39" s="1864"/>
      <c r="AK39" s="1864">
        <v>0</v>
      </c>
      <c r="AL39" s="1864"/>
      <c r="AM39" s="1864"/>
      <c r="AN39" s="1865"/>
      <c r="AO39" s="1880">
        <f t="shared" si="1"/>
        <v>0</v>
      </c>
      <c r="AP39" s="1881"/>
      <c r="AQ39" s="1882"/>
      <c r="AR39" s="1866">
        <f t="shared" si="2"/>
        <v>1</v>
      </c>
      <c r="AS39" s="1867"/>
      <c r="AT39" s="1868"/>
      <c r="AU39" s="1875">
        <v>0</v>
      </c>
      <c r="AV39" s="1864"/>
      <c r="AW39" s="1864"/>
      <c r="AX39" s="1864">
        <v>0</v>
      </c>
      <c r="AY39" s="1864"/>
      <c r="AZ39" s="1865"/>
      <c r="BA39" s="1866">
        <f t="shared" si="3"/>
        <v>0</v>
      </c>
      <c r="BB39" s="1867"/>
      <c r="BC39" s="1868"/>
      <c r="BD39" s="1869">
        <f t="shared" si="4"/>
        <v>0</v>
      </c>
      <c r="BE39" s="1867"/>
      <c r="BF39" s="1867"/>
      <c r="BG39" s="1867">
        <f t="shared" si="5"/>
        <v>1</v>
      </c>
      <c r="BH39" s="1867"/>
      <c r="BI39" s="1870"/>
      <c r="BJ39" s="1866">
        <f t="shared" si="6"/>
        <v>1</v>
      </c>
      <c r="BK39" s="1867"/>
      <c r="BL39" s="1871"/>
      <c r="BN39" s="230" t="str">
        <f t="shared" si="7"/>
        <v/>
      </c>
    </row>
    <row r="40" spans="2:66" s="72" customFormat="1" ht="21" customHeight="1" x14ac:dyDescent="0.35">
      <c r="B40" s="229"/>
      <c r="C40" s="107" t="s">
        <v>175</v>
      </c>
      <c r="D40" s="107"/>
      <c r="E40" s="107"/>
      <c r="F40" s="107"/>
      <c r="G40" s="107"/>
      <c r="H40" s="107"/>
      <c r="I40" s="107"/>
      <c r="J40" s="107"/>
      <c r="K40" s="107"/>
      <c r="L40" s="107"/>
      <c r="M40" s="1877">
        <v>0</v>
      </c>
      <c r="N40" s="1878"/>
      <c r="O40" s="1878"/>
      <c r="P40" s="1864">
        <v>0</v>
      </c>
      <c r="Q40" s="1864"/>
      <c r="R40" s="1864"/>
      <c r="S40" s="1864">
        <v>0</v>
      </c>
      <c r="T40" s="1864"/>
      <c r="U40" s="1865"/>
      <c r="V40" s="1866">
        <f t="shared" si="0"/>
        <v>0</v>
      </c>
      <c r="W40" s="1867"/>
      <c r="X40" s="1868"/>
      <c r="Y40" s="1875">
        <v>0</v>
      </c>
      <c r="Z40" s="1864"/>
      <c r="AA40" s="1864"/>
      <c r="AB40" s="1864">
        <v>0</v>
      </c>
      <c r="AC40" s="1864"/>
      <c r="AD40" s="1864"/>
      <c r="AE40" s="1864">
        <v>0</v>
      </c>
      <c r="AF40" s="1864"/>
      <c r="AG40" s="1864"/>
      <c r="AH40" s="1864">
        <v>0</v>
      </c>
      <c r="AI40" s="1864"/>
      <c r="AJ40" s="1864"/>
      <c r="AK40" s="1864">
        <v>0</v>
      </c>
      <c r="AL40" s="1864"/>
      <c r="AM40" s="1864"/>
      <c r="AN40" s="1865"/>
      <c r="AO40" s="1880">
        <f t="shared" si="1"/>
        <v>0</v>
      </c>
      <c r="AP40" s="1881"/>
      <c r="AQ40" s="1882"/>
      <c r="AR40" s="1866">
        <f t="shared" si="2"/>
        <v>0</v>
      </c>
      <c r="AS40" s="1867"/>
      <c r="AT40" s="1868"/>
      <c r="AU40" s="1875">
        <v>0</v>
      </c>
      <c r="AV40" s="1864"/>
      <c r="AW40" s="1864"/>
      <c r="AX40" s="1864">
        <v>0</v>
      </c>
      <c r="AY40" s="1864"/>
      <c r="AZ40" s="1865"/>
      <c r="BA40" s="1866">
        <f t="shared" si="3"/>
        <v>0</v>
      </c>
      <c r="BB40" s="1867"/>
      <c r="BC40" s="1868"/>
      <c r="BD40" s="1869">
        <f t="shared" si="4"/>
        <v>0</v>
      </c>
      <c r="BE40" s="1867"/>
      <c r="BF40" s="1867"/>
      <c r="BG40" s="1867">
        <f t="shared" si="5"/>
        <v>0</v>
      </c>
      <c r="BH40" s="1867"/>
      <c r="BI40" s="1870"/>
      <c r="BJ40" s="1866">
        <f t="shared" si="6"/>
        <v>0</v>
      </c>
      <c r="BK40" s="1867"/>
      <c r="BL40" s="1871"/>
      <c r="BN40" s="230" t="str">
        <f t="shared" si="7"/>
        <v/>
      </c>
    </row>
    <row r="41" spans="2:66" s="72" customFormat="1" ht="33" customHeight="1" x14ac:dyDescent="0.35">
      <c r="B41" s="229"/>
      <c r="C41" s="1879" t="s">
        <v>761</v>
      </c>
      <c r="D41" s="1879"/>
      <c r="E41" s="1879"/>
      <c r="F41" s="1879"/>
      <c r="G41" s="1879"/>
      <c r="H41" s="1879"/>
      <c r="I41" s="1879"/>
      <c r="J41" s="1879"/>
      <c r="K41" s="1879"/>
      <c r="L41" s="107"/>
      <c r="M41" s="1876">
        <v>0</v>
      </c>
      <c r="N41" s="1864"/>
      <c r="O41" s="1864"/>
      <c r="P41" s="1864">
        <v>0</v>
      </c>
      <c r="Q41" s="1864"/>
      <c r="R41" s="1864"/>
      <c r="S41" s="1864">
        <v>0</v>
      </c>
      <c r="T41" s="1864"/>
      <c r="U41" s="1865"/>
      <c r="V41" s="1866">
        <f t="shared" si="0"/>
        <v>0</v>
      </c>
      <c r="W41" s="1867"/>
      <c r="X41" s="1868"/>
      <c r="Y41" s="1875">
        <v>0</v>
      </c>
      <c r="Z41" s="1864"/>
      <c r="AA41" s="1864"/>
      <c r="AB41" s="1864">
        <v>0</v>
      </c>
      <c r="AC41" s="1864"/>
      <c r="AD41" s="1864"/>
      <c r="AE41" s="1864">
        <v>0</v>
      </c>
      <c r="AF41" s="1864"/>
      <c r="AG41" s="1864"/>
      <c r="AH41" s="1864">
        <v>0</v>
      </c>
      <c r="AI41" s="1864"/>
      <c r="AJ41" s="1864"/>
      <c r="AK41" s="1864">
        <v>0</v>
      </c>
      <c r="AL41" s="1864"/>
      <c r="AM41" s="1864"/>
      <c r="AN41" s="1865"/>
      <c r="AO41" s="1866">
        <f t="shared" si="1"/>
        <v>0</v>
      </c>
      <c r="AP41" s="1867"/>
      <c r="AQ41" s="1870"/>
      <c r="AR41" s="1866">
        <f t="shared" si="2"/>
        <v>0</v>
      </c>
      <c r="AS41" s="1867"/>
      <c r="AT41" s="1868"/>
      <c r="AU41" s="1875">
        <v>0</v>
      </c>
      <c r="AV41" s="1864"/>
      <c r="AW41" s="1864"/>
      <c r="AX41" s="1864">
        <v>0</v>
      </c>
      <c r="AY41" s="1864"/>
      <c r="AZ41" s="1865"/>
      <c r="BA41" s="1866">
        <f t="shared" si="3"/>
        <v>0</v>
      </c>
      <c r="BB41" s="1867"/>
      <c r="BC41" s="1868"/>
      <c r="BD41" s="1869">
        <f t="shared" si="4"/>
        <v>0</v>
      </c>
      <c r="BE41" s="1867"/>
      <c r="BF41" s="1867"/>
      <c r="BG41" s="1867">
        <f t="shared" si="5"/>
        <v>0</v>
      </c>
      <c r="BH41" s="1867"/>
      <c r="BI41" s="1870"/>
      <c r="BJ41" s="1866">
        <f t="shared" si="6"/>
        <v>0</v>
      </c>
      <c r="BK41" s="1867"/>
      <c r="BL41" s="1871"/>
      <c r="BN41" s="230" t="str">
        <f t="shared" si="7"/>
        <v/>
      </c>
    </row>
    <row r="42" spans="2:66" s="72" customFormat="1" ht="21" customHeight="1" x14ac:dyDescent="0.35">
      <c r="B42" s="229"/>
      <c r="C42" s="107" t="s">
        <v>762</v>
      </c>
      <c r="D42" s="107"/>
      <c r="E42" s="107"/>
      <c r="F42" s="107"/>
      <c r="G42" s="107"/>
      <c r="H42" s="107"/>
      <c r="I42" s="107"/>
      <c r="J42" s="107"/>
      <c r="K42" s="107"/>
      <c r="L42" s="107"/>
      <c r="M42" s="1877">
        <v>0</v>
      </c>
      <c r="N42" s="1878"/>
      <c r="O42" s="1878"/>
      <c r="P42" s="1864">
        <v>0</v>
      </c>
      <c r="Q42" s="1864"/>
      <c r="R42" s="1864"/>
      <c r="S42" s="1864">
        <v>0</v>
      </c>
      <c r="T42" s="1864"/>
      <c r="U42" s="1865"/>
      <c r="V42" s="1866">
        <f t="shared" si="0"/>
        <v>0</v>
      </c>
      <c r="W42" s="1867"/>
      <c r="X42" s="1868"/>
      <c r="Y42" s="1875">
        <v>0</v>
      </c>
      <c r="Z42" s="1864"/>
      <c r="AA42" s="1864"/>
      <c r="AB42" s="1864">
        <v>0</v>
      </c>
      <c r="AC42" s="1864"/>
      <c r="AD42" s="1864"/>
      <c r="AE42" s="1864">
        <v>0</v>
      </c>
      <c r="AF42" s="1864"/>
      <c r="AG42" s="1864"/>
      <c r="AH42" s="1864">
        <v>0</v>
      </c>
      <c r="AI42" s="1864"/>
      <c r="AJ42" s="1864"/>
      <c r="AK42" s="1864">
        <v>0</v>
      </c>
      <c r="AL42" s="1864"/>
      <c r="AM42" s="1864"/>
      <c r="AN42" s="1865"/>
      <c r="AO42" s="1866">
        <f t="shared" si="1"/>
        <v>0</v>
      </c>
      <c r="AP42" s="1867"/>
      <c r="AQ42" s="1870"/>
      <c r="AR42" s="1866">
        <f t="shared" si="2"/>
        <v>0</v>
      </c>
      <c r="AS42" s="1867"/>
      <c r="AT42" s="1868"/>
      <c r="AU42" s="1875">
        <v>0</v>
      </c>
      <c r="AV42" s="1864"/>
      <c r="AW42" s="1864"/>
      <c r="AX42" s="1864">
        <v>0</v>
      </c>
      <c r="AY42" s="1864"/>
      <c r="AZ42" s="1865"/>
      <c r="BA42" s="1866">
        <f t="shared" si="3"/>
        <v>0</v>
      </c>
      <c r="BB42" s="1867"/>
      <c r="BC42" s="1868"/>
      <c r="BD42" s="1869">
        <f t="shared" si="4"/>
        <v>0</v>
      </c>
      <c r="BE42" s="1867"/>
      <c r="BF42" s="1867"/>
      <c r="BG42" s="1867">
        <f t="shared" si="5"/>
        <v>0</v>
      </c>
      <c r="BH42" s="1867"/>
      <c r="BI42" s="1870"/>
      <c r="BJ42" s="1866">
        <f t="shared" si="6"/>
        <v>0</v>
      </c>
      <c r="BK42" s="1867"/>
      <c r="BL42" s="1871"/>
      <c r="BN42" s="230" t="str">
        <f t="shared" si="7"/>
        <v/>
      </c>
    </row>
    <row r="43" spans="2:66" s="72" customFormat="1" ht="21" customHeight="1" x14ac:dyDescent="0.35">
      <c r="B43" s="224"/>
      <c r="C43" s="107" t="s">
        <v>768</v>
      </c>
      <c r="D43" s="107"/>
      <c r="E43" s="107"/>
      <c r="F43" s="107"/>
      <c r="G43" s="107"/>
      <c r="H43" s="107"/>
      <c r="I43" s="107"/>
      <c r="J43" s="107"/>
      <c r="K43" s="107"/>
      <c r="L43" s="107"/>
      <c r="M43" s="1876">
        <v>0</v>
      </c>
      <c r="N43" s="1864"/>
      <c r="O43" s="1864"/>
      <c r="P43" s="1864">
        <v>0</v>
      </c>
      <c r="Q43" s="1864"/>
      <c r="R43" s="1864"/>
      <c r="S43" s="1864">
        <v>0</v>
      </c>
      <c r="T43" s="1864"/>
      <c r="U43" s="1865"/>
      <c r="V43" s="1866">
        <f t="shared" si="0"/>
        <v>0</v>
      </c>
      <c r="W43" s="1867"/>
      <c r="X43" s="1868"/>
      <c r="Y43" s="1875">
        <v>0</v>
      </c>
      <c r="Z43" s="1864"/>
      <c r="AA43" s="1864"/>
      <c r="AB43" s="1864">
        <v>0</v>
      </c>
      <c r="AC43" s="1864"/>
      <c r="AD43" s="1864"/>
      <c r="AE43" s="1864">
        <v>0</v>
      </c>
      <c r="AF43" s="1864"/>
      <c r="AG43" s="1864"/>
      <c r="AH43" s="1864">
        <v>0</v>
      </c>
      <c r="AI43" s="1864"/>
      <c r="AJ43" s="1864"/>
      <c r="AK43" s="1864">
        <v>0</v>
      </c>
      <c r="AL43" s="1864"/>
      <c r="AM43" s="1864"/>
      <c r="AN43" s="1865"/>
      <c r="AO43" s="1866">
        <f t="shared" si="1"/>
        <v>0</v>
      </c>
      <c r="AP43" s="1867"/>
      <c r="AQ43" s="1870"/>
      <c r="AR43" s="1866">
        <f t="shared" si="2"/>
        <v>0</v>
      </c>
      <c r="AS43" s="1867"/>
      <c r="AT43" s="1868"/>
      <c r="AU43" s="1875">
        <v>0</v>
      </c>
      <c r="AV43" s="1864"/>
      <c r="AW43" s="1864"/>
      <c r="AX43" s="1864">
        <v>0</v>
      </c>
      <c r="AY43" s="1864"/>
      <c r="AZ43" s="1865"/>
      <c r="BA43" s="1866">
        <f t="shared" si="3"/>
        <v>0</v>
      </c>
      <c r="BB43" s="1867"/>
      <c r="BC43" s="1868"/>
      <c r="BD43" s="1869">
        <f t="shared" si="4"/>
        <v>0</v>
      </c>
      <c r="BE43" s="1867"/>
      <c r="BF43" s="1867"/>
      <c r="BG43" s="1867">
        <f t="shared" si="5"/>
        <v>0</v>
      </c>
      <c r="BH43" s="1867"/>
      <c r="BI43" s="1870"/>
      <c r="BJ43" s="1866">
        <f t="shared" si="6"/>
        <v>0</v>
      </c>
      <c r="BK43" s="1867"/>
      <c r="BL43" s="1871"/>
      <c r="BN43" s="230" t="str">
        <f t="shared" si="7"/>
        <v/>
      </c>
    </row>
    <row r="44" spans="2:66" s="72" customFormat="1" ht="21" customHeight="1" x14ac:dyDescent="0.35">
      <c r="B44" s="224"/>
      <c r="C44" s="107" t="s">
        <v>769</v>
      </c>
      <c r="D44" s="107"/>
      <c r="E44" s="107"/>
      <c r="F44" s="107"/>
      <c r="G44" s="107"/>
      <c r="H44" s="107"/>
      <c r="I44" s="107"/>
      <c r="J44" s="107"/>
      <c r="K44" s="107"/>
      <c r="L44" s="107"/>
      <c r="M44" s="1877">
        <v>0</v>
      </c>
      <c r="N44" s="1878"/>
      <c r="O44" s="1878"/>
      <c r="P44" s="1864">
        <v>0</v>
      </c>
      <c r="Q44" s="1864"/>
      <c r="R44" s="1864"/>
      <c r="S44" s="1864">
        <v>0</v>
      </c>
      <c r="T44" s="1864"/>
      <c r="U44" s="1865"/>
      <c r="V44" s="1866">
        <f t="shared" si="0"/>
        <v>0</v>
      </c>
      <c r="W44" s="1867"/>
      <c r="X44" s="1868"/>
      <c r="Y44" s="1875">
        <v>0</v>
      </c>
      <c r="Z44" s="1864"/>
      <c r="AA44" s="1864"/>
      <c r="AB44" s="1864">
        <v>0</v>
      </c>
      <c r="AC44" s="1864"/>
      <c r="AD44" s="1864"/>
      <c r="AE44" s="1864">
        <v>0</v>
      </c>
      <c r="AF44" s="1864"/>
      <c r="AG44" s="1864"/>
      <c r="AH44" s="1864">
        <v>0</v>
      </c>
      <c r="AI44" s="1864"/>
      <c r="AJ44" s="1864"/>
      <c r="AK44" s="1864">
        <v>0</v>
      </c>
      <c r="AL44" s="1864"/>
      <c r="AM44" s="1864"/>
      <c r="AN44" s="1865"/>
      <c r="AO44" s="1866">
        <f t="shared" si="1"/>
        <v>0</v>
      </c>
      <c r="AP44" s="1867"/>
      <c r="AQ44" s="1870"/>
      <c r="AR44" s="1866">
        <f t="shared" si="2"/>
        <v>0</v>
      </c>
      <c r="AS44" s="1867"/>
      <c r="AT44" s="1868"/>
      <c r="AU44" s="1875">
        <v>0</v>
      </c>
      <c r="AV44" s="1864"/>
      <c r="AW44" s="1864"/>
      <c r="AX44" s="1864">
        <v>0</v>
      </c>
      <c r="AY44" s="1864"/>
      <c r="AZ44" s="1865"/>
      <c r="BA44" s="1866">
        <f t="shared" si="3"/>
        <v>0</v>
      </c>
      <c r="BB44" s="1867"/>
      <c r="BC44" s="1868"/>
      <c r="BD44" s="1869">
        <f t="shared" si="4"/>
        <v>0</v>
      </c>
      <c r="BE44" s="1867"/>
      <c r="BF44" s="1867"/>
      <c r="BG44" s="1867">
        <f t="shared" si="5"/>
        <v>0</v>
      </c>
      <c r="BH44" s="1867"/>
      <c r="BI44" s="1870"/>
      <c r="BJ44" s="1866">
        <f t="shared" si="6"/>
        <v>0</v>
      </c>
      <c r="BK44" s="1867"/>
      <c r="BL44" s="1871"/>
      <c r="BN44" s="230" t="str">
        <f t="shared" si="7"/>
        <v/>
      </c>
    </row>
    <row r="45" spans="2:66" s="72" customFormat="1" ht="21" customHeight="1" x14ac:dyDescent="0.35">
      <c r="B45" s="224"/>
      <c r="C45" s="107" t="s">
        <v>770</v>
      </c>
      <c r="D45" s="107"/>
      <c r="E45" s="107"/>
      <c r="F45" s="107"/>
      <c r="G45" s="107"/>
      <c r="H45" s="107"/>
      <c r="I45" s="107"/>
      <c r="J45" s="107"/>
      <c r="K45" s="107"/>
      <c r="L45" s="107"/>
      <c r="M45" s="1876">
        <v>0</v>
      </c>
      <c r="N45" s="1864"/>
      <c r="O45" s="1864"/>
      <c r="P45" s="1864">
        <v>0</v>
      </c>
      <c r="Q45" s="1864"/>
      <c r="R45" s="1864"/>
      <c r="S45" s="1864">
        <v>0</v>
      </c>
      <c r="T45" s="1864"/>
      <c r="U45" s="1865"/>
      <c r="V45" s="1866">
        <f t="shared" si="0"/>
        <v>0</v>
      </c>
      <c r="W45" s="1867"/>
      <c r="X45" s="1868"/>
      <c r="Y45" s="1875">
        <v>0</v>
      </c>
      <c r="Z45" s="1864"/>
      <c r="AA45" s="1864"/>
      <c r="AB45" s="1864">
        <v>0</v>
      </c>
      <c r="AC45" s="1864"/>
      <c r="AD45" s="1864"/>
      <c r="AE45" s="1864">
        <v>0</v>
      </c>
      <c r="AF45" s="1864"/>
      <c r="AG45" s="1864"/>
      <c r="AH45" s="1864">
        <v>0</v>
      </c>
      <c r="AI45" s="1864"/>
      <c r="AJ45" s="1864"/>
      <c r="AK45" s="1864">
        <v>0</v>
      </c>
      <c r="AL45" s="1864"/>
      <c r="AM45" s="1864"/>
      <c r="AN45" s="1865"/>
      <c r="AO45" s="1866">
        <f t="shared" si="1"/>
        <v>0</v>
      </c>
      <c r="AP45" s="1867"/>
      <c r="AQ45" s="1870"/>
      <c r="AR45" s="1866">
        <f t="shared" si="2"/>
        <v>0</v>
      </c>
      <c r="AS45" s="1867"/>
      <c r="AT45" s="1868"/>
      <c r="AU45" s="1875">
        <v>0</v>
      </c>
      <c r="AV45" s="1864"/>
      <c r="AW45" s="1864"/>
      <c r="AX45" s="1864">
        <v>0</v>
      </c>
      <c r="AY45" s="1864"/>
      <c r="AZ45" s="1865"/>
      <c r="BA45" s="1866">
        <f t="shared" si="3"/>
        <v>0</v>
      </c>
      <c r="BB45" s="1867"/>
      <c r="BC45" s="1868"/>
      <c r="BD45" s="1869">
        <f t="shared" si="4"/>
        <v>0</v>
      </c>
      <c r="BE45" s="1867"/>
      <c r="BF45" s="1867"/>
      <c r="BG45" s="1867">
        <f t="shared" si="5"/>
        <v>0</v>
      </c>
      <c r="BH45" s="1867"/>
      <c r="BI45" s="1870"/>
      <c r="BJ45" s="1866">
        <f t="shared" si="6"/>
        <v>0</v>
      </c>
      <c r="BK45" s="1867"/>
      <c r="BL45" s="1871"/>
      <c r="BN45" s="230" t="str">
        <f t="shared" si="7"/>
        <v/>
      </c>
    </row>
    <row r="46" spans="2:66" s="72" customFormat="1" ht="21" customHeight="1" x14ac:dyDescent="0.35">
      <c r="B46" s="224"/>
      <c r="C46" s="107" t="s">
        <v>774</v>
      </c>
      <c r="D46" s="107"/>
      <c r="E46" s="107"/>
      <c r="F46" s="107"/>
      <c r="G46" s="107"/>
      <c r="H46" s="107"/>
      <c r="I46" s="107"/>
      <c r="J46" s="107"/>
      <c r="K46" s="107"/>
      <c r="L46" s="107"/>
      <c r="M46" s="1877">
        <v>2</v>
      </c>
      <c r="N46" s="1878"/>
      <c r="O46" s="1878"/>
      <c r="P46" s="1864">
        <v>2</v>
      </c>
      <c r="Q46" s="1864"/>
      <c r="R46" s="1864"/>
      <c r="S46" s="1864">
        <v>0</v>
      </c>
      <c r="T46" s="1864"/>
      <c r="U46" s="1865"/>
      <c r="V46" s="1866">
        <f t="shared" si="0"/>
        <v>2</v>
      </c>
      <c r="W46" s="1867"/>
      <c r="X46" s="1868"/>
      <c r="Y46" s="1875">
        <v>0</v>
      </c>
      <c r="Z46" s="1864"/>
      <c r="AA46" s="1864"/>
      <c r="AB46" s="1864">
        <v>0</v>
      </c>
      <c r="AC46" s="1864"/>
      <c r="AD46" s="1864"/>
      <c r="AE46" s="1864">
        <v>0</v>
      </c>
      <c r="AF46" s="1864"/>
      <c r="AG46" s="1864"/>
      <c r="AH46" s="1864">
        <v>0</v>
      </c>
      <c r="AI46" s="1864"/>
      <c r="AJ46" s="1864"/>
      <c r="AK46" s="1864">
        <v>0</v>
      </c>
      <c r="AL46" s="1864"/>
      <c r="AM46" s="1864"/>
      <c r="AN46" s="1865"/>
      <c r="AO46" s="1866">
        <f t="shared" si="1"/>
        <v>0</v>
      </c>
      <c r="AP46" s="1867"/>
      <c r="AQ46" s="1870"/>
      <c r="AR46" s="1866">
        <f t="shared" si="2"/>
        <v>2</v>
      </c>
      <c r="AS46" s="1867"/>
      <c r="AT46" s="1868"/>
      <c r="AU46" s="1875">
        <v>0</v>
      </c>
      <c r="AV46" s="1864"/>
      <c r="AW46" s="1864"/>
      <c r="AX46" s="1864">
        <v>0</v>
      </c>
      <c r="AY46" s="1864"/>
      <c r="AZ46" s="1865"/>
      <c r="BA46" s="1866">
        <f t="shared" si="3"/>
        <v>0</v>
      </c>
      <c r="BB46" s="1867"/>
      <c r="BC46" s="1868"/>
      <c r="BD46" s="1869">
        <f t="shared" si="4"/>
        <v>2</v>
      </c>
      <c r="BE46" s="1867"/>
      <c r="BF46" s="1867"/>
      <c r="BG46" s="1867">
        <f t="shared" si="5"/>
        <v>0</v>
      </c>
      <c r="BH46" s="1867"/>
      <c r="BI46" s="1870"/>
      <c r="BJ46" s="1866">
        <f t="shared" si="6"/>
        <v>2</v>
      </c>
      <c r="BK46" s="1867"/>
      <c r="BL46" s="1871"/>
      <c r="BN46" s="230" t="str">
        <f t="shared" si="7"/>
        <v/>
      </c>
    </row>
    <row r="47" spans="2:66" s="72" customFormat="1" ht="21" customHeight="1" x14ac:dyDescent="0.35">
      <c r="B47" s="224"/>
      <c r="C47" s="107" t="s">
        <v>775</v>
      </c>
      <c r="D47" s="107"/>
      <c r="E47" s="107"/>
      <c r="F47" s="107"/>
      <c r="G47" s="107"/>
      <c r="H47" s="107"/>
      <c r="I47" s="107"/>
      <c r="J47" s="107"/>
      <c r="K47" s="107"/>
      <c r="L47" s="107"/>
      <c r="M47" s="1876">
        <v>0</v>
      </c>
      <c r="N47" s="1864"/>
      <c r="O47" s="1864"/>
      <c r="P47" s="1864">
        <v>0</v>
      </c>
      <c r="Q47" s="1864"/>
      <c r="R47" s="1864"/>
      <c r="S47" s="1864">
        <v>0</v>
      </c>
      <c r="T47" s="1864"/>
      <c r="U47" s="1865"/>
      <c r="V47" s="1866">
        <f t="shared" si="0"/>
        <v>0</v>
      </c>
      <c r="W47" s="1867"/>
      <c r="X47" s="1868"/>
      <c r="Y47" s="1875">
        <v>0</v>
      </c>
      <c r="Z47" s="1864"/>
      <c r="AA47" s="1864"/>
      <c r="AB47" s="1864">
        <v>0</v>
      </c>
      <c r="AC47" s="1864"/>
      <c r="AD47" s="1864"/>
      <c r="AE47" s="1864">
        <v>0</v>
      </c>
      <c r="AF47" s="1864"/>
      <c r="AG47" s="1864"/>
      <c r="AH47" s="1864">
        <v>0</v>
      </c>
      <c r="AI47" s="1864"/>
      <c r="AJ47" s="1864"/>
      <c r="AK47" s="1864">
        <v>0</v>
      </c>
      <c r="AL47" s="1864"/>
      <c r="AM47" s="1864"/>
      <c r="AN47" s="1865"/>
      <c r="AO47" s="1866">
        <f t="shared" si="1"/>
        <v>0</v>
      </c>
      <c r="AP47" s="1867"/>
      <c r="AQ47" s="1870"/>
      <c r="AR47" s="1866">
        <f t="shared" si="2"/>
        <v>0</v>
      </c>
      <c r="AS47" s="1867"/>
      <c r="AT47" s="1868"/>
      <c r="AU47" s="1875">
        <v>0</v>
      </c>
      <c r="AV47" s="1864"/>
      <c r="AW47" s="1864"/>
      <c r="AX47" s="1864">
        <v>0</v>
      </c>
      <c r="AY47" s="1864"/>
      <c r="AZ47" s="1865"/>
      <c r="BA47" s="1866">
        <f t="shared" si="3"/>
        <v>0</v>
      </c>
      <c r="BB47" s="1867"/>
      <c r="BC47" s="1868"/>
      <c r="BD47" s="1869">
        <f t="shared" si="4"/>
        <v>0</v>
      </c>
      <c r="BE47" s="1867"/>
      <c r="BF47" s="1867"/>
      <c r="BG47" s="1867">
        <f t="shared" si="5"/>
        <v>0</v>
      </c>
      <c r="BH47" s="1867"/>
      <c r="BI47" s="1870"/>
      <c r="BJ47" s="1866">
        <f t="shared" si="6"/>
        <v>0</v>
      </c>
      <c r="BK47" s="1867"/>
      <c r="BL47" s="1871"/>
      <c r="BN47" s="230" t="str">
        <f t="shared" si="7"/>
        <v/>
      </c>
    </row>
    <row r="48" spans="2:66" s="72" customFormat="1" ht="21" customHeight="1" thickBot="1" x14ac:dyDescent="0.4">
      <c r="B48" s="224"/>
      <c r="C48" s="107" t="s">
        <v>763</v>
      </c>
      <c r="D48" s="107"/>
      <c r="E48" s="107"/>
      <c r="F48" s="107"/>
      <c r="G48" s="107"/>
      <c r="H48" s="107"/>
      <c r="I48" s="107"/>
      <c r="J48" s="107"/>
      <c r="K48" s="107"/>
      <c r="L48" s="107"/>
      <c r="M48" s="1872">
        <v>0</v>
      </c>
      <c r="N48" s="1873"/>
      <c r="O48" s="1873"/>
      <c r="P48" s="1862">
        <v>0</v>
      </c>
      <c r="Q48" s="1862"/>
      <c r="R48" s="1862"/>
      <c r="S48" s="1862">
        <v>0</v>
      </c>
      <c r="T48" s="1862"/>
      <c r="U48" s="1863"/>
      <c r="V48" s="1856">
        <f t="shared" si="0"/>
        <v>0</v>
      </c>
      <c r="W48" s="1857"/>
      <c r="X48" s="1858"/>
      <c r="Y48" s="1874">
        <v>0</v>
      </c>
      <c r="Z48" s="1862"/>
      <c r="AA48" s="1862"/>
      <c r="AB48" s="1862">
        <v>0</v>
      </c>
      <c r="AC48" s="1862"/>
      <c r="AD48" s="1862"/>
      <c r="AE48" s="1862">
        <v>0</v>
      </c>
      <c r="AF48" s="1862"/>
      <c r="AG48" s="1862"/>
      <c r="AH48" s="1862">
        <v>0</v>
      </c>
      <c r="AI48" s="1862"/>
      <c r="AJ48" s="1862"/>
      <c r="AK48" s="1862">
        <v>0</v>
      </c>
      <c r="AL48" s="1862"/>
      <c r="AM48" s="1862"/>
      <c r="AN48" s="1863"/>
      <c r="AO48" s="1856">
        <f t="shared" si="1"/>
        <v>0</v>
      </c>
      <c r="AP48" s="1857"/>
      <c r="AQ48" s="1860"/>
      <c r="AR48" s="1856">
        <f t="shared" si="2"/>
        <v>0</v>
      </c>
      <c r="AS48" s="1857"/>
      <c r="AT48" s="1858"/>
      <c r="AU48" s="1874">
        <v>0</v>
      </c>
      <c r="AV48" s="1862"/>
      <c r="AW48" s="1862"/>
      <c r="AX48" s="1862">
        <v>0</v>
      </c>
      <c r="AY48" s="1862"/>
      <c r="AZ48" s="1863"/>
      <c r="BA48" s="1856">
        <f t="shared" si="3"/>
        <v>0</v>
      </c>
      <c r="BB48" s="1857"/>
      <c r="BC48" s="1858"/>
      <c r="BD48" s="1859">
        <f t="shared" si="4"/>
        <v>0</v>
      </c>
      <c r="BE48" s="1857"/>
      <c r="BF48" s="1857"/>
      <c r="BG48" s="1857">
        <f t="shared" si="5"/>
        <v>0</v>
      </c>
      <c r="BH48" s="1857"/>
      <c r="BI48" s="1860"/>
      <c r="BJ48" s="1856">
        <f t="shared" si="6"/>
        <v>0</v>
      </c>
      <c r="BK48" s="1857"/>
      <c r="BL48" s="1861"/>
      <c r="BN48" s="230" t="str">
        <f t="shared" si="7"/>
        <v/>
      </c>
    </row>
    <row r="49" spans="2:78" s="72" customFormat="1" ht="21" customHeight="1" thickTop="1" thickBot="1" x14ac:dyDescent="0.4">
      <c r="B49" s="1850" t="s">
        <v>16</v>
      </c>
      <c r="C49" s="1851"/>
      <c r="D49" s="1851"/>
      <c r="E49" s="1851"/>
      <c r="F49" s="1851"/>
      <c r="G49" s="1851"/>
      <c r="H49" s="1851"/>
      <c r="I49" s="1851"/>
      <c r="J49" s="1851"/>
      <c r="K49" s="1851"/>
      <c r="L49" s="1852"/>
      <c r="M49" s="1853">
        <f>SUM(M10:O48)</f>
        <v>12</v>
      </c>
      <c r="N49" s="1838"/>
      <c r="O49" s="1854"/>
      <c r="P49" s="1843">
        <f t="shared" ref="P49" si="8">SUM(P10:R48)</f>
        <v>4</v>
      </c>
      <c r="Q49" s="1838"/>
      <c r="R49" s="1854"/>
      <c r="S49" s="1843">
        <f t="shared" ref="S49" si="9">SUM(S10:U48)</f>
        <v>7</v>
      </c>
      <c r="T49" s="1838"/>
      <c r="U49" s="1838"/>
      <c r="V49" s="1837">
        <f>SUM(P49:U49)</f>
        <v>11</v>
      </c>
      <c r="W49" s="1838"/>
      <c r="X49" s="1839"/>
      <c r="Y49" s="1855">
        <f t="shared" ref="Y49" si="10">SUM(Y10:AA48)</f>
        <v>0</v>
      </c>
      <c r="Z49" s="1841"/>
      <c r="AA49" s="1847"/>
      <c r="AB49" s="1846">
        <f t="shared" ref="AB49" si="11">SUM(AB10:AD48)</f>
        <v>0</v>
      </c>
      <c r="AC49" s="1841"/>
      <c r="AD49" s="1847"/>
      <c r="AE49" s="1846">
        <f t="shared" ref="AE49" si="12">SUM(AE10:AG48)</f>
        <v>1</v>
      </c>
      <c r="AF49" s="1841"/>
      <c r="AG49" s="1847"/>
      <c r="AH49" s="1846">
        <f t="shared" ref="AH49" si="13">SUM(AH10:AJ48)</f>
        <v>0</v>
      </c>
      <c r="AI49" s="1841"/>
      <c r="AJ49" s="1847"/>
      <c r="AK49" s="1838">
        <f>SUM(AK10:AN48)</f>
        <v>0</v>
      </c>
      <c r="AL49" s="1838"/>
      <c r="AM49" s="1838"/>
      <c r="AN49" s="1838"/>
      <c r="AO49" s="1848">
        <f>SUM(AE49:AN49)</f>
        <v>1</v>
      </c>
      <c r="AP49" s="1849"/>
      <c r="AQ49" s="1843"/>
      <c r="AR49" s="1837">
        <f t="shared" ref="AR49" si="14">SUM(V49:AD49,AO49)</f>
        <v>12</v>
      </c>
      <c r="AS49" s="1838"/>
      <c r="AT49" s="1839"/>
      <c r="AU49" s="1837">
        <f>SUM(AU10:AW48)</f>
        <v>1</v>
      </c>
      <c r="AV49" s="1838"/>
      <c r="AW49" s="1839"/>
      <c r="AX49" s="1837">
        <f>SUM(AX10:AZ48)</f>
        <v>0</v>
      </c>
      <c r="AY49" s="1838"/>
      <c r="AZ49" s="1839"/>
      <c r="BA49" s="1840">
        <f t="shared" si="3"/>
        <v>1</v>
      </c>
      <c r="BB49" s="1841"/>
      <c r="BC49" s="1842"/>
      <c r="BD49" s="1838">
        <f t="shared" ref="BD49" si="15">SUM(AU49,P49)</f>
        <v>5</v>
      </c>
      <c r="BE49" s="1838"/>
      <c r="BF49" s="1838"/>
      <c r="BG49" s="1843">
        <f t="shared" si="5"/>
        <v>7</v>
      </c>
      <c r="BH49" s="1838"/>
      <c r="BI49" s="1844"/>
      <c r="BJ49" s="1840">
        <f t="shared" si="6"/>
        <v>12</v>
      </c>
      <c r="BK49" s="1841"/>
      <c r="BL49" s="1845"/>
    </row>
    <row r="50" spans="2:78" s="98" customFormat="1" ht="17.25" customHeight="1" thickTop="1" x14ac:dyDescent="0.35">
      <c r="B50" s="227" t="s">
        <v>1776</v>
      </c>
      <c r="F50" s="85"/>
    </row>
    <row r="51" spans="2:78" s="98" customFormat="1" ht="17.25" customHeight="1" x14ac:dyDescent="0.35">
      <c r="B51" s="227" t="s">
        <v>1775</v>
      </c>
      <c r="F51" s="85"/>
    </row>
    <row r="52" spans="2:78" s="98" customFormat="1" ht="5.15" customHeight="1" x14ac:dyDescent="0.35"/>
    <row r="53" spans="2:78" x14ac:dyDescent="0.35">
      <c r="B53" s="60" t="s">
        <v>913</v>
      </c>
      <c r="X53" s="60" t="s">
        <v>912</v>
      </c>
      <c r="AT53" s="60" t="s">
        <v>922</v>
      </c>
    </row>
    <row r="54" spans="2:78" ht="21.75" customHeight="1" x14ac:dyDescent="0.35">
      <c r="B54" s="60" t="s">
        <v>780</v>
      </c>
      <c r="F54" s="1581" t="str">
        <f>SchInfo!F38</f>
        <v>MELCHESIEDICK Q. BOLANIO/ March 17, 2023</v>
      </c>
      <c r="G54" s="1581"/>
      <c r="H54" s="1581"/>
      <c r="I54" s="1581"/>
      <c r="J54" s="1581"/>
      <c r="K54" s="1581"/>
      <c r="L54" s="1581"/>
      <c r="M54" s="1581"/>
      <c r="N54" s="1581"/>
      <c r="O54" s="1581"/>
      <c r="P54" s="1581"/>
      <c r="Q54" s="1581"/>
      <c r="R54" s="1581"/>
      <c r="S54" s="1581"/>
      <c r="X54" s="1581" t="str">
        <f>'Tables7-8'!AI5</f>
        <v>ELMA CEZARIE Y. ROMERO  /  May 17, 2023</v>
      </c>
      <c r="Y54" s="1581"/>
      <c r="Z54" s="1581"/>
      <c r="AA54" s="1581"/>
      <c r="AB54" s="1581"/>
      <c r="AC54" s="1581"/>
      <c r="AD54" s="1581"/>
      <c r="AE54" s="1581"/>
      <c r="AF54" s="1581"/>
      <c r="AG54" s="1581"/>
      <c r="AH54" s="1581"/>
      <c r="AI54" s="1581"/>
      <c r="AJ54" s="1581"/>
      <c r="AK54" s="1581"/>
      <c r="AL54" s="1581"/>
      <c r="AM54" s="1581"/>
      <c r="AN54" s="1581"/>
      <c r="AO54" s="1581"/>
      <c r="AT54" s="1582" t="str">
        <f>SchInfo!R38</f>
        <v>MICHAEL T. JAMIS   /  March 17, 2023</v>
      </c>
      <c r="AU54" s="1582"/>
      <c r="AV54" s="1582"/>
      <c r="AW54" s="1582"/>
      <c r="AX54" s="1582"/>
      <c r="AY54" s="1582"/>
      <c r="AZ54" s="1582"/>
      <c r="BA54" s="1582"/>
      <c r="BB54" s="1582"/>
      <c r="BC54" s="1582"/>
      <c r="BD54" s="1582"/>
      <c r="BE54" s="1582"/>
      <c r="BF54" s="1582"/>
      <c r="BG54" s="1582"/>
      <c r="BH54" s="1582"/>
      <c r="BI54" s="1582"/>
      <c r="BJ54" s="1582"/>
      <c r="BK54" s="1582"/>
    </row>
    <row r="55" spans="2:78" s="78" customFormat="1" ht="15.75" customHeight="1" x14ac:dyDescent="0.35">
      <c r="B55" s="77"/>
      <c r="F55" s="1452" t="s">
        <v>779</v>
      </c>
      <c r="G55" s="1452"/>
      <c r="H55" s="1452"/>
      <c r="I55" s="1452"/>
      <c r="J55" s="1452"/>
      <c r="K55" s="1452"/>
      <c r="L55" s="1452"/>
      <c r="M55" s="1452"/>
      <c r="N55" s="1452"/>
      <c r="O55" s="1452"/>
      <c r="P55" s="1452"/>
      <c r="Q55" s="1452"/>
      <c r="R55" s="1452"/>
      <c r="S55" s="1452"/>
      <c r="T55" s="79"/>
      <c r="U55" s="79"/>
      <c r="V55" s="79"/>
      <c r="W55" s="79"/>
      <c r="X55" s="1452" t="s">
        <v>779</v>
      </c>
      <c r="Y55" s="1452"/>
      <c r="Z55" s="1452"/>
      <c r="AA55" s="1452"/>
      <c r="AB55" s="1452"/>
      <c r="AC55" s="1452"/>
      <c r="AD55" s="1452"/>
      <c r="AE55" s="1452"/>
      <c r="AF55" s="1452"/>
      <c r="AG55" s="1452"/>
      <c r="AH55" s="1452"/>
      <c r="AI55" s="1452"/>
      <c r="AJ55" s="1452"/>
      <c r="AK55" s="1452"/>
      <c r="AL55" s="1452"/>
      <c r="AM55" s="1452"/>
      <c r="AN55" s="1452"/>
      <c r="AO55" s="1452"/>
      <c r="AP55" s="79"/>
      <c r="AQ55" s="79"/>
      <c r="AR55" s="79"/>
      <c r="AS55" s="79"/>
      <c r="AT55" s="1583"/>
      <c r="AU55" s="1583"/>
      <c r="AV55" s="1583"/>
      <c r="AW55" s="1583"/>
      <c r="AX55" s="1583"/>
      <c r="AY55" s="1583"/>
      <c r="AZ55" s="1583"/>
      <c r="BA55" s="1583"/>
      <c r="BB55" s="1583"/>
      <c r="BC55" s="1583"/>
      <c r="BD55" s="1583"/>
      <c r="BE55" s="1583"/>
      <c r="BF55" s="1583"/>
      <c r="BG55" s="1583"/>
      <c r="BH55" s="1583"/>
      <c r="BI55" s="1583"/>
      <c r="BJ55" s="1583"/>
      <c r="BK55" s="1583"/>
      <c r="BL55" s="228"/>
      <c r="BM55" s="228"/>
      <c r="BN55" s="228"/>
      <c r="BO55" s="228"/>
      <c r="BP55" s="228"/>
      <c r="BQ55" s="228"/>
      <c r="BR55" s="228"/>
      <c r="BS55" s="228"/>
      <c r="BT55" s="228"/>
      <c r="BU55" s="228"/>
      <c r="BV55" s="228"/>
      <c r="BW55" s="228"/>
      <c r="BX55" s="228"/>
      <c r="BY55" s="228"/>
      <c r="BZ55" s="228"/>
    </row>
    <row r="56" spans="2:78" ht="21.75" customHeight="1" x14ac:dyDescent="0.35">
      <c r="B56" s="60" t="s">
        <v>782</v>
      </c>
      <c r="F56" s="1581" t="str">
        <f>SchInfo!F40</f>
        <v>Principal IV</v>
      </c>
      <c r="G56" s="1581"/>
      <c r="H56" s="1581"/>
      <c r="I56" s="1581"/>
      <c r="J56" s="1581"/>
      <c r="K56" s="1581"/>
      <c r="L56" s="1581"/>
      <c r="M56" s="1581"/>
      <c r="N56" s="1581"/>
      <c r="O56" s="1581"/>
      <c r="P56" s="1581"/>
      <c r="Q56" s="1581"/>
      <c r="R56" s="1581"/>
      <c r="S56" s="1581"/>
      <c r="X56" s="60" t="s">
        <v>782</v>
      </c>
      <c r="AB56" s="1581" t="str">
        <f>'Tables7-8'!AM7</f>
        <v>Administrative Officer</v>
      </c>
      <c r="AC56" s="1581"/>
      <c r="AD56" s="1581"/>
      <c r="AE56" s="1581"/>
      <c r="AF56" s="1581"/>
      <c r="AG56" s="1581"/>
      <c r="AH56" s="1581"/>
      <c r="AI56" s="1581"/>
      <c r="AJ56" s="1581"/>
      <c r="AK56" s="1581"/>
      <c r="AL56" s="1581"/>
      <c r="AM56" s="1581"/>
      <c r="AN56" s="1581"/>
      <c r="AO56" s="1581"/>
      <c r="AT56" s="1452" t="s">
        <v>779</v>
      </c>
      <c r="AU56" s="1452"/>
      <c r="AV56" s="1452"/>
      <c r="AW56" s="1452"/>
      <c r="AX56" s="1452"/>
      <c r="AY56" s="1452"/>
      <c r="AZ56" s="1452"/>
      <c r="BA56" s="1452"/>
      <c r="BB56" s="1452"/>
      <c r="BC56" s="1452"/>
      <c r="BD56" s="1452"/>
      <c r="BE56" s="1452"/>
      <c r="BF56" s="1452"/>
      <c r="BG56" s="1452"/>
      <c r="BH56" s="1452"/>
      <c r="BI56" s="1452"/>
      <c r="BJ56" s="1452"/>
      <c r="BK56" s="1452"/>
    </row>
  </sheetData>
  <sheetProtection algorithmName="SHA-512" hashValue="865C7ZPSngL2Rx/LkOsDfmsYbQf1aNc1gVG+BYgTQMPMGR7iVGqaSyDDpjgSl7ILi+aUWak4k4uJr8EMOxlAOw==" saltValue="u2dl0gI28iZQy+1HP1bJjQ==" spinCount="100000" sheet="1" objects="1" scenarios="1"/>
  <mergeCells count="739">
    <mergeCell ref="B9:L9"/>
    <mergeCell ref="M9:O9"/>
    <mergeCell ref="P9:R9"/>
    <mergeCell ref="S9:U9"/>
    <mergeCell ref="V9:X9"/>
    <mergeCell ref="Y9:AA9"/>
    <mergeCell ref="BD7:BF7"/>
    <mergeCell ref="BG7:BI7"/>
    <mergeCell ref="BJ7:BL7"/>
    <mergeCell ref="BD8:BF8"/>
    <mergeCell ref="BG8:BI8"/>
    <mergeCell ref="BJ8:BL8"/>
    <mergeCell ref="AR5:AT8"/>
    <mergeCell ref="AE6:AG8"/>
    <mergeCell ref="AH6:AJ8"/>
    <mergeCell ref="AK6:AN8"/>
    <mergeCell ref="AU4:BC6"/>
    <mergeCell ref="BD4:BL6"/>
    <mergeCell ref="AE5:AQ5"/>
    <mergeCell ref="AU7:AW8"/>
    <mergeCell ref="AX7:AZ8"/>
    <mergeCell ref="P7:R8"/>
    <mergeCell ref="S7:U8"/>
    <mergeCell ref="B3:L8"/>
    <mergeCell ref="M3:BL3"/>
    <mergeCell ref="M4:O8"/>
    <mergeCell ref="P4:AT4"/>
    <mergeCell ref="P5:X6"/>
    <mergeCell ref="Y5:AA8"/>
    <mergeCell ref="AB5:AD8"/>
    <mergeCell ref="V7:X7"/>
    <mergeCell ref="V8:X8"/>
    <mergeCell ref="AO6:AQ6"/>
    <mergeCell ref="AO7:AQ8"/>
    <mergeCell ref="BA7:BC7"/>
    <mergeCell ref="BA8:BC8"/>
    <mergeCell ref="AU9:AW9"/>
    <mergeCell ref="AX9:AZ9"/>
    <mergeCell ref="BA9:BC9"/>
    <mergeCell ref="BD9:BF9"/>
    <mergeCell ref="BG9:BI9"/>
    <mergeCell ref="BJ9:BL9"/>
    <mergeCell ref="AB9:AD9"/>
    <mergeCell ref="AE9:AG9"/>
    <mergeCell ref="AH9:AJ9"/>
    <mergeCell ref="AK9:AN9"/>
    <mergeCell ref="AO9:AQ9"/>
    <mergeCell ref="AR9:AT9"/>
    <mergeCell ref="AX10:AZ10"/>
    <mergeCell ref="BA10:BC10"/>
    <mergeCell ref="BD10:BF10"/>
    <mergeCell ref="BG10:BI10"/>
    <mergeCell ref="BJ10:BL10"/>
    <mergeCell ref="AR10:AT10"/>
    <mergeCell ref="AU10:AW10"/>
    <mergeCell ref="M11:O11"/>
    <mergeCell ref="P11:R11"/>
    <mergeCell ref="S11:U11"/>
    <mergeCell ref="V11:X11"/>
    <mergeCell ref="Y11:AA11"/>
    <mergeCell ref="AE10:AG10"/>
    <mergeCell ref="AH10:AJ10"/>
    <mergeCell ref="AK10:AN10"/>
    <mergeCell ref="AO10:AQ10"/>
    <mergeCell ref="M10:O10"/>
    <mergeCell ref="P10:R10"/>
    <mergeCell ref="S10:U10"/>
    <mergeCell ref="V10:X10"/>
    <mergeCell ref="Y10:AA10"/>
    <mergeCell ref="AB10:AD10"/>
    <mergeCell ref="AU11:AW11"/>
    <mergeCell ref="AX11:AZ11"/>
    <mergeCell ref="BA11:BC11"/>
    <mergeCell ref="BD11:BF11"/>
    <mergeCell ref="BG11:BI11"/>
    <mergeCell ref="BJ11:BL11"/>
    <mergeCell ref="AB11:AD11"/>
    <mergeCell ref="AE11:AG11"/>
    <mergeCell ref="AH11:AJ11"/>
    <mergeCell ref="AK11:AN11"/>
    <mergeCell ref="AO11:AQ11"/>
    <mergeCell ref="AR11:AT11"/>
    <mergeCell ref="AX12:AZ12"/>
    <mergeCell ref="BA12:BC12"/>
    <mergeCell ref="BD12:BF12"/>
    <mergeCell ref="BG12:BI12"/>
    <mergeCell ref="BJ12:BL12"/>
    <mergeCell ref="M13:O13"/>
    <mergeCell ref="P13:R13"/>
    <mergeCell ref="S13:U13"/>
    <mergeCell ref="V13:X13"/>
    <mergeCell ref="Y13:AA13"/>
    <mergeCell ref="AE12:AG12"/>
    <mergeCell ref="AH12:AJ12"/>
    <mergeCell ref="AK12:AN12"/>
    <mergeCell ref="AO12:AQ12"/>
    <mergeCell ref="AR12:AT12"/>
    <mergeCell ref="AU12:AW12"/>
    <mergeCell ref="M12:O12"/>
    <mergeCell ref="P12:R12"/>
    <mergeCell ref="S12:U12"/>
    <mergeCell ref="V12:X12"/>
    <mergeCell ref="Y12:AA12"/>
    <mergeCell ref="AB12:AD12"/>
    <mergeCell ref="AU13:AW13"/>
    <mergeCell ref="AX13:AZ13"/>
    <mergeCell ref="BA13:BC13"/>
    <mergeCell ref="BD13:BF13"/>
    <mergeCell ref="BG13:BI13"/>
    <mergeCell ref="BJ13:BL13"/>
    <mergeCell ref="AB13:AD13"/>
    <mergeCell ref="AE13:AG13"/>
    <mergeCell ref="AH13:AJ13"/>
    <mergeCell ref="AK13:AN13"/>
    <mergeCell ref="AO13:AQ13"/>
    <mergeCell ref="AR13:AT13"/>
    <mergeCell ref="AX14:AZ14"/>
    <mergeCell ref="BA14:BC14"/>
    <mergeCell ref="BD14:BF14"/>
    <mergeCell ref="BG14:BI14"/>
    <mergeCell ref="BJ14:BL14"/>
    <mergeCell ref="M15:O15"/>
    <mergeCell ref="P15:R15"/>
    <mergeCell ref="S15:U15"/>
    <mergeCell ref="V15:X15"/>
    <mergeCell ref="Y15:AA15"/>
    <mergeCell ref="AE14:AG14"/>
    <mergeCell ref="AH14:AJ14"/>
    <mergeCell ref="AK14:AN14"/>
    <mergeCell ref="AO14:AQ14"/>
    <mergeCell ref="AR14:AT14"/>
    <mergeCell ref="AU14:AW14"/>
    <mergeCell ref="M14:O14"/>
    <mergeCell ref="P14:R14"/>
    <mergeCell ref="S14:U14"/>
    <mergeCell ref="V14:X14"/>
    <mergeCell ref="Y14:AA14"/>
    <mergeCell ref="AB14:AD14"/>
    <mergeCell ref="AU15:AW15"/>
    <mergeCell ref="AX15:AZ15"/>
    <mergeCell ref="BA15:BC15"/>
    <mergeCell ref="BD15:BF15"/>
    <mergeCell ref="BG15:BI15"/>
    <mergeCell ref="BJ15:BL15"/>
    <mergeCell ref="AB15:AD15"/>
    <mergeCell ref="AE15:AG15"/>
    <mergeCell ref="AH15:AJ15"/>
    <mergeCell ref="AK15:AN15"/>
    <mergeCell ref="AO15:AQ15"/>
    <mergeCell ref="AR15:AT15"/>
    <mergeCell ref="AX16:AZ16"/>
    <mergeCell ref="BA16:BC16"/>
    <mergeCell ref="BD16:BF16"/>
    <mergeCell ref="BG16:BI16"/>
    <mergeCell ref="BJ16:BL16"/>
    <mergeCell ref="M17:O17"/>
    <mergeCell ref="P17:R17"/>
    <mergeCell ref="S17:U17"/>
    <mergeCell ref="V17:X17"/>
    <mergeCell ref="Y17:AA17"/>
    <mergeCell ref="AE16:AG16"/>
    <mergeCell ref="AH16:AJ16"/>
    <mergeCell ref="AK16:AN16"/>
    <mergeCell ref="AO16:AQ16"/>
    <mergeCell ref="AR16:AT16"/>
    <mergeCell ref="AU16:AW16"/>
    <mergeCell ref="M16:O16"/>
    <mergeCell ref="P16:R16"/>
    <mergeCell ref="S16:U16"/>
    <mergeCell ref="V16:X16"/>
    <mergeCell ref="Y16:AA16"/>
    <mergeCell ref="AB16:AD16"/>
    <mergeCell ref="AU17:AW17"/>
    <mergeCell ref="AX17:AZ17"/>
    <mergeCell ref="BA17:BC17"/>
    <mergeCell ref="BD17:BF17"/>
    <mergeCell ref="BG17:BI17"/>
    <mergeCell ref="BJ17:BL17"/>
    <mergeCell ref="AB17:AD17"/>
    <mergeCell ref="AE17:AG17"/>
    <mergeCell ref="AH17:AJ17"/>
    <mergeCell ref="AK17:AN17"/>
    <mergeCell ref="AO17:AQ17"/>
    <mergeCell ref="AR17:AT17"/>
    <mergeCell ref="AX18:AZ18"/>
    <mergeCell ref="BA18:BC18"/>
    <mergeCell ref="BD18:BF18"/>
    <mergeCell ref="BG18:BI18"/>
    <mergeCell ref="BJ18:BL18"/>
    <mergeCell ref="M19:O19"/>
    <mergeCell ref="P19:R19"/>
    <mergeCell ref="S19:U19"/>
    <mergeCell ref="V19:X19"/>
    <mergeCell ref="Y19:AA19"/>
    <mergeCell ref="AE18:AG18"/>
    <mergeCell ref="AH18:AJ18"/>
    <mergeCell ref="AK18:AN18"/>
    <mergeCell ref="AO18:AQ18"/>
    <mergeCell ref="AR18:AT18"/>
    <mergeCell ref="AU18:AW18"/>
    <mergeCell ref="M18:O18"/>
    <mergeCell ref="P18:R18"/>
    <mergeCell ref="S18:U18"/>
    <mergeCell ref="V18:X18"/>
    <mergeCell ref="Y18:AA18"/>
    <mergeCell ref="AB18:AD18"/>
    <mergeCell ref="AU19:AW19"/>
    <mergeCell ref="AX19:AZ19"/>
    <mergeCell ref="BA19:BC19"/>
    <mergeCell ref="BD19:BF19"/>
    <mergeCell ref="BG19:BI19"/>
    <mergeCell ref="BJ19:BL19"/>
    <mergeCell ref="AB19:AD19"/>
    <mergeCell ref="AE19:AG19"/>
    <mergeCell ref="AH19:AJ19"/>
    <mergeCell ref="AK19:AN19"/>
    <mergeCell ref="AO19:AQ19"/>
    <mergeCell ref="AR19:AT19"/>
    <mergeCell ref="AX20:AZ20"/>
    <mergeCell ref="BA20:BC20"/>
    <mergeCell ref="BD20:BF20"/>
    <mergeCell ref="BG20:BI20"/>
    <mergeCell ref="BJ20:BL20"/>
    <mergeCell ref="M21:O21"/>
    <mergeCell ref="P21:R21"/>
    <mergeCell ref="S21:U21"/>
    <mergeCell ref="V21:X21"/>
    <mergeCell ref="Y21:AA21"/>
    <mergeCell ref="AE20:AG20"/>
    <mergeCell ref="AH20:AJ20"/>
    <mergeCell ref="AK20:AN20"/>
    <mergeCell ref="AO20:AQ20"/>
    <mergeCell ref="AR20:AT20"/>
    <mergeCell ref="AU20:AW20"/>
    <mergeCell ref="M20:O20"/>
    <mergeCell ref="P20:R20"/>
    <mergeCell ref="S20:U20"/>
    <mergeCell ref="V20:X20"/>
    <mergeCell ref="Y20:AA20"/>
    <mergeCell ref="AB20:AD20"/>
    <mergeCell ref="AU21:AW21"/>
    <mergeCell ref="AX21:AZ21"/>
    <mergeCell ref="BA21:BC21"/>
    <mergeCell ref="BD21:BF21"/>
    <mergeCell ref="BG21:BI21"/>
    <mergeCell ref="BJ21:BL21"/>
    <mergeCell ref="AB21:AD21"/>
    <mergeCell ref="AE21:AG21"/>
    <mergeCell ref="AH21:AJ21"/>
    <mergeCell ref="AK21:AN21"/>
    <mergeCell ref="AO21:AQ21"/>
    <mergeCell ref="AR21:AT21"/>
    <mergeCell ref="AX22:AZ22"/>
    <mergeCell ref="BA22:BC22"/>
    <mergeCell ref="BD22:BF22"/>
    <mergeCell ref="BG22:BI22"/>
    <mergeCell ref="BJ22:BL22"/>
    <mergeCell ref="M23:O23"/>
    <mergeCell ref="P23:R23"/>
    <mergeCell ref="S23:U23"/>
    <mergeCell ref="V23:X23"/>
    <mergeCell ref="Y23:AA23"/>
    <mergeCell ref="AE22:AG22"/>
    <mergeCell ref="AH22:AJ22"/>
    <mergeCell ref="AK22:AN22"/>
    <mergeCell ref="AO22:AQ22"/>
    <mergeCell ref="AR22:AT22"/>
    <mergeCell ref="AU22:AW22"/>
    <mergeCell ref="M22:O22"/>
    <mergeCell ref="P22:R22"/>
    <mergeCell ref="S22:U22"/>
    <mergeCell ref="V22:X22"/>
    <mergeCell ref="Y22:AA22"/>
    <mergeCell ref="AB22:AD22"/>
    <mergeCell ref="AU23:AW23"/>
    <mergeCell ref="AX23:AZ23"/>
    <mergeCell ref="BA23:BC23"/>
    <mergeCell ref="BD23:BF23"/>
    <mergeCell ref="BG23:BI23"/>
    <mergeCell ref="BJ23:BL23"/>
    <mergeCell ref="AB23:AD23"/>
    <mergeCell ref="AE23:AG23"/>
    <mergeCell ref="AH23:AJ23"/>
    <mergeCell ref="AK23:AN23"/>
    <mergeCell ref="AO23:AQ23"/>
    <mergeCell ref="AR23:AT23"/>
    <mergeCell ref="AX24:AZ24"/>
    <mergeCell ref="BA24:BC24"/>
    <mergeCell ref="BD24:BF24"/>
    <mergeCell ref="BG24:BI24"/>
    <mergeCell ref="BJ24:BL24"/>
    <mergeCell ref="M25:O25"/>
    <mergeCell ref="P25:R25"/>
    <mergeCell ref="S25:U25"/>
    <mergeCell ref="V25:X25"/>
    <mergeCell ref="Y25:AA25"/>
    <mergeCell ref="AE24:AG24"/>
    <mergeCell ref="AH24:AJ24"/>
    <mergeCell ref="AK24:AN24"/>
    <mergeCell ref="AO24:AQ24"/>
    <mergeCell ref="AR24:AT24"/>
    <mergeCell ref="AU24:AW24"/>
    <mergeCell ref="M24:O24"/>
    <mergeCell ref="P24:R24"/>
    <mergeCell ref="S24:U24"/>
    <mergeCell ref="V24:X24"/>
    <mergeCell ref="Y24:AA24"/>
    <mergeCell ref="AB24:AD24"/>
    <mergeCell ref="AU25:AW25"/>
    <mergeCell ref="AX25:AZ25"/>
    <mergeCell ref="BA25:BC25"/>
    <mergeCell ref="BD25:BF25"/>
    <mergeCell ref="BG25:BI25"/>
    <mergeCell ref="BJ25:BL25"/>
    <mergeCell ref="AB25:AD25"/>
    <mergeCell ref="AE25:AG25"/>
    <mergeCell ref="AH25:AJ25"/>
    <mergeCell ref="AK25:AN25"/>
    <mergeCell ref="AO25:AQ25"/>
    <mergeCell ref="AR25:AT25"/>
    <mergeCell ref="AX26:AZ26"/>
    <mergeCell ref="BA26:BC26"/>
    <mergeCell ref="BD26:BF26"/>
    <mergeCell ref="BG26:BI26"/>
    <mergeCell ref="BJ26:BL26"/>
    <mergeCell ref="M27:O27"/>
    <mergeCell ref="P27:R27"/>
    <mergeCell ref="S27:U27"/>
    <mergeCell ref="V27:X27"/>
    <mergeCell ref="Y27:AA27"/>
    <mergeCell ref="AE26:AG26"/>
    <mergeCell ref="AH26:AJ26"/>
    <mergeCell ref="AK26:AN26"/>
    <mergeCell ref="AO26:AQ26"/>
    <mergeCell ref="AR26:AT26"/>
    <mergeCell ref="AU26:AW26"/>
    <mergeCell ref="M26:O26"/>
    <mergeCell ref="P26:R26"/>
    <mergeCell ref="S26:U26"/>
    <mergeCell ref="V26:X26"/>
    <mergeCell ref="Y26:AA26"/>
    <mergeCell ref="AB26:AD26"/>
    <mergeCell ref="AU27:AW27"/>
    <mergeCell ref="AX27:AZ27"/>
    <mergeCell ref="BA27:BC27"/>
    <mergeCell ref="BD27:BF27"/>
    <mergeCell ref="BG27:BI27"/>
    <mergeCell ref="BJ27:BL27"/>
    <mergeCell ref="AB27:AD27"/>
    <mergeCell ref="AE27:AG27"/>
    <mergeCell ref="AH27:AJ27"/>
    <mergeCell ref="AK27:AN27"/>
    <mergeCell ref="AO27:AQ27"/>
    <mergeCell ref="AR27:AT27"/>
    <mergeCell ref="AX28:AZ28"/>
    <mergeCell ref="BA28:BC28"/>
    <mergeCell ref="BD28:BF28"/>
    <mergeCell ref="BG28:BI28"/>
    <mergeCell ref="BJ28:BL28"/>
    <mergeCell ref="M29:O29"/>
    <mergeCell ref="P29:R29"/>
    <mergeCell ref="S29:U29"/>
    <mergeCell ref="V29:X29"/>
    <mergeCell ref="Y29:AA29"/>
    <mergeCell ref="AE28:AG28"/>
    <mergeCell ref="AH28:AJ28"/>
    <mergeCell ref="AK28:AN28"/>
    <mergeCell ref="AO28:AQ28"/>
    <mergeCell ref="AR28:AT28"/>
    <mergeCell ref="AU28:AW28"/>
    <mergeCell ref="M28:O28"/>
    <mergeCell ref="P28:R28"/>
    <mergeCell ref="S28:U28"/>
    <mergeCell ref="V28:X28"/>
    <mergeCell ref="Y28:AA28"/>
    <mergeCell ref="AB28:AD28"/>
    <mergeCell ref="AU29:AW29"/>
    <mergeCell ref="AX29:AZ29"/>
    <mergeCell ref="BA29:BC29"/>
    <mergeCell ref="BD29:BF29"/>
    <mergeCell ref="BG29:BI29"/>
    <mergeCell ref="BJ29:BL29"/>
    <mergeCell ref="AB29:AD29"/>
    <mergeCell ref="AE29:AG29"/>
    <mergeCell ref="AH29:AJ29"/>
    <mergeCell ref="AK29:AN29"/>
    <mergeCell ref="AO29:AQ29"/>
    <mergeCell ref="AR29:AT29"/>
    <mergeCell ref="AX30:AZ30"/>
    <mergeCell ref="BA30:BC30"/>
    <mergeCell ref="BD30:BF30"/>
    <mergeCell ref="BG30:BI30"/>
    <mergeCell ref="BJ30:BL30"/>
    <mergeCell ref="M31:O31"/>
    <mergeCell ref="P31:R31"/>
    <mergeCell ref="S31:U31"/>
    <mergeCell ref="V31:X31"/>
    <mergeCell ref="Y31:AA31"/>
    <mergeCell ref="AE30:AG30"/>
    <mergeCell ref="AH30:AJ30"/>
    <mergeCell ref="AK30:AN30"/>
    <mergeCell ref="AO30:AQ30"/>
    <mergeCell ref="AR30:AT30"/>
    <mergeCell ref="AU30:AW30"/>
    <mergeCell ref="M30:O30"/>
    <mergeCell ref="P30:R30"/>
    <mergeCell ref="S30:U30"/>
    <mergeCell ref="V30:X30"/>
    <mergeCell ref="Y30:AA30"/>
    <mergeCell ref="AB30:AD30"/>
    <mergeCell ref="AU31:AW31"/>
    <mergeCell ref="AX31:AZ31"/>
    <mergeCell ref="BA31:BC31"/>
    <mergeCell ref="BD31:BF31"/>
    <mergeCell ref="BG31:BI31"/>
    <mergeCell ref="BJ31:BL31"/>
    <mergeCell ref="AB31:AD31"/>
    <mergeCell ref="AE31:AG31"/>
    <mergeCell ref="AH31:AJ31"/>
    <mergeCell ref="AK31:AN31"/>
    <mergeCell ref="AO31:AQ31"/>
    <mergeCell ref="AR31:AT31"/>
    <mergeCell ref="AX32:AZ32"/>
    <mergeCell ref="BA32:BC32"/>
    <mergeCell ref="BD32:BF32"/>
    <mergeCell ref="BG32:BI32"/>
    <mergeCell ref="BJ32:BL32"/>
    <mergeCell ref="M33:O33"/>
    <mergeCell ref="P33:R33"/>
    <mergeCell ref="S33:U33"/>
    <mergeCell ref="V33:X33"/>
    <mergeCell ref="Y33:AA33"/>
    <mergeCell ref="AE32:AG32"/>
    <mergeCell ref="AH32:AJ32"/>
    <mergeCell ref="AK32:AN32"/>
    <mergeCell ref="AO32:AQ32"/>
    <mergeCell ref="AR32:AT32"/>
    <mergeCell ref="AU32:AW32"/>
    <mergeCell ref="M32:O32"/>
    <mergeCell ref="P32:R32"/>
    <mergeCell ref="S32:U32"/>
    <mergeCell ref="V32:X32"/>
    <mergeCell ref="Y32:AA32"/>
    <mergeCell ref="AB32:AD32"/>
    <mergeCell ref="AU33:AW33"/>
    <mergeCell ref="AX33:AZ33"/>
    <mergeCell ref="BA33:BC33"/>
    <mergeCell ref="BD33:BF33"/>
    <mergeCell ref="BG33:BI33"/>
    <mergeCell ref="BJ33:BL33"/>
    <mergeCell ref="AB33:AD33"/>
    <mergeCell ref="AE33:AG33"/>
    <mergeCell ref="AH33:AJ33"/>
    <mergeCell ref="AK33:AN33"/>
    <mergeCell ref="AO33:AQ33"/>
    <mergeCell ref="AR33:AT33"/>
    <mergeCell ref="AX34:AZ34"/>
    <mergeCell ref="BA34:BC34"/>
    <mergeCell ref="BD34:BF34"/>
    <mergeCell ref="BG34:BI34"/>
    <mergeCell ref="BJ34:BL34"/>
    <mergeCell ref="M35:O35"/>
    <mergeCell ref="P35:R35"/>
    <mergeCell ref="S35:U35"/>
    <mergeCell ref="V35:X35"/>
    <mergeCell ref="Y35:AA35"/>
    <mergeCell ref="AE34:AG34"/>
    <mergeCell ref="AH34:AJ34"/>
    <mergeCell ref="AK34:AN34"/>
    <mergeCell ref="AO34:AQ34"/>
    <mergeCell ref="AR34:AT34"/>
    <mergeCell ref="AU34:AW34"/>
    <mergeCell ref="M34:O34"/>
    <mergeCell ref="P34:R34"/>
    <mergeCell ref="S34:U34"/>
    <mergeCell ref="V34:X34"/>
    <mergeCell ref="Y34:AA34"/>
    <mergeCell ref="AB34:AD34"/>
    <mergeCell ref="AU35:AW35"/>
    <mergeCell ref="AX35:AZ35"/>
    <mergeCell ref="BA35:BC35"/>
    <mergeCell ref="BD35:BF35"/>
    <mergeCell ref="BG35:BI35"/>
    <mergeCell ref="BJ35:BL35"/>
    <mergeCell ref="AB35:AD35"/>
    <mergeCell ref="AE35:AG35"/>
    <mergeCell ref="AH35:AJ35"/>
    <mergeCell ref="AK35:AN35"/>
    <mergeCell ref="AO35:AQ35"/>
    <mergeCell ref="AR35:AT35"/>
    <mergeCell ref="AX36:AZ36"/>
    <mergeCell ref="BA36:BC36"/>
    <mergeCell ref="BD36:BF36"/>
    <mergeCell ref="BG36:BI36"/>
    <mergeCell ref="BJ36:BL36"/>
    <mergeCell ref="M37:O37"/>
    <mergeCell ref="P37:R37"/>
    <mergeCell ref="S37:U37"/>
    <mergeCell ref="V37:X37"/>
    <mergeCell ref="Y37:AA37"/>
    <mergeCell ref="AE36:AG36"/>
    <mergeCell ref="AH36:AJ36"/>
    <mergeCell ref="AK36:AN36"/>
    <mergeCell ref="AO36:AQ36"/>
    <mergeCell ref="AR36:AT36"/>
    <mergeCell ref="AU36:AW36"/>
    <mergeCell ref="M36:O36"/>
    <mergeCell ref="P36:R36"/>
    <mergeCell ref="S36:U36"/>
    <mergeCell ref="V36:X36"/>
    <mergeCell ref="Y36:AA36"/>
    <mergeCell ref="AB36:AD36"/>
    <mergeCell ref="AU37:AW37"/>
    <mergeCell ref="AX37:AZ37"/>
    <mergeCell ref="BA37:BC37"/>
    <mergeCell ref="BD37:BF37"/>
    <mergeCell ref="BG37:BI37"/>
    <mergeCell ref="BJ37:BL37"/>
    <mergeCell ref="AB37:AD37"/>
    <mergeCell ref="AE37:AG37"/>
    <mergeCell ref="AH37:AJ37"/>
    <mergeCell ref="AK37:AN37"/>
    <mergeCell ref="AO37:AQ37"/>
    <mergeCell ref="AR37:AT37"/>
    <mergeCell ref="BA38:BC38"/>
    <mergeCell ref="BD38:BF38"/>
    <mergeCell ref="BG38:BI38"/>
    <mergeCell ref="BJ38:BL38"/>
    <mergeCell ref="C39:K39"/>
    <mergeCell ref="M39:O39"/>
    <mergeCell ref="P39:R39"/>
    <mergeCell ref="S39:U39"/>
    <mergeCell ref="V39:X39"/>
    <mergeCell ref="AE38:AG38"/>
    <mergeCell ref="AH38:AJ38"/>
    <mergeCell ref="AK38:AN38"/>
    <mergeCell ref="AO38:AQ38"/>
    <mergeCell ref="AR38:AT38"/>
    <mergeCell ref="AU38:AW38"/>
    <mergeCell ref="M38:O38"/>
    <mergeCell ref="P38:R38"/>
    <mergeCell ref="S38:U38"/>
    <mergeCell ref="V38:X38"/>
    <mergeCell ref="Y38:AA38"/>
    <mergeCell ref="AB38:AD38"/>
    <mergeCell ref="BJ39:BL39"/>
    <mergeCell ref="AR39:AT39"/>
    <mergeCell ref="BA39:BC39"/>
    <mergeCell ref="S40:U40"/>
    <mergeCell ref="V40:X40"/>
    <mergeCell ref="Y40:AA40"/>
    <mergeCell ref="AB40:AD40"/>
    <mergeCell ref="AE40:AG40"/>
    <mergeCell ref="AH40:AJ40"/>
    <mergeCell ref="AK40:AN40"/>
    <mergeCell ref="AX38:AZ38"/>
    <mergeCell ref="AU39:AW39"/>
    <mergeCell ref="AX39:AZ39"/>
    <mergeCell ref="BD39:BF39"/>
    <mergeCell ref="BG39:BI39"/>
    <mergeCell ref="Y39:AA39"/>
    <mergeCell ref="AB39:AD39"/>
    <mergeCell ref="AE39:AG39"/>
    <mergeCell ref="AH39:AJ39"/>
    <mergeCell ref="AK39:AN39"/>
    <mergeCell ref="AO39:AQ39"/>
    <mergeCell ref="BG40:BI40"/>
    <mergeCell ref="BJ40:BL40"/>
    <mergeCell ref="C41:K41"/>
    <mergeCell ref="M41:O41"/>
    <mergeCell ref="P41:R41"/>
    <mergeCell ref="S41:U41"/>
    <mergeCell ref="V41:X41"/>
    <mergeCell ref="Y41:AA41"/>
    <mergeCell ref="AB41:AD41"/>
    <mergeCell ref="AE41:AG41"/>
    <mergeCell ref="AO40:AQ40"/>
    <mergeCell ref="AR40:AT40"/>
    <mergeCell ref="AU40:AW40"/>
    <mergeCell ref="AX40:AZ40"/>
    <mergeCell ref="BA40:BC40"/>
    <mergeCell ref="BD40:BF40"/>
    <mergeCell ref="BA41:BC41"/>
    <mergeCell ref="BD41:BF41"/>
    <mergeCell ref="BG41:BI41"/>
    <mergeCell ref="BJ41:BL41"/>
    <mergeCell ref="AR41:AT41"/>
    <mergeCell ref="AU41:AW41"/>
    <mergeCell ref="AX41:AZ41"/>
    <mergeCell ref="M40:O40"/>
    <mergeCell ref="P40:R40"/>
    <mergeCell ref="M42:O42"/>
    <mergeCell ref="P42:R42"/>
    <mergeCell ref="S42:U42"/>
    <mergeCell ref="V42:X42"/>
    <mergeCell ref="Y42:AA42"/>
    <mergeCell ref="AB42:AD42"/>
    <mergeCell ref="AH41:AJ41"/>
    <mergeCell ref="AK41:AN41"/>
    <mergeCell ref="AO41:AQ41"/>
    <mergeCell ref="AX42:AZ42"/>
    <mergeCell ref="BA42:BC42"/>
    <mergeCell ref="BD42:BF42"/>
    <mergeCell ref="BG42:BI42"/>
    <mergeCell ref="BJ42:BL42"/>
    <mergeCell ref="M43:O43"/>
    <mergeCell ref="P43:R43"/>
    <mergeCell ref="S43:U43"/>
    <mergeCell ref="V43:X43"/>
    <mergeCell ref="Y43:AA43"/>
    <mergeCell ref="AE42:AG42"/>
    <mergeCell ref="AH42:AJ42"/>
    <mergeCell ref="AK42:AN42"/>
    <mergeCell ref="AO42:AQ42"/>
    <mergeCell ref="AR42:AT42"/>
    <mergeCell ref="AU42:AW42"/>
    <mergeCell ref="AU43:AW43"/>
    <mergeCell ref="AX43:AZ43"/>
    <mergeCell ref="BA43:BC43"/>
    <mergeCell ref="BD43:BF43"/>
    <mergeCell ref="BG43:BI43"/>
    <mergeCell ref="BJ43:BL43"/>
    <mergeCell ref="AB43:AD43"/>
    <mergeCell ref="AE43:AG43"/>
    <mergeCell ref="AH43:AJ43"/>
    <mergeCell ref="AK43:AN43"/>
    <mergeCell ref="AO43:AQ43"/>
    <mergeCell ref="AR43:AT43"/>
    <mergeCell ref="M44:O44"/>
    <mergeCell ref="P44:R44"/>
    <mergeCell ref="S44:U44"/>
    <mergeCell ref="V44:X44"/>
    <mergeCell ref="Y44:AA44"/>
    <mergeCell ref="AU44:AW44"/>
    <mergeCell ref="AX44:AZ44"/>
    <mergeCell ref="BA44:BC44"/>
    <mergeCell ref="BD44:BF44"/>
    <mergeCell ref="BG44:BI44"/>
    <mergeCell ref="BJ44:BL44"/>
    <mergeCell ref="AB44:AD44"/>
    <mergeCell ref="AE44:AG44"/>
    <mergeCell ref="AH44:AJ44"/>
    <mergeCell ref="AK44:AN44"/>
    <mergeCell ref="AO44:AQ44"/>
    <mergeCell ref="AR44:AT44"/>
    <mergeCell ref="AX45:AZ45"/>
    <mergeCell ref="BA45:BC45"/>
    <mergeCell ref="BD45:BF45"/>
    <mergeCell ref="BG45:BI45"/>
    <mergeCell ref="BJ45:BL45"/>
    <mergeCell ref="M46:O46"/>
    <mergeCell ref="P46:R46"/>
    <mergeCell ref="S46:U46"/>
    <mergeCell ref="V46:X46"/>
    <mergeCell ref="Y46:AA46"/>
    <mergeCell ref="AE45:AG45"/>
    <mergeCell ref="AH45:AJ45"/>
    <mergeCell ref="AK45:AN45"/>
    <mergeCell ref="AO45:AQ45"/>
    <mergeCell ref="AR45:AT45"/>
    <mergeCell ref="AU45:AW45"/>
    <mergeCell ref="M45:O45"/>
    <mergeCell ref="P45:R45"/>
    <mergeCell ref="S45:U45"/>
    <mergeCell ref="V45:X45"/>
    <mergeCell ref="Y45:AA45"/>
    <mergeCell ref="AB45:AD45"/>
    <mergeCell ref="AU46:AW46"/>
    <mergeCell ref="AX46:AZ46"/>
    <mergeCell ref="BA46:BC46"/>
    <mergeCell ref="BD46:BF46"/>
    <mergeCell ref="BG46:BI46"/>
    <mergeCell ref="BJ46:BL46"/>
    <mergeCell ref="AB46:AD46"/>
    <mergeCell ref="AE46:AG46"/>
    <mergeCell ref="AH46:AJ46"/>
    <mergeCell ref="AK46:AN46"/>
    <mergeCell ref="AO46:AQ46"/>
    <mergeCell ref="AR46:AT46"/>
    <mergeCell ref="AX47:AZ47"/>
    <mergeCell ref="BA47:BC47"/>
    <mergeCell ref="BD47:BF47"/>
    <mergeCell ref="BG47:BI47"/>
    <mergeCell ref="BJ47:BL47"/>
    <mergeCell ref="M48:O48"/>
    <mergeCell ref="P48:R48"/>
    <mergeCell ref="S48:U48"/>
    <mergeCell ref="V48:X48"/>
    <mergeCell ref="Y48:AA48"/>
    <mergeCell ref="AE47:AG47"/>
    <mergeCell ref="AH47:AJ47"/>
    <mergeCell ref="AK47:AN47"/>
    <mergeCell ref="AO47:AQ47"/>
    <mergeCell ref="AR47:AT47"/>
    <mergeCell ref="AU47:AW47"/>
    <mergeCell ref="M47:O47"/>
    <mergeCell ref="P47:R47"/>
    <mergeCell ref="S47:U47"/>
    <mergeCell ref="V47:X47"/>
    <mergeCell ref="Y47:AA47"/>
    <mergeCell ref="AB47:AD47"/>
    <mergeCell ref="AU48:AW48"/>
    <mergeCell ref="AX48:AZ48"/>
    <mergeCell ref="V49:X49"/>
    <mergeCell ref="Y49:AA49"/>
    <mergeCell ref="BA48:BC48"/>
    <mergeCell ref="BD48:BF48"/>
    <mergeCell ref="BG48:BI48"/>
    <mergeCell ref="BJ48:BL48"/>
    <mergeCell ref="AB48:AD48"/>
    <mergeCell ref="AE48:AG48"/>
    <mergeCell ref="AH48:AJ48"/>
    <mergeCell ref="AK48:AN48"/>
    <mergeCell ref="AO48:AQ48"/>
    <mergeCell ref="AR48:AT48"/>
    <mergeCell ref="F54:S54"/>
    <mergeCell ref="X54:AO54"/>
    <mergeCell ref="AT54:BK55"/>
    <mergeCell ref="F55:S55"/>
    <mergeCell ref="X55:AO55"/>
    <mergeCell ref="F56:S56"/>
    <mergeCell ref="AB56:AO56"/>
    <mergeCell ref="AT56:BK56"/>
    <mergeCell ref="AU49:AW49"/>
    <mergeCell ref="AX49:AZ49"/>
    <mergeCell ref="BA49:BC49"/>
    <mergeCell ref="BD49:BF49"/>
    <mergeCell ref="BG49:BI49"/>
    <mergeCell ref="BJ49:BL49"/>
    <mergeCell ref="AB49:AD49"/>
    <mergeCell ref="AE49:AG49"/>
    <mergeCell ref="AH49:AJ49"/>
    <mergeCell ref="AK49:AN49"/>
    <mergeCell ref="AO49:AQ49"/>
    <mergeCell ref="AR49:AT49"/>
    <mergeCell ref="B49:L49"/>
    <mergeCell ref="M49:O49"/>
    <mergeCell ref="P49:R49"/>
    <mergeCell ref="S49:U49"/>
  </mergeCells>
  <dataValidations count="1">
    <dataValidation type="whole" allowBlank="1" showInputMessage="1" showErrorMessage="1" errorTitle="GJHSP SY 2022-2023" error="Please enter valid number between 0-999." sqref="M10:U48 Y10:AN48 AU10:AZ48" xr:uid="{25FF5FF1-2508-4A48-A2F4-C7EC332337E5}">
      <formula1>0</formula1>
      <formula2>999</formula2>
    </dataValidation>
  </dataValidations>
  <printOptions horizontalCentered="1" verticalCentered="1"/>
  <pageMargins left="0.25" right="0.25" top="0.2" bottom="0.2" header="0" footer="0.1"/>
  <pageSetup paperSize="14" scale="53" orientation="landscape" r:id="rId1"/>
  <headerFooter alignWithMargins="0">
    <oddFooter>&amp;L&amp;10&amp;F &amp;A&amp;R&amp;10Page 9 of 63</oddFooter>
  </headerFooter>
  <ignoredErrors>
    <ignoredError sqref="AO10:AQ47 AO48 V10:X48 W49:X49" formulaRange="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pageSetUpPr fitToPage="1"/>
  </sheetPr>
  <dimension ref="B1:BX55"/>
  <sheetViews>
    <sheetView showGridLines="0" topLeftCell="A16" zoomScaleNormal="100" workbookViewId="0">
      <selection activeCell="V30" sqref="V30:X30"/>
    </sheetView>
  </sheetViews>
  <sheetFormatPr defaultColWidth="9" defaultRowHeight="15.5" x14ac:dyDescent="0.35"/>
  <cols>
    <col min="1" max="1" width="2.08203125" style="44" customWidth="1"/>
    <col min="2" max="64" width="3.58203125" style="44" customWidth="1"/>
    <col min="65" max="65" width="2.08203125" style="44" customWidth="1"/>
    <col min="66" max="89" width="3.1640625" style="44" customWidth="1"/>
    <col min="90" max="16384" width="9" style="44"/>
  </cols>
  <sheetData>
    <row r="1" spans="2:66" ht="12" customHeight="1" x14ac:dyDescent="0.35"/>
    <row r="2" spans="2:66" ht="17" thickBot="1" x14ac:dyDescent="0.4">
      <c r="B2" s="111" t="s">
        <v>12686</v>
      </c>
      <c r="C2" s="49"/>
      <c r="D2" s="49"/>
      <c r="E2" s="49"/>
    </row>
    <row r="3" spans="2:66" ht="13.75" customHeight="1" thickTop="1" thickBot="1" x14ac:dyDescent="0.4">
      <c r="B3" s="2041" t="s">
        <v>23</v>
      </c>
      <c r="C3" s="2042"/>
      <c r="D3" s="2042"/>
      <c r="E3" s="2042"/>
      <c r="F3" s="2042"/>
      <c r="G3" s="2042"/>
      <c r="H3" s="2042"/>
      <c r="I3" s="2042"/>
      <c r="J3" s="2042"/>
      <c r="K3" s="2042"/>
      <c r="L3" s="2043"/>
      <c r="M3" s="2039" t="s">
        <v>24</v>
      </c>
      <c r="N3" s="1591"/>
      <c r="O3" s="1591"/>
      <c r="P3" s="1591"/>
      <c r="Q3" s="1591"/>
      <c r="R3" s="1591"/>
      <c r="S3" s="1591"/>
      <c r="T3" s="1591"/>
      <c r="U3" s="1591"/>
      <c r="V3" s="1591"/>
      <c r="W3" s="1591"/>
      <c r="X3" s="1591"/>
      <c r="Y3" s="1591"/>
      <c r="Z3" s="1591"/>
      <c r="AA3" s="1591"/>
      <c r="AB3" s="1591"/>
      <c r="AC3" s="1591"/>
      <c r="AD3" s="1591"/>
      <c r="AE3" s="1591"/>
      <c r="AF3" s="1591"/>
      <c r="AG3" s="1591"/>
      <c r="AH3" s="1591"/>
      <c r="AI3" s="1591"/>
      <c r="AJ3" s="1591"/>
      <c r="AK3" s="1591"/>
      <c r="AL3" s="1591"/>
      <c r="AM3" s="1591"/>
      <c r="AN3" s="1591"/>
      <c r="AO3" s="1591"/>
      <c r="AP3" s="1591"/>
      <c r="AQ3" s="1591"/>
      <c r="AR3" s="1591"/>
      <c r="AS3" s="1591"/>
      <c r="AT3" s="1591"/>
      <c r="AU3" s="1591"/>
      <c r="AV3" s="1591"/>
      <c r="AW3" s="1591"/>
      <c r="AX3" s="1591"/>
      <c r="AY3" s="1591"/>
      <c r="AZ3" s="1591"/>
      <c r="BA3" s="1591"/>
      <c r="BB3" s="1591"/>
      <c r="BC3" s="1591"/>
      <c r="BD3" s="1591"/>
      <c r="BE3" s="1591"/>
      <c r="BF3" s="1591"/>
      <c r="BG3" s="1591"/>
      <c r="BH3" s="1591"/>
      <c r="BI3" s="1591"/>
      <c r="BJ3" s="1591"/>
      <c r="BK3" s="1591"/>
      <c r="BL3" s="1592"/>
    </row>
    <row r="4" spans="2:66" ht="16.5" customHeight="1" thickBot="1" x14ac:dyDescent="0.4">
      <c r="B4" s="2044"/>
      <c r="C4" s="1554"/>
      <c r="D4" s="1554"/>
      <c r="E4" s="1554"/>
      <c r="F4" s="1554"/>
      <c r="G4" s="1554"/>
      <c r="H4" s="1554"/>
      <c r="I4" s="1554"/>
      <c r="J4" s="1554"/>
      <c r="K4" s="1554"/>
      <c r="L4" s="1555"/>
      <c r="M4" s="1916" t="s">
        <v>26</v>
      </c>
      <c r="N4" s="1917"/>
      <c r="O4" s="1958"/>
      <c r="P4" s="1914" t="s">
        <v>25</v>
      </c>
      <c r="Q4" s="1914"/>
      <c r="R4" s="1914"/>
      <c r="S4" s="1914"/>
      <c r="T4" s="1914"/>
      <c r="U4" s="1914"/>
      <c r="V4" s="1914"/>
      <c r="W4" s="1914"/>
      <c r="X4" s="1914"/>
      <c r="Y4" s="1914"/>
      <c r="Z4" s="1914"/>
      <c r="AA4" s="1914"/>
      <c r="AB4" s="1914"/>
      <c r="AC4" s="1914"/>
      <c r="AD4" s="1914"/>
      <c r="AE4" s="1914"/>
      <c r="AF4" s="1914"/>
      <c r="AG4" s="1914"/>
      <c r="AH4" s="1914"/>
      <c r="AI4" s="1914"/>
      <c r="AJ4" s="1914"/>
      <c r="AK4" s="1914"/>
      <c r="AL4" s="1914"/>
      <c r="AM4" s="1914"/>
      <c r="AN4" s="1914"/>
      <c r="AO4" s="1914"/>
      <c r="AP4" s="1914"/>
      <c r="AQ4" s="1914"/>
      <c r="AR4" s="1914"/>
      <c r="AS4" s="1914"/>
      <c r="AT4" s="1915"/>
      <c r="AU4" s="1916" t="s">
        <v>75</v>
      </c>
      <c r="AV4" s="1917"/>
      <c r="AW4" s="1917"/>
      <c r="AX4" s="1917"/>
      <c r="AY4" s="1917"/>
      <c r="AZ4" s="1917"/>
      <c r="BA4" s="1917"/>
      <c r="BB4" s="1917"/>
      <c r="BC4" s="1958"/>
      <c r="BD4" s="1917" t="s">
        <v>1289</v>
      </c>
      <c r="BE4" s="1917"/>
      <c r="BF4" s="1917"/>
      <c r="BG4" s="1917"/>
      <c r="BH4" s="1917"/>
      <c r="BI4" s="1917"/>
      <c r="BJ4" s="1917"/>
      <c r="BK4" s="1917"/>
      <c r="BL4" s="1962"/>
    </row>
    <row r="5" spans="2:66" ht="15.75" customHeight="1" thickBot="1" x14ac:dyDescent="0.4">
      <c r="B5" s="2044"/>
      <c r="C5" s="1554"/>
      <c r="D5" s="1554"/>
      <c r="E5" s="1554"/>
      <c r="F5" s="1554"/>
      <c r="G5" s="1554"/>
      <c r="H5" s="1554"/>
      <c r="I5" s="1554"/>
      <c r="J5" s="1554"/>
      <c r="K5" s="1554"/>
      <c r="L5" s="1555"/>
      <c r="M5" s="1959"/>
      <c r="N5" s="1927"/>
      <c r="O5" s="1960"/>
      <c r="P5" s="1916" t="s">
        <v>1290</v>
      </c>
      <c r="Q5" s="1917"/>
      <c r="R5" s="1917"/>
      <c r="S5" s="1917"/>
      <c r="T5" s="1917"/>
      <c r="U5" s="1917"/>
      <c r="V5" s="1917"/>
      <c r="W5" s="1917"/>
      <c r="X5" s="1918"/>
      <c r="Y5" s="1917" t="s">
        <v>27</v>
      </c>
      <c r="Z5" s="1917"/>
      <c r="AA5" s="1922"/>
      <c r="AB5" s="1925" t="s">
        <v>445</v>
      </c>
      <c r="AC5" s="1917"/>
      <c r="AD5" s="1918"/>
      <c r="AE5" s="1965" t="s">
        <v>68</v>
      </c>
      <c r="AF5" s="1966"/>
      <c r="AG5" s="1966"/>
      <c r="AH5" s="1966"/>
      <c r="AI5" s="1966"/>
      <c r="AJ5" s="1966"/>
      <c r="AK5" s="1966"/>
      <c r="AL5" s="1966"/>
      <c r="AM5" s="1966"/>
      <c r="AN5" s="1966"/>
      <c r="AO5" s="1966"/>
      <c r="AP5" s="1966"/>
      <c r="AQ5" s="1967"/>
      <c r="AR5" s="1908" t="s">
        <v>1236</v>
      </c>
      <c r="AS5" s="1908"/>
      <c r="AT5" s="1909"/>
      <c r="AU5" s="1959"/>
      <c r="AV5" s="1927"/>
      <c r="AW5" s="1927"/>
      <c r="AX5" s="1927"/>
      <c r="AY5" s="1927"/>
      <c r="AZ5" s="1927"/>
      <c r="BA5" s="1927"/>
      <c r="BB5" s="1927"/>
      <c r="BC5" s="1960"/>
      <c r="BD5" s="1927"/>
      <c r="BE5" s="1927"/>
      <c r="BF5" s="1927"/>
      <c r="BG5" s="1927"/>
      <c r="BH5" s="1927"/>
      <c r="BI5" s="1927"/>
      <c r="BJ5" s="1927"/>
      <c r="BK5" s="1927"/>
      <c r="BL5" s="1963"/>
    </row>
    <row r="6" spans="2:66" ht="19.5" customHeight="1" thickBot="1" x14ac:dyDescent="0.4">
      <c r="B6" s="2044"/>
      <c r="C6" s="1554"/>
      <c r="D6" s="1554"/>
      <c r="E6" s="1554"/>
      <c r="F6" s="1554"/>
      <c r="G6" s="1554"/>
      <c r="H6" s="1554"/>
      <c r="I6" s="1554"/>
      <c r="J6" s="1554"/>
      <c r="K6" s="1554"/>
      <c r="L6" s="1555"/>
      <c r="M6" s="1959"/>
      <c r="N6" s="1927"/>
      <c r="O6" s="1960"/>
      <c r="P6" s="1919"/>
      <c r="Q6" s="1920"/>
      <c r="R6" s="1920"/>
      <c r="S6" s="1920"/>
      <c r="T6" s="1920"/>
      <c r="U6" s="1920"/>
      <c r="V6" s="1920"/>
      <c r="W6" s="1920"/>
      <c r="X6" s="1921"/>
      <c r="Y6" s="1923"/>
      <c r="Z6" s="1923"/>
      <c r="AA6" s="1924"/>
      <c r="AB6" s="1926"/>
      <c r="AC6" s="1927"/>
      <c r="AD6" s="1928"/>
      <c r="AE6" s="1954" t="s">
        <v>86</v>
      </c>
      <c r="AF6" s="1954"/>
      <c r="AG6" s="1954"/>
      <c r="AH6" s="2040" t="s">
        <v>67</v>
      </c>
      <c r="AI6" s="2040"/>
      <c r="AJ6" s="2040"/>
      <c r="AK6" s="1955" t="s">
        <v>134</v>
      </c>
      <c r="AL6" s="1911"/>
      <c r="AM6" s="1911"/>
      <c r="AN6" s="1957"/>
      <c r="AO6" s="1935" t="s">
        <v>16</v>
      </c>
      <c r="AP6" s="1936"/>
      <c r="AQ6" s="1937"/>
      <c r="AR6" s="1911"/>
      <c r="AS6" s="1911"/>
      <c r="AT6" s="1912"/>
      <c r="AU6" s="1919"/>
      <c r="AV6" s="1920"/>
      <c r="AW6" s="1920"/>
      <c r="AX6" s="1920"/>
      <c r="AY6" s="1920"/>
      <c r="AZ6" s="1920"/>
      <c r="BA6" s="1920"/>
      <c r="BB6" s="1920"/>
      <c r="BC6" s="1961"/>
      <c r="BD6" s="1920"/>
      <c r="BE6" s="1920"/>
      <c r="BF6" s="1920"/>
      <c r="BG6" s="1920"/>
      <c r="BH6" s="1920"/>
      <c r="BI6" s="1920"/>
      <c r="BJ6" s="1920"/>
      <c r="BK6" s="1920"/>
      <c r="BL6" s="1964"/>
    </row>
    <row r="7" spans="2:66" ht="29.25" customHeight="1" x14ac:dyDescent="0.35">
      <c r="B7" s="2044"/>
      <c r="C7" s="1554"/>
      <c r="D7" s="1554"/>
      <c r="E7" s="1554"/>
      <c r="F7" s="1554"/>
      <c r="G7" s="1554"/>
      <c r="H7" s="1554"/>
      <c r="I7" s="1554"/>
      <c r="J7" s="1554"/>
      <c r="K7" s="1554"/>
      <c r="L7" s="1555"/>
      <c r="M7" s="1959"/>
      <c r="N7" s="1927"/>
      <c r="O7" s="1960"/>
      <c r="P7" s="1927" t="s">
        <v>14</v>
      </c>
      <c r="Q7" s="1927"/>
      <c r="R7" s="1928"/>
      <c r="S7" s="1926" t="s">
        <v>15</v>
      </c>
      <c r="T7" s="1927"/>
      <c r="U7" s="1968"/>
      <c r="V7" s="1929" t="s">
        <v>16</v>
      </c>
      <c r="W7" s="1930"/>
      <c r="X7" s="1931"/>
      <c r="Y7" s="1923"/>
      <c r="Z7" s="1923"/>
      <c r="AA7" s="1924"/>
      <c r="AB7" s="1926"/>
      <c r="AC7" s="1927"/>
      <c r="AD7" s="1928"/>
      <c r="AE7" s="1954"/>
      <c r="AF7" s="1954"/>
      <c r="AG7" s="1954"/>
      <c r="AH7" s="2040"/>
      <c r="AI7" s="2040"/>
      <c r="AJ7" s="2040"/>
      <c r="AK7" s="1955"/>
      <c r="AL7" s="1911"/>
      <c r="AM7" s="1911"/>
      <c r="AN7" s="1957"/>
      <c r="AO7" s="1932" t="s">
        <v>1238</v>
      </c>
      <c r="AP7" s="1933"/>
      <c r="AQ7" s="1938"/>
      <c r="AR7" s="1911"/>
      <c r="AS7" s="1911"/>
      <c r="AT7" s="1912"/>
      <c r="AU7" s="1959" t="s">
        <v>14</v>
      </c>
      <c r="AV7" s="1927"/>
      <c r="AW7" s="1928"/>
      <c r="AX7" s="1926" t="s">
        <v>15</v>
      </c>
      <c r="AY7" s="1927"/>
      <c r="AZ7" s="1968"/>
      <c r="BA7" s="1939" t="s">
        <v>16</v>
      </c>
      <c r="BB7" s="1940"/>
      <c r="BC7" s="1941"/>
      <c r="BD7" s="1945" t="s">
        <v>14</v>
      </c>
      <c r="BE7" s="1940"/>
      <c r="BF7" s="1946"/>
      <c r="BG7" s="1947" t="s">
        <v>15</v>
      </c>
      <c r="BH7" s="1940"/>
      <c r="BI7" s="1948"/>
      <c r="BJ7" s="1939" t="s">
        <v>16</v>
      </c>
      <c r="BK7" s="1940"/>
      <c r="BL7" s="1949"/>
    </row>
    <row r="8" spans="2:66" ht="15.75" customHeight="1" x14ac:dyDescent="0.35">
      <c r="B8" s="2044"/>
      <c r="C8" s="1554"/>
      <c r="D8" s="1554"/>
      <c r="E8" s="1554"/>
      <c r="F8" s="1554"/>
      <c r="G8" s="1554"/>
      <c r="H8" s="1554"/>
      <c r="I8" s="1554"/>
      <c r="J8" s="1554"/>
      <c r="K8" s="1554"/>
      <c r="L8" s="1555"/>
      <c r="M8" s="1959"/>
      <c r="N8" s="1927"/>
      <c r="O8" s="1960"/>
      <c r="P8" s="1927"/>
      <c r="Q8" s="1927"/>
      <c r="R8" s="1928"/>
      <c r="S8" s="1926"/>
      <c r="T8" s="1927"/>
      <c r="U8" s="1968"/>
      <c r="V8" s="1932" t="s">
        <v>1237</v>
      </c>
      <c r="W8" s="1933"/>
      <c r="X8" s="1934"/>
      <c r="Y8" s="1923"/>
      <c r="Z8" s="1923"/>
      <c r="AA8" s="1924"/>
      <c r="AB8" s="1926"/>
      <c r="AC8" s="1927"/>
      <c r="AD8" s="1928"/>
      <c r="AE8" s="1954"/>
      <c r="AF8" s="1954"/>
      <c r="AG8" s="1954"/>
      <c r="AH8" s="2040"/>
      <c r="AI8" s="2040"/>
      <c r="AJ8" s="2040"/>
      <c r="AK8" s="1955"/>
      <c r="AL8" s="1911"/>
      <c r="AM8" s="1911"/>
      <c r="AN8" s="1957"/>
      <c r="AO8" s="1932"/>
      <c r="AP8" s="1933"/>
      <c r="AQ8" s="1938"/>
      <c r="AR8" s="1911"/>
      <c r="AS8" s="1911"/>
      <c r="AT8" s="1912"/>
      <c r="AU8" s="1959"/>
      <c r="AV8" s="1927"/>
      <c r="AW8" s="1928"/>
      <c r="AX8" s="1926"/>
      <c r="AY8" s="1927"/>
      <c r="AZ8" s="1968"/>
      <c r="BA8" s="1932" t="s">
        <v>1239</v>
      </c>
      <c r="BB8" s="1933"/>
      <c r="BC8" s="1934"/>
      <c r="BD8" s="1950" t="s">
        <v>71</v>
      </c>
      <c r="BE8" s="1933"/>
      <c r="BF8" s="1951"/>
      <c r="BG8" s="1952" t="s">
        <v>72</v>
      </c>
      <c r="BH8" s="1933"/>
      <c r="BI8" s="1938"/>
      <c r="BJ8" s="1932" t="s">
        <v>73</v>
      </c>
      <c r="BK8" s="1933"/>
      <c r="BL8" s="1953"/>
    </row>
    <row r="9" spans="2:66" s="223" customFormat="1" ht="12" customHeight="1" thickBot="1" x14ac:dyDescent="0.3">
      <c r="B9" s="2045" t="s">
        <v>28</v>
      </c>
      <c r="C9" s="1895"/>
      <c r="D9" s="1895"/>
      <c r="E9" s="1895"/>
      <c r="F9" s="1895"/>
      <c r="G9" s="1895"/>
      <c r="H9" s="1895"/>
      <c r="I9" s="1895"/>
      <c r="J9" s="1895"/>
      <c r="K9" s="1895"/>
      <c r="L9" s="1899"/>
      <c r="M9" s="1894" t="s">
        <v>29</v>
      </c>
      <c r="N9" s="1895"/>
      <c r="O9" s="1895"/>
      <c r="P9" s="1894" t="s">
        <v>30</v>
      </c>
      <c r="Q9" s="1895"/>
      <c r="R9" s="1895"/>
      <c r="S9" s="1897" t="s">
        <v>31</v>
      </c>
      <c r="T9" s="1895"/>
      <c r="U9" s="1898"/>
      <c r="V9" s="1901" t="s">
        <v>32</v>
      </c>
      <c r="W9" s="1895"/>
      <c r="X9" s="1899"/>
      <c r="Y9" s="1895" t="s">
        <v>33</v>
      </c>
      <c r="Z9" s="1895"/>
      <c r="AA9" s="1896"/>
      <c r="AB9" s="1897" t="s">
        <v>34</v>
      </c>
      <c r="AC9" s="1895"/>
      <c r="AD9" s="1896"/>
      <c r="AE9" s="1897" t="s">
        <v>35</v>
      </c>
      <c r="AF9" s="1895"/>
      <c r="AG9" s="1895"/>
      <c r="AH9" s="1897" t="s">
        <v>36</v>
      </c>
      <c r="AI9" s="1895"/>
      <c r="AJ9" s="1896"/>
      <c r="AK9" s="1897" t="s">
        <v>37</v>
      </c>
      <c r="AL9" s="1895"/>
      <c r="AM9" s="1895"/>
      <c r="AN9" s="1898"/>
      <c r="AO9" s="1901" t="s">
        <v>38</v>
      </c>
      <c r="AP9" s="1895"/>
      <c r="AQ9" s="1898"/>
      <c r="AR9" s="1902" t="s">
        <v>39</v>
      </c>
      <c r="AS9" s="1903"/>
      <c r="AT9" s="1899"/>
      <c r="AU9" s="1894" t="s">
        <v>40</v>
      </c>
      <c r="AV9" s="1895"/>
      <c r="AW9" s="1896"/>
      <c r="AX9" s="1897" t="s">
        <v>62</v>
      </c>
      <c r="AY9" s="1895"/>
      <c r="AZ9" s="1898"/>
      <c r="BA9" s="1895" t="s">
        <v>63</v>
      </c>
      <c r="BB9" s="1895"/>
      <c r="BC9" s="1899"/>
      <c r="BD9" s="1894" t="s">
        <v>64</v>
      </c>
      <c r="BE9" s="1895"/>
      <c r="BF9" s="1896"/>
      <c r="BG9" s="1897" t="s">
        <v>69</v>
      </c>
      <c r="BH9" s="1895"/>
      <c r="BI9" s="1898"/>
      <c r="BJ9" s="1895" t="s">
        <v>70</v>
      </c>
      <c r="BK9" s="1895"/>
      <c r="BL9" s="1900"/>
    </row>
    <row r="10" spans="2:66" s="242" customFormat="1" ht="27" customHeight="1" thickTop="1" thickBot="1" x14ac:dyDescent="0.4">
      <c r="B10" s="252" t="s">
        <v>186</v>
      </c>
      <c r="C10" s="266"/>
      <c r="D10" s="266"/>
      <c r="E10" s="266"/>
      <c r="F10" s="267"/>
      <c r="G10" s="267"/>
      <c r="H10" s="267"/>
      <c r="I10" s="267"/>
      <c r="J10" s="267"/>
      <c r="K10" s="267"/>
      <c r="L10" s="268"/>
      <c r="M10" s="1975"/>
      <c r="N10" s="1975"/>
      <c r="O10" s="1975"/>
      <c r="P10" s="1975"/>
      <c r="Q10" s="1975"/>
      <c r="R10" s="1975"/>
      <c r="S10" s="1975"/>
      <c r="T10" s="1975"/>
      <c r="U10" s="1975"/>
      <c r="V10" s="1975"/>
      <c r="W10" s="1975"/>
      <c r="X10" s="1975"/>
      <c r="Y10" s="1975"/>
      <c r="Z10" s="1975"/>
      <c r="AA10" s="1975"/>
      <c r="AB10" s="1975"/>
      <c r="AC10" s="1975"/>
      <c r="AD10" s="1975"/>
      <c r="AE10" s="1975"/>
      <c r="AF10" s="1975"/>
      <c r="AG10" s="1975"/>
      <c r="AH10" s="1975"/>
      <c r="AI10" s="1975"/>
      <c r="AJ10" s="1975"/>
      <c r="AK10" s="1975"/>
      <c r="AL10" s="1975"/>
      <c r="AM10" s="1975"/>
      <c r="AN10" s="1975"/>
      <c r="AO10" s="1975"/>
      <c r="AP10" s="1975"/>
      <c r="AQ10" s="1975"/>
      <c r="AR10" s="1975"/>
      <c r="AS10" s="1975"/>
      <c r="AT10" s="1975"/>
      <c r="AU10" s="1975"/>
      <c r="AV10" s="1975"/>
      <c r="AW10" s="1975"/>
      <c r="AX10" s="1975"/>
      <c r="AY10" s="1975"/>
      <c r="AZ10" s="1975"/>
      <c r="BA10" s="1975"/>
      <c r="BB10" s="1975"/>
      <c r="BC10" s="1975"/>
      <c r="BD10" s="1975"/>
      <c r="BE10" s="1975"/>
      <c r="BF10" s="1975"/>
      <c r="BG10" s="1975"/>
      <c r="BH10" s="1975"/>
      <c r="BI10" s="1975"/>
      <c r="BJ10" s="1975"/>
      <c r="BK10" s="1975"/>
      <c r="BL10" s="1976"/>
    </row>
    <row r="11" spans="2:66" s="72" customFormat="1" ht="27" customHeight="1" x14ac:dyDescent="0.35">
      <c r="B11" s="255" t="s">
        <v>180</v>
      </c>
      <c r="C11" s="112"/>
      <c r="D11" s="112"/>
      <c r="E11" s="112"/>
      <c r="F11" s="112"/>
      <c r="G11" s="112"/>
      <c r="H11" s="112"/>
      <c r="I11" s="112"/>
      <c r="J11" s="112"/>
      <c r="K11" s="112"/>
      <c r="L11" s="256"/>
      <c r="M11" s="1999">
        <v>0</v>
      </c>
      <c r="N11" s="2000"/>
      <c r="O11" s="2001"/>
      <c r="P11" s="1999">
        <v>0</v>
      </c>
      <c r="Q11" s="2000"/>
      <c r="R11" s="2001"/>
      <c r="S11" s="2059">
        <v>0</v>
      </c>
      <c r="T11" s="2000"/>
      <c r="U11" s="2060"/>
      <c r="V11" s="2008">
        <f>SUM(P11:U11)</f>
        <v>0</v>
      </c>
      <c r="W11" s="2006"/>
      <c r="X11" s="2007"/>
      <c r="Y11" s="1994">
        <v>0</v>
      </c>
      <c r="Z11" s="1994"/>
      <c r="AA11" s="2002"/>
      <c r="AB11" s="1993">
        <v>0</v>
      </c>
      <c r="AC11" s="1994"/>
      <c r="AD11" s="2002"/>
      <c r="AE11" s="1993">
        <v>0</v>
      </c>
      <c r="AF11" s="1994"/>
      <c r="AG11" s="2002"/>
      <c r="AH11" s="1993">
        <v>0</v>
      </c>
      <c r="AI11" s="1994"/>
      <c r="AJ11" s="2002"/>
      <c r="AK11" s="1993">
        <v>0</v>
      </c>
      <c r="AL11" s="1994"/>
      <c r="AM11" s="1994"/>
      <c r="AN11" s="1995"/>
      <c r="AO11" s="2003">
        <f>SUM(AE11:AN11)</f>
        <v>0</v>
      </c>
      <c r="AP11" s="2004"/>
      <c r="AQ11" s="2005"/>
      <c r="AR11" s="2006">
        <f>SUM(V11,Y11,AB11,AO11)</f>
        <v>0</v>
      </c>
      <c r="AS11" s="2006"/>
      <c r="AT11" s="2007"/>
      <c r="AU11" s="2070">
        <v>0</v>
      </c>
      <c r="AV11" s="1994"/>
      <c r="AW11" s="2002"/>
      <c r="AX11" s="1993">
        <v>0</v>
      </c>
      <c r="AY11" s="1994"/>
      <c r="AZ11" s="1995"/>
      <c r="BA11" s="2006">
        <f>SUM(AU11:AZ11)</f>
        <v>0</v>
      </c>
      <c r="BB11" s="2006"/>
      <c r="BC11" s="2007"/>
      <c r="BD11" s="2006">
        <f>SUM(P11,AU11)</f>
        <v>0</v>
      </c>
      <c r="BE11" s="2006"/>
      <c r="BF11" s="2006"/>
      <c r="BG11" s="2009">
        <f>SUM(AX11,S11)</f>
        <v>0</v>
      </c>
      <c r="BH11" s="2006"/>
      <c r="BI11" s="2010"/>
      <c r="BJ11" s="2008">
        <f>SUM(BD11:BI11)</f>
        <v>0</v>
      </c>
      <c r="BK11" s="2006"/>
      <c r="BL11" s="2046"/>
      <c r="BN11" s="230" t="str">
        <f>IF((AND(M11&lt;&gt;AR11,BJ11&lt;&gt;Table11!AN7)), "Totals in Column 12 shall tally with entries in Column 2 and totals in Table 10a Column 18 shall tally with entries in Table 11 Column 7.", IF(M11&lt;&gt;AR11, "Totals in Column 12 shall tally with entries in Column 2.", IF(Table11!AN7&lt;&gt;BJ11, "Totals in Table 10a Column 18 shall tally with entries in Table 11 Column 7.", "")))</f>
        <v/>
      </c>
    </row>
    <row r="12" spans="2:66" s="72" customFormat="1" ht="27" customHeight="1" x14ac:dyDescent="0.35">
      <c r="B12" s="224" t="s">
        <v>179</v>
      </c>
      <c r="C12" s="107"/>
      <c r="D12" s="107"/>
      <c r="E12" s="107"/>
      <c r="F12" s="107"/>
      <c r="G12" s="107"/>
      <c r="H12" s="107"/>
      <c r="I12" s="107"/>
      <c r="J12" s="107"/>
      <c r="K12" s="107"/>
      <c r="L12" s="108"/>
      <c r="M12" s="2061">
        <v>0</v>
      </c>
      <c r="N12" s="2062"/>
      <c r="O12" s="2063"/>
      <c r="P12" s="2061">
        <v>0</v>
      </c>
      <c r="Q12" s="2062"/>
      <c r="R12" s="2063"/>
      <c r="S12" s="2064">
        <v>0</v>
      </c>
      <c r="T12" s="2062"/>
      <c r="U12" s="2065"/>
      <c r="V12" s="2015">
        <f t="shared" ref="V12:V26" si="0">SUM(P12:U12)</f>
        <v>0</v>
      </c>
      <c r="W12" s="2011"/>
      <c r="X12" s="2012"/>
      <c r="Y12" s="1997">
        <v>0</v>
      </c>
      <c r="Z12" s="1997"/>
      <c r="AA12" s="2066"/>
      <c r="AB12" s="1996">
        <v>0</v>
      </c>
      <c r="AC12" s="1997"/>
      <c r="AD12" s="2066"/>
      <c r="AE12" s="1996">
        <v>0</v>
      </c>
      <c r="AF12" s="1997"/>
      <c r="AG12" s="2066"/>
      <c r="AH12" s="1996">
        <v>0</v>
      </c>
      <c r="AI12" s="1997"/>
      <c r="AJ12" s="2066"/>
      <c r="AK12" s="1996">
        <v>0</v>
      </c>
      <c r="AL12" s="1997"/>
      <c r="AM12" s="1997"/>
      <c r="AN12" s="1998"/>
      <c r="AO12" s="2067">
        <f t="shared" ref="AO12:AO26" si="1">SUM(AE12:AN12)</f>
        <v>0</v>
      </c>
      <c r="AP12" s="2068"/>
      <c r="AQ12" s="2069"/>
      <c r="AR12" s="2011">
        <f t="shared" ref="AR12:AR26" si="2">SUM(V12,Y12,AB12,AO12)</f>
        <v>0</v>
      </c>
      <c r="AS12" s="2011"/>
      <c r="AT12" s="2012"/>
      <c r="AU12" s="2071">
        <v>0</v>
      </c>
      <c r="AV12" s="1997"/>
      <c r="AW12" s="2066"/>
      <c r="AX12" s="1996">
        <v>0</v>
      </c>
      <c r="AY12" s="1997"/>
      <c r="AZ12" s="1998"/>
      <c r="BA12" s="2011">
        <f t="shared" ref="BA12:BA26" si="3">SUM(AU12:AZ12)</f>
        <v>0</v>
      </c>
      <c r="BB12" s="2011"/>
      <c r="BC12" s="2012"/>
      <c r="BD12" s="2011">
        <f t="shared" ref="BD12:BD26" si="4">SUM(P12,AU12)</f>
        <v>0</v>
      </c>
      <c r="BE12" s="2011"/>
      <c r="BF12" s="2011"/>
      <c r="BG12" s="2013">
        <f t="shared" ref="BG12:BG26" si="5">SUM(AX12,S12)</f>
        <v>0</v>
      </c>
      <c r="BH12" s="2011"/>
      <c r="BI12" s="2014"/>
      <c r="BJ12" s="2015">
        <f t="shared" ref="BJ12:BJ26" si="6">SUM(BD12:BI12)</f>
        <v>0</v>
      </c>
      <c r="BK12" s="2011"/>
      <c r="BL12" s="2016"/>
      <c r="BN12" s="230" t="str">
        <f>IF((AND(M12&lt;&gt;AR12,BJ12&lt;&gt;Table11!AN8)), "Totals in Column 12 shall tally with entries in Column 2 and totals in Table 10a Column 18 shall tally with entries in Table 11 Column 7.", IF(M12&lt;&gt;AR12, "Totals in Column 12 shall tally with entries in Column 2.", IF(Table11!AN8&lt;&gt;BJ12, "Totals in Table 10a Column 18 shall tally with entries in Table 11 Column 7.", "")))</f>
        <v/>
      </c>
    </row>
    <row r="13" spans="2:66" s="72" customFormat="1" ht="27" customHeight="1" thickBot="1" x14ac:dyDescent="0.4">
      <c r="B13" s="257" t="s">
        <v>178</v>
      </c>
      <c r="C13" s="103"/>
      <c r="D13" s="103"/>
      <c r="E13" s="103"/>
      <c r="F13" s="103"/>
      <c r="G13" s="103"/>
      <c r="H13" s="103"/>
      <c r="I13" s="103"/>
      <c r="J13" s="103"/>
      <c r="K13" s="103"/>
      <c r="L13" s="104"/>
      <c r="M13" s="2021">
        <v>0</v>
      </c>
      <c r="N13" s="2022"/>
      <c r="O13" s="2023"/>
      <c r="P13" s="2021">
        <v>0</v>
      </c>
      <c r="Q13" s="2022"/>
      <c r="R13" s="2023"/>
      <c r="S13" s="2024">
        <v>0</v>
      </c>
      <c r="T13" s="2022"/>
      <c r="U13" s="2025"/>
      <c r="V13" s="2019">
        <f t="shared" si="0"/>
        <v>0</v>
      </c>
      <c r="W13" s="2017"/>
      <c r="X13" s="2018"/>
      <c r="Y13" s="1988">
        <v>0</v>
      </c>
      <c r="Z13" s="1988"/>
      <c r="AA13" s="2020"/>
      <c r="AB13" s="1987">
        <v>0</v>
      </c>
      <c r="AC13" s="1988"/>
      <c r="AD13" s="2020"/>
      <c r="AE13" s="1987">
        <v>0</v>
      </c>
      <c r="AF13" s="1988"/>
      <c r="AG13" s="2020"/>
      <c r="AH13" s="1987">
        <v>0</v>
      </c>
      <c r="AI13" s="1988"/>
      <c r="AJ13" s="2020"/>
      <c r="AK13" s="1987">
        <v>0</v>
      </c>
      <c r="AL13" s="1988"/>
      <c r="AM13" s="1988"/>
      <c r="AN13" s="1989"/>
      <c r="AO13" s="2055">
        <f t="shared" si="1"/>
        <v>0</v>
      </c>
      <c r="AP13" s="2056"/>
      <c r="AQ13" s="2057"/>
      <c r="AR13" s="2017">
        <f t="shared" si="2"/>
        <v>0</v>
      </c>
      <c r="AS13" s="2017"/>
      <c r="AT13" s="2018"/>
      <c r="AU13" s="2058">
        <v>0</v>
      </c>
      <c r="AV13" s="1988"/>
      <c r="AW13" s="2020"/>
      <c r="AX13" s="1987">
        <v>0</v>
      </c>
      <c r="AY13" s="1988"/>
      <c r="AZ13" s="1989"/>
      <c r="BA13" s="2017">
        <f t="shared" si="3"/>
        <v>0</v>
      </c>
      <c r="BB13" s="2017"/>
      <c r="BC13" s="2018"/>
      <c r="BD13" s="2017">
        <f t="shared" si="4"/>
        <v>0</v>
      </c>
      <c r="BE13" s="2017"/>
      <c r="BF13" s="2017"/>
      <c r="BG13" s="2053">
        <f t="shared" si="5"/>
        <v>0</v>
      </c>
      <c r="BH13" s="2017"/>
      <c r="BI13" s="2054"/>
      <c r="BJ13" s="2019">
        <f t="shared" si="6"/>
        <v>0</v>
      </c>
      <c r="BK13" s="2017"/>
      <c r="BL13" s="2028"/>
      <c r="BN13" s="230" t="str">
        <f>IF((AND(M13&lt;&gt;AR13,BJ13&lt;&gt;Table11!AN9)), "Totals in Column 12 shall tally with entries in Column 2 and totals in Table 10a Column 18 shall tally with entries in Table 11 Column 7.", IF(M13&lt;&gt;AR13, "Totals in Column 12 shall tally with entries in Column 2.", IF(Table11!AN9&lt;&gt;BJ13, "Totals in Table 10a Column 18 shall tally with entries in Table 11 Column 7.", "")))</f>
        <v/>
      </c>
    </row>
    <row r="14" spans="2:66" s="72" customFormat="1" ht="27" customHeight="1" x14ac:dyDescent="0.35">
      <c r="B14" s="255" t="s">
        <v>176</v>
      </c>
      <c r="C14" s="205"/>
      <c r="D14" s="112"/>
      <c r="E14" s="112"/>
      <c r="F14" s="112"/>
      <c r="G14" s="112"/>
      <c r="H14" s="112"/>
      <c r="I14" s="112"/>
      <c r="J14" s="112"/>
      <c r="K14" s="112"/>
      <c r="L14" s="256"/>
      <c r="M14" s="2036">
        <v>0</v>
      </c>
      <c r="N14" s="2037"/>
      <c r="O14" s="2038"/>
      <c r="P14" s="2036">
        <v>0</v>
      </c>
      <c r="Q14" s="2037"/>
      <c r="R14" s="2038"/>
      <c r="S14" s="2072">
        <v>0</v>
      </c>
      <c r="T14" s="2037"/>
      <c r="U14" s="2073"/>
      <c r="V14" s="2031">
        <f t="shared" si="0"/>
        <v>0</v>
      </c>
      <c r="W14" s="2026"/>
      <c r="X14" s="2027"/>
      <c r="Y14" s="1991">
        <v>0</v>
      </c>
      <c r="Z14" s="1991"/>
      <c r="AA14" s="2074"/>
      <c r="AB14" s="1990">
        <v>0</v>
      </c>
      <c r="AC14" s="1991"/>
      <c r="AD14" s="2074"/>
      <c r="AE14" s="1990">
        <v>0</v>
      </c>
      <c r="AF14" s="1991"/>
      <c r="AG14" s="2074"/>
      <c r="AH14" s="1990">
        <v>0</v>
      </c>
      <c r="AI14" s="1991"/>
      <c r="AJ14" s="2074"/>
      <c r="AK14" s="1990">
        <v>0</v>
      </c>
      <c r="AL14" s="1991"/>
      <c r="AM14" s="1991"/>
      <c r="AN14" s="1992"/>
      <c r="AO14" s="2075">
        <f t="shared" si="1"/>
        <v>0</v>
      </c>
      <c r="AP14" s="2076"/>
      <c r="AQ14" s="2077"/>
      <c r="AR14" s="2026">
        <f t="shared" si="2"/>
        <v>0</v>
      </c>
      <c r="AS14" s="2026"/>
      <c r="AT14" s="2027"/>
      <c r="AU14" s="2078">
        <v>0</v>
      </c>
      <c r="AV14" s="1991"/>
      <c r="AW14" s="2074"/>
      <c r="AX14" s="1990">
        <v>0</v>
      </c>
      <c r="AY14" s="1991"/>
      <c r="AZ14" s="1992"/>
      <c r="BA14" s="2026">
        <f t="shared" si="3"/>
        <v>0</v>
      </c>
      <c r="BB14" s="2026"/>
      <c r="BC14" s="2027"/>
      <c r="BD14" s="2026">
        <f t="shared" si="4"/>
        <v>0</v>
      </c>
      <c r="BE14" s="2026"/>
      <c r="BF14" s="2026"/>
      <c r="BG14" s="2029">
        <f t="shared" si="5"/>
        <v>0</v>
      </c>
      <c r="BH14" s="2026"/>
      <c r="BI14" s="2030"/>
      <c r="BJ14" s="2031">
        <f t="shared" si="6"/>
        <v>0</v>
      </c>
      <c r="BK14" s="2026"/>
      <c r="BL14" s="2032"/>
      <c r="BN14" s="230" t="str">
        <f>IF((AND(M14&lt;&gt;AR14,BJ14&lt;&gt;Table11!AN10)), "Totals in Column 12 shall tally with entries in Column 2 and totals in Table 10a Column 18 shall tally with entries in Table 11 Column 7.", IF(M14&lt;&gt;AR14, "Totals in Column 12 shall tally with entries in Column 2.", IF(Table11!AN10&lt;&gt;BJ14, "Totals in Table 10a Column 18 shall tally with entries in Table 11 Column 7.", "")))</f>
        <v/>
      </c>
    </row>
    <row r="15" spans="2:66" s="72" customFormat="1" ht="27" customHeight="1" x14ac:dyDescent="0.35">
      <c r="B15" s="224" t="s">
        <v>78</v>
      </c>
      <c r="C15" s="258"/>
      <c r="D15" s="107"/>
      <c r="E15" s="107"/>
      <c r="F15" s="107"/>
      <c r="G15" s="107"/>
      <c r="H15" s="107"/>
      <c r="I15" s="107"/>
      <c r="J15" s="107"/>
      <c r="K15" s="107"/>
      <c r="L15" s="108"/>
      <c r="M15" s="2061">
        <v>0</v>
      </c>
      <c r="N15" s="2062"/>
      <c r="O15" s="2063"/>
      <c r="P15" s="2061">
        <v>0</v>
      </c>
      <c r="Q15" s="2062"/>
      <c r="R15" s="2063"/>
      <c r="S15" s="2064">
        <v>0</v>
      </c>
      <c r="T15" s="2062"/>
      <c r="U15" s="2065"/>
      <c r="V15" s="2015">
        <f t="shared" si="0"/>
        <v>0</v>
      </c>
      <c r="W15" s="2011"/>
      <c r="X15" s="2012"/>
      <c r="Y15" s="1997">
        <v>0</v>
      </c>
      <c r="Z15" s="1997"/>
      <c r="AA15" s="2066"/>
      <c r="AB15" s="1996">
        <v>0</v>
      </c>
      <c r="AC15" s="1997"/>
      <c r="AD15" s="2066"/>
      <c r="AE15" s="1996">
        <v>0</v>
      </c>
      <c r="AF15" s="1997"/>
      <c r="AG15" s="2066"/>
      <c r="AH15" s="1996">
        <v>0</v>
      </c>
      <c r="AI15" s="1997"/>
      <c r="AJ15" s="2066"/>
      <c r="AK15" s="1996">
        <v>0</v>
      </c>
      <c r="AL15" s="1997"/>
      <c r="AM15" s="1997"/>
      <c r="AN15" s="1998"/>
      <c r="AO15" s="2067">
        <f t="shared" si="1"/>
        <v>0</v>
      </c>
      <c r="AP15" s="2068"/>
      <c r="AQ15" s="2069"/>
      <c r="AR15" s="2011">
        <f t="shared" si="2"/>
        <v>0</v>
      </c>
      <c r="AS15" s="2011"/>
      <c r="AT15" s="2012"/>
      <c r="AU15" s="2071">
        <v>0</v>
      </c>
      <c r="AV15" s="1997"/>
      <c r="AW15" s="2066"/>
      <c r="AX15" s="1996">
        <v>0</v>
      </c>
      <c r="AY15" s="1997"/>
      <c r="AZ15" s="1998"/>
      <c r="BA15" s="2011">
        <f t="shared" si="3"/>
        <v>0</v>
      </c>
      <c r="BB15" s="2011"/>
      <c r="BC15" s="2012"/>
      <c r="BD15" s="2011">
        <f t="shared" si="4"/>
        <v>0</v>
      </c>
      <c r="BE15" s="2011"/>
      <c r="BF15" s="2011"/>
      <c r="BG15" s="2013">
        <f t="shared" si="5"/>
        <v>0</v>
      </c>
      <c r="BH15" s="2011"/>
      <c r="BI15" s="2014"/>
      <c r="BJ15" s="2015">
        <f t="shared" si="6"/>
        <v>0</v>
      </c>
      <c r="BK15" s="2011"/>
      <c r="BL15" s="2016"/>
      <c r="BN15" s="230" t="str">
        <f>IF((AND(M15&lt;&gt;AR15,BJ15&lt;&gt;Table11!AN11)), "Totals in Column 12 shall tally with entries in Column 2 and totals in Table 10a Column 18 shall tally with entries in Table 11 Column 7.", IF(M15&lt;&gt;AR15, "Totals in Column 12 shall tally with entries in Column 2.", IF(Table11!AN11&lt;&gt;BJ15, "Totals in Table 10a Column 18 shall tally with entries in Table 11 Column 7.", "")))</f>
        <v/>
      </c>
    </row>
    <row r="16" spans="2:66" s="72" customFormat="1" ht="27" customHeight="1" x14ac:dyDescent="0.35">
      <c r="B16" s="224" t="s">
        <v>79</v>
      </c>
      <c r="C16" s="107"/>
      <c r="D16" s="107"/>
      <c r="E16" s="107"/>
      <c r="F16" s="107"/>
      <c r="G16" s="107"/>
      <c r="H16" s="107"/>
      <c r="I16" s="107"/>
      <c r="J16" s="107"/>
      <c r="K16" s="107"/>
      <c r="L16" s="108"/>
      <c r="M16" s="2061">
        <v>2</v>
      </c>
      <c r="N16" s="2062"/>
      <c r="O16" s="2063"/>
      <c r="P16" s="2061">
        <v>0</v>
      </c>
      <c r="Q16" s="2062"/>
      <c r="R16" s="2063"/>
      <c r="S16" s="2064">
        <v>2</v>
      </c>
      <c r="T16" s="2062"/>
      <c r="U16" s="2065"/>
      <c r="V16" s="2015">
        <f t="shared" si="0"/>
        <v>2</v>
      </c>
      <c r="W16" s="2011"/>
      <c r="X16" s="2012"/>
      <c r="Y16" s="1997">
        <v>0</v>
      </c>
      <c r="Z16" s="1997"/>
      <c r="AA16" s="2066"/>
      <c r="AB16" s="1996">
        <v>0</v>
      </c>
      <c r="AC16" s="1997"/>
      <c r="AD16" s="2066"/>
      <c r="AE16" s="1996">
        <v>0</v>
      </c>
      <c r="AF16" s="1997"/>
      <c r="AG16" s="2066"/>
      <c r="AH16" s="1996">
        <v>0</v>
      </c>
      <c r="AI16" s="1997"/>
      <c r="AJ16" s="2066"/>
      <c r="AK16" s="1996">
        <v>0</v>
      </c>
      <c r="AL16" s="1997"/>
      <c r="AM16" s="1997"/>
      <c r="AN16" s="1998"/>
      <c r="AO16" s="2067">
        <f t="shared" si="1"/>
        <v>0</v>
      </c>
      <c r="AP16" s="2068"/>
      <c r="AQ16" s="2069"/>
      <c r="AR16" s="2011">
        <f t="shared" si="2"/>
        <v>2</v>
      </c>
      <c r="AS16" s="2011"/>
      <c r="AT16" s="2012"/>
      <c r="AU16" s="2071">
        <v>0</v>
      </c>
      <c r="AV16" s="1997"/>
      <c r="AW16" s="2066"/>
      <c r="AX16" s="1996">
        <v>0</v>
      </c>
      <c r="AY16" s="1997"/>
      <c r="AZ16" s="1998"/>
      <c r="BA16" s="2011">
        <f t="shared" si="3"/>
        <v>0</v>
      </c>
      <c r="BB16" s="2011"/>
      <c r="BC16" s="2012"/>
      <c r="BD16" s="2011">
        <f t="shared" si="4"/>
        <v>0</v>
      </c>
      <c r="BE16" s="2011"/>
      <c r="BF16" s="2011"/>
      <c r="BG16" s="2013">
        <f t="shared" si="5"/>
        <v>2</v>
      </c>
      <c r="BH16" s="2011"/>
      <c r="BI16" s="2014"/>
      <c r="BJ16" s="2015">
        <f t="shared" si="6"/>
        <v>2</v>
      </c>
      <c r="BK16" s="2011"/>
      <c r="BL16" s="2016"/>
      <c r="BN16" s="230" t="str">
        <f>IF((AND(M16&lt;&gt;AR16,BJ16&lt;&gt;Table11!AN12)), "Totals in Column 12 shall tally with entries in Column 2 and totals in Table 10a Column 18 shall tally with entries in Table 11 Column 7.", IF(M16&lt;&gt;AR16, "Totals in Column 12 shall tally with entries in Column 2.", IF(Table11!AN12&lt;&gt;BJ16, "Totals in Table 10a Column 18 shall tally with entries in Table 11 Column 7.", "")))</f>
        <v/>
      </c>
    </row>
    <row r="17" spans="2:67" s="72" customFormat="1" ht="27" customHeight="1" thickBot="1" x14ac:dyDescent="0.4">
      <c r="B17" s="257" t="s">
        <v>80</v>
      </c>
      <c r="C17" s="103"/>
      <c r="D17" s="103"/>
      <c r="E17" s="103"/>
      <c r="F17" s="103"/>
      <c r="G17" s="103"/>
      <c r="H17" s="103"/>
      <c r="I17" s="103"/>
      <c r="J17" s="103"/>
      <c r="K17" s="103"/>
      <c r="L17" s="104"/>
      <c r="M17" s="2021">
        <v>5</v>
      </c>
      <c r="N17" s="2022"/>
      <c r="O17" s="2023"/>
      <c r="P17" s="2021">
        <v>4</v>
      </c>
      <c r="Q17" s="2022"/>
      <c r="R17" s="2023"/>
      <c r="S17" s="2024">
        <v>1</v>
      </c>
      <c r="T17" s="2022"/>
      <c r="U17" s="2025"/>
      <c r="V17" s="2019">
        <f t="shared" si="0"/>
        <v>5</v>
      </c>
      <c r="W17" s="2017"/>
      <c r="X17" s="2018"/>
      <c r="Y17" s="1988">
        <v>0</v>
      </c>
      <c r="Z17" s="1988"/>
      <c r="AA17" s="2020"/>
      <c r="AB17" s="1987">
        <v>0</v>
      </c>
      <c r="AC17" s="1988"/>
      <c r="AD17" s="2020"/>
      <c r="AE17" s="1987">
        <v>0</v>
      </c>
      <c r="AF17" s="1988"/>
      <c r="AG17" s="2020"/>
      <c r="AH17" s="1987">
        <v>0</v>
      </c>
      <c r="AI17" s="1988"/>
      <c r="AJ17" s="2020"/>
      <c r="AK17" s="1987">
        <v>0</v>
      </c>
      <c r="AL17" s="1988"/>
      <c r="AM17" s="1988"/>
      <c r="AN17" s="1989"/>
      <c r="AO17" s="2055">
        <f t="shared" si="1"/>
        <v>0</v>
      </c>
      <c r="AP17" s="2056"/>
      <c r="AQ17" s="2057"/>
      <c r="AR17" s="2017">
        <f t="shared" si="2"/>
        <v>5</v>
      </c>
      <c r="AS17" s="2017"/>
      <c r="AT17" s="2018"/>
      <c r="AU17" s="2058">
        <v>0</v>
      </c>
      <c r="AV17" s="1988"/>
      <c r="AW17" s="2020"/>
      <c r="AX17" s="1987">
        <v>0</v>
      </c>
      <c r="AY17" s="1988"/>
      <c r="AZ17" s="1989"/>
      <c r="BA17" s="2017">
        <f t="shared" si="3"/>
        <v>0</v>
      </c>
      <c r="BB17" s="2017"/>
      <c r="BC17" s="2018"/>
      <c r="BD17" s="2017">
        <f t="shared" si="4"/>
        <v>4</v>
      </c>
      <c r="BE17" s="2017"/>
      <c r="BF17" s="2017"/>
      <c r="BG17" s="2053">
        <f t="shared" si="5"/>
        <v>1</v>
      </c>
      <c r="BH17" s="2017"/>
      <c r="BI17" s="2054"/>
      <c r="BJ17" s="2019">
        <f t="shared" si="6"/>
        <v>5</v>
      </c>
      <c r="BK17" s="2017"/>
      <c r="BL17" s="2028"/>
      <c r="BN17" s="230" t="str">
        <f>IF((AND(M17&lt;&gt;AR17,BJ17&lt;&gt;Table11!AN13)), "Totals in Column 12 shall tally with entries in Column 2 and totals in Table 10a Column 18 shall tally with entries in Table 11 Column 7.", IF(M17&lt;&gt;AR17, "Totals in Column 12 shall tally with entries in Column 2.", IF(Table11!AN13&lt;&gt;BJ17, "Totals in Table 10a Column 18 shall tally with entries in Table 11 Column 7.", "")))</f>
        <v/>
      </c>
    </row>
    <row r="18" spans="2:67" s="72" customFormat="1" ht="27" customHeight="1" x14ac:dyDescent="0.35">
      <c r="B18" s="255" t="s">
        <v>81</v>
      </c>
      <c r="C18" s="112"/>
      <c r="D18" s="112"/>
      <c r="E18" s="112"/>
      <c r="F18" s="112"/>
      <c r="G18" s="112"/>
      <c r="H18" s="112"/>
      <c r="I18" s="112"/>
      <c r="J18" s="112"/>
      <c r="K18" s="112"/>
      <c r="L18" s="256"/>
      <c r="M18" s="2036">
        <v>21</v>
      </c>
      <c r="N18" s="2037"/>
      <c r="O18" s="2038"/>
      <c r="P18" s="2036">
        <v>4</v>
      </c>
      <c r="Q18" s="2037"/>
      <c r="R18" s="2038"/>
      <c r="S18" s="2072">
        <v>16</v>
      </c>
      <c r="T18" s="2037"/>
      <c r="U18" s="2073"/>
      <c r="V18" s="2031">
        <f t="shared" si="0"/>
        <v>20</v>
      </c>
      <c r="W18" s="2026"/>
      <c r="X18" s="2027"/>
      <c r="Y18" s="1991">
        <v>1</v>
      </c>
      <c r="Z18" s="1991"/>
      <c r="AA18" s="2074"/>
      <c r="AB18" s="1990">
        <v>0</v>
      </c>
      <c r="AC18" s="1991"/>
      <c r="AD18" s="2074"/>
      <c r="AE18" s="1990">
        <v>0</v>
      </c>
      <c r="AF18" s="1991"/>
      <c r="AG18" s="2074"/>
      <c r="AH18" s="1990">
        <v>0</v>
      </c>
      <c r="AI18" s="1991"/>
      <c r="AJ18" s="2074"/>
      <c r="AK18" s="1990">
        <v>0</v>
      </c>
      <c r="AL18" s="1991"/>
      <c r="AM18" s="1991"/>
      <c r="AN18" s="1992"/>
      <c r="AO18" s="2075">
        <f t="shared" si="1"/>
        <v>0</v>
      </c>
      <c r="AP18" s="2076"/>
      <c r="AQ18" s="2077"/>
      <c r="AR18" s="2026">
        <f t="shared" si="2"/>
        <v>21</v>
      </c>
      <c r="AS18" s="2026"/>
      <c r="AT18" s="2027"/>
      <c r="AU18" s="2078">
        <v>0</v>
      </c>
      <c r="AV18" s="1991"/>
      <c r="AW18" s="2074"/>
      <c r="AX18" s="1990">
        <v>0</v>
      </c>
      <c r="AY18" s="1991"/>
      <c r="AZ18" s="1992"/>
      <c r="BA18" s="2026">
        <f t="shared" si="3"/>
        <v>0</v>
      </c>
      <c r="BB18" s="2026"/>
      <c r="BC18" s="2027"/>
      <c r="BD18" s="2026">
        <f t="shared" si="4"/>
        <v>4</v>
      </c>
      <c r="BE18" s="2026"/>
      <c r="BF18" s="2026"/>
      <c r="BG18" s="2029">
        <f t="shared" si="5"/>
        <v>16</v>
      </c>
      <c r="BH18" s="2026"/>
      <c r="BI18" s="2030"/>
      <c r="BJ18" s="2031">
        <f t="shared" si="6"/>
        <v>20</v>
      </c>
      <c r="BK18" s="2026"/>
      <c r="BL18" s="2032"/>
      <c r="BN18" s="230" t="str">
        <f>IF((AND(M18&lt;&gt;AR18,BJ18&lt;&gt;Table11!AN14)), "Totals in Column 12 shall tally with entries in Column 2 and totals in Table 10a Column 18 shall tally with entries in Table 11 Column 7.", IF(M18&lt;&gt;AR18, "Totals in Column 12 shall tally with entries in Column 2.", IF(Table11!AN14&lt;&gt;BJ18, "Totals in Table 10a Column 18 shall tally with entries in Table 11 Column 7.", "")))</f>
        <v/>
      </c>
    </row>
    <row r="19" spans="2:67" s="72" customFormat="1" ht="27" customHeight="1" x14ac:dyDescent="0.35">
      <c r="B19" s="224" t="s">
        <v>82</v>
      </c>
      <c r="C19" s="107"/>
      <c r="D19" s="107"/>
      <c r="E19" s="107"/>
      <c r="F19" s="107"/>
      <c r="G19" s="107"/>
      <c r="H19" s="107"/>
      <c r="I19" s="107"/>
      <c r="J19" s="107"/>
      <c r="K19" s="107"/>
      <c r="L19" s="108"/>
      <c r="M19" s="2061">
        <v>5</v>
      </c>
      <c r="N19" s="2062"/>
      <c r="O19" s="2063"/>
      <c r="P19" s="2061">
        <v>1</v>
      </c>
      <c r="Q19" s="2062"/>
      <c r="R19" s="2063"/>
      <c r="S19" s="2064">
        <v>4</v>
      </c>
      <c r="T19" s="2062"/>
      <c r="U19" s="2065"/>
      <c r="V19" s="2015">
        <f t="shared" si="0"/>
        <v>5</v>
      </c>
      <c r="W19" s="2011"/>
      <c r="X19" s="2012"/>
      <c r="Y19" s="1997">
        <v>0</v>
      </c>
      <c r="Z19" s="1997"/>
      <c r="AA19" s="2066"/>
      <c r="AB19" s="1996">
        <v>0</v>
      </c>
      <c r="AC19" s="1997"/>
      <c r="AD19" s="2066"/>
      <c r="AE19" s="1996">
        <v>0</v>
      </c>
      <c r="AF19" s="1997"/>
      <c r="AG19" s="2066"/>
      <c r="AH19" s="1996">
        <v>0</v>
      </c>
      <c r="AI19" s="1997"/>
      <c r="AJ19" s="2066"/>
      <c r="AK19" s="1996">
        <v>0</v>
      </c>
      <c r="AL19" s="1997"/>
      <c r="AM19" s="1997"/>
      <c r="AN19" s="1998"/>
      <c r="AO19" s="2067">
        <f t="shared" si="1"/>
        <v>0</v>
      </c>
      <c r="AP19" s="2068"/>
      <c r="AQ19" s="2069"/>
      <c r="AR19" s="2011">
        <f t="shared" si="2"/>
        <v>5</v>
      </c>
      <c r="AS19" s="2011"/>
      <c r="AT19" s="2012"/>
      <c r="AU19" s="2071">
        <v>0</v>
      </c>
      <c r="AV19" s="1997"/>
      <c r="AW19" s="2066"/>
      <c r="AX19" s="1996">
        <v>0</v>
      </c>
      <c r="AY19" s="1997"/>
      <c r="AZ19" s="1998"/>
      <c r="BA19" s="2011">
        <f t="shared" si="3"/>
        <v>0</v>
      </c>
      <c r="BB19" s="2011"/>
      <c r="BC19" s="2012"/>
      <c r="BD19" s="2011">
        <f t="shared" si="4"/>
        <v>1</v>
      </c>
      <c r="BE19" s="2011"/>
      <c r="BF19" s="2011"/>
      <c r="BG19" s="2013">
        <f t="shared" si="5"/>
        <v>4</v>
      </c>
      <c r="BH19" s="2011"/>
      <c r="BI19" s="2014"/>
      <c r="BJ19" s="2015">
        <f t="shared" si="6"/>
        <v>5</v>
      </c>
      <c r="BK19" s="2011"/>
      <c r="BL19" s="2016"/>
      <c r="BN19" s="230" t="str">
        <f>IF((AND(M19&lt;&gt;AR19,BJ19&lt;&gt;Table11!AN15)), "Totals in Column 12 shall tally with entries in Column 2 and totals in Table 10a Column 18 shall tally with entries in Table 11 Column 7.", IF(M19&lt;&gt;AR19, "Totals in Column 12 shall tally with entries in Column 2.", IF(Table11!AN15&lt;&gt;BJ19, "Totals in Table 10a Column 18 shall tally with entries in Table 11 Column 7.", "")))</f>
        <v/>
      </c>
    </row>
    <row r="20" spans="2:67" s="72" customFormat="1" ht="27" customHeight="1" thickBot="1" x14ac:dyDescent="0.4">
      <c r="B20" s="257" t="s">
        <v>83</v>
      </c>
      <c r="C20" s="103"/>
      <c r="D20" s="103"/>
      <c r="E20" s="103"/>
      <c r="F20" s="103"/>
      <c r="G20" s="103"/>
      <c r="H20" s="103"/>
      <c r="I20" s="103"/>
      <c r="J20" s="103"/>
      <c r="K20" s="103"/>
      <c r="L20" s="104"/>
      <c r="M20" s="2021">
        <v>39</v>
      </c>
      <c r="N20" s="2022"/>
      <c r="O20" s="2023"/>
      <c r="P20" s="2021">
        <v>9</v>
      </c>
      <c r="Q20" s="2022"/>
      <c r="R20" s="2023"/>
      <c r="S20" s="2024">
        <v>30</v>
      </c>
      <c r="T20" s="2022"/>
      <c r="U20" s="2025"/>
      <c r="V20" s="2019">
        <f t="shared" si="0"/>
        <v>39</v>
      </c>
      <c r="W20" s="2017"/>
      <c r="X20" s="2018"/>
      <c r="Y20" s="1988">
        <v>0</v>
      </c>
      <c r="Z20" s="1988"/>
      <c r="AA20" s="2020"/>
      <c r="AB20" s="1987">
        <v>0</v>
      </c>
      <c r="AC20" s="1988"/>
      <c r="AD20" s="2020"/>
      <c r="AE20" s="1987">
        <v>0</v>
      </c>
      <c r="AF20" s="1988"/>
      <c r="AG20" s="2020"/>
      <c r="AH20" s="1987">
        <v>0</v>
      </c>
      <c r="AI20" s="1988"/>
      <c r="AJ20" s="2020"/>
      <c r="AK20" s="1987">
        <v>0</v>
      </c>
      <c r="AL20" s="1988"/>
      <c r="AM20" s="1988"/>
      <c r="AN20" s="1989"/>
      <c r="AO20" s="2055">
        <f t="shared" si="1"/>
        <v>0</v>
      </c>
      <c r="AP20" s="2056"/>
      <c r="AQ20" s="2057"/>
      <c r="AR20" s="2017">
        <f t="shared" si="2"/>
        <v>39</v>
      </c>
      <c r="AS20" s="2017"/>
      <c r="AT20" s="2018"/>
      <c r="AU20" s="2058">
        <v>0</v>
      </c>
      <c r="AV20" s="1988"/>
      <c r="AW20" s="2020"/>
      <c r="AX20" s="1987">
        <v>0</v>
      </c>
      <c r="AY20" s="1988"/>
      <c r="AZ20" s="1989"/>
      <c r="BA20" s="2017">
        <f t="shared" si="3"/>
        <v>0</v>
      </c>
      <c r="BB20" s="2017"/>
      <c r="BC20" s="2018"/>
      <c r="BD20" s="2017">
        <f t="shared" si="4"/>
        <v>9</v>
      </c>
      <c r="BE20" s="2017"/>
      <c r="BF20" s="2017"/>
      <c r="BG20" s="2053">
        <f t="shared" si="5"/>
        <v>30</v>
      </c>
      <c r="BH20" s="2017"/>
      <c r="BI20" s="2054"/>
      <c r="BJ20" s="2019">
        <f t="shared" si="6"/>
        <v>39</v>
      </c>
      <c r="BK20" s="2017"/>
      <c r="BL20" s="2028"/>
      <c r="BN20" s="230" t="str">
        <f>IF((AND(M20&lt;&gt;AR20,BJ20&lt;&gt;Table11!AN16)), "Totals in Column 12 shall tally with entries in Column 2 and totals in Table 10a Column 18 shall tally with entries in Table 11 Column 7.", IF(M20&lt;&gt;AR20, "Totals in Column 12 shall tally with entries in Column 2.", IF(Table11!AN16&lt;&gt;BJ20, "Totals in Table 10a Column 18 shall tally with entries in Table 11 Column 7.", "")))</f>
        <v/>
      </c>
    </row>
    <row r="21" spans="2:67" s="72" customFormat="1" ht="27" customHeight="1" thickBot="1" x14ac:dyDescent="0.4">
      <c r="B21" s="259" t="s">
        <v>234</v>
      </c>
      <c r="C21" s="260"/>
      <c r="D21" s="260"/>
      <c r="E21" s="260"/>
      <c r="F21" s="260"/>
      <c r="G21" s="260"/>
      <c r="H21" s="260"/>
      <c r="I21" s="260"/>
      <c r="J21" s="260"/>
      <c r="K21" s="260"/>
      <c r="L21" s="261"/>
      <c r="M21" s="2021">
        <v>1</v>
      </c>
      <c r="N21" s="2022"/>
      <c r="O21" s="2023"/>
      <c r="P21" s="2021">
        <v>0</v>
      </c>
      <c r="Q21" s="2022"/>
      <c r="R21" s="2023"/>
      <c r="S21" s="2024">
        <v>1</v>
      </c>
      <c r="T21" s="2022"/>
      <c r="U21" s="2025"/>
      <c r="V21" s="2019">
        <f t="shared" si="0"/>
        <v>1</v>
      </c>
      <c r="W21" s="2017"/>
      <c r="X21" s="2018"/>
      <c r="Y21" s="1988">
        <v>0</v>
      </c>
      <c r="Z21" s="1988"/>
      <c r="AA21" s="2020"/>
      <c r="AB21" s="1987">
        <v>0</v>
      </c>
      <c r="AC21" s="1988"/>
      <c r="AD21" s="2020"/>
      <c r="AE21" s="1987">
        <v>0</v>
      </c>
      <c r="AF21" s="1988"/>
      <c r="AG21" s="2020"/>
      <c r="AH21" s="1987">
        <v>0</v>
      </c>
      <c r="AI21" s="1988"/>
      <c r="AJ21" s="2020"/>
      <c r="AK21" s="1987">
        <v>0</v>
      </c>
      <c r="AL21" s="1988"/>
      <c r="AM21" s="1988"/>
      <c r="AN21" s="1989"/>
      <c r="AO21" s="2055">
        <f t="shared" si="1"/>
        <v>0</v>
      </c>
      <c r="AP21" s="2056"/>
      <c r="AQ21" s="2057"/>
      <c r="AR21" s="2017">
        <f t="shared" si="2"/>
        <v>1</v>
      </c>
      <c r="AS21" s="2017"/>
      <c r="AT21" s="2018"/>
      <c r="AU21" s="2058">
        <v>0</v>
      </c>
      <c r="AV21" s="1988"/>
      <c r="AW21" s="2020"/>
      <c r="AX21" s="1987">
        <v>0</v>
      </c>
      <c r="AY21" s="1988"/>
      <c r="AZ21" s="1989"/>
      <c r="BA21" s="2017">
        <f t="shared" si="3"/>
        <v>0</v>
      </c>
      <c r="BB21" s="2017"/>
      <c r="BC21" s="2018"/>
      <c r="BD21" s="2017">
        <f t="shared" si="4"/>
        <v>0</v>
      </c>
      <c r="BE21" s="2017"/>
      <c r="BF21" s="2017"/>
      <c r="BG21" s="2053">
        <f t="shared" si="5"/>
        <v>1</v>
      </c>
      <c r="BH21" s="2017"/>
      <c r="BI21" s="2054"/>
      <c r="BJ21" s="2019">
        <f t="shared" si="6"/>
        <v>1</v>
      </c>
      <c r="BK21" s="2017"/>
      <c r="BL21" s="2028"/>
      <c r="BN21" s="230" t="str">
        <f>IF((AND(M21&lt;&gt;AR21,BJ21&lt;&gt;Table11!AN17)), "Totals in Column 12 shall tally with entries in Column 2 and totals in Table 10a Column 18 shall tally with entries in Table 11 Column 7.", IF(M21&lt;&gt;AR21, "Totals in Column 12 shall tally with entries in Column 2.", IF(Table11!AN17&lt;&gt;BJ21, "Totals in Table 10a Column 18 shall tally with entries in Table 11 Column 7.", "")))</f>
        <v/>
      </c>
    </row>
    <row r="22" spans="2:67" s="72" customFormat="1" ht="27" customHeight="1" x14ac:dyDescent="0.35">
      <c r="B22" s="255" t="s">
        <v>185</v>
      </c>
      <c r="C22" s="112"/>
      <c r="D22" s="112"/>
      <c r="E22" s="112"/>
      <c r="F22" s="112"/>
      <c r="G22" s="112"/>
      <c r="H22" s="112"/>
      <c r="I22" s="112"/>
      <c r="J22" s="112"/>
      <c r="K22" s="112"/>
      <c r="L22" s="256"/>
      <c r="M22" s="2036">
        <v>0</v>
      </c>
      <c r="N22" s="2037"/>
      <c r="O22" s="2038"/>
      <c r="P22" s="2036">
        <v>0</v>
      </c>
      <c r="Q22" s="2037"/>
      <c r="R22" s="2038"/>
      <c r="S22" s="2072">
        <v>0</v>
      </c>
      <c r="T22" s="2037"/>
      <c r="U22" s="2073"/>
      <c r="V22" s="2031">
        <f t="shared" si="0"/>
        <v>0</v>
      </c>
      <c r="W22" s="2026"/>
      <c r="X22" s="2027"/>
      <c r="Y22" s="1991">
        <v>0</v>
      </c>
      <c r="Z22" s="1991"/>
      <c r="AA22" s="2074"/>
      <c r="AB22" s="1990">
        <v>0</v>
      </c>
      <c r="AC22" s="1991"/>
      <c r="AD22" s="2074"/>
      <c r="AE22" s="1990">
        <v>0</v>
      </c>
      <c r="AF22" s="1991"/>
      <c r="AG22" s="2074"/>
      <c r="AH22" s="1990">
        <v>0</v>
      </c>
      <c r="AI22" s="1991"/>
      <c r="AJ22" s="2074"/>
      <c r="AK22" s="1990">
        <v>0</v>
      </c>
      <c r="AL22" s="1991"/>
      <c r="AM22" s="1991"/>
      <c r="AN22" s="1992"/>
      <c r="AO22" s="2075">
        <f t="shared" si="1"/>
        <v>0</v>
      </c>
      <c r="AP22" s="2076"/>
      <c r="AQ22" s="2077"/>
      <c r="AR22" s="2026">
        <f t="shared" si="2"/>
        <v>0</v>
      </c>
      <c r="AS22" s="2026"/>
      <c r="AT22" s="2027"/>
      <c r="AU22" s="2078">
        <v>0</v>
      </c>
      <c r="AV22" s="1991"/>
      <c r="AW22" s="2074"/>
      <c r="AX22" s="1990">
        <v>0</v>
      </c>
      <c r="AY22" s="1991"/>
      <c r="AZ22" s="1992"/>
      <c r="BA22" s="2026">
        <f t="shared" si="3"/>
        <v>0</v>
      </c>
      <c r="BB22" s="2026"/>
      <c r="BC22" s="2027"/>
      <c r="BD22" s="2026">
        <f t="shared" si="4"/>
        <v>0</v>
      </c>
      <c r="BE22" s="2026"/>
      <c r="BF22" s="2026"/>
      <c r="BG22" s="2029">
        <f t="shared" si="5"/>
        <v>0</v>
      </c>
      <c r="BH22" s="2026"/>
      <c r="BI22" s="2030"/>
      <c r="BJ22" s="2031">
        <f t="shared" si="6"/>
        <v>0</v>
      </c>
      <c r="BK22" s="2026"/>
      <c r="BL22" s="2032"/>
      <c r="BN22" s="230" t="str">
        <f>IF((AND(M22&lt;&gt;AR22,BJ22&lt;&gt;Table11!AN18)), "Totals in Column 12 shall tally with entries in Column 2 and totals in Table 10a Column 18 shall tally with entries in Table 11 Column 7.", IF(M22&lt;&gt;AR22, "Totals in Column 12 shall tally with entries in Column 2.", IF(Table11!AN18&lt;&gt;BJ22, "Totals in Table 10a Column 18 shall tally with entries in Table 11 Column 7.", "")))</f>
        <v/>
      </c>
    </row>
    <row r="23" spans="2:67" s="72" customFormat="1" ht="27" customHeight="1" x14ac:dyDescent="0.35">
      <c r="B23" s="224" t="s">
        <v>184</v>
      </c>
      <c r="C23" s="107"/>
      <c r="D23" s="107"/>
      <c r="E23" s="107"/>
      <c r="F23" s="107"/>
      <c r="G23" s="107"/>
      <c r="H23" s="107"/>
      <c r="I23" s="107"/>
      <c r="J23" s="107"/>
      <c r="K23" s="107"/>
      <c r="L23" s="108"/>
      <c r="M23" s="2061">
        <v>0</v>
      </c>
      <c r="N23" s="2062"/>
      <c r="O23" s="2063"/>
      <c r="P23" s="2061">
        <v>0</v>
      </c>
      <c r="Q23" s="2062"/>
      <c r="R23" s="2063"/>
      <c r="S23" s="2064">
        <v>0</v>
      </c>
      <c r="T23" s="2062"/>
      <c r="U23" s="2065"/>
      <c r="V23" s="2015">
        <f t="shared" si="0"/>
        <v>0</v>
      </c>
      <c r="W23" s="2011"/>
      <c r="X23" s="2012"/>
      <c r="Y23" s="1997">
        <v>0</v>
      </c>
      <c r="Z23" s="1997"/>
      <c r="AA23" s="2066"/>
      <c r="AB23" s="1996">
        <v>0</v>
      </c>
      <c r="AC23" s="1997"/>
      <c r="AD23" s="2066"/>
      <c r="AE23" s="1996">
        <v>0</v>
      </c>
      <c r="AF23" s="1997"/>
      <c r="AG23" s="2066"/>
      <c r="AH23" s="1996">
        <v>0</v>
      </c>
      <c r="AI23" s="1997"/>
      <c r="AJ23" s="2066"/>
      <c r="AK23" s="1996">
        <v>0</v>
      </c>
      <c r="AL23" s="1997"/>
      <c r="AM23" s="1997"/>
      <c r="AN23" s="1998"/>
      <c r="AO23" s="2067">
        <f t="shared" si="1"/>
        <v>0</v>
      </c>
      <c r="AP23" s="2068"/>
      <c r="AQ23" s="2069"/>
      <c r="AR23" s="2011">
        <f t="shared" si="2"/>
        <v>0</v>
      </c>
      <c r="AS23" s="2011"/>
      <c r="AT23" s="2012"/>
      <c r="AU23" s="2071">
        <v>0</v>
      </c>
      <c r="AV23" s="1997"/>
      <c r="AW23" s="2066"/>
      <c r="AX23" s="1996">
        <v>0</v>
      </c>
      <c r="AY23" s="1997"/>
      <c r="AZ23" s="1998"/>
      <c r="BA23" s="2011">
        <f t="shared" si="3"/>
        <v>0</v>
      </c>
      <c r="BB23" s="2011"/>
      <c r="BC23" s="2012"/>
      <c r="BD23" s="2011">
        <f t="shared" si="4"/>
        <v>0</v>
      </c>
      <c r="BE23" s="2011"/>
      <c r="BF23" s="2011"/>
      <c r="BG23" s="2013">
        <f t="shared" si="5"/>
        <v>0</v>
      </c>
      <c r="BH23" s="2011"/>
      <c r="BI23" s="2014"/>
      <c r="BJ23" s="2015">
        <f t="shared" si="6"/>
        <v>0</v>
      </c>
      <c r="BK23" s="2011"/>
      <c r="BL23" s="2016"/>
      <c r="BN23" s="230" t="str">
        <f>IF((AND(M23&lt;&gt;AR23,BJ23&lt;&gt;Table11!AN19)), "Totals in Column 12 shall tally with entries in Column 2 and totals in Table 10a Column 18 shall tally with entries in Table 11 Column 7.", IF(M23&lt;&gt;AR23, "Totals in Column 12 shall tally with entries in Column 2.", IF(Table11!AN19&lt;&gt;BJ23, "Totals in Table 10a Column 18 shall tally with entries in Table 11 Column 7.", "")))</f>
        <v/>
      </c>
    </row>
    <row r="24" spans="2:67" s="72" customFormat="1" ht="27" customHeight="1" x14ac:dyDescent="0.35">
      <c r="B24" s="224" t="s">
        <v>183</v>
      </c>
      <c r="C24" s="107"/>
      <c r="D24" s="107"/>
      <c r="E24" s="107"/>
      <c r="F24" s="107"/>
      <c r="G24" s="107"/>
      <c r="H24" s="107"/>
      <c r="I24" s="107"/>
      <c r="J24" s="107"/>
      <c r="K24" s="107"/>
      <c r="L24" s="108"/>
      <c r="M24" s="2061">
        <v>0</v>
      </c>
      <c r="N24" s="2062"/>
      <c r="O24" s="2063"/>
      <c r="P24" s="2061">
        <v>0</v>
      </c>
      <c r="Q24" s="2062"/>
      <c r="R24" s="2063"/>
      <c r="S24" s="2064">
        <v>0</v>
      </c>
      <c r="T24" s="2062"/>
      <c r="U24" s="2065"/>
      <c r="V24" s="2015">
        <f t="shared" si="0"/>
        <v>0</v>
      </c>
      <c r="W24" s="2011"/>
      <c r="X24" s="2012"/>
      <c r="Y24" s="1997">
        <v>0</v>
      </c>
      <c r="Z24" s="1997"/>
      <c r="AA24" s="2066"/>
      <c r="AB24" s="1996">
        <v>0</v>
      </c>
      <c r="AC24" s="1997"/>
      <c r="AD24" s="2066"/>
      <c r="AE24" s="1996">
        <v>0</v>
      </c>
      <c r="AF24" s="1997"/>
      <c r="AG24" s="2066"/>
      <c r="AH24" s="1996">
        <v>0</v>
      </c>
      <c r="AI24" s="1997"/>
      <c r="AJ24" s="2066"/>
      <c r="AK24" s="1996">
        <v>0</v>
      </c>
      <c r="AL24" s="1997"/>
      <c r="AM24" s="1997"/>
      <c r="AN24" s="1998"/>
      <c r="AO24" s="2067">
        <f t="shared" si="1"/>
        <v>0</v>
      </c>
      <c r="AP24" s="2068"/>
      <c r="AQ24" s="2069"/>
      <c r="AR24" s="2011">
        <f t="shared" si="2"/>
        <v>0</v>
      </c>
      <c r="AS24" s="2011"/>
      <c r="AT24" s="2012"/>
      <c r="AU24" s="2071">
        <v>0</v>
      </c>
      <c r="AV24" s="1997"/>
      <c r="AW24" s="2066"/>
      <c r="AX24" s="1996">
        <v>0</v>
      </c>
      <c r="AY24" s="1997"/>
      <c r="AZ24" s="1998"/>
      <c r="BA24" s="2011">
        <f t="shared" si="3"/>
        <v>0</v>
      </c>
      <c r="BB24" s="2011"/>
      <c r="BC24" s="2012"/>
      <c r="BD24" s="2011">
        <f t="shared" si="4"/>
        <v>0</v>
      </c>
      <c r="BE24" s="2011"/>
      <c r="BF24" s="2011"/>
      <c r="BG24" s="2013">
        <f t="shared" si="5"/>
        <v>0</v>
      </c>
      <c r="BH24" s="2011"/>
      <c r="BI24" s="2014"/>
      <c r="BJ24" s="2015">
        <f t="shared" si="6"/>
        <v>0</v>
      </c>
      <c r="BK24" s="2011"/>
      <c r="BL24" s="2016"/>
      <c r="BN24" s="230" t="str">
        <f>IF((AND(M24&lt;&gt;AR24,BJ24&lt;&gt;Table11!AN20)), "Totals in Column 12 shall tally with entries in Column 2 and totals in Table 10a Column 18 shall tally with entries in Table 11 Column 7.", IF(M24&lt;&gt;AR24, "Totals in Column 12 shall tally with entries in Column 2.", IF(Table11!AN20&lt;&gt;BJ24, "Totals in Table 10a Column 18 shall tally with entries in Table 11 Column 7.", "")))</f>
        <v/>
      </c>
    </row>
    <row r="25" spans="2:67" s="72" customFormat="1" ht="27" customHeight="1" x14ac:dyDescent="0.35">
      <c r="B25" s="224" t="s">
        <v>182</v>
      </c>
      <c r="C25" s="107"/>
      <c r="D25" s="107"/>
      <c r="E25" s="107"/>
      <c r="F25" s="107"/>
      <c r="G25" s="107"/>
      <c r="H25" s="107"/>
      <c r="I25" s="107"/>
      <c r="J25" s="107"/>
      <c r="K25" s="107"/>
      <c r="L25" s="108"/>
      <c r="M25" s="2061">
        <v>0</v>
      </c>
      <c r="N25" s="2062"/>
      <c r="O25" s="2063"/>
      <c r="P25" s="2061">
        <v>0</v>
      </c>
      <c r="Q25" s="2062"/>
      <c r="R25" s="2063"/>
      <c r="S25" s="2064">
        <v>0</v>
      </c>
      <c r="T25" s="2062"/>
      <c r="U25" s="2065"/>
      <c r="V25" s="2015">
        <f t="shared" si="0"/>
        <v>0</v>
      </c>
      <c r="W25" s="2011"/>
      <c r="X25" s="2012"/>
      <c r="Y25" s="1997">
        <v>0</v>
      </c>
      <c r="Z25" s="1997"/>
      <c r="AA25" s="2066"/>
      <c r="AB25" s="1996">
        <v>0</v>
      </c>
      <c r="AC25" s="1997"/>
      <c r="AD25" s="2066"/>
      <c r="AE25" s="1996">
        <v>0</v>
      </c>
      <c r="AF25" s="1997"/>
      <c r="AG25" s="2066"/>
      <c r="AH25" s="1996">
        <v>0</v>
      </c>
      <c r="AI25" s="1997"/>
      <c r="AJ25" s="2066"/>
      <c r="AK25" s="1996">
        <v>0</v>
      </c>
      <c r="AL25" s="1997"/>
      <c r="AM25" s="1997"/>
      <c r="AN25" s="1998"/>
      <c r="AO25" s="2067">
        <f t="shared" si="1"/>
        <v>0</v>
      </c>
      <c r="AP25" s="2068"/>
      <c r="AQ25" s="2069"/>
      <c r="AR25" s="2011">
        <f t="shared" si="2"/>
        <v>0</v>
      </c>
      <c r="AS25" s="2011"/>
      <c r="AT25" s="2012"/>
      <c r="AU25" s="2071">
        <v>0</v>
      </c>
      <c r="AV25" s="1997"/>
      <c r="AW25" s="2066"/>
      <c r="AX25" s="1996">
        <v>0</v>
      </c>
      <c r="AY25" s="1997"/>
      <c r="AZ25" s="1998"/>
      <c r="BA25" s="2011">
        <f t="shared" si="3"/>
        <v>0</v>
      </c>
      <c r="BB25" s="2011"/>
      <c r="BC25" s="2012"/>
      <c r="BD25" s="2011">
        <f t="shared" si="4"/>
        <v>0</v>
      </c>
      <c r="BE25" s="2011"/>
      <c r="BF25" s="2011"/>
      <c r="BG25" s="2013">
        <f t="shared" si="5"/>
        <v>0</v>
      </c>
      <c r="BH25" s="2011"/>
      <c r="BI25" s="2014"/>
      <c r="BJ25" s="2015">
        <f t="shared" si="6"/>
        <v>0</v>
      </c>
      <c r="BK25" s="2011"/>
      <c r="BL25" s="2016"/>
      <c r="BN25" s="230" t="str">
        <f>IF((AND(M25&lt;&gt;AR25,BJ25&lt;&gt;Table11!AN21)), "Totals in Column 12 shall tally with entries in Column 2 and totals in Table 10a Column 18 shall tally with entries in Table 11 Column 7.", IF(M25&lt;&gt;AR25, "Totals in Column 12 shall tally with entries in Column 2.", IF(Table11!AN21&lt;&gt;BJ25, "Totals in Table 10a Column 18 shall tally with entries in Table 11 Column 7.", "")))</f>
        <v/>
      </c>
    </row>
    <row r="26" spans="2:67" s="72" customFormat="1" ht="27" customHeight="1" thickBot="1" x14ac:dyDescent="0.4">
      <c r="B26" s="262" t="s">
        <v>181</v>
      </c>
      <c r="C26" s="263"/>
      <c r="D26" s="264"/>
      <c r="E26" s="264"/>
      <c r="F26" s="264"/>
      <c r="G26" s="264"/>
      <c r="H26" s="264"/>
      <c r="I26" s="264"/>
      <c r="J26" s="264"/>
      <c r="K26" s="264"/>
      <c r="L26" s="265"/>
      <c r="M26" s="2083">
        <v>0</v>
      </c>
      <c r="N26" s="2084"/>
      <c r="O26" s="2085"/>
      <c r="P26" s="2083">
        <v>0</v>
      </c>
      <c r="Q26" s="2084"/>
      <c r="R26" s="2085"/>
      <c r="S26" s="2086">
        <v>0</v>
      </c>
      <c r="T26" s="2084"/>
      <c r="U26" s="2087"/>
      <c r="V26" s="2079">
        <f t="shared" si="0"/>
        <v>0</v>
      </c>
      <c r="W26" s="2080"/>
      <c r="X26" s="2081"/>
      <c r="Y26" s="2051">
        <v>0</v>
      </c>
      <c r="Z26" s="2051"/>
      <c r="AA26" s="2082"/>
      <c r="AB26" s="2050">
        <v>0</v>
      </c>
      <c r="AC26" s="2051"/>
      <c r="AD26" s="2082"/>
      <c r="AE26" s="2050">
        <v>0</v>
      </c>
      <c r="AF26" s="2051"/>
      <c r="AG26" s="2082"/>
      <c r="AH26" s="2050">
        <v>0</v>
      </c>
      <c r="AI26" s="2051"/>
      <c r="AJ26" s="2082"/>
      <c r="AK26" s="2050">
        <v>0</v>
      </c>
      <c r="AL26" s="2051"/>
      <c r="AM26" s="2051"/>
      <c r="AN26" s="2052"/>
      <c r="AO26" s="2098">
        <f t="shared" si="1"/>
        <v>0</v>
      </c>
      <c r="AP26" s="2099"/>
      <c r="AQ26" s="2100"/>
      <c r="AR26" s="2080">
        <f t="shared" si="2"/>
        <v>0</v>
      </c>
      <c r="AS26" s="2080"/>
      <c r="AT26" s="2081"/>
      <c r="AU26" s="2101">
        <v>0</v>
      </c>
      <c r="AV26" s="2051"/>
      <c r="AW26" s="2082"/>
      <c r="AX26" s="2050">
        <v>0</v>
      </c>
      <c r="AY26" s="2051"/>
      <c r="AZ26" s="2052"/>
      <c r="BA26" s="2080">
        <f t="shared" si="3"/>
        <v>0</v>
      </c>
      <c r="BB26" s="2080"/>
      <c r="BC26" s="2081"/>
      <c r="BD26" s="2080">
        <f t="shared" si="4"/>
        <v>0</v>
      </c>
      <c r="BE26" s="2080"/>
      <c r="BF26" s="2080"/>
      <c r="BG26" s="2091">
        <f t="shared" si="5"/>
        <v>0</v>
      </c>
      <c r="BH26" s="2080"/>
      <c r="BI26" s="2092"/>
      <c r="BJ26" s="2079">
        <f t="shared" si="6"/>
        <v>0</v>
      </c>
      <c r="BK26" s="2080"/>
      <c r="BL26" s="2093"/>
      <c r="BN26" s="230" t="str">
        <f>IF((AND(M26&lt;&gt;AR26,BJ26&lt;&gt;Table11!AN22)), "Totals in Column 12 shall tally with entries in Column 2 and totals in Table 10 Column 18 shall tally with entries in Table 11 Column 7.", IF(M26&lt;&gt;AR26, "Totals in Column 12 shall tally with entries in Column 2.", IF(Table11!AN22&lt;&gt;BJ26, "Totals in Table 10a Column 18 shall tally with entries in Table 11 Column 7.", "")))</f>
        <v/>
      </c>
    </row>
    <row r="27" spans="2:67" s="72" customFormat="1" ht="27" customHeight="1" thickTop="1" thickBot="1" x14ac:dyDescent="0.4">
      <c r="B27" s="1982" t="s">
        <v>16</v>
      </c>
      <c r="C27" s="1983"/>
      <c r="D27" s="1983"/>
      <c r="E27" s="1983"/>
      <c r="F27" s="1983"/>
      <c r="G27" s="1983"/>
      <c r="H27" s="1983"/>
      <c r="I27" s="1983"/>
      <c r="J27" s="1983"/>
      <c r="K27" s="1983"/>
      <c r="L27" s="1984"/>
      <c r="M27" s="1853">
        <f>SUM(M11:O26)</f>
        <v>73</v>
      </c>
      <c r="N27" s="1838"/>
      <c r="O27" s="1854"/>
      <c r="P27" s="1855">
        <f t="shared" ref="P27" si="7">SUM(P11:R26)</f>
        <v>18</v>
      </c>
      <c r="Q27" s="1841"/>
      <c r="R27" s="1847"/>
      <c r="S27" s="1846">
        <f t="shared" ref="S27" si="8">SUM(S11:U26)</f>
        <v>54</v>
      </c>
      <c r="T27" s="1841"/>
      <c r="U27" s="2109"/>
      <c r="V27" s="2048">
        <f t="shared" ref="V27" si="9">SUM(V11:X26)</f>
        <v>72</v>
      </c>
      <c r="W27" s="2048"/>
      <c r="X27" s="2094"/>
      <c r="Y27" s="2110">
        <f t="shared" ref="Y27" si="10">SUM(Y11:AA26)</f>
        <v>1</v>
      </c>
      <c r="Z27" s="2089"/>
      <c r="AA27" s="2097"/>
      <c r="AB27" s="2088">
        <f t="shared" ref="AB27" si="11">SUM(AB11:AD26)</f>
        <v>0</v>
      </c>
      <c r="AC27" s="2089"/>
      <c r="AD27" s="2097"/>
      <c r="AE27" s="2088">
        <f t="shared" ref="AE27" si="12">SUM(AE11:AG26)</f>
        <v>0</v>
      </c>
      <c r="AF27" s="2089"/>
      <c r="AG27" s="2097"/>
      <c r="AH27" s="2048">
        <f t="shared" ref="AH27" si="13">SUM(AH11:AJ26)</f>
        <v>0</v>
      </c>
      <c r="AI27" s="2048"/>
      <c r="AJ27" s="2094"/>
      <c r="AK27" s="2047">
        <f>SUM(AK11:AN26)</f>
        <v>0</v>
      </c>
      <c r="AL27" s="2048"/>
      <c r="AM27" s="2048"/>
      <c r="AN27" s="2049"/>
      <c r="AO27" s="2095">
        <f>SUM(AO11:AQ26)</f>
        <v>0</v>
      </c>
      <c r="AP27" s="2048"/>
      <c r="AQ27" s="2049"/>
      <c r="AR27" s="2095">
        <f t="shared" ref="AR27" si="14">SUM(AR11:AT26)</f>
        <v>73</v>
      </c>
      <c r="AS27" s="2048"/>
      <c r="AT27" s="2049"/>
      <c r="AU27" s="2096">
        <f t="shared" ref="AU27" si="15">SUM(AU11:AW26)</f>
        <v>0</v>
      </c>
      <c r="AV27" s="2089"/>
      <c r="AW27" s="2097"/>
      <c r="AX27" s="2048">
        <f t="shared" ref="AX27" si="16">SUM(AX11:AZ26)</f>
        <v>0</v>
      </c>
      <c r="AY27" s="2048"/>
      <c r="AZ27" s="2049"/>
      <c r="BA27" s="2096">
        <f t="shared" ref="BA27" si="17">SUM(BA11:BC26)</f>
        <v>0</v>
      </c>
      <c r="BB27" s="2089"/>
      <c r="BC27" s="2108"/>
      <c r="BD27" s="2048">
        <f t="shared" ref="BD27" si="18">SUM(BD11:BF26)</f>
        <v>18</v>
      </c>
      <c r="BE27" s="2048"/>
      <c r="BF27" s="2048"/>
      <c r="BG27" s="2088">
        <f t="shared" ref="BG27" si="19">SUM(BG11:BI26)</f>
        <v>54</v>
      </c>
      <c r="BH27" s="2089"/>
      <c r="BI27" s="2090"/>
      <c r="BJ27" s="2088">
        <f t="shared" ref="BJ27" si="20">SUM(BJ11:BL26)</f>
        <v>72</v>
      </c>
      <c r="BK27" s="2089"/>
      <c r="BL27" s="2090"/>
    </row>
    <row r="28" spans="2:67" s="72" customFormat="1" ht="27" customHeight="1" thickTop="1" thickBot="1" x14ac:dyDescent="0.4">
      <c r="B28" s="252" t="s">
        <v>1361</v>
      </c>
      <c r="C28" s="143"/>
      <c r="D28" s="143"/>
      <c r="E28" s="143"/>
      <c r="F28" s="143"/>
      <c r="G28" s="143"/>
      <c r="H28" s="143"/>
      <c r="I28" s="143"/>
      <c r="J28" s="143"/>
      <c r="K28" s="143"/>
      <c r="L28" s="143"/>
      <c r="M28" s="253"/>
      <c r="N28" s="253"/>
      <c r="O28" s="253"/>
      <c r="P28" s="254"/>
      <c r="Q28" s="254"/>
      <c r="R28" s="254"/>
      <c r="S28" s="254"/>
      <c r="T28" s="254"/>
      <c r="U28" s="254"/>
      <c r="V28" s="2111"/>
      <c r="W28" s="2111"/>
      <c r="X28" s="2111"/>
      <c r="Y28" s="2111"/>
      <c r="Z28" s="2111"/>
      <c r="AA28" s="2111"/>
      <c r="AB28" s="2111"/>
      <c r="AC28" s="2111"/>
      <c r="AD28" s="2111"/>
      <c r="AE28" s="2111"/>
      <c r="AF28" s="2111"/>
      <c r="AG28" s="2111"/>
      <c r="AH28" s="2111"/>
      <c r="AI28" s="2111"/>
      <c r="AJ28" s="2111"/>
      <c r="AK28" s="2111"/>
      <c r="AL28" s="2111"/>
      <c r="AM28" s="2111"/>
      <c r="AN28" s="2111"/>
      <c r="AO28" s="2111"/>
      <c r="AP28" s="2111"/>
      <c r="AQ28" s="2111"/>
      <c r="AR28" s="2111"/>
      <c r="AS28" s="2111"/>
      <c r="AT28" s="2111"/>
      <c r="AU28" s="2111"/>
      <c r="AV28" s="2111"/>
      <c r="AW28" s="2111"/>
      <c r="AX28" s="2111"/>
      <c r="AY28" s="2111"/>
      <c r="AZ28" s="2111"/>
      <c r="BA28" s="2111"/>
      <c r="BB28" s="2111"/>
      <c r="BC28" s="2111"/>
      <c r="BD28" s="2111"/>
      <c r="BE28" s="2111"/>
      <c r="BF28" s="2111"/>
      <c r="BG28" s="2111"/>
      <c r="BH28" s="2111"/>
      <c r="BI28" s="2111"/>
      <c r="BJ28" s="2111"/>
      <c r="BK28" s="2111"/>
      <c r="BL28" s="2112"/>
    </row>
    <row r="29" spans="2:67" s="242" customFormat="1" ht="27" customHeight="1" x14ac:dyDescent="0.35">
      <c r="B29" s="225" t="s">
        <v>231</v>
      </c>
      <c r="C29" s="226"/>
      <c r="D29" s="243"/>
      <c r="E29" s="243"/>
      <c r="F29" s="244"/>
      <c r="G29" s="244"/>
      <c r="H29" s="244"/>
      <c r="I29" s="244"/>
      <c r="J29" s="244"/>
      <c r="K29" s="244"/>
      <c r="L29" s="245"/>
      <c r="M29" s="2102"/>
      <c r="N29" s="2103"/>
      <c r="O29" s="2103"/>
      <c r="P29" s="1999">
        <v>18</v>
      </c>
      <c r="Q29" s="2000"/>
      <c r="R29" s="2001"/>
      <c r="S29" s="2059">
        <v>54</v>
      </c>
      <c r="T29" s="2000"/>
      <c r="U29" s="2060"/>
      <c r="V29" s="2008">
        <f>SUM(P29:U29)</f>
        <v>72</v>
      </c>
      <c r="W29" s="2006"/>
      <c r="X29" s="2104"/>
      <c r="Y29" s="2105"/>
      <c r="Z29" s="2106"/>
      <c r="AA29" s="2106"/>
      <c r="AB29" s="2106"/>
      <c r="AC29" s="2106"/>
      <c r="AD29" s="2106"/>
      <c r="AE29" s="2106"/>
      <c r="AF29" s="2106"/>
      <c r="AG29" s="2106"/>
      <c r="AH29" s="2106"/>
      <c r="AI29" s="2106"/>
      <c r="AJ29" s="2106"/>
      <c r="AK29" s="2106"/>
      <c r="AL29" s="2106"/>
      <c r="AM29" s="2106"/>
      <c r="AN29" s="2106"/>
      <c r="AO29" s="2106"/>
      <c r="AP29" s="2106"/>
      <c r="AQ29" s="2106"/>
      <c r="AR29" s="2106"/>
      <c r="AS29" s="2106"/>
      <c r="AT29" s="2107"/>
      <c r="AU29" s="2130">
        <v>0</v>
      </c>
      <c r="AV29" s="1994"/>
      <c r="AW29" s="2002"/>
      <c r="AX29" s="1993">
        <v>0</v>
      </c>
      <c r="AY29" s="1994"/>
      <c r="AZ29" s="1995"/>
      <c r="BA29" s="2008">
        <f>SUM(AU29:AZ29)</f>
        <v>0</v>
      </c>
      <c r="BB29" s="2006"/>
      <c r="BC29" s="2007"/>
      <c r="BD29" s="2133">
        <f>SUM(P29,AU29)</f>
        <v>18</v>
      </c>
      <c r="BE29" s="2006"/>
      <c r="BF29" s="2104"/>
      <c r="BG29" s="2009">
        <f t="shared" ref="BG29:BG33" si="21">SUM(AX29,S29)</f>
        <v>54</v>
      </c>
      <c r="BH29" s="2006"/>
      <c r="BI29" s="2010"/>
      <c r="BJ29" s="2008">
        <f>SUM(BD29:BI29)</f>
        <v>72</v>
      </c>
      <c r="BK29" s="2006"/>
      <c r="BL29" s="2046"/>
      <c r="BN29" s="230" t="str" cm="1">
        <f t="array" ref="BN29">IF(AND(Table10!BD29&lt;&gt;'Tables16-17'!I11:K11),"Totals in Handling Grades 7-10 shall tally with the Totals of the Number of Teachers (counted only once) in Table 16.",IF(AND(BG29&lt;&gt;'Tables16-17'!L11:N11),"Totals in Handling Grades 7-10 shall tally with the Totals of the Number of Teachers (counted only once) in Table 16.",""))</f>
        <v/>
      </c>
      <c r="BO29" s="230"/>
    </row>
    <row r="30" spans="2:67" s="242" customFormat="1" ht="27" customHeight="1" x14ac:dyDescent="0.35">
      <c r="B30" s="224" t="s">
        <v>324</v>
      </c>
      <c r="C30" s="107"/>
      <c r="D30" s="246"/>
      <c r="E30" s="246"/>
      <c r="F30" s="247"/>
      <c r="G30" s="247"/>
      <c r="H30" s="247"/>
      <c r="I30" s="247"/>
      <c r="J30" s="247"/>
      <c r="K30" s="247"/>
      <c r="L30" s="108"/>
      <c r="M30" s="2113"/>
      <c r="N30" s="2114"/>
      <c r="O30" s="2114"/>
      <c r="P30" s="2061">
        <v>0</v>
      </c>
      <c r="Q30" s="2062"/>
      <c r="R30" s="2063"/>
      <c r="S30" s="2064">
        <v>0</v>
      </c>
      <c r="T30" s="2062"/>
      <c r="U30" s="2065"/>
      <c r="V30" s="2015">
        <f t="shared" ref="V30:V33" si="22">SUM(P30:U30)</f>
        <v>0</v>
      </c>
      <c r="W30" s="2011"/>
      <c r="X30" s="2115"/>
      <c r="Y30" s="2116"/>
      <c r="Z30" s="2117"/>
      <c r="AA30" s="2117"/>
      <c r="AB30" s="2117"/>
      <c r="AC30" s="2117"/>
      <c r="AD30" s="2117"/>
      <c r="AE30" s="2117"/>
      <c r="AF30" s="2117"/>
      <c r="AG30" s="2117"/>
      <c r="AH30" s="2117"/>
      <c r="AI30" s="2117"/>
      <c r="AJ30" s="2117"/>
      <c r="AK30" s="2117"/>
      <c r="AL30" s="2117"/>
      <c r="AM30" s="2117"/>
      <c r="AN30" s="2117"/>
      <c r="AO30" s="2117"/>
      <c r="AP30" s="2117"/>
      <c r="AQ30" s="2117"/>
      <c r="AR30" s="2117"/>
      <c r="AS30" s="2117"/>
      <c r="AT30" s="2118"/>
      <c r="AU30" s="2119">
        <v>0</v>
      </c>
      <c r="AV30" s="1997"/>
      <c r="AW30" s="2066"/>
      <c r="AX30" s="1996">
        <v>0</v>
      </c>
      <c r="AY30" s="1997"/>
      <c r="AZ30" s="1998"/>
      <c r="BA30" s="2015">
        <f t="shared" ref="BA30:BA33" si="23">SUM(AU30:AZ30)</f>
        <v>0</v>
      </c>
      <c r="BB30" s="2011"/>
      <c r="BC30" s="2012"/>
      <c r="BD30" s="2120">
        <f t="shared" ref="BD30:BD33" si="24">SUM(P30,AU30)</f>
        <v>0</v>
      </c>
      <c r="BE30" s="2011"/>
      <c r="BF30" s="2115"/>
      <c r="BG30" s="2013">
        <f t="shared" si="21"/>
        <v>0</v>
      </c>
      <c r="BH30" s="2011"/>
      <c r="BI30" s="2014"/>
      <c r="BJ30" s="2015">
        <f t="shared" ref="BJ30:BJ33" si="25">SUM(BD30:BI30)</f>
        <v>0</v>
      </c>
      <c r="BK30" s="2011"/>
      <c r="BL30" s="2016"/>
      <c r="BN30" s="230"/>
      <c r="BO30" s="230"/>
    </row>
    <row r="31" spans="2:67" s="72" customFormat="1" ht="27" customHeight="1" x14ac:dyDescent="0.35">
      <c r="B31" s="224" t="s">
        <v>567</v>
      </c>
      <c r="C31" s="107"/>
      <c r="D31" s="107"/>
      <c r="E31" s="107"/>
      <c r="F31" s="107"/>
      <c r="G31" s="107"/>
      <c r="H31" s="107"/>
      <c r="I31" s="107"/>
      <c r="J31" s="107"/>
      <c r="K31" s="107"/>
      <c r="L31" s="248"/>
      <c r="M31" s="2113"/>
      <c r="N31" s="2114"/>
      <c r="O31" s="2114"/>
      <c r="P31" s="2061">
        <v>0</v>
      </c>
      <c r="Q31" s="2062"/>
      <c r="R31" s="2063"/>
      <c r="S31" s="2064">
        <v>0</v>
      </c>
      <c r="T31" s="2062"/>
      <c r="U31" s="2065"/>
      <c r="V31" s="2015">
        <f t="shared" si="22"/>
        <v>0</v>
      </c>
      <c r="W31" s="2011"/>
      <c r="X31" s="2115"/>
      <c r="Y31" s="2116"/>
      <c r="Z31" s="2117"/>
      <c r="AA31" s="2117"/>
      <c r="AB31" s="2117"/>
      <c r="AC31" s="2117"/>
      <c r="AD31" s="2117"/>
      <c r="AE31" s="2117"/>
      <c r="AF31" s="2117"/>
      <c r="AG31" s="2117"/>
      <c r="AH31" s="2117"/>
      <c r="AI31" s="2117"/>
      <c r="AJ31" s="2117"/>
      <c r="AK31" s="2117"/>
      <c r="AL31" s="2117"/>
      <c r="AM31" s="2117"/>
      <c r="AN31" s="2117"/>
      <c r="AO31" s="2117"/>
      <c r="AP31" s="2117"/>
      <c r="AQ31" s="2117"/>
      <c r="AR31" s="2117"/>
      <c r="AS31" s="2117"/>
      <c r="AT31" s="2118"/>
      <c r="AU31" s="2119">
        <v>0</v>
      </c>
      <c r="AV31" s="1997"/>
      <c r="AW31" s="2066"/>
      <c r="AX31" s="1996">
        <v>0</v>
      </c>
      <c r="AY31" s="1997"/>
      <c r="AZ31" s="1998"/>
      <c r="BA31" s="2015">
        <f t="shared" si="23"/>
        <v>0</v>
      </c>
      <c r="BB31" s="2011"/>
      <c r="BC31" s="2012"/>
      <c r="BD31" s="2120">
        <f t="shared" si="24"/>
        <v>0</v>
      </c>
      <c r="BE31" s="2011"/>
      <c r="BF31" s="2115"/>
      <c r="BG31" s="2013">
        <f t="shared" si="21"/>
        <v>0</v>
      </c>
      <c r="BH31" s="2011"/>
      <c r="BI31" s="2014"/>
      <c r="BJ31" s="2015">
        <f t="shared" si="25"/>
        <v>0</v>
      </c>
      <c r="BK31" s="2011"/>
      <c r="BL31" s="2016"/>
      <c r="BN31" s="230"/>
      <c r="BO31" s="230"/>
    </row>
    <row r="32" spans="2:67" s="72" customFormat="1" ht="27" customHeight="1" x14ac:dyDescent="0.35">
      <c r="B32" s="224" t="s">
        <v>84</v>
      </c>
      <c r="C32" s="107"/>
      <c r="D32" s="107"/>
      <c r="E32" s="107"/>
      <c r="F32" s="107"/>
      <c r="G32" s="107"/>
      <c r="H32" s="107"/>
      <c r="I32" s="107"/>
      <c r="J32" s="107"/>
      <c r="K32" s="107"/>
      <c r="L32" s="248"/>
      <c r="M32" s="2113"/>
      <c r="N32" s="2114"/>
      <c r="O32" s="2114"/>
      <c r="P32" s="2061">
        <v>0</v>
      </c>
      <c r="Q32" s="2062"/>
      <c r="R32" s="2063"/>
      <c r="S32" s="2064">
        <v>0</v>
      </c>
      <c r="T32" s="2062"/>
      <c r="U32" s="2065"/>
      <c r="V32" s="2015">
        <f t="shared" si="22"/>
        <v>0</v>
      </c>
      <c r="W32" s="2011"/>
      <c r="X32" s="2115"/>
      <c r="Y32" s="2116"/>
      <c r="Z32" s="2117"/>
      <c r="AA32" s="2117"/>
      <c r="AB32" s="2117"/>
      <c r="AC32" s="2117"/>
      <c r="AD32" s="2117"/>
      <c r="AE32" s="2117"/>
      <c r="AF32" s="2117"/>
      <c r="AG32" s="2117"/>
      <c r="AH32" s="2117"/>
      <c r="AI32" s="2117"/>
      <c r="AJ32" s="2117"/>
      <c r="AK32" s="2117"/>
      <c r="AL32" s="2117"/>
      <c r="AM32" s="2117"/>
      <c r="AN32" s="2117"/>
      <c r="AO32" s="2117"/>
      <c r="AP32" s="2117"/>
      <c r="AQ32" s="2117"/>
      <c r="AR32" s="2117"/>
      <c r="AS32" s="2117"/>
      <c r="AT32" s="2118"/>
      <c r="AU32" s="2119">
        <v>0</v>
      </c>
      <c r="AV32" s="1997"/>
      <c r="AW32" s="2066"/>
      <c r="AX32" s="1996">
        <v>0</v>
      </c>
      <c r="AY32" s="1997"/>
      <c r="AZ32" s="1998"/>
      <c r="BA32" s="2015">
        <f t="shared" si="23"/>
        <v>0</v>
      </c>
      <c r="BB32" s="2011"/>
      <c r="BC32" s="2012"/>
      <c r="BD32" s="2120">
        <f t="shared" si="24"/>
        <v>0</v>
      </c>
      <c r="BE32" s="2011"/>
      <c r="BF32" s="2115"/>
      <c r="BG32" s="2013">
        <f t="shared" si="21"/>
        <v>0</v>
      </c>
      <c r="BH32" s="2011"/>
      <c r="BI32" s="2014"/>
      <c r="BJ32" s="2015">
        <f t="shared" si="25"/>
        <v>0</v>
      </c>
      <c r="BK32" s="2011"/>
      <c r="BL32" s="2016"/>
      <c r="BN32" s="230"/>
      <c r="BO32" s="230"/>
    </row>
    <row r="33" spans="2:67" s="72" customFormat="1" ht="27" customHeight="1" thickBot="1" x14ac:dyDescent="0.4">
      <c r="B33" s="249" t="s">
        <v>215</v>
      </c>
      <c r="C33" s="250"/>
      <c r="D33" s="250"/>
      <c r="E33" s="250"/>
      <c r="F33" s="250"/>
      <c r="G33" s="250"/>
      <c r="H33" s="250"/>
      <c r="I33" s="250"/>
      <c r="J33" s="250"/>
      <c r="K33" s="250"/>
      <c r="L33" s="251"/>
      <c r="M33" s="2121"/>
      <c r="N33" s="2122"/>
      <c r="O33" s="2122"/>
      <c r="P33" s="2083">
        <v>0</v>
      </c>
      <c r="Q33" s="2084"/>
      <c r="R33" s="2085"/>
      <c r="S33" s="2086">
        <v>0</v>
      </c>
      <c r="T33" s="2084"/>
      <c r="U33" s="2087"/>
      <c r="V33" s="2079">
        <f t="shared" si="22"/>
        <v>0</v>
      </c>
      <c r="W33" s="2080"/>
      <c r="X33" s="2123"/>
      <c r="Y33" s="2124"/>
      <c r="Z33" s="2125"/>
      <c r="AA33" s="2125"/>
      <c r="AB33" s="2125"/>
      <c r="AC33" s="2125"/>
      <c r="AD33" s="2125"/>
      <c r="AE33" s="2125"/>
      <c r="AF33" s="2125"/>
      <c r="AG33" s="2125"/>
      <c r="AH33" s="2125"/>
      <c r="AI33" s="2125"/>
      <c r="AJ33" s="2125"/>
      <c r="AK33" s="2125"/>
      <c r="AL33" s="2125"/>
      <c r="AM33" s="2125"/>
      <c r="AN33" s="2125"/>
      <c r="AO33" s="2125"/>
      <c r="AP33" s="2125"/>
      <c r="AQ33" s="2125"/>
      <c r="AR33" s="2125"/>
      <c r="AS33" s="2125"/>
      <c r="AT33" s="2126"/>
      <c r="AU33" s="2131">
        <v>0</v>
      </c>
      <c r="AV33" s="2051"/>
      <c r="AW33" s="2082"/>
      <c r="AX33" s="2050">
        <v>0</v>
      </c>
      <c r="AY33" s="2051"/>
      <c r="AZ33" s="2052"/>
      <c r="BA33" s="2079">
        <f t="shared" si="23"/>
        <v>0</v>
      </c>
      <c r="BB33" s="2080"/>
      <c r="BC33" s="2081"/>
      <c r="BD33" s="2132">
        <f t="shared" si="24"/>
        <v>0</v>
      </c>
      <c r="BE33" s="2080"/>
      <c r="BF33" s="2123"/>
      <c r="BG33" s="2091">
        <f t="shared" si="21"/>
        <v>0</v>
      </c>
      <c r="BH33" s="2080"/>
      <c r="BI33" s="2092"/>
      <c r="BJ33" s="2079">
        <f t="shared" si="25"/>
        <v>0</v>
      </c>
      <c r="BK33" s="2080"/>
      <c r="BL33" s="2093"/>
      <c r="BN33" s="230"/>
      <c r="BO33" s="230"/>
    </row>
    <row r="34" spans="2:67" s="72" customFormat="1" ht="27" customHeight="1" thickTop="1" thickBot="1" x14ac:dyDescent="0.4">
      <c r="B34" s="2033" t="s">
        <v>16</v>
      </c>
      <c r="C34" s="2034"/>
      <c r="D34" s="2034"/>
      <c r="E34" s="2034"/>
      <c r="F34" s="2034"/>
      <c r="G34" s="2034"/>
      <c r="H34" s="2034"/>
      <c r="I34" s="2034"/>
      <c r="J34" s="2034"/>
      <c r="K34" s="2034"/>
      <c r="L34" s="2035"/>
      <c r="M34" s="1977">
        <f>SUM(M29:O33)</f>
        <v>0</v>
      </c>
      <c r="N34" s="1978"/>
      <c r="O34" s="1978"/>
      <c r="P34" s="1853">
        <f t="shared" ref="P34" si="26">SUM(P29:R33)</f>
        <v>18</v>
      </c>
      <c r="Q34" s="1838"/>
      <c r="R34" s="1838"/>
      <c r="S34" s="1843">
        <f t="shared" ref="S34" si="27">SUM(S29:U33)</f>
        <v>54</v>
      </c>
      <c r="T34" s="1838"/>
      <c r="U34" s="1844"/>
      <c r="V34" s="2048">
        <f t="shared" ref="V34" si="28">SUM(V29:X33)</f>
        <v>72</v>
      </c>
      <c r="W34" s="2048"/>
      <c r="X34" s="2048"/>
      <c r="Y34" s="1979"/>
      <c r="Z34" s="1980"/>
      <c r="AA34" s="1980"/>
      <c r="AB34" s="1980"/>
      <c r="AC34" s="1980"/>
      <c r="AD34" s="1980"/>
      <c r="AE34" s="1980"/>
      <c r="AF34" s="1980"/>
      <c r="AG34" s="1980"/>
      <c r="AH34" s="1980"/>
      <c r="AI34" s="1980"/>
      <c r="AJ34" s="1980"/>
      <c r="AK34" s="1980"/>
      <c r="AL34" s="1980"/>
      <c r="AM34" s="1980"/>
      <c r="AN34" s="1980"/>
      <c r="AO34" s="1980"/>
      <c r="AP34" s="1980"/>
      <c r="AQ34" s="1980"/>
      <c r="AR34" s="1980"/>
      <c r="AS34" s="1980"/>
      <c r="AT34" s="1981"/>
      <c r="AU34" s="2095">
        <f>SUM(AU29:AW33)</f>
        <v>0</v>
      </c>
      <c r="AV34" s="2048"/>
      <c r="AW34" s="2094"/>
      <c r="AX34" s="2048">
        <f t="shared" ref="AX34" si="29">SUM(AX29:AZ33)</f>
        <v>0</v>
      </c>
      <c r="AY34" s="2048"/>
      <c r="AZ34" s="2094"/>
      <c r="BA34" s="2095">
        <f t="shared" ref="BA34" si="30">SUM(BA29:BC33)</f>
        <v>0</v>
      </c>
      <c r="BB34" s="2048"/>
      <c r="BC34" s="2127"/>
      <c r="BD34" s="2128">
        <f t="shared" ref="BD34" si="31">SUM(BD29:BF33)</f>
        <v>18</v>
      </c>
      <c r="BE34" s="2048"/>
      <c r="BF34" s="2094"/>
      <c r="BG34" s="2048">
        <f t="shared" ref="BG34" si="32">SUM(BG29:BI33)</f>
        <v>54</v>
      </c>
      <c r="BH34" s="2048"/>
      <c r="BI34" s="2094"/>
      <c r="BJ34" s="2095">
        <f t="shared" ref="BJ34" si="33">SUM(BJ29:BL33)</f>
        <v>72</v>
      </c>
      <c r="BK34" s="2048"/>
      <c r="BL34" s="2129"/>
      <c r="BN34" s="230"/>
    </row>
    <row r="35" spans="2:67" s="87" customFormat="1" ht="16" thickTop="1" x14ac:dyDescent="0.3">
      <c r="B35" s="91"/>
      <c r="C35" s="417"/>
      <c r="D35" s="417"/>
      <c r="E35" s="417"/>
      <c r="F35" s="417"/>
      <c r="G35" s="417"/>
      <c r="H35" s="417"/>
      <c r="I35" s="417"/>
      <c r="J35" s="417"/>
      <c r="K35" s="417"/>
      <c r="L35" s="417"/>
      <c r="M35" s="417"/>
      <c r="N35" s="417"/>
      <c r="O35" s="417"/>
      <c r="P35" s="1399" t="str">
        <f>IF(OR(P27&lt;&gt;P34, S27&lt;&gt;S34, V27&lt;&gt;V34, AU27&lt;&gt;AU34, AX27&lt;&gt;AX34, BA27&lt;&gt;BA34), "Totals in Tables 10a &amp; 10b shall tally.", "")</f>
        <v/>
      </c>
      <c r="Q35" s="417"/>
      <c r="R35" s="417"/>
      <c r="S35" s="417"/>
      <c r="T35" s="417"/>
      <c r="U35" s="417"/>
      <c r="V35" s="417"/>
      <c r="W35" s="417"/>
      <c r="X35" s="417"/>
      <c r="Y35" s="417"/>
      <c r="Z35" s="417"/>
      <c r="AA35" s="417"/>
      <c r="AB35" s="417"/>
      <c r="AC35" s="417"/>
      <c r="AD35" s="417"/>
      <c r="AE35" s="417"/>
      <c r="AF35" s="417"/>
      <c r="AG35" s="417"/>
      <c r="AH35" s="417"/>
      <c r="AI35" s="417"/>
      <c r="AJ35" s="417"/>
      <c r="AK35" s="417"/>
      <c r="AL35" s="417"/>
      <c r="AM35" s="417"/>
      <c r="AN35" s="417"/>
      <c r="AO35" s="417"/>
      <c r="AP35" s="417"/>
      <c r="AQ35" s="417"/>
      <c r="AR35" s="417"/>
      <c r="AS35" s="417"/>
      <c r="AT35" s="417"/>
      <c r="AU35" s="1399" t="str">
        <f>IF(OR(AU27&lt;&gt;AU34, AX27&lt;&gt;AX34, BA27&lt;&gt;BA34, BZ27&lt;&gt;BZ34, CC27&lt;&gt;CC34, CF27&lt;&gt;CF34), "Totals in Tables 10a &amp; 10b shall tally.", "")</f>
        <v/>
      </c>
      <c r="AV35" s="417"/>
      <c r="AW35" s="417"/>
      <c r="AX35" s="417"/>
      <c r="AY35" s="417"/>
      <c r="AZ35" s="417"/>
      <c r="BA35" s="417"/>
      <c r="BB35" s="417"/>
      <c r="BC35" s="417"/>
      <c r="BD35" s="417"/>
      <c r="BE35" s="417"/>
      <c r="BF35" s="417"/>
      <c r="BG35" s="417"/>
      <c r="BH35" s="417"/>
      <c r="BI35" s="417"/>
      <c r="BJ35" s="417"/>
      <c r="BK35" s="417"/>
      <c r="BL35" s="417"/>
    </row>
    <row r="36" spans="2:67" s="87" customFormat="1" x14ac:dyDescent="0.3">
      <c r="B36" s="91" t="s">
        <v>150</v>
      </c>
      <c r="C36" s="1657" t="s">
        <v>1163</v>
      </c>
      <c r="D36" s="1657"/>
      <c r="E36" s="1657"/>
      <c r="F36" s="1657"/>
      <c r="G36" s="1657"/>
      <c r="H36" s="1657"/>
      <c r="I36" s="1657"/>
      <c r="J36" s="1657"/>
      <c r="K36" s="1657"/>
      <c r="L36" s="1657"/>
      <c r="M36" s="1657"/>
      <c r="N36" s="1657"/>
      <c r="O36" s="1657"/>
      <c r="P36" s="1657"/>
      <c r="Q36" s="1657"/>
      <c r="R36" s="1657"/>
      <c r="S36" s="1657"/>
      <c r="T36" s="1657"/>
      <c r="U36" s="1657"/>
      <c r="V36" s="1657"/>
      <c r="W36" s="1657"/>
      <c r="X36" s="1657"/>
      <c r="Y36" s="1657"/>
      <c r="Z36" s="1657"/>
      <c r="AA36" s="1657"/>
      <c r="AB36" s="1657"/>
      <c r="AC36" s="1657"/>
      <c r="AD36" s="1657"/>
      <c r="AE36" s="1657"/>
      <c r="AF36" s="1657"/>
      <c r="AG36" s="1657"/>
      <c r="AH36" s="1657"/>
      <c r="AI36" s="1657"/>
      <c r="AJ36" s="1657"/>
      <c r="AK36" s="1657"/>
      <c r="AL36" s="1657"/>
      <c r="AM36" s="1657"/>
      <c r="AN36" s="1657"/>
      <c r="AO36" s="1657"/>
      <c r="AP36" s="1657"/>
      <c r="AQ36" s="1657"/>
      <c r="AR36" s="1657"/>
      <c r="AS36" s="1657"/>
      <c r="AT36" s="1657"/>
      <c r="AU36" s="1657"/>
      <c r="AV36" s="1657"/>
      <c r="AW36" s="1657"/>
      <c r="AX36" s="1657"/>
      <c r="AY36" s="1657"/>
      <c r="AZ36" s="1657"/>
      <c r="BA36" s="1657"/>
      <c r="BB36" s="1657"/>
      <c r="BC36" s="1657"/>
      <c r="BD36" s="1657"/>
      <c r="BE36" s="1657"/>
      <c r="BF36" s="1657"/>
      <c r="BG36" s="1657"/>
      <c r="BH36" s="1657"/>
      <c r="BI36" s="1657"/>
      <c r="BJ36" s="1657"/>
      <c r="BK36" s="1657"/>
      <c r="BL36" s="1657"/>
    </row>
    <row r="37" spans="2:67" s="231" customFormat="1" x14ac:dyDescent="0.3">
      <c r="B37" s="91" t="s">
        <v>151</v>
      </c>
      <c r="C37" s="1985" t="s">
        <v>1164</v>
      </c>
      <c r="D37" s="1985"/>
      <c r="E37" s="1985"/>
      <c r="F37" s="1985"/>
      <c r="G37" s="1985"/>
      <c r="H37" s="1985"/>
      <c r="I37" s="1985"/>
      <c r="J37" s="1985"/>
      <c r="K37" s="1985"/>
      <c r="L37" s="1985"/>
      <c r="M37" s="1985"/>
      <c r="N37" s="1985"/>
      <c r="O37" s="1985"/>
      <c r="P37" s="1985"/>
      <c r="Q37" s="1985"/>
      <c r="R37" s="1985"/>
      <c r="S37" s="1985"/>
      <c r="T37" s="1985"/>
      <c r="U37" s="1985"/>
      <c r="V37" s="1985"/>
      <c r="W37" s="1985"/>
      <c r="X37" s="1985"/>
      <c r="Y37" s="1985"/>
      <c r="Z37" s="1985"/>
      <c r="AA37" s="1985"/>
      <c r="AB37" s="1985"/>
      <c r="AC37" s="1985"/>
      <c r="AD37" s="1985"/>
      <c r="AE37" s="1985"/>
      <c r="AF37" s="1985"/>
      <c r="AG37" s="1985"/>
      <c r="AH37" s="1985"/>
      <c r="AI37" s="1985"/>
      <c r="AJ37" s="1985"/>
      <c r="AK37" s="1985"/>
      <c r="AL37" s="1985"/>
      <c r="AM37" s="1985"/>
      <c r="AN37" s="1985"/>
      <c r="AO37" s="1985"/>
      <c r="AP37" s="1985"/>
      <c r="AQ37" s="1985"/>
      <c r="AR37" s="1985"/>
      <c r="AS37" s="1985"/>
      <c r="AT37" s="1985"/>
      <c r="AU37" s="1985"/>
      <c r="AV37" s="1985"/>
      <c r="AW37" s="1985"/>
      <c r="AX37" s="1985"/>
      <c r="AY37" s="1985"/>
      <c r="AZ37" s="1985"/>
      <c r="BA37" s="1985"/>
      <c r="BB37" s="1985"/>
      <c r="BC37" s="1985"/>
      <c r="BD37" s="1985"/>
      <c r="BE37" s="1985"/>
      <c r="BF37" s="1985"/>
      <c r="BG37" s="1985"/>
      <c r="BH37" s="1985"/>
      <c r="BI37" s="1985"/>
      <c r="BJ37" s="1985"/>
      <c r="BK37" s="1985"/>
      <c r="BL37" s="1985"/>
    </row>
    <row r="38" spans="2:67" s="231" customFormat="1" ht="13.5" customHeight="1" x14ac:dyDescent="0.3">
      <c r="B38" s="91" t="s">
        <v>152</v>
      </c>
      <c r="C38" s="1986" t="s">
        <v>1165</v>
      </c>
      <c r="D38" s="1986"/>
      <c r="E38" s="1986"/>
      <c r="F38" s="1986"/>
      <c r="G38" s="1986"/>
      <c r="H38" s="1986"/>
      <c r="I38" s="1986"/>
      <c r="J38" s="1986"/>
      <c r="K38" s="1986"/>
      <c r="L38" s="1986"/>
      <c r="M38" s="1986"/>
      <c r="N38" s="1986"/>
      <c r="O38" s="1986"/>
      <c r="P38" s="1986"/>
      <c r="Q38" s="1986"/>
      <c r="R38" s="1986"/>
      <c r="S38" s="1986"/>
      <c r="T38" s="1986"/>
      <c r="U38" s="1986"/>
      <c r="V38" s="1986"/>
      <c r="W38" s="1986"/>
      <c r="X38" s="1986"/>
      <c r="Y38" s="1986"/>
      <c r="Z38" s="1986"/>
      <c r="AA38" s="1986"/>
      <c r="AB38" s="1986"/>
      <c r="AC38" s="1986"/>
      <c r="AD38" s="1986"/>
      <c r="AE38" s="1986"/>
      <c r="AF38" s="1986"/>
      <c r="AG38" s="1986"/>
      <c r="AH38" s="1986"/>
      <c r="AI38" s="1986"/>
      <c r="AJ38" s="1986"/>
      <c r="AK38" s="1986"/>
      <c r="AL38" s="1986"/>
      <c r="AM38" s="1986"/>
      <c r="AN38" s="1986"/>
      <c r="AO38" s="1986"/>
      <c r="AP38" s="1986"/>
      <c r="AQ38" s="1986"/>
      <c r="AR38" s="1986"/>
      <c r="AS38" s="1986"/>
      <c r="AT38" s="1986"/>
      <c r="AU38" s="1986"/>
      <c r="AV38" s="1986"/>
      <c r="AW38" s="1986"/>
      <c r="AX38" s="1986"/>
      <c r="AY38" s="1986"/>
      <c r="AZ38" s="1986"/>
      <c r="BA38" s="1986"/>
      <c r="BB38" s="1986"/>
      <c r="BC38" s="1986"/>
      <c r="BD38" s="1986"/>
      <c r="BE38" s="1986"/>
      <c r="BF38" s="1986"/>
      <c r="BG38" s="1986"/>
      <c r="BH38" s="1986"/>
      <c r="BI38" s="1986"/>
      <c r="BJ38" s="1986"/>
      <c r="BK38" s="1986"/>
      <c r="BL38" s="1986"/>
    </row>
    <row r="39" spans="2:67" s="231" customFormat="1" x14ac:dyDescent="0.3">
      <c r="B39" s="91" t="s">
        <v>155</v>
      </c>
      <c r="C39" s="1986" t="s">
        <v>1166</v>
      </c>
      <c r="D39" s="1986"/>
      <c r="E39" s="1986"/>
      <c r="F39" s="1986"/>
      <c r="G39" s="1986"/>
      <c r="H39" s="1986"/>
      <c r="I39" s="1986"/>
      <c r="J39" s="1986"/>
      <c r="K39" s="1986"/>
      <c r="L39" s="1986"/>
      <c r="M39" s="1986"/>
      <c r="N39" s="1986"/>
      <c r="O39" s="1986"/>
      <c r="P39" s="1986"/>
      <c r="Q39" s="1986"/>
      <c r="R39" s="1986"/>
      <c r="S39" s="1986"/>
      <c r="T39" s="1986"/>
      <c r="U39" s="1986"/>
      <c r="V39" s="1986"/>
      <c r="W39" s="1986"/>
      <c r="X39" s="1986"/>
      <c r="Y39" s="1986"/>
      <c r="Z39" s="1986"/>
      <c r="AA39" s="1986"/>
      <c r="AB39" s="1986"/>
      <c r="AC39" s="1986"/>
      <c r="AD39" s="1986"/>
      <c r="AE39" s="1986"/>
      <c r="AF39" s="1986"/>
      <c r="AG39" s="1986"/>
      <c r="AH39" s="1986"/>
      <c r="AI39" s="1986"/>
      <c r="AJ39" s="1986"/>
      <c r="AK39" s="1986"/>
      <c r="AL39" s="1986"/>
      <c r="AM39" s="1986"/>
      <c r="AN39" s="1986"/>
      <c r="AO39" s="1986"/>
      <c r="AP39" s="1986"/>
      <c r="AQ39" s="1986"/>
      <c r="AR39" s="1986"/>
      <c r="AS39" s="1986"/>
      <c r="AT39" s="1986"/>
      <c r="AU39" s="1986"/>
      <c r="AV39" s="1986"/>
      <c r="AW39" s="1986"/>
      <c r="AX39" s="1986"/>
      <c r="AY39" s="1986"/>
      <c r="AZ39" s="1986"/>
      <c r="BA39" s="1986"/>
      <c r="BB39" s="1986"/>
      <c r="BC39" s="1986"/>
      <c r="BD39" s="1986"/>
      <c r="BE39" s="1986"/>
      <c r="BF39" s="1986"/>
      <c r="BG39" s="1986"/>
      <c r="BH39" s="1986"/>
      <c r="BI39" s="1986"/>
      <c r="BJ39" s="1986"/>
      <c r="BK39" s="1986"/>
      <c r="BL39" s="1986"/>
    </row>
    <row r="40" spans="2:67" s="231" customFormat="1" x14ac:dyDescent="0.3">
      <c r="B40" s="91" t="s">
        <v>156</v>
      </c>
      <c r="C40" s="1985" t="s">
        <v>1167</v>
      </c>
      <c r="D40" s="1985"/>
      <c r="E40" s="1985"/>
      <c r="F40" s="1985"/>
      <c r="G40" s="1985"/>
      <c r="H40" s="1985"/>
      <c r="I40" s="1985"/>
      <c r="J40" s="1985"/>
      <c r="K40" s="1985"/>
      <c r="L40" s="1985"/>
      <c r="M40" s="1985"/>
      <c r="N40" s="1985"/>
      <c r="O40" s="1985"/>
      <c r="P40" s="1985"/>
      <c r="Q40" s="1985"/>
      <c r="R40" s="1985"/>
      <c r="S40" s="1985"/>
      <c r="T40" s="1985"/>
      <c r="U40" s="1985"/>
      <c r="V40" s="1985"/>
      <c r="W40" s="1985"/>
      <c r="X40" s="1985"/>
      <c r="Y40" s="1985"/>
      <c r="Z40" s="1985"/>
      <c r="AA40" s="1985"/>
      <c r="AB40" s="1985"/>
      <c r="AC40" s="1985"/>
      <c r="AD40" s="1985"/>
      <c r="AE40" s="1985"/>
      <c r="AF40" s="1985"/>
      <c r="AG40" s="1985"/>
      <c r="AH40" s="1985"/>
      <c r="AI40" s="1985"/>
      <c r="AJ40" s="1985"/>
      <c r="AK40" s="1985"/>
      <c r="AL40" s="1985"/>
      <c r="AM40" s="1985"/>
      <c r="AN40" s="1985"/>
      <c r="AO40" s="1985"/>
      <c r="AP40" s="1985"/>
      <c r="AQ40" s="1985"/>
      <c r="AR40" s="1985"/>
      <c r="AS40" s="1985"/>
      <c r="AT40" s="1985"/>
      <c r="AU40" s="1985"/>
      <c r="AV40" s="1985"/>
      <c r="AW40" s="1985"/>
      <c r="AX40" s="1985"/>
      <c r="AY40" s="1985"/>
      <c r="AZ40" s="1985"/>
      <c r="BA40" s="1985"/>
      <c r="BB40" s="1985"/>
      <c r="BC40" s="1985"/>
      <c r="BD40" s="1985"/>
      <c r="BE40" s="1985"/>
      <c r="BF40" s="1985"/>
      <c r="BG40" s="1985"/>
      <c r="BH40" s="1985"/>
      <c r="BI40" s="1985"/>
      <c r="BJ40" s="1985"/>
      <c r="BK40" s="1985"/>
      <c r="BL40" s="1985"/>
    </row>
    <row r="41" spans="2:67" s="87" customFormat="1" x14ac:dyDescent="0.3">
      <c r="B41" s="91" t="s">
        <v>157</v>
      </c>
      <c r="C41" s="1986" t="s">
        <v>1168</v>
      </c>
      <c r="D41" s="1986"/>
      <c r="E41" s="1986"/>
      <c r="F41" s="1986"/>
      <c r="G41" s="1986"/>
      <c r="H41" s="1986"/>
      <c r="I41" s="1986"/>
      <c r="J41" s="1986"/>
      <c r="K41" s="1986"/>
      <c r="L41" s="1986"/>
      <c r="M41" s="1986"/>
      <c r="N41" s="1986"/>
      <c r="O41" s="1986"/>
      <c r="P41" s="1986"/>
      <c r="Q41" s="1986"/>
      <c r="R41" s="1986"/>
      <c r="S41" s="1986"/>
      <c r="T41" s="1986"/>
      <c r="U41" s="1986"/>
      <c r="V41" s="1986"/>
      <c r="W41" s="1986"/>
      <c r="X41" s="1986"/>
      <c r="Y41" s="1986"/>
      <c r="Z41" s="1986"/>
      <c r="AA41" s="1986"/>
      <c r="AB41" s="1986"/>
      <c r="AC41" s="1986"/>
      <c r="AD41" s="1986"/>
      <c r="AE41" s="1986"/>
      <c r="AF41" s="1986"/>
      <c r="AG41" s="1986"/>
      <c r="AH41" s="1986"/>
      <c r="AI41" s="1986"/>
      <c r="AJ41" s="1986"/>
      <c r="AK41" s="1986"/>
      <c r="AL41" s="1986"/>
      <c r="AM41" s="1986"/>
      <c r="AN41" s="1986"/>
      <c r="AO41" s="1986"/>
      <c r="AP41" s="1986"/>
      <c r="AQ41" s="1986"/>
      <c r="AR41" s="1986"/>
      <c r="AS41" s="1986"/>
      <c r="AT41" s="1986"/>
      <c r="AU41" s="1986"/>
      <c r="AV41" s="1986"/>
      <c r="AW41" s="1986"/>
      <c r="AX41" s="1986"/>
      <c r="AY41" s="1986"/>
      <c r="AZ41" s="1986"/>
      <c r="BA41" s="1986"/>
      <c r="BB41" s="1986"/>
      <c r="BC41" s="1986"/>
      <c r="BD41" s="1986"/>
      <c r="BE41" s="1986"/>
      <c r="BF41" s="1986"/>
      <c r="BG41" s="1986"/>
      <c r="BH41" s="1986"/>
      <c r="BI41" s="1986"/>
      <c r="BJ41" s="1986"/>
      <c r="BK41" s="1986"/>
      <c r="BL41" s="1986"/>
    </row>
    <row r="42" spans="2:67" s="87" customFormat="1" x14ac:dyDescent="0.3">
      <c r="B42" s="91" t="s">
        <v>159</v>
      </c>
      <c r="C42" s="1986" t="s">
        <v>1169</v>
      </c>
      <c r="D42" s="1986"/>
      <c r="E42" s="1986"/>
      <c r="F42" s="1986"/>
      <c r="G42" s="1986"/>
      <c r="H42" s="1986"/>
      <c r="I42" s="1986"/>
      <c r="J42" s="1986"/>
      <c r="K42" s="1986"/>
      <c r="L42" s="1986"/>
      <c r="M42" s="1986"/>
      <c r="N42" s="1986"/>
      <c r="O42" s="1986"/>
      <c r="P42" s="1986"/>
      <c r="Q42" s="1986"/>
      <c r="R42" s="1986"/>
      <c r="S42" s="1986"/>
      <c r="T42" s="1986"/>
      <c r="U42" s="1986"/>
      <c r="V42" s="1986"/>
      <c r="W42" s="1986"/>
      <c r="X42" s="1986"/>
      <c r="Y42" s="1986"/>
      <c r="Z42" s="1986"/>
      <c r="AA42" s="1986"/>
      <c r="AB42" s="1986"/>
      <c r="AC42" s="1986"/>
      <c r="AD42" s="1986"/>
      <c r="AE42" s="1986"/>
      <c r="AF42" s="1986"/>
      <c r="AG42" s="1986"/>
      <c r="AH42" s="1986"/>
      <c r="AI42" s="1986"/>
      <c r="AJ42" s="1986"/>
      <c r="AK42" s="1986"/>
      <c r="AL42" s="1986"/>
      <c r="AM42" s="1986"/>
      <c r="AN42" s="1986"/>
      <c r="AO42" s="1986"/>
      <c r="AP42" s="1986"/>
      <c r="AQ42" s="1986"/>
      <c r="AR42" s="1986"/>
      <c r="AS42" s="1986"/>
      <c r="AT42" s="1986"/>
      <c r="AU42" s="1986"/>
      <c r="AV42" s="1986"/>
      <c r="AW42" s="1986"/>
      <c r="AX42" s="1986"/>
      <c r="AY42" s="1986"/>
      <c r="AZ42" s="1986"/>
      <c r="BA42" s="1986"/>
      <c r="BB42" s="1986"/>
      <c r="BC42" s="1986"/>
      <c r="BD42" s="1986"/>
      <c r="BE42" s="1986"/>
      <c r="BF42" s="1986"/>
      <c r="BG42" s="1986"/>
      <c r="BH42" s="1986"/>
      <c r="BI42" s="1986"/>
      <c r="BJ42" s="1986"/>
      <c r="BK42" s="1986"/>
      <c r="BL42" s="1986"/>
    </row>
    <row r="43" spans="2:67" s="87" customFormat="1" ht="15" customHeight="1" x14ac:dyDescent="0.3">
      <c r="B43" s="91" t="s">
        <v>153</v>
      </c>
      <c r="C43" s="1584" t="s">
        <v>1170</v>
      </c>
      <c r="D43" s="1584"/>
      <c r="E43" s="1584"/>
      <c r="F43" s="1584"/>
      <c r="G43" s="1584"/>
      <c r="H43" s="1584"/>
      <c r="I43" s="1584"/>
      <c r="J43" s="1584"/>
      <c r="K43" s="1584"/>
      <c r="L43" s="1584"/>
      <c r="M43" s="1584"/>
      <c r="N43" s="1584"/>
      <c r="O43" s="1584"/>
      <c r="P43" s="1584"/>
      <c r="Q43" s="1584"/>
      <c r="R43" s="1584"/>
      <c r="S43" s="1584"/>
      <c r="T43" s="1584"/>
      <c r="U43" s="1584"/>
      <c r="V43" s="1584"/>
      <c r="W43" s="1584"/>
      <c r="X43" s="1584"/>
      <c r="Y43" s="1584"/>
      <c r="Z43" s="1584"/>
      <c r="AA43" s="1584"/>
      <c r="AB43" s="1584"/>
      <c r="AC43" s="1584"/>
      <c r="AD43" s="1584"/>
      <c r="AE43" s="1584"/>
      <c r="AF43" s="1584"/>
      <c r="AG43" s="1584"/>
      <c r="AH43" s="1584"/>
      <c r="AI43" s="1584"/>
      <c r="AJ43" s="1584"/>
      <c r="AK43" s="1584"/>
      <c r="AL43" s="1584"/>
      <c r="AM43" s="1584"/>
      <c r="AN43" s="1584"/>
      <c r="AO43" s="1584"/>
      <c r="AP43" s="1584"/>
      <c r="AQ43" s="1584"/>
      <c r="AR43" s="1584"/>
      <c r="AS43" s="1584"/>
      <c r="AT43" s="1584"/>
      <c r="AU43" s="1584"/>
      <c r="AV43" s="1584"/>
      <c r="AW43" s="1584"/>
      <c r="AX43" s="1584"/>
      <c r="AY43" s="1584"/>
      <c r="AZ43" s="1584"/>
      <c r="BA43" s="1584"/>
      <c r="BB43" s="1584"/>
      <c r="BC43" s="1584"/>
      <c r="BD43" s="1584"/>
      <c r="BE43" s="1584"/>
      <c r="BF43" s="1584"/>
      <c r="BG43" s="1584"/>
      <c r="BH43" s="1584"/>
      <c r="BI43" s="1584"/>
      <c r="BJ43" s="1584"/>
      <c r="BK43" s="1584"/>
      <c r="BL43" s="1584"/>
    </row>
    <row r="44" spans="2:67" s="87" customFormat="1" ht="34.25" customHeight="1" x14ac:dyDescent="0.3">
      <c r="B44" s="91" t="s">
        <v>154</v>
      </c>
      <c r="C44" s="1584" t="s">
        <v>1171</v>
      </c>
      <c r="D44" s="1584"/>
      <c r="E44" s="1584"/>
      <c r="F44" s="1584"/>
      <c r="G44" s="1584"/>
      <c r="H44" s="1584"/>
      <c r="I44" s="1584"/>
      <c r="J44" s="1584"/>
      <c r="K44" s="1584"/>
      <c r="L44" s="1584"/>
      <c r="M44" s="1584"/>
      <c r="N44" s="1584"/>
      <c r="O44" s="1584"/>
      <c r="P44" s="1584"/>
      <c r="Q44" s="1584"/>
      <c r="R44" s="1584"/>
      <c r="S44" s="1584"/>
      <c r="T44" s="1584"/>
      <c r="U44" s="1584"/>
      <c r="V44" s="1584"/>
      <c r="W44" s="1584"/>
      <c r="X44" s="1584"/>
      <c r="Y44" s="1584"/>
      <c r="Z44" s="1584"/>
      <c r="AA44" s="1584"/>
      <c r="AB44" s="1584"/>
      <c r="AC44" s="1584"/>
      <c r="AD44" s="1584"/>
      <c r="AE44" s="1584"/>
      <c r="AF44" s="1584"/>
      <c r="AG44" s="1584"/>
      <c r="AH44" s="1584"/>
      <c r="AI44" s="1584"/>
      <c r="AJ44" s="1584"/>
      <c r="AK44" s="1584"/>
      <c r="AL44" s="1584"/>
      <c r="AM44" s="1584"/>
      <c r="AN44" s="1584"/>
      <c r="AO44" s="1584"/>
      <c r="AP44" s="1584"/>
      <c r="AQ44" s="1584"/>
      <c r="AR44" s="1584"/>
      <c r="AS44" s="1584"/>
      <c r="AT44" s="1584"/>
      <c r="AU44" s="1584"/>
      <c r="AV44" s="1584"/>
      <c r="AW44" s="1584"/>
      <c r="AX44" s="1584"/>
      <c r="AY44" s="1584"/>
      <c r="AZ44" s="1584"/>
      <c r="BA44" s="1584"/>
      <c r="BB44" s="1584"/>
      <c r="BC44" s="1584"/>
      <c r="BD44" s="1584"/>
      <c r="BE44" s="1584"/>
      <c r="BF44" s="1584"/>
      <c r="BG44" s="1584"/>
      <c r="BH44" s="1584"/>
      <c r="BI44" s="1584"/>
      <c r="BJ44" s="1584"/>
      <c r="BK44" s="1584"/>
      <c r="BL44" s="1584"/>
    </row>
    <row r="45" spans="2:67" s="87" customFormat="1" ht="7.5" customHeight="1" x14ac:dyDescent="0.3">
      <c r="B45" s="232"/>
      <c r="C45" s="233"/>
      <c r="D45" s="233"/>
      <c r="E45" s="233"/>
      <c r="F45" s="233"/>
      <c r="G45" s="233"/>
      <c r="H45" s="233"/>
      <c r="I45" s="233"/>
      <c r="J45" s="233"/>
      <c r="K45" s="233"/>
      <c r="L45" s="233"/>
      <c r="M45" s="233"/>
      <c r="N45" s="233"/>
      <c r="O45" s="233"/>
      <c r="P45" s="233"/>
      <c r="Q45" s="233"/>
      <c r="R45" s="233"/>
      <c r="S45" s="233"/>
      <c r="T45" s="233"/>
      <c r="U45" s="233"/>
      <c r="V45" s="233"/>
      <c r="W45" s="233"/>
      <c r="X45" s="233"/>
      <c r="Y45" s="233"/>
      <c r="Z45" s="233"/>
      <c r="AA45" s="233"/>
      <c r="AB45" s="233"/>
      <c r="AC45" s="233"/>
      <c r="AD45" s="233"/>
      <c r="AE45" s="233"/>
      <c r="AF45" s="233"/>
      <c r="AG45" s="233"/>
      <c r="AH45" s="233"/>
      <c r="AI45" s="233"/>
      <c r="AJ45" s="233"/>
      <c r="AK45" s="233"/>
      <c r="AL45" s="233"/>
      <c r="AM45" s="233"/>
      <c r="AN45" s="233"/>
      <c r="AO45" s="233"/>
      <c r="AP45" s="233"/>
      <c r="AQ45" s="233"/>
      <c r="AR45" s="233"/>
      <c r="AS45" s="233"/>
      <c r="AT45" s="233"/>
      <c r="AU45" s="233"/>
      <c r="AV45" s="233"/>
      <c r="AW45" s="233"/>
      <c r="AX45" s="233"/>
      <c r="AY45" s="233"/>
      <c r="AZ45" s="233"/>
      <c r="BA45" s="233"/>
      <c r="BB45" s="233"/>
      <c r="BC45" s="233"/>
      <c r="BD45" s="233"/>
      <c r="BE45" s="233"/>
      <c r="BF45" s="233"/>
      <c r="BG45" s="233"/>
      <c r="BH45" s="233"/>
      <c r="BI45" s="234"/>
    </row>
    <row r="46" spans="2:67" s="84" customFormat="1" ht="18" customHeight="1" x14ac:dyDescent="0.35">
      <c r="B46" s="227" t="s">
        <v>303</v>
      </c>
      <c r="C46" s="164"/>
      <c r="D46" s="164"/>
      <c r="E46" s="235" t="s">
        <v>150</v>
      </c>
      <c r="F46" s="236" t="s">
        <v>1172</v>
      </c>
      <c r="G46" s="86"/>
      <c r="H46" s="86"/>
      <c r="I46" s="86"/>
      <c r="L46" s="86"/>
    </row>
    <row r="47" spans="2:67" s="100" customFormat="1" ht="18" customHeight="1" x14ac:dyDescent="0.35">
      <c r="B47" s="237"/>
      <c r="C47" s="164"/>
      <c r="D47" s="227"/>
      <c r="E47" s="170" t="s">
        <v>151</v>
      </c>
      <c r="F47" s="238" t="s">
        <v>1173</v>
      </c>
      <c r="G47" s="101"/>
      <c r="H47" s="101"/>
      <c r="I47" s="101"/>
      <c r="J47" s="101"/>
      <c r="K47" s="101"/>
      <c r="L47" s="101"/>
      <c r="BG47" s="234"/>
    </row>
    <row r="48" spans="2:67" s="73" customFormat="1" ht="18" customHeight="1" x14ac:dyDescent="0.35">
      <c r="B48" s="239"/>
      <c r="C48" s="110"/>
      <c r="D48" s="110"/>
      <c r="E48" s="170" t="s">
        <v>152</v>
      </c>
      <c r="F48" s="238" t="s">
        <v>1174</v>
      </c>
      <c r="AE48" s="137"/>
    </row>
    <row r="49" spans="2:76" s="137" customFormat="1" ht="18" customHeight="1" x14ac:dyDescent="0.35">
      <c r="B49" s="240"/>
      <c r="C49" s="112"/>
      <c r="D49" s="112"/>
      <c r="E49" s="170" t="s">
        <v>155</v>
      </c>
      <c r="F49" s="238" t="s">
        <v>1291</v>
      </c>
      <c r="G49" s="241"/>
      <c r="H49" s="241"/>
      <c r="I49" s="241"/>
      <c r="J49" s="241"/>
      <c r="K49" s="241"/>
      <c r="L49" s="241"/>
      <c r="M49" s="241"/>
      <c r="N49" s="241"/>
      <c r="O49" s="241"/>
      <c r="P49" s="241"/>
      <c r="Q49" s="241"/>
      <c r="R49" s="241"/>
      <c r="S49" s="241"/>
      <c r="T49" s="241"/>
      <c r="U49" s="241"/>
      <c r="V49" s="241"/>
      <c r="W49" s="241"/>
      <c r="X49" s="241"/>
      <c r="Y49" s="241"/>
      <c r="Z49" s="241"/>
      <c r="BH49" s="206"/>
      <c r="BI49" s="234"/>
    </row>
    <row r="50" spans="2:76" s="73" customFormat="1" ht="18" customHeight="1" x14ac:dyDescent="0.35">
      <c r="B50" s="239"/>
      <c r="C50" s="110"/>
      <c r="D50" s="110"/>
      <c r="E50" s="170" t="s">
        <v>156</v>
      </c>
      <c r="F50" s="238" t="s">
        <v>1362</v>
      </c>
      <c r="AE50" s="137"/>
    </row>
    <row r="51" spans="2:76" s="98" customFormat="1" ht="5.15" customHeight="1" x14ac:dyDescent="0.35"/>
    <row r="52" spans="2:76" x14ac:dyDescent="0.35">
      <c r="B52" s="60" t="s">
        <v>913</v>
      </c>
      <c r="X52" s="60" t="s">
        <v>912</v>
      </c>
      <c r="AT52" s="60" t="s">
        <v>922</v>
      </c>
    </row>
    <row r="53" spans="2:76" ht="21.75" customHeight="1" x14ac:dyDescent="0.35">
      <c r="B53" s="60" t="s">
        <v>780</v>
      </c>
      <c r="F53" s="1581" t="str">
        <f>SchInfo!F38</f>
        <v>MELCHESIEDICK Q. BOLANIO/ March 17, 2023</v>
      </c>
      <c r="G53" s="1581"/>
      <c r="H53" s="1581"/>
      <c r="I53" s="1581"/>
      <c r="J53" s="1581"/>
      <c r="K53" s="1581"/>
      <c r="L53" s="1581"/>
      <c r="M53" s="1581"/>
      <c r="N53" s="1581"/>
      <c r="O53" s="1581"/>
      <c r="P53" s="1581"/>
      <c r="Q53" s="1581"/>
      <c r="R53" s="1581"/>
      <c r="S53" s="1581"/>
      <c r="X53" s="1581" t="str">
        <f>'Tables7-8'!AI5</f>
        <v>ELMA CEZARIE Y. ROMERO  /  May 17, 2023</v>
      </c>
      <c r="Y53" s="1581"/>
      <c r="Z53" s="1581"/>
      <c r="AA53" s="1581"/>
      <c r="AB53" s="1581"/>
      <c r="AC53" s="1581"/>
      <c r="AD53" s="1581"/>
      <c r="AE53" s="1581"/>
      <c r="AF53" s="1581"/>
      <c r="AG53" s="1581"/>
      <c r="AH53" s="1581"/>
      <c r="AI53" s="1581"/>
      <c r="AJ53" s="1581"/>
      <c r="AK53" s="1581"/>
      <c r="AL53" s="1581"/>
      <c r="AM53" s="1581"/>
      <c r="AN53" s="1581"/>
      <c r="AO53" s="1581"/>
      <c r="AT53" s="1582" t="str">
        <f>SchInfo!R38</f>
        <v>MICHAEL T. JAMIS   /  March 17, 2023</v>
      </c>
      <c r="AU53" s="1582"/>
      <c r="AV53" s="1582"/>
      <c r="AW53" s="1582"/>
      <c r="AX53" s="1582"/>
      <c r="AY53" s="1582"/>
      <c r="AZ53" s="1582"/>
      <c r="BA53" s="1582"/>
      <c r="BB53" s="1582"/>
      <c r="BC53" s="1582"/>
      <c r="BD53" s="1582"/>
      <c r="BE53" s="1582"/>
      <c r="BF53" s="1582"/>
      <c r="BG53" s="1582"/>
      <c r="BH53" s="1582"/>
      <c r="BI53" s="1582"/>
      <c r="BJ53" s="1582"/>
      <c r="BK53" s="1582"/>
    </row>
    <row r="54" spans="2:76" s="78" customFormat="1" ht="15.75" customHeight="1" x14ac:dyDescent="0.35">
      <c r="B54" s="77"/>
      <c r="F54" s="1452" t="s">
        <v>779</v>
      </c>
      <c r="G54" s="1452"/>
      <c r="H54" s="1452"/>
      <c r="I54" s="1452"/>
      <c r="J54" s="1452"/>
      <c r="K54" s="1452"/>
      <c r="L54" s="1452"/>
      <c r="M54" s="1452"/>
      <c r="N54" s="1452"/>
      <c r="O54" s="1452"/>
      <c r="P54" s="1452"/>
      <c r="Q54" s="1452"/>
      <c r="R54" s="1452"/>
      <c r="S54" s="1452"/>
      <c r="T54" s="79"/>
      <c r="U54" s="79"/>
      <c r="V54" s="79"/>
      <c r="W54" s="79"/>
      <c r="X54" s="1452" t="s">
        <v>779</v>
      </c>
      <c r="Y54" s="1452"/>
      <c r="Z54" s="1452"/>
      <c r="AA54" s="1452"/>
      <c r="AB54" s="1452"/>
      <c r="AC54" s="1452"/>
      <c r="AD54" s="1452"/>
      <c r="AE54" s="1452"/>
      <c r="AF54" s="1452"/>
      <c r="AG54" s="1452"/>
      <c r="AH54" s="1452"/>
      <c r="AI54" s="1452"/>
      <c r="AJ54" s="1452"/>
      <c r="AK54" s="1452"/>
      <c r="AL54" s="1452"/>
      <c r="AM54" s="1452"/>
      <c r="AN54" s="1452"/>
      <c r="AO54" s="1452"/>
      <c r="AP54" s="79"/>
      <c r="AQ54" s="79"/>
      <c r="AR54" s="79"/>
      <c r="AS54" s="79"/>
      <c r="AT54" s="1583"/>
      <c r="AU54" s="1583"/>
      <c r="AV54" s="1583"/>
      <c r="AW54" s="1583"/>
      <c r="AX54" s="1583"/>
      <c r="AY54" s="1583"/>
      <c r="AZ54" s="1583"/>
      <c r="BA54" s="1583"/>
      <c r="BB54" s="1583"/>
      <c r="BC54" s="1583"/>
      <c r="BD54" s="1583"/>
      <c r="BE54" s="1583"/>
      <c r="BF54" s="1583"/>
      <c r="BG54" s="1583"/>
      <c r="BH54" s="1583"/>
      <c r="BI54" s="1583"/>
      <c r="BJ54" s="1583"/>
      <c r="BK54" s="1583"/>
      <c r="BL54" s="228"/>
      <c r="BM54" s="228"/>
      <c r="BN54" s="228"/>
      <c r="BO54" s="228"/>
      <c r="BP54" s="228"/>
      <c r="BQ54" s="228"/>
      <c r="BR54" s="228"/>
      <c r="BS54" s="228"/>
      <c r="BT54" s="228"/>
      <c r="BU54" s="228"/>
      <c r="BV54" s="228"/>
      <c r="BW54" s="228"/>
      <c r="BX54" s="228"/>
    </row>
    <row r="55" spans="2:76" ht="21.75" customHeight="1" x14ac:dyDescent="0.35">
      <c r="B55" s="60" t="s">
        <v>782</v>
      </c>
      <c r="F55" s="1581" t="str">
        <f>SchInfo!F40</f>
        <v>Principal IV</v>
      </c>
      <c r="G55" s="1581"/>
      <c r="H55" s="1581"/>
      <c r="I55" s="1581"/>
      <c r="J55" s="1581"/>
      <c r="K55" s="1581"/>
      <c r="L55" s="1581"/>
      <c r="M55" s="1581"/>
      <c r="N55" s="1581"/>
      <c r="O55" s="1581"/>
      <c r="P55" s="1581"/>
      <c r="Q55" s="1581"/>
      <c r="R55" s="1581"/>
      <c r="S55" s="1581"/>
      <c r="X55" s="60" t="s">
        <v>782</v>
      </c>
      <c r="AB55" s="1581" t="str">
        <f>'Tables7-8'!AM7</f>
        <v>Administrative Officer</v>
      </c>
      <c r="AC55" s="1581"/>
      <c r="AD55" s="1581"/>
      <c r="AE55" s="1581"/>
      <c r="AF55" s="1581"/>
      <c r="AG55" s="1581"/>
      <c r="AH55" s="1581"/>
      <c r="AI55" s="1581"/>
      <c r="AJ55" s="1581"/>
      <c r="AK55" s="1581"/>
      <c r="AL55" s="1581"/>
      <c r="AM55" s="1581"/>
      <c r="AN55" s="1581"/>
      <c r="AO55" s="1581"/>
      <c r="AT55" s="1452" t="s">
        <v>779</v>
      </c>
      <c r="AU55" s="1452"/>
      <c r="AV55" s="1452"/>
      <c r="AW55" s="1452"/>
      <c r="AX55" s="1452"/>
      <c r="AY55" s="1452"/>
      <c r="AZ55" s="1452"/>
      <c r="BA55" s="1452"/>
      <c r="BB55" s="1452"/>
      <c r="BC55" s="1452"/>
      <c r="BD55" s="1452"/>
      <c r="BE55" s="1452"/>
      <c r="BF55" s="1452"/>
      <c r="BG55" s="1452"/>
      <c r="BH55" s="1452"/>
      <c r="BI55" s="1452"/>
      <c r="BJ55" s="1452"/>
      <c r="BK55" s="1452"/>
    </row>
  </sheetData>
  <sheetProtection algorithmName="SHA-512" hashValue="OXPEV6ehxACsEaKQsWmCRuBtXFPd3t5xlL6vpPHA63ot5AqJ5FwcOiGRXmiLO/jSiqNsOsBTyZzr4hjIFyVmpg==" saltValue="EFPut5Dyb4Gy/YsXvKPLsg==" spinCount="100000" sheet="1" objects="1" scenarios="1"/>
  <mergeCells count="424">
    <mergeCell ref="S31:U31"/>
    <mergeCell ref="V31:X31"/>
    <mergeCell ref="Y31:AT31"/>
    <mergeCell ref="BJ29:BL29"/>
    <mergeCell ref="BG30:BI30"/>
    <mergeCell ref="BJ30:BL30"/>
    <mergeCell ref="AU29:AW29"/>
    <mergeCell ref="AX29:AZ29"/>
    <mergeCell ref="BJ33:BL33"/>
    <mergeCell ref="AU33:AW33"/>
    <mergeCell ref="AX33:AZ33"/>
    <mergeCell ref="BA33:BC33"/>
    <mergeCell ref="BD33:BF33"/>
    <mergeCell ref="BG33:BI33"/>
    <mergeCell ref="BA29:BC29"/>
    <mergeCell ref="BD29:BF29"/>
    <mergeCell ref="BG29:BI29"/>
    <mergeCell ref="P34:R34"/>
    <mergeCell ref="S34:U34"/>
    <mergeCell ref="V34:X34"/>
    <mergeCell ref="AU34:AW34"/>
    <mergeCell ref="AX34:AZ34"/>
    <mergeCell ref="BA34:BC34"/>
    <mergeCell ref="BD34:BF34"/>
    <mergeCell ref="BG34:BI34"/>
    <mergeCell ref="BJ34:BL34"/>
    <mergeCell ref="M33:O33"/>
    <mergeCell ref="P33:R33"/>
    <mergeCell ref="S33:U33"/>
    <mergeCell ref="V33:X33"/>
    <mergeCell ref="Y33:AT33"/>
    <mergeCell ref="BJ31:BL31"/>
    <mergeCell ref="M32:O32"/>
    <mergeCell ref="P32:R32"/>
    <mergeCell ref="S32:U32"/>
    <mergeCell ref="V32:X32"/>
    <mergeCell ref="Y32:AT32"/>
    <mergeCell ref="AU32:AW32"/>
    <mergeCell ref="AX32:AZ32"/>
    <mergeCell ref="BA32:BC32"/>
    <mergeCell ref="BD32:BF32"/>
    <mergeCell ref="BG32:BI32"/>
    <mergeCell ref="BJ32:BL32"/>
    <mergeCell ref="AU31:AW31"/>
    <mergeCell ref="AX31:AZ31"/>
    <mergeCell ref="BA31:BC31"/>
    <mergeCell ref="BD31:BF31"/>
    <mergeCell ref="BG31:BI31"/>
    <mergeCell ref="M31:O31"/>
    <mergeCell ref="P31:R31"/>
    <mergeCell ref="M30:O30"/>
    <mergeCell ref="P30:R30"/>
    <mergeCell ref="S30:U30"/>
    <mergeCell ref="V30:X30"/>
    <mergeCell ref="Y30:AT30"/>
    <mergeCell ref="AU30:AW30"/>
    <mergeCell ref="AX30:AZ30"/>
    <mergeCell ref="BA30:BC30"/>
    <mergeCell ref="BD30:BF30"/>
    <mergeCell ref="M29:O29"/>
    <mergeCell ref="P29:R29"/>
    <mergeCell ref="S29:U29"/>
    <mergeCell ref="V29:X29"/>
    <mergeCell ref="Y29:AT29"/>
    <mergeCell ref="AX27:AZ27"/>
    <mergeCell ref="BA27:BC27"/>
    <mergeCell ref="BD27:BF27"/>
    <mergeCell ref="BG27:BI27"/>
    <mergeCell ref="M27:O27"/>
    <mergeCell ref="P27:R27"/>
    <mergeCell ref="S27:U27"/>
    <mergeCell ref="V27:X27"/>
    <mergeCell ref="Y27:AA27"/>
    <mergeCell ref="AB27:AD27"/>
    <mergeCell ref="AE27:AG27"/>
    <mergeCell ref="V28:BL28"/>
    <mergeCell ref="V26:X26"/>
    <mergeCell ref="Y26:AA26"/>
    <mergeCell ref="AB26:AD26"/>
    <mergeCell ref="AE26:AG26"/>
    <mergeCell ref="AH26:AJ26"/>
    <mergeCell ref="M26:O26"/>
    <mergeCell ref="P26:R26"/>
    <mergeCell ref="S26:U26"/>
    <mergeCell ref="BJ27:BL27"/>
    <mergeCell ref="BD26:BF26"/>
    <mergeCell ref="BG26:BI26"/>
    <mergeCell ref="BJ26:BL26"/>
    <mergeCell ref="AH27:AJ27"/>
    <mergeCell ref="AO27:AQ27"/>
    <mergeCell ref="AR27:AT27"/>
    <mergeCell ref="AU27:AW27"/>
    <mergeCell ref="AO26:AQ26"/>
    <mergeCell ref="AR26:AT26"/>
    <mergeCell ref="AU26:AW26"/>
    <mergeCell ref="AX26:AZ26"/>
    <mergeCell ref="BA26:BC26"/>
    <mergeCell ref="AX25:AZ25"/>
    <mergeCell ref="BA25:BC25"/>
    <mergeCell ref="BD25:BF25"/>
    <mergeCell ref="BG25:BI25"/>
    <mergeCell ref="BJ25:BL25"/>
    <mergeCell ref="BD24:BF24"/>
    <mergeCell ref="BG24:BI24"/>
    <mergeCell ref="BJ24:BL24"/>
    <mergeCell ref="M25:O25"/>
    <mergeCell ref="P25:R25"/>
    <mergeCell ref="S25:U25"/>
    <mergeCell ref="V25:X25"/>
    <mergeCell ref="Y25:AA25"/>
    <mergeCell ref="AB25:AD25"/>
    <mergeCell ref="AE25:AG25"/>
    <mergeCell ref="AH25:AJ25"/>
    <mergeCell ref="AO25:AQ25"/>
    <mergeCell ref="AR25:AT25"/>
    <mergeCell ref="AU25:AW25"/>
    <mergeCell ref="AH24:AJ24"/>
    <mergeCell ref="AO24:AQ24"/>
    <mergeCell ref="AR24:AT24"/>
    <mergeCell ref="AU24:AW24"/>
    <mergeCell ref="AX24:AZ24"/>
    <mergeCell ref="BA24:BC24"/>
    <mergeCell ref="AU23:AW23"/>
    <mergeCell ref="AX23:AZ23"/>
    <mergeCell ref="BA23:BC23"/>
    <mergeCell ref="M24:O24"/>
    <mergeCell ref="P24:R24"/>
    <mergeCell ref="S24:U24"/>
    <mergeCell ref="V24:X24"/>
    <mergeCell ref="Y24:AA24"/>
    <mergeCell ref="AB24:AD24"/>
    <mergeCell ref="AE24:AG24"/>
    <mergeCell ref="BD22:BF22"/>
    <mergeCell ref="BG22:BI22"/>
    <mergeCell ref="BJ22:BL22"/>
    <mergeCell ref="M23:O23"/>
    <mergeCell ref="P23:R23"/>
    <mergeCell ref="S23:U23"/>
    <mergeCell ref="V23:X23"/>
    <mergeCell ref="Y23:AA23"/>
    <mergeCell ref="AB23:AD23"/>
    <mergeCell ref="AE23:AG23"/>
    <mergeCell ref="AH23:AJ23"/>
    <mergeCell ref="AO23:AQ23"/>
    <mergeCell ref="AR23:AT23"/>
    <mergeCell ref="BJ23:BL23"/>
    <mergeCell ref="BD23:BF23"/>
    <mergeCell ref="BG23:BI23"/>
    <mergeCell ref="AR22:AT22"/>
    <mergeCell ref="AU22:AW22"/>
    <mergeCell ref="AX22:AZ22"/>
    <mergeCell ref="M22:O22"/>
    <mergeCell ref="P22:R22"/>
    <mergeCell ref="S22:U22"/>
    <mergeCell ref="BA22:BC22"/>
    <mergeCell ref="V22:X22"/>
    <mergeCell ref="Y22:AA22"/>
    <mergeCell ref="AB22:AD22"/>
    <mergeCell ref="AE22:AG22"/>
    <mergeCell ref="AH22:AJ22"/>
    <mergeCell ref="AO22:AQ22"/>
    <mergeCell ref="AE21:AG21"/>
    <mergeCell ref="AH21:AJ21"/>
    <mergeCell ref="M21:O21"/>
    <mergeCell ref="P21:R21"/>
    <mergeCell ref="S21:U21"/>
    <mergeCell ref="V21:X21"/>
    <mergeCell ref="Y21:AA21"/>
    <mergeCell ref="AB21:AD21"/>
    <mergeCell ref="AX20:AZ20"/>
    <mergeCell ref="BA20:BC20"/>
    <mergeCell ref="BD21:BF21"/>
    <mergeCell ref="BG21:BI21"/>
    <mergeCell ref="BG20:BI20"/>
    <mergeCell ref="BJ20:BL20"/>
    <mergeCell ref="AO21:AQ21"/>
    <mergeCell ref="AR21:AT21"/>
    <mergeCell ref="AU21:AW21"/>
    <mergeCell ref="AX21:AZ21"/>
    <mergeCell ref="BA21:BC21"/>
    <mergeCell ref="AR19:AT19"/>
    <mergeCell ref="AU19:AW19"/>
    <mergeCell ref="AX19:AZ19"/>
    <mergeCell ref="BA19:BC19"/>
    <mergeCell ref="V19:X19"/>
    <mergeCell ref="Y19:AA19"/>
    <mergeCell ref="AB19:AD19"/>
    <mergeCell ref="AE19:AG19"/>
    <mergeCell ref="AH19:AJ19"/>
    <mergeCell ref="M19:O19"/>
    <mergeCell ref="P19:R19"/>
    <mergeCell ref="S19:U19"/>
    <mergeCell ref="BD20:BF20"/>
    <mergeCell ref="AX18:AZ18"/>
    <mergeCell ref="BA18:BC18"/>
    <mergeCell ref="BD18:BF18"/>
    <mergeCell ref="BG18:BI18"/>
    <mergeCell ref="BJ18:BL18"/>
    <mergeCell ref="BD19:BF19"/>
    <mergeCell ref="BG19:BI19"/>
    <mergeCell ref="BJ19:BL19"/>
    <mergeCell ref="M20:O20"/>
    <mergeCell ref="P20:R20"/>
    <mergeCell ref="S20:U20"/>
    <mergeCell ref="V20:X20"/>
    <mergeCell ref="Y20:AA20"/>
    <mergeCell ref="AB20:AD20"/>
    <mergeCell ref="AE20:AG20"/>
    <mergeCell ref="AH20:AJ20"/>
    <mergeCell ref="AO20:AQ20"/>
    <mergeCell ref="AR20:AT20"/>
    <mergeCell ref="AU20:AW20"/>
    <mergeCell ref="AO19:AQ19"/>
    <mergeCell ref="BD17:BF17"/>
    <mergeCell ref="BG17:BI17"/>
    <mergeCell ref="BJ17:BL17"/>
    <mergeCell ref="M18:O18"/>
    <mergeCell ref="P18:R18"/>
    <mergeCell ref="S18:U18"/>
    <mergeCell ref="V18:X18"/>
    <mergeCell ref="Y18:AA18"/>
    <mergeCell ref="AB18:AD18"/>
    <mergeCell ref="AE18:AG18"/>
    <mergeCell ref="AH18:AJ18"/>
    <mergeCell ref="AO18:AQ18"/>
    <mergeCell ref="AR18:AT18"/>
    <mergeCell ref="AU18:AW18"/>
    <mergeCell ref="AO17:AQ17"/>
    <mergeCell ref="AR17:AT17"/>
    <mergeCell ref="AU17:AW17"/>
    <mergeCell ref="AX17:AZ17"/>
    <mergeCell ref="BA17:BC17"/>
    <mergeCell ref="V17:X17"/>
    <mergeCell ref="Y17:AA17"/>
    <mergeCell ref="AB17:AD17"/>
    <mergeCell ref="AE17:AG17"/>
    <mergeCell ref="AH17:AJ17"/>
    <mergeCell ref="M17:O17"/>
    <mergeCell ref="P17:R17"/>
    <mergeCell ref="S17:U17"/>
    <mergeCell ref="BD16:BF16"/>
    <mergeCell ref="BG16:BI16"/>
    <mergeCell ref="BJ16:BL16"/>
    <mergeCell ref="BD15:BF15"/>
    <mergeCell ref="BG15:BI15"/>
    <mergeCell ref="BJ15:BL15"/>
    <mergeCell ref="M16:O16"/>
    <mergeCell ref="P16:R16"/>
    <mergeCell ref="S16:U16"/>
    <mergeCell ref="V16:X16"/>
    <mergeCell ref="Y16:AA16"/>
    <mergeCell ref="AB16:AD16"/>
    <mergeCell ref="AE16:AG16"/>
    <mergeCell ref="AH16:AJ16"/>
    <mergeCell ref="AO16:AQ16"/>
    <mergeCell ref="AR16:AT16"/>
    <mergeCell ref="AU16:AW16"/>
    <mergeCell ref="AO15:AQ15"/>
    <mergeCell ref="AR15:AT15"/>
    <mergeCell ref="AU15:AW15"/>
    <mergeCell ref="V15:X15"/>
    <mergeCell ref="Y15:AA15"/>
    <mergeCell ref="AB15:AD15"/>
    <mergeCell ref="AE15:AG15"/>
    <mergeCell ref="AH15:AJ15"/>
    <mergeCell ref="M15:O15"/>
    <mergeCell ref="P15:R15"/>
    <mergeCell ref="S15:U15"/>
    <mergeCell ref="AX16:AZ16"/>
    <mergeCell ref="S14:U14"/>
    <mergeCell ref="V14:X14"/>
    <mergeCell ref="Y14:AA14"/>
    <mergeCell ref="AB14:AD14"/>
    <mergeCell ref="AE14:AG14"/>
    <mergeCell ref="AH14:AJ14"/>
    <mergeCell ref="AO14:AQ14"/>
    <mergeCell ref="AR14:AT14"/>
    <mergeCell ref="AU14:AW14"/>
    <mergeCell ref="S11:U11"/>
    <mergeCell ref="AX11:AZ11"/>
    <mergeCell ref="M12:O12"/>
    <mergeCell ref="P12:R12"/>
    <mergeCell ref="S12:U12"/>
    <mergeCell ref="V12:X12"/>
    <mergeCell ref="Y12:AA12"/>
    <mergeCell ref="AB12:AD12"/>
    <mergeCell ref="AE12:AG12"/>
    <mergeCell ref="AH12:AJ12"/>
    <mergeCell ref="AO12:AQ12"/>
    <mergeCell ref="AR12:AT12"/>
    <mergeCell ref="AU11:AW11"/>
    <mergeCell ref="AU12:AW12"/>
    <mergeCell ref="AX12:AZ12"/>
    <mergeCell ref="BJ11:BL11"/>
    <mergeCell ref="BA11:BC11"/>
    <mergeCell ref="BD11:BF11"/>
    <mergeCell ref="AK12:AN12"/>
    <mergeCell ref="AK13:AN13"/>
    <mergeCell ref="AK14:AN14"/>
    <mergeCell ref="AK27:AN27"/>
    <mergeCell ref="AK19:AN19"/>
    <mergeCell ref="AK20:AN20"/>
    <mergeCell ref="AK26:AN26"/>
    <mergeCell ref="AK22:AN22"/>
    <mergeCell ref="AK24:AN24"/>
    <mergeCell ref="AK25:AN25"/>
    <mergeCell ref="AK23:AN23"/>
    <mergeCell ref="AK21:AN21"/>
    <mergeCell ref="BD13:BF13"/>
    <mergeCell ref="BG13:BI13"/>
    <mergeCell ref="BJ13:BL13"/>
    <mergeCell ref="AO13:AQ13"/>
    <mergeCell ref="AR13:AT13"/>
    <mergeCell ref="AU13:AW13"/>
    <mergeCell ref="AX15:AZ15"/>
    <mergeCell ref="BA15:BC15"/>
    <mergeCell ref="BA16:BC16"/>
    <mergeCell ref="BD9:BF9"/>
    <mergeCell ref="BG9:BI9"/>
    <mergeCell ref="AU7:AW8"/>
    <mergeCell ref="AX7:AZ8"/>
    <mergeCell ref="BD7:BF7"/>
    <mergeCell ref="BG7:BI7"/>
    <mergeCell ref="M4:O8"/>
    <mergeCell ref="BJ8:BL8"/>
    <mergeCell ref="B3:L8"/>
    <mergeCell ref="B9:L9"/>
    <mergeCell ref="BJ9:BL9"/>
    <mergeCell ref="AO9:AQ9"/>
    <mergeCell ref="AR9:AT9"/>
    <mergeCell ref="AU9:AW9"/>
    <mergeCell ref="AX9:AZ9"/>
    <mergeCell ref="V7:X7"/>
    <mergeCell ref="V8:X8"/>
    <mergeCell ref="AO6:AQ6"/>
    <mergeCell ref="AO7:AQ8"/>
    <mergeCell ref="BA7:BC7"/>
    <mergeCell ref="BA8:BC8"/>
    <mergeCell ref="S9:U9"/>
    <mergeCell ref="AH9:AJ9"/>
    <mergeCell ref="AK9:AN9"/>
    <mergeCell ref="BJ7:BL7"/>
    <mergeCell ref="BD8:BF8"/>
    <mergeCell ref="V9:X9"/>
    <mergeCell ref="Y9:AA9"/>
    <mergeCell ref="AB9:AD9"/>
    <mergeCell ref="AE9:AG9"/>
    <mergeCell ref="M3:BL3"/>
    <mergeCell ref="P4:AT4"/>
    <mergeCell ref="AU4:BC6"/>
    <mergeCell ref="BD4:BL6"/>
    <mergeCell ref="P5:X6"/>
    <mergeCell ref="Y5:AA8"/>
    <mergeCell ref="AB5:AD8"/>
    <mergeCell ref="AE5:AQ5"/>
    <mergeCell ref="AR5:AT8"/>
    <mergeCell ref="AE6:AG8"/>
    <mergeCell ref="AH6:AJ8"/>
    <mergeCell ref="AK6:AN8"/>
    <mergeCell ref="P7:R8"/>
    <mergeCell ref="S7:U8"/>
    <mergeCell ref="M9:O9"/>
    <mergeCell ref="P9:R9"/>
    <mergeCell ref="BG8:BI8"/>
    <mergeCell ref="BA9:BC9"/>
    <mergeCell ref="C42:BL42"/>
    <mergeCell ref="C43:BL43"/>
    <mergeCell ref="C44:BL44"/>
    <mergeCell ref="X53:AO53"/>
    <mergeCell ref="AT53:BK54"/>
    <mergeCell ref="AB55:AO55"/>
    <mergeCell ref="AT55:BK55"/>
    <mergeCell ref="F53:S53"/>
    <mergeCell ref="F54:S54"/>
    <mergeCell ref="F55:S55"/>
    <mergeCell ref="X54:AO54"/>
    <mergeCell ref="BG12:BI12"/>
    <mergeCell ref="BJ12:BL12"/>
    <mergeCell ref="C39:BL39"/>
    <mergeCell ref="C40:BL40"/>
    <mergeCell ref="C41:BL41"/>
    <mergeCell ref="AX13:AZ13"/>
    <mergeCell ref="BA13:BC13"/>
    <mergeCell ref="V13:X13"/>
    <mergeCell ref="Y13:AA13"/>
    <mergeCell ref="AB13:AD13"/>
    <mergeCell ref="AE13:AG13"/>
    <mergeCell ref="AH13:AJ13"/>
    <mergeCell ref="M13:O13"/>
    <mergeCell ref="P13:R13"/>
    <mergeCell ref="S13:U13"/>
    <mergeCell ref="AX14:AZ14"/>
    <mergeCell ref="BA14:BC14"/>
    <mergeCell ref="BD14:BF14"/>
    <mergeCell ref="BJ21:BL21"/>
    <mergeCell ref="BG14:BI14"/>
    <mergeCell ref="BJ14:BL14"/>
    <mergeCell ref="B34:L34"/>
    <mergeCell ref="M14:O14"/>
    <mergeCell ref="P14:R14"/>
    <mergeCell ref="M10:BL10"/>
    <mergeCell ref="M34:O34"/>
    <mergeCell ref="Y34:AT34"/>
    <mergeCell ref="B27:L27"/>
    <mergeCell ref="C36:BL36"/>
    <mergeCell ref="C37:BL37"/>
    <mergeCell ref="C38:BL38"/>
    <mergeCell ref="AK17:AN17"/>
    <mergeCell ref="AK18:AN18"/>
    <mergeCell ref="AK11:AN11"/>
    <mergeCell ref="AK15:AN15"/>
    <mergeCell ref="M11:O11"/>
    <mergeCell ref="AK16:AN16"/>
    <mergeCell ref="AH11:AJ11"/>
    <mergeCell ref="AO11:AQ11"/>
    <mergeCell ref="AR11:AT11"/>
    <mergeCell ref="P11:R11"/>
    <mergeCell ref="V11:X11"/>
    <mergeCell ref="Y11:AA11"/>
    <mergeCell ref="AB11:AD11"/>
    <mergeCell ref="AE11:AG11"/>
    <mergeCell ref="BG11:BI11"/>
    <mergeCell ref="BA12:BC12"/>
    <mergeCell ref="BD12:BF12"/>
  </mergeCells>
  <phoneticPr fontId="41" type="noConversion"/>
  <dataValidations count="2">
    <dataValidation type="whole" allowBlank="1" showErrorMessage="1" errorTitle="GJHSP SY 2021-2022" error="Please enter valid number between 0-999." sqref="M29:O33 BD29:BI33" xr:uid="{70484723-8336-42F0-903B-4C6955416228}">
      <formula1>0</formula1>
      <formula2>999</formula2>
    </dataValidation>
    <dataValidation type="whole" allowBlank="1" showErrorMessage="1" errorTitle="GJHSP SY 2022-2023" error="Please enter valid number between 0-999." sqref="M11:U26 Y11:AN26 AU11:AZ26 AU29:AZ33 P29:U33" xr:uid="{F0E2C4FE-29D1-4DD8-9440-34BAF912E561}">
      <formula1>0</formula1>
      <formula2>999</formula2>
    </dataValidation>
  </dataValidations>
  <printOptions horizontalCentered="1" verticalCentered="1"/>
  <pageMargins left="0.25" right="0.25" top="0.2" bottom="0.2" header="0" footer="0.1"/>
  <pageSetup paperSize="9" scale="49" orientation="landscape" r:id="rId1"/>
  <headerFooter alignWithMargins="0">
    <oddFooter>&amp;L&amp;10&amp;F &amp;A&amp;R&amp;10Page 10 of 63</oddFooter>
  </headerFooter>
  <ignoredErrors>
    <ignoredError sqref="V11:X26 AO11:AQ26" formulaRange="1"/>
  </ignoredError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dimension ref="A1:BU37"/>
  <sheetViews>
    <sheetView showGridLines="0" zoomScaleNormal="100" workbookViewId="0">
      <selection activeCell="F32" sqref="F32:N32"/>
    </sheetView>
  </sheetViews>
  <sheetFormatPr defaultColWidth="9" defaultRowHeight="15.5" x14ac:dyDescent="0.35"/>
  <cols>
    <col min="1" max="1" width="2.08203125" style="44" customWidth="1"/>
    <col min="2" max="45" width="3.58203125" style="44" customWidth="1"/>
    <col min="46" max="46" width="2.08203125" style="44" customWidth="1"/>
    <col min="47" max="52" width="4.58203125" style="44" customWidth="1"/>
    <col min="53" max="58" width="3.58203125" style="44" customWidth="1"/>
    <col min="59" max="16384" width="9" style="44"/>
  </cols>
  <sheetData>
    <row r="1" spans="1:55" ht="12" customHeight="1" x14ac:dyDescent="0.35"/>
    <row r="2" spans="1:55" ht="17" thickBot="1" x14ac:dyDescent="0.4">
      <c r="B2" s="295" t="s">
        <v>12687</v>
      </c>
      <c r="C2" s="296"/>
      <c r="D2" s="296"/>
      <c r="E2" s="296"/>
      <c r="F2" s="296"/>
      <c r="G2" s="296"/>
      <c r="H2" s="296"/>
      <c r="I2" s="296"/>
      <c r="J2" s="296"/>
      <c r="K2" s="296"/>
      <c r="L2" s="296"/>
      <c r="M2" s="296"/>
      <c r="N2" s="296"/>
      <c r="O2" s="296"/>
      <c r="P2" s="296"/>
      <c r="Q2" s="296"/>
      <c r="R2" s="296"/>
      <c r="S2" s="296"/>
      <c r="T2" s="296"/>
      <c r="U2" s="296"/>
      <c r="V2" s="296"/>
      <c r="W2" s="296"/>
      <c r="X2" s="296"/>
      <c r="Y2" s="296"/>
      <c r="Z2" s="296"/>
      <c r="AA2" s="296"/>
      <c r="AB2" s="296"/>
      <c r="AC2" s="296"/>
      <c r="AD2" s="296"/>
      <c r="AE2" s="296"/>
      <c r="AF2" s="296"/>
      <c r="AG2" s="296"/>
      <c r="AH2" s="296"/>
      <c r="AI2" s="49"/>
      <c r="AJ2" s="49"/>
      <c r="AK2" s="49"/>
      <c r="AL2" s="49"/>
      <c r="AM2" s="297"/>
      <c r="AN2" s="297"/>
      <c r="AO2" s="297"/>
      <c r="AP2" s="297"/>
      <c r="AQ2" s="297"/>
      <c r="AR2" s="297"/>
      <c r="AS2" s="297"/>
      <c r="AT2" s="297"/>
      <c r="AU2" s="297"/>
      <c r="AV2" s="297"/>
      <c r="AW2" s="297"/>
      <c r="AX2" s="297"/>
      <c r="AY2" s="297"/>
      <c r="AZ2" s="297"/>
      <c r="BA2" s="297"/>
      <c r="BB2" s="269"/>
      <c r="BC2" s="111"/>
    </row>
    <row r="3" spans="1:55" ht="35.25" customHeight="1" thickTop="1" thickBot="1" x14ac:dyDescent="0.4">
      <c r="A3" s="298"/>
      <c r="B3" s="2155" t="s">
        <v>23</v>
      </c>
      <c r="C3" s="2156"/>
      <c r="D3" s="2156"/>
      <c r="E3" s="2156"/>
      <c r="F3" s="2156"/>
      <c r="G3" s="2156"/>
      <c r="H3" s="2156"/>
      <c r="I3" s="2157"/>
      <c r="J3" s="2159" t="s">
        <v>900</v>
      </c>
      <c r="K3" s="2160"/>
      <c r="L3" s="2160"/>
      <c r="M3" s="2160"/>
      <c r="N3" s="2160"/>
      <c r="O3" s="2160"/>
      <c r="P3" s="2160"/>
      <c r="Q3" s="2160"/>
      <c r="R3" s="2160"/>
      <c r="S3" s="2160"/>
      <c r="T3" s="2160"/>
      <c r="U3" s="2161"/>
      <c r="V3" s="2162" t="s">
        <v>901</v>
      </c>
      <c r="W3" s="2160"/>
      <c r="X3" s="2160"/>
      <c r="Y3" s="2160"/>
      <c r="Z3" s="2160"/>
      <c r="AA3" s="2160"/>
      <c r="AB3" s="2160"/>
      <c r="AC3" s="2160"/>
      <c r="AD3" s="2160"/>
      <c r="AE3" s="2160"/>
      <c r="AF3" s="2160"/>
      <c r="AG3" s="2161"/>
      <c r="AH3" s="2163" t="s">
        <v>902</v>
      </c>
      <c r="AI3" s="1970"/>
      <c r="AJ3" s="1970"/>
      <c r="AK3" s="1970"/>
      <c r="AL3" s="1970"/>
      <c r="AM3" s="2164"/>
      <c r="AN3" s="2134" t="s">
        <v>903</v>
      </c>
      <c r="AO3" s="1970"/>
      <c r="AP3" s="1970"/>
      <c r="AQ3" s="1970"/>
      <c r="AR3" s="1970"/>
      <c r="AS3" s="2135"/>
      <c r="AU3" s="269"/>
    </row>
    <row r="4" spans="1:55" ht="13.75" customHeight="1" x14ac:dyDescent="0.35">
      <c r="A4" s="298"/>
      <c r="B4" s="2158"/>
      <c r="C4" s="1927"/>
      <c r="D4" s="1927"/>
      <c r="E4" s="1927"/>
      <c r="F4" s="1927"/>
      <c r="G4" s="1927"/>
      <c r="H4" s="1927"/>
      <c r="I4" s="1960"/>
      <c r="J4" s="1907" t="s">
        <v>52</v>
      </c>
      <c r="K4" s="1908"/>
      <c r="L4" s="1908"/>
      <c r="M4" s="1908"/>
      <c r="N4" s="1908"/>
      <c r="O4" s="2138"/>
      <c r="P4" s="2140" t="s">
        <v>135</v>
      </c>
      <c r="Q4" s="1908"/>
      <c r="R4" s="1908"/>
      <c r="S4" s="1908"/>
      <c r="T4" s="1908"/>
      <c r="U4" s="2141"/>
      <c r="V4" s="2143" t="s">
        <v>53</v>
      </c>
      <c r="W4" s="1908"/>
      <c r="X4" s="1908"/>
      <c r="Y4" s="1908"/>
      <c r="Z4" s="1908"/>
      <c r="AA4" s="2138"/>
      <c r="AB4" s="2140" t="s">
        <v>54</v>
      </c>
      <c r="AC4" s="1908"/>
      <c r="AD4" s="1908"/>
      <c r="AE4" s="1908"/>
      <c r="AF4" s="1908"/>
      <c r="AG4" s="2141"/>
      <c r="AH4" s="2165"/>
      <c r="AI4" s="1973"/>
      <c r="AJ4" s="1973"/>
      <c r="AK4" s="1973"/>
      <c r="AL4" s="1973"/>
      <c r="AM4" s="2166"/>
      <c r="AN4" s="2136"/>
      <c r="AO4" s="1973"/>
      <c r="AP4" s="1973"/>
      <c r="AQ4" s="1973"/>
      <c r="AR4" s="1973"/>
      <c r="AS4" s="2137"/>
      <c r="AU4" s="269"/>
    </row>
    <row r="5" spans="1:55" ht="13.75" customHeight="1" x14ac:dyDescent="0.35">
      <c r="A5" s="298"/>
      <c r="B5" s="2158"/>
      <c r="C5" s="1927"/>
      <c r="D5" s="1927"/>
      <c r="E5" s="1927"/>
      <c r="F5" s="1927"/>
      <c r="G5" s="1927"/>
      <c r="H5" s="1927"/>
      <c r="I5" s="1960"/>
      <c r="J5" s="1910"/>
      <c r="K5" s="1911"/>
      <c r="L5" s="1911"/>
      <c r="M5" s="1911"/>
      <c r="N5" s="1911"/>
      <c r="O5" s="2139"/>
      <c r="P5" s="2142"/>
      <c r="Q5" s="1911"/>
      <c r="R5" s="1911"/>
      <c r="S5" s="1911"/>
      <c r="T5" s="1911"/>
      <c r="U5" s="1956"/>
      <c r="V5" s="1955"/>
      <c r="W5" s="1911"/>
      <c r="X5" s="1911"/>
      <c r="Y5" s="1911"/>
      <c r="Z5" s="1911"/>
      <c r="AA5" s="2139"/>
      <c r="AB5" s="2142"/>
      <c r="AC5" s="1911"/>
      <c r="AD5" s="1911"/>
      <c r="AE5" s="1911"/>
      <c r="AF5" s="1911"/>
      <c r="AG5" s="1956"/>
      <c r="AH5" s="2165"/>
      <c r="AI5" s="1973"/>
      <c r="AJ5" s="1973"/>
      <c r="AK5" s="1973"/>
      <c r="AL5" s="1973"/>
      <c r="AM5" s="2166"/>
      <c r="AN5" s="2136"/>
      <c r="AO5" s="1973"/>
      <c r="AP5" s="1973"/>
      <c r="AQ5" s="1973"/>
      <c r="AR5" s="1973"/>
      <c r="AS5" s="2137"/>
      <c r="AU5" s="269"/>
    </row>
    <row r="6" spans="1:55" s="223" customFormat="1" ht="11" thickBot="1" x14ac:dyDescent="0.3">
      <c r="B6" s="2144" t="s">
        <v>28</v>
      </c>
      <c r="C6" s="2145"/>
      <c r="D6" s="2145"/>
      <c r="E6" s="2145"/>
      <c r="F6" s="2145"/>
      <c r="G6" s="2145"/>
      <c r="H6" s="2145"/>
      <c r="I6" s="2146"/>
      <c r="J6" s="2147" t="s">
        <v>29</v>
      </c>
      <c r="K6" s="2148"/>
      <c r="L6" s="2148"/>
      <c r="M6" s="2148"/>
      <c r="N6" s="2148"/>
      <c r="O6" s="2149"/>
      <c r="P6" s="2150" t="s">
        <v>30</v>
      </c>
      <c r="Q6" s="2145"/>
      <c r="R6" s="2145"/>
      <c r="S6" s="2145"/>
      <c r="T6" s="2145"/>
      <c r="U6" s="2151"/>
      <c r="V6" s="2152" t="s">
        <v>31</v>
      </c>
      <c r="W6" s="2145"/>
      <c r="X6" s="2145"/>
      <c r="Y6" s="2145"/>
      <c r="Z6" s="2145"/>
      <c r="AA6" s="2153"/>
      <c r="AB6" s="2150" t="s">
        <v>32</v>
      </c>
      <c r="AC6" s="2145"/>
      <c r="AD6" s="2145"/>
      <c r="AE6" s="2145"/>
      <c r="AF6" s="2145"/>
      <c r="AG6" s="2151"/>
      <c r="AH6" s="2152" t="s">
        <v>33</v>
      </c>
      <c r="AI6" s="2145"/>
      <c r="AJ6" s="2145"/>
      <c r="AK6" s="2145"/>
      <c r="AL6" s="2145"/>
      <c r="AM6" s="2154"/>
      <c r="AN6" s="2169" t="s">
        <v>34</v>
      </c>
      <c r="AO6" s="2145"/>
      <c r="AP6" s="2145"/>
      <c r="AQ6" s="2145"/>
      <c r="AR6" s="2145"/>
      <c r="AS6" s="2170"/>
      <c r="AU6" s="299"/>
    </row>
    <row r="7" spans="1:55" s="72" customFormat="1" ht="30" customHeight="1" thickTop="1" x14ac:dyDescent="0.35">
      <c r="B7" s="280"/>
      <c r="C7" s="137" t="s">
        <v>187</v>
      </c>
      <c r="J7" s="2171">
        <v>0</v>
      </c>
      <c r="K7" s="2172"/>
      <c r="L7" s="2172"/>
      <c r="M7" s="2172"/>
      <c r="N7" s="2172"/>
      <c r="O7" s="2173"/>
      <c r="P7" s="2174">
        <v>0</v>
      </c>
      <c r="Q7" s="2172"/>
      <c r="R7" s="2172"/>
      <c r="S7" s="2172"/>
      <c r="T7" s="2172"/>
      <c r="U7" s="2175"/>
      <c r="V7" s="2176">
        <v>0</v>
      </c>
      <c r="W7" s="2172"/>
      <c r="X7" s="2172"/>
      <c r="Y7" s="2172"/>
      <c r="Z7" s="2172"/>
      <c r="AA7" s="2173"/>
      <c r="AB7" s="2174">
        <v>0</v>
      </c>
      <c r="AC7" s="2172"/>
      <c r="AD7" s="2172"/>
      <c r="AE7" s="2172"/>
      <c r="AF7" s="2172"/>
      <c r="AG7" s="2175"/>
      <c r="AH7" s="2176">
        <v>0</v>
      </c>
      <c r="AI7" s="2172"/>
      <c r="AJ7" s="2172"/>
      <c r="AK7" s="2172"/>
      <c r="AL7" s="2172"/>
      <c r="AM7" s="2172"/>
      <c r="AN7" s="2177">
        <f>SUM(J7:AM7)</f>
        <v>0</v>
      </c>
      <c r="AO7" s="2178"/>
      <c r="AP7" s="2178"/>
      <c r="AQ7" s="2178"/>
      <c r="AR7" s="2178"/>
      <c r="AS7" s="2179"/>
      <c r="AU7" s="230" t="str">
        <f>IF(AN7&lt;&gt;Table10!BJ11,"Totals in column 7 of this table shall be equal to the totals in Table 10a (column 18 - Total Nationally-funded teachers working in the school).","")</f>
        <v/>
      </c>
    </row>
    <row r="8" spans="1:55" s="72" customFormat="1" ht="30" customHeight="1" x14ac:dyDescent="0.35">
      <c r="B8" s="281"/>
      <c r="C8" s="282" t="s">
        <v>188</v>
      </c>
      <c r="D8" s="282"/>
      <c r="E8" s="282"/>
      <c r="F8" s="282"/>
      <c r="G8" s="282"/>
      <c r="H8" s="282"/>
      <c r="I8" s="283"/>
      <c r="J8" s="2061">
        <v>0</v>
      </c>
      <c r="K8" s="2062"/>
      <c r="L8" s="2062"/>
      <c r="M8" s="2062"/>
      <c r="N8" s="2062"/>
      <c r="O8" s="2167"/>
      <c r="P8" s="2168">
        <v>0</v>
      </c>
      <c r="Q8" s="2062"/>
      <c r="R8" s="2062"/>
      <c r="S8" s="2062"/>
      <c r="T8" s="2062"/>
      <c r="U8" s="2063"/>
      <c r="V8" s="2064">
        <v>0</v>
      </c>
      <c r="W8" s="2062"/>
      <c r="X8" s="2062"/>
      <c r="Y8" s="2062"/>
      <c r="Z8" s="2062"/>
      <c r="AA8" s="2167"/>
      <c r="AB8" s="2168">
        <v>0</v>
      </c>
      <c r="AC8" s="2062"/>
      <c r="AD8" s="2062"/>
      <c r="AE8" s="2062"/>
      <c r="AF8" s="2062"/>
      <c r="AG8" s="2063"/>
      <c r="AH8" s="2064">
        <v>0</v>
      </c>
      <c r="AI8" s="2062"/>
      <c r="AJ8" s="2062"/>
      <c r="AK8" s="2062"/>
      <c r="AL8" s="2062"/>
      <c r="AM8" s="2062"/>
      <c r="AN8" s="1866">
        <f t="shared" ref="AN8:AN22" si="0">SUM(J8:AM8)</f>
        <v>0</v>
      </c>
      <c r="AO8" s="1867"/>
      <c r="AP8" s="1867"/>
      <c r="AQ8" s="1867"/>
      <c r="AR8" s="1867"/>
      <c r="AS8" s="1871"/>
      <c r="AU8" s="230" t="str">
        <f>IF(AN8&lt;&gt;Table10!BJ12,"Totals in column 7 of this table shall be equal to the totals in Table 10a (column 18 - Total Nationally-funded teachers working in the school).","")</f>
        <v/>
      </c>
    </row>
    <row r="9" spans="1:55" s="72" customFormat="1" ht="30" customHeight="1" thickBot="1" x14ac:dyDescent="0.4">
      <c r="B9" s="284"/>
      <c r="C9" s="285" t="s">
        <v>177</v>
      </c>
      <c r="D9" s="285"/>
      <c r="E9" s="285"/>
      <c r="F9" s="285"/>
      <c r="G9" s="285"/>
      <c r="H9" s="285"/>
      <c r="I9" s="286"/>
      <c r="J9" s="2021">
        <v>0</v>
      </c>
      <c r="K9" s="2022"/>
      <c r="L9" s="2022"/>
      <c r="M9" s="2022"/>
      <c r="N9" s="2022"/>
      <c r="O9" s="2185"/>
      <c r="P9" s="2186">
        <v>0</v>
      </c>
      <c r="Q9" s="2022"/>
      <c r="R9" s="2022"/>
      <c r="S9" s="2022"/>
      <c r="T9" s="2022"/>
      <c r="U9" s="2023"/>
      <c r="V9" s="2024">
        <v>0</v>
      </c>
      <c r="W9" s="2022"/>
      <c r="X9" s="2022"/>
      <c r="Y9" s="2022"/>
      <c r="Z9" s="2022"/>
      <c r="AA9" s="2185"/>
      <c r="AB9" s="2186">
        <v>0</v>
      </c>
      <c r="AC9" s="2022"/>
      <c r="AD9" s="2022"/>
      <c r="AE9" s="2022"/>
      <c r="AF9" s="2022"/>
      <c r="AG9" s="2023"/>
      <c r="AH9" s="2024">
        <v>0</v>
      </c>
      <c r="AI9" s="2022"/>
      <c r="AJ9" s="2022"/>
      <c r="AK9" s="2022"/>
      <c r="AL9" s="2022"/>
      <c r="AM9" s="2022"/>
      <c r="AN9" s="2187">
        <f t="shared" si="0"/>
        <v>0</v>
      </c>
      <c r="AO9" s="2188"/>
      <c r="AP9" s="2188"/>
      <c r="AQ9" s="2188"/>
      <c r="AR9" s="2188"/>
      <c r="AS9" s="2189"/>
      <c r="AU9" s="230" t="str">
        <f>IF(AN9&lt;&gt;Table10!BJ13,"Totals in column 7 of this table shall be equal to the totals in Table 10a (column 18 - Total Nationally-funded teachers working in the school).","")</f>
        <v/>
      </c>
    </row>
    <row r="10" spans="1:55" s="72" customFormat="1" ht="30" customHeight="1" x14ac:dyDescent="0.35">
      <c r="B10" s="287"/>
      <c r="C10" s="137" t="s">
        <v>189</v>
      </c>
      <c r="D10" s="137"/>
      <c r="E10" s="137"/>
      <c r="F10" s="137"/>
      <c r="G10" s="137"/>
      <c r="H10" s="137"/>
      <c r="I10" s="288"/>
      <c r="J10" s="2036">
        <v>0</v>
      </c>
      <c r="K10" s="2037"/>
      <c r="L10" s="2037"/>
      <c r="M10" s="2037"/>
      <c r="N10" s="2037"/>
      <c r="O10" s="2180"/>
      <c r="P10" s="2181">
        <v>0</v>
      </c>
      <c r="Q10" s="2037"/>
      <c r="R10" s="2037"/>
      <c r="S10" s="2037"/>
      <c r="T10" s="2037"/>
      <c r="U10" s="2038"/>
      <c r="V10" s="2072">
        <v>0</v>
      </c>
      <c r="W10" s="2037"/>
      <c r="X10" s="2037"/>
      <c r="Y10" s="2037"/>
      <c r="Z10" s="2037"/>
      <c r="AA10" s="2180"/>
      <c r="AB10" s="2181">
        <v>0</v>
      </c>
      <c r="AC10" s="2037"/>
      <c r="AD10" s="2037"/>
      <c r="AE10" s="2037"/>
      <c r="AF10" s="2037"/>
      <c r="AG10" s="2038"/>
      <c r="AH10" s="2072">
        <v>0</v>
      </c>
      <c r="AI10" s="2037"/>
      <c r="AJ10" s="2037"/>
      <c r="AK10" s="2037"/>
      <c r="AL10" s="2037"/>
      <c r="AM10" s="2037"/>
      <c r="AN10" s="2182">
        <f t="shared" si="0"/>
        <v>0</v>
      </c>
      <c r="AO10" s="2183"/>
      <c r="AP10" s="2183"/>
      <c r="AQ10" s="2183"/>
      <c r="AR10" s="2183"/>
      <c r="AS10" s="2184"/>
      <c r="AU10" s="230" t="str">
        <f>IF(AN10&lt;&gt;Table10!BJ14,"Totals in column 7 of this table shall be equal to the totals in Table 10a (column 18 - Total Nationally-funded teachers working in the school).","")</f>
        <v/>
      </c>
    </row>
    <row r="11" spans="1:55" s="72" customFormat="1" ht="30" customHeight="1" x14ac:dyDescent="0.35">
      <c r="B11" s="281"/>
      <c r="C11" s="282" t="s">
        <v>74</v>
      </c>
      <c r="D11" s="282"/>
      <c r="E11" s="282"/>
      <c r="F11" s="282"/>
      <c r="G11" s="282"/>
      <c r="H11" s="282"/>
      <c r="I11" s="283"/>
      <c r="J11" s="2190">
        <v>0</v>
      </c>
      <c r="K11" s="2191"/>
      <c r="L11" s="2191"/>
      <c r="M11" s="2191"/>
      <c r="N11" s="2191"/>
      <c r="O11" s="2192"/>
      <c r="P11" s="2193">
        <v>0</v>
      </c>
      <c r="Q11" s="2191"/>
      <c r="R11" s="2191"/>
      <c r="S11" s="2191"/>
      <c r="T11" s="2191"/>
      <c r="U11" s="2194"/>
      <c r="V11" s="2195">
        <v>0</v>
      </c>
      <c r="W11" s="2191"/>
      <c r="X11" s="2191"/>
      <c r="Y11" s="2191"/>
      <c r="Z11" s="2191"/>
      <c r="AA11" s="2192"/>
      <c r="AB11" s="2193">
        <v>0</v>
      </c>
      <c r="AC11" s="2191"/>
      <c r="AD11" s="2191"/>
      <c r="AE11" s="2191"/>
      <c r="AF11" s="2191"/>
      <c r="AG11" s="2194"/>
      <c r="AH11" s="2195">
        <v>0</v>
      </c>
      <c r="AI11" s="2191"/>
      <c r="AJ11" s="2191"/>
      <c r="AK11" s="2191"/>
      <c r="AL11" s="2191"/>
      <c r="AM11" s="2191"/>
      <c r="AN11" s="1866">
        <f t="shared" si="0"/>
        <v>0</v>
      </c>
      <c r="AO11" s="1867"/>
      <c r="AP11" s="1867"/>
      <c r="AQ11" s="1867"/>
      <c r="AR11" s="1867"/>
      <c r="AS11" s="1871"/>
      <c r="AU11" s="230" t="str">
        <f>IF(AN11&lt;&gt;Table10!BJ15,"Totals in column 7 of this table shall be equal to the totals in Table 10a (column 18 - Total Nationally-funded teachers working in the school).","")</f>
        <v/>
      </c>
    </row>
    <row r="12" spans="1:55" s="72" customFormat="1" ht="30" customHeight="1" x14ac:dyDescent="0.35">
      <c r="B12" s="281"/>
      <c r="C12" s="282" t="s">
        <v>47</v>
      </c>
      <c r="D12" s="282"/>
      <c r="E12" s="282"/>
      <c r="F12" s="282"/>
      <c r="G12" s="282"/>
      <c r="H12" s="282"/>
      <c r="I12" s="283"/>
      <c r="J12" s="2061">
        <v>2</v>
      </c>
      <c r="K12" s="2062"/>
      <c r="L12" s="2062"/>
      <c r="M12" s="2062"/>
      <c r="N12" s="2062"/>
      <c r="O12" s="2167"/>
      <c r="P12" s="2168">
        <v>0</v>
      </c>
      <c r="Q12" s="2062"/>
      <c r="R12" s="2062"/>
      <c r="S12" s="2062"/>
      <c r="T12" s="2062"/>
      <c r="U12" s="2063"/>
      <c r="V12" s="2064">
        <v>0</v>
      </c>
      <c r="W12" s="2062"/>
      <c r="X12" s="2062"/>
      <c r="Y12" s="2062"/>
      <c r="Z12" s="2062"/>
      <c r="AA12" s="2167"/>
      <c r="AB12" s="2168">
        <v>0</v>
      </c>
      <c r="AC12" s="2062"/>
      <c r="AD12" s="2062"/>
      <c r="AE12" s="2062"/>
      <c r="AF12" s="2062"/>
      <c r="AG12" s="2063"/>
      <c r="AH12" s="2064">
        <v>0</v>
      </c>
      <c r="AI12" s="2062"/>
      <c r="AJ12" s="2062"/>
      <c r="AK12" s="2062"/>
      <c r="AL12" s="2062"/>
      <c r="AM12" s="2062"/>
      <c r="AN12" s="1866">
        <f t="shared" si="0"/>
        <v>2</v>
      </c>
      <c r="AO12" s="1867"/>
      <c r="AP12" s="1867"/>
      <c r="AQ12" s="1867"/>
      <c r="AR12" s="1867"/>
      <c r="AS12" s="1871"/>
      <c r="AU12" s="230" t="str">
        <f>IF(AN12&lt;&gt;Table10!BJ16,"Totals in column 7 of this table shall be equal to the totals in Table 10a (column 18 - Total Nationally-funded teachers working in the school).","")</f>
        <v/>
      </c>
    </row>
    <row r="13" spans="1:55" s="72" customFormat="1" ht="30" customHeight="1" thickBot="1" x14ac:dyDescent="0.4">
      <c r="B13" s="284"/>
      <c r="C13" s="285" t="s">
        <v>48</v>
      </c>
      <c r="D13" s="285"/>
      <c r="E13" s="285"/>
      <c r="F13" s="285"/>
      <c r="G13" s="285"/>
      <c r="H13" s="285"/>
      <c r="I13" s="286"/>
      <c r="J13" s="2021">
        <v>4</v>
      </c>
      <c r="K13" s="2022"/>
      <c r="L13" s="2022"/>
      <c r="M13" s="2022"/>
      <c r="N13" s="2022"/>
      <c r="O13" s="2185"/>
      <c r="P13" s="2186">
        <v>1</v>
      </c>
      <c r="Q13" s="2022"/>
      <c r="R13" s="2022"/>
      <c r="S13" s="2022"/>
      <c r="T13" s="2022"/>
      <c r="U13" s="2023"/>
      <c r="V13" s="2024">
        <v>0</v>
      </c>
      <c r="W13" s="2022"/>
      <c r="X13" s="2022"/>
      <c r="Y13" s="2022"/>
      <c r="Z13" s="2022"/>
      <c r="AA13" s="2185"/>
      <c r="AB13" s="2186">
        <v>0</v>
      </c>
      <c r="AC13" s="2022"/>
      <c r="AD13" s="2022"/>
      <c r="AE13" s="2022"/>
      <c r="AF13" s="2022"/>
      <c r="AG13" s="2023"/>
      <c r="AH13" s="2024">
        <v>0</v>
      </c>
      <c r="AI13" s="2022"/>
      <c r="AJ13" s="2022"/>
      <c r="AK13" s="2022"/>
      <c r="AL13" s="2022"/>
      <c r="AM13" s="2022"/>
      <c r="AN13" s="2187">
        <f t="shared" si="0"/>
        <v>5</v>
      </c>
      <c r="AO13" s="2188"/>
      <c r="AP13" s="2188"/>
      <c r="AQ13" s="2188"/>
      <c r="AR13" s="2188"/>
      <c r="AS13" s="2189"/>
      <c r="AU13" s="230" t="str">
        <f>IF(AN13&lt;&gt;Table10!BJ17,"Totals in column 7 of this table shall be equal to the totals in Table 10a (column 18 - Total Nationally-funded teachers working in the school).","")</f>
        <v/>
      </c>
    </row>
    <row r="14" spans="1:55" s="72" customFormat="1" ht="30" customHeight="1" x14ac:dyDescent="0.35">
      <c r="B14" s="287"/>
      <c r="C14" s="137" t="s">
        <v>49</v>
      </c>
      <c r="D14" s="137"/>
      <c r="E14" s="137"/>
      <c r="F14" s="137"/>
      <c r="G14" s="137"/>
      <c r="H14" s="137"/>
      <c r="I14" s="288"/>
      <c r="J14" s="2036">
        <v>20</v>
      </c>
      <c r="K14" s="2037"/>
      <c r="L14" s="2037"/>
      <c r="M14" s="2037"/>
      <c r="N14" s="2037"/>
      <c r="O14" s="2180"/>
      <c r="P14" s="2181">
        <v>0</v>
      </c>
      <c r="Q14" s="2037"/>
      <c r="R14" s="2037"/>
      <c r="S14" s="2037"/>
      <c r="T14" s="2037"/>
      <c r="U14" s="2038"/>
      <c r="V14" s="2072">
        <v>0</v>
      </c>
      <c r="W14" s="2037"/>
      <c r="X14" s="2037"/>
      <c r="Y14" s="2037"/>
      <c r="Z14" s="2037"/>
      <c r="AA14" s="2180"/>
      <c r="AB14" s="2181">
        <v>0</v>
      </c>
      <c r="AC14" s="2037"/>
      <c r="AD14" s="2037"/>
      <c r="AE14" s="2037"/>
      <c r="AF14" s="2037"/>
      <c r="AG14" s="2038"/>
      <c r="AH14" s="2072">
        <v>0</v>
      </c>
      <c r="AI14" s="2037"/>
      <c r="AJ14" s="2037"/>
      <c r="AK14" s="2037"/>
      <c r="AL14" s="2037"/>
      <c r="AM14" s="2037"/>
      <c r="AN14" s="2182">
        <f t="shared" si="0"/>
        <v>20</v>
      </c>
      <c r="AO14" s="2183"/>
      <c r="AP14" s="2183"/>
      <c r="AQ14" s="2183"/>
      <c r="AR14" s="2183"/>
      <c r="AS14" s="2184"/>
      <c r="AU14" s="230" t="str">
        <f>IF(AN14&lt;&gt;Table10!BJ18,"Totals in column 7 of this table shall be equal to the totals in Table 10a (column 18 - Total Nationally-funded teachers working in the school).","")</f>
        <v/>
      </c>
    </row>
    <row r="15" spans="1:55" s="72" customFormat="1" ht="30" customHeight="1" x14ac:dyDescent="0.35">
      <c r="B15" s="281"/>
      <c r="C15" s="282" t="s">
        <v>50</v>
      </c>
      <c r="D15" s="282"/>
      <c r="E15" s="282"/>
      <c r="F15" s="282"/>
      <c r="G15" s="282"/>
      <c r="H15" s="282"/>
      <c r="I15" s="283"/>
      <c r="J15" s="2190">
        <v>5</v>
      </c>
      <c r="K15" s="2191"/>
      <c r="L15" s="2191"/>
      <c r="M15" s="2191"/>
      <c r="N15" s="2191"/>
      <c r="O15" s="2192"/>
      <c r="P15" s="2193">
        <v>0</v>
      </c>
      <c r="Q15" s="2191"/>
      <c r="R15" s="2191"/>
      <c r="S15" s="2191"/>
      <c r="T15" s="2191"/>
      <c r="U15" s="2194"/>
      <c r="V15" s="2195">
        <v>0</v>
      </c>
      <c r="W15" s="2191"/>
      <c r="X15" s="2191"/>
      <c r="Y15" s="2191"/>
      <c r="Z15" s="2191"/>
      <c r="AA15" s="2192"/>
      <c r="AB15" s="2193">
        <v>0</v>
      </c>
      <c r="AC15" s="2191"/>
      <c r="AD15" s="2191"/>
      <c r="AE15" s="2191"/>
      <c r="AF15" s="2191"/>
      <c r="AG15" s="2194"/>
      <c r="AH15" s="2195">
        <v>0</v>
      </c>
      <c r="AI15" s="2191"/>
      <c r="AJ15" s="2191"/>
      <c r="AK15" s="2191"/>
      <c r="AL15" s="2191"/>
      <c r="AM15" s="2191"/>
      <c r="AN15" s="1866">
        <f t="shared" si="0"/>
        <v>5</v>
      </c>
      <c r="AO15" s="1867"/>
      <c r="AP15" s="1867"/>
      <c r="AQ15" s="1867"/>
      <c r="AR15" s="1867"/>
      <c r="AS15" s="1871"/>
      <c r="AU15" s="230" t="str">
        <f>IF(AN15&lt;&gt;Table10!BJ19,"Totals in column 7 of this table shall be equal to the totals in Table 10a (column 18 - Total Nationally-funded teachers working in the school).","")</f>
        <v/>
      </c>
    </row>
    <row r="16" spans="1:55" s="72" customFormat="1" ht="30" customHeight="1" thickBot="1" x14ac:dyDescent="0.4">
      <c r="B16" s="284"/>
      <c r="C16" s="285" t="s">
        <v>51</v>
      </c>
      <c r="D16" s="285"/>
      <c r="E16" s="285"/>
      <c r="F16" s="285"/>
      <c r="G16" s="285"/>
      <c r="H16" s="285"/>
      <c r="I16" s="286"/>
      <c r="J16" s="2021">
        <v>39</v>
      </c>
      <c r="K16" s="2022"/>
      <c r="L16" s="2022"/>
      <c r="M16" s="2022"/>
      <c r="N16" s="2022"/>
      <c r="O16" s="2185"/>
      <c r="P16" s="2186">
        <v>0</v>
      </c>
      <c r="Q16" s="2022"/>
      <c r="R16" s="2022"/>
      <c r="S16" s="2022"/>
      <c r="T16" s="2022"/>
      <c r="U16" s="2023"/>
      <c r="V16" s="2024">
        <v>0</v>
      </c>
      <c r="W16" s="2022"/>
      <c r="X16" s="2022"/>
      <c r="Y16" s="2022"/>
      <c r="Z16" s="2022"/>
      <c r="AA16" s="2185"/>
      <c r="AB16" s="2186">
        <v>0</v>
      </c>
      <c r="AC16" s="2022"/>
      <c r="AD16" s="2022"/>
      <c r="AE16" s="2022"/>
      <c r="AF16" s="2022"/>
      <c r="AG16" s="2023"/>
      <c r="AH16" s="2024">
        <v>0</v>
      </c>
      <c r="AI16" s="2022"/>
      <c r="AJ16" s="2022"/>
      <c r="AK16" s="2022"/>
      <c r="AL16" s="2022"/>
      <c r="AM16" s="2022"/>
      <c r="AN16" s="2187">
        <f t="shared" si="0"/>
        <v>39</v>
      </c>
      <c r="AO16" s="2188"/>
      <c r="AP16" s="2188"/>
      <c r="AQ16" s="2188"/>
      <c r="AR16" s="2188"/>
      <c r="AS16" s="2189"/>
      <c r="AU16" s="230" t="str">
        <f>IF(AN16&lt;&gt;Table10!BJ20,"Totals in column 7 of this table shall be equal to the totals in Table 10a (column 18 - Total Nationally-funded teachers working in the school).","")</f>
        <v/>
      </c>
    </row>
    <row r="17" spans="2:73" s="72" customFormat="1" ht="30" customHeight="1" thickBot="1" x14ac:dyDescent="0.4">
      <c r="B17" s="287"/>
      <c r="C17" s="137" t="s">
        <v>235</v>
      </c>
      <c r="D17" s="137"/>
      <c r="E17" s="137"/>
      <c r="F17" s="137"/>
      <c r="G17" s="137"/>
      <c r="H17" s="137"/>
      <c r="I17" s="288"/>
      <c r="J17" s="2021">
        <v>1</v>
      </c>
      <c r="K17" s="2022"/>
      <c r="L17" s="2022"/>
      <c r="M17" s="2022"/>
      <c r="N17" s="2022"/>
      <c r="O17" s="2185"/>
      <c r="P17" s="2186">
        <v>0</v>
      </c>
      <c r="Q17" s="2022"/>
      <c r="R17" s="2022"/>
      <c r="S17" s="2022"/>
      <c r="T17" s="2022"/>
      <c r="U17" s="2023"/>
      <c r="V17" s="2024">
        <v>0</v>
      </c>
      <c r="W17" s="2022"/>
      <c r="X17" s="2022"/>
      <c r="Y17" s="2022"/>
      <c r="Z17" s="2022"/>
      <c r="AA17" s="2185"/>
      <c r="AB17" s="2186">
        <v>0</v>
      </c>
      <c r="AC17" s="2022"/>
      <c r="AD17" s="2022"/>
      <c r="AE17" s="2022"/>
      <c r="AF17" s="2022"/>
      <c r="AG17" s="2023"/>
      <c r="AH17" s="2024">
        <v>0</v>
      </c>
      <c r="AI17" s="2022"/>
      <c r="AJ17" s="2022"/>
      <c r="AK17" s="2022"/>
      <c r="AL17" s="2022"/>
      <c r="AM17" s="2022"/>
      <c r="AN17" s="2187">
        <f t="shared" si="0"/>
        <v>1</v>
      </c>
      <c r="AO17" s="2188"/>
      <c r="AP17" s="2188"/>
      <c r="AQ17" s="2188"/>
      <c r="AR17" s="2188"/>
      <c r="AS17" s="2189"/>
      <c r="AU17" s="230" t="str">
        <f>IF(AN17&lt;&gt;Table10!BJ21,"Totals in column 7 of this table shall be equal to the totals in Table 10a (column 18 - Total Nationally-funded teachers working in the school).","")</f>
        <v/>
      </c>
    </row>
    <row r="18" spans="2:73" s="72" customFormat="1" ht="30" customHeight="1" x14ac:dyDescent="0.35">
      <c r="B18" s="289"/>
      <c r="C18" s="290" t="s">
        <v>190</v>
      </c>
      <c r="D18" s="290"/>
      <c r="E18" s="290"/>
      <c r="F18" s="290"/>
      <c r="G18" s="290"/>
      <c r="H18" s="290"/>
      <c r="I18" s="291"/>
      <c r="J18" s="2036">
        <v>0</v>
      </c>
      <c r="K18" s="2037"/>
      <c r="L18" s="2037"/>
      <c r="M18" s="2037"/>
      <c r="N18" s="2037"/>
      <c r="O18" s="2180"/>
      <c r="P18" s="2181">
        <v>0</v>
      </c>
      <c r="Q18" s="2037"/>
      <c r="R18" s="2037"/>
      <c r="S18" s="2037"/>
      <c r="T18" s="2037"/>
      <c r="U18" s="2038"/>
      <c r="V18" s="2072">
        <v>0</v>
      </c>
      <c r="W18" s="2037"/>
      <c r="X18" s="2037"/>
      <c r="Y18" s="2037"/>
      <c r="Z18" s="2037"/>
      <c r="AA18" s="2180"/>
      <c r="AB18" s="2181">
        <v>0</v>
      </c>
      <c r="AC18" s="2037"/>
      <c r="AD18" s="2037"/>
      <c r="AE18" s="2037"/>
      <c r="AF18" s="2037"/>
      <c r="AG18" s="2038"/>
      <c r="AH18" s="2072">
        <v>0</v>
      </c>
      <c r="AI18" s="2037"/>
      <c r="AJ18" s="2037"/>
      <c r="AK18" s="2037"/>
      <c r="AL18" s="2037"/>
      <c r="AM18" s="2037"/>
      <c r="AN18" s="2182">
        <f t="shared" si="0"/>
        <v>0</v>
      </c>
      <c r="AO18" s="2183"/>
      <c r="AP18" s="2183"/>
      <c r="AQ18" s="2183"/>
      <c r="AR18" s="2183"/>
      <c r="AS18" s="2184"/>
      <c r="AU18" s="230" t="str">
        <f>IF(AN18&lt;&gt;Table10!BJ22,"Totals in column 7 of this table shall be equal to the totals in Table 10a (column 18 - Total Nationally-funded teachers working in the school).","")</f>
        <v/>
      </c>
    </row>
    <row r="19" spans="2:73" s="72" customFormat="1" ht="30" customHeight="1" x14ac:dyDescent="0.35">
      <c r="B19" s="281"/>
      <c r="C19" s="282" t="s">
        <v>191</v>
      </c>
      <c r="D19" s="282"/>
      <c r="E19" s="282"/>
      <c r="F19" s="282"/>
      <c r="G19" s="282"/>
      <c r="H19" s="282"/>
      <c r="I19" s="283"/>
      <c r="J19" s="2190">
        <v>0</v>
      </c>
      <c r="K19" s="2191"/>
      <c r="L19" s="2191"/>
      <c r="M19" s="2191"/>
      <c r="N19" s="2191"/>
      <c r="O19" s="2192"/>
      <c r="P19" s="2193">
        <v>0</v>
      </c>
      <c r="Q19" s="2191"/>
      <c r="R19" s="2191"/>
      <c r="S19" s="2191"/>
      <c r="T19" s="2191"/>
      <c r="U19" s="2194"/>
      <c r="V19" s="2195">
        <v>0</v>
      </c>
      <c r="W19" s="2191"/>
      <c r="X19" s="2191"/>
      <c r="Y19" s="2191"/>
      <c r="Z19" s="2191"/>
      <c r="AA19" s="2192"/>
      <c r="AB19" s="2193">
        <v>0</v>
      </c>
      <c r="AC19" s="2191"/>
      <c r="AD19" s="2191"/>
      <c r="AE19" s="2191"/>
      <c r="AF19" s="2191"/>
      <c r="AG19" s="2194"/>
      <c r="AH19" s="2195">
        <v>0</v>
      </c>
      <c r="AI19" s="2191"/>
      <c r="AJ19" s="2191"/>
      <c r="AK19" s="2191"/>
      <c r="AL19" s="2191"/>
      <c r="AM19" s="2191"/>
      <c r="AN19" s="1866">
        <f t="shared" si="0"/>
        <v>0</v>
      </c>
      <c r="AO19" s="1867"/>
      <c r="AP19" s="1867"/>
      <c r="AQ19" s="1867"/>
      <c r="AR19" s="1867"/>
      <c r="AS19" s="1871"/>
      <c r="AU19" s="230" t="str">
        <f>IF(AN19&lt;&gt;Table10!BJ23,"Totals in column 7 of this table shall be equal to the totals in Table 10a (column 18 - Total Nationally-funded teachers working in the school).","")</f>
        <v/>
      </c>
    </row>
    <row r="20" spans="2:73" s="72" customFormat="1" ht="30" customHeight="1" x14ac:dyDescent="0.35">
      <c r="B20" s="281"/>
      <c r="C20" s="282" t="s">
        <v>192</v>
      </c>
      <c r="D20" s="282"/>
      <c r="E20" s="282"/>
      <c r="F20" s="282"/>
      <c r="G20" s="282"/>
      <c r="H20" s="282"/>
      <c r="I20" s="283"/>
      <c r="J20" s="2061">
        <v>0</v>
      </c>
      <c r="K20" s="2062"/>
      <c r="L20" s="2062"/>
      <c r="M20" s="2062"/>
      <c r="N20" s="2062"/>
      <c r="O20" s="2167"/>
      <c r="P20" s="2168">
        <v>0</v>
      </c>
      <c r="Q20" s="2062"/>
      <c r="R20" s="2062"/>
      <c r="S20" s="2062"/>
      <c r="T20" s="2062"/>
      <c r="U20" s="2063"/>
      <c r="V20" s="2064">
        <v>0</v>
      </c>
      <c r="W20" s="2062"/>
      <c r="X20" s="2062"/>
      <c r="Y20" s="2062"/>
      <c r="Z20" s="2062"/>
      <c r="AA20" s="2167"/>
      <c r="AB20" s="2168">
        <v>0</v>
      </c>
      <c r="AC20" s="2062"/>
      <c r="AD20" s="2062"/>
      <c r="AE20" s="2062"/>
      <c r="AF20" s="2062"/>
      <c r="AG20" s="2063"/>
      <c r="AH20" s="2064">
        <v>0</v>
      </c>
      <c r="AI20" s="2062"/>
      <c r="AJ20" s="2062"/>
      <c r="AK20" s="2062"/>
      <c r="AL20" s="2062"/>
      <c r="AM20" s="2062"/>
      <c r="AN20" s="1866">
        <f t="shared" si="0"/>
        <v>0</v>
      </c>
      <c r="AO20" s="1867"/>
      <c r="AP20" s="1867"/>
      <c r="AQ20" s="1867"/>
      <c r="AR20" s="1867"/>
      <c r="AS20" s="1871"/>
      <c r="AU20" s="230" t="str">
        <f>IF(AN20&lt;&gt;Table10!BJ24,"Totals in column 7 of this table shall be equal to the totals in Table 10a (column 18 - Total Nationally-funded teachers working in the school).","")</f>
        <v/>
      </c>
    </row>
    <row r="21" spans="2:73" s="72" customFormat="1" ht="30" customHeight="1" x14ac:dyDescent="0.35">
      <c r="B21" s="281"/>
      <c r="C21" s="282" t="s">
        <v>7396</v>
      </c>
      <c r="D21" s="282"/>
      <c r="E21" s="282"/>
      <c r="F21" s="282"/>
      <c r="G21" s="282"/>
      <c r="H21" s="282"/>
      <c r="I21" s="283"/>
      <c r="J21" s="2190">
        <v>0</v>
      </c>
      <c r="K21" s="2191"/>
      <c r="L21" s="2191"/>
      <c r="M21" s="2191"/>
      <c r="N21" s="2191"/>
      <c r="O21" s="2192"/>
      <c r="P21" s="2193">
        <v>0</v>
      </c>
      <c r="Q21" s="2191"/>
      <c r="R21" s="2191"/>
      <c r="S21" s="2191"/>
      <c r="T21" s="2191"/>
      <c r="U21" s="2194"/>
      <c r="V21" s="2195">
        <v>0</v>
      </c>
      <c r="W21" s="2191"/>
      <c r="X21" s="2191"/>
      <c r="Y21" s="2191"/>
      <c r="Z21" s="2191"/>
      <c r="AA21" s="2192"/>
      <c r="AB21" s="2193">
        <v>0</v>
      </c>
      <c r="AC21" s="2191"/>
      <c r="AD21" s="2191"/>
      <c r="AE21" s="2191"/>
      <c r="AF21" s="2191"/>
      <c r="AG21" s="2194"/>
      <c r="AH21" s="2195">
        <v>0</v>
      </c>
      <c r="AI21" s="2191"/>
      <c r="AJ21" s="2191"/>
      <c r="AK21" s="2191"/>
      <c r="AL21" s="2191"/>
      <c r="AM21" s="2191"/>
      <c r="AN21" s="1866">
        <f t="shared" si="0"/>
        <v>0</v>
      </c>
      <c r="AO21" s="1867"/>
      <c r="AP21" s="1867"/>
      <c r="AQ21" s="1867"/>
      <c r="AR21" s="1867"/>
      <c r="AS21" s="1871"/>
      <c r="AU21" s="230" t="str">
        <f>IF(AN21&lt;&gt;Table10!BJ25,"Totals in column 7 of this table shall be equal to the totals in Table 10a (column 18 - Total Nationally-funded teachers working in the school).","")</f>
        <v/>
      </c>
    </row>
    <row r="22" spans="2:73" s="72" customFormat="1" ht="30" customHeight="1" thickBot="1" x14ac:dyDescent="0.4">
      <c r="B22" s="292"/>
      <c r="C22" s="293" t="s">
        <v>193</v>
      </c>
      <c r="D22" s="293"/>
      <c r="E22" s="293"/>
      <c r="F22" s="293"/>
      <c r="G22" s="293"/>
      <c r="H22" s="293"/>
      <c r="I22" s="294"/>
      <c r="J22" s="2061">
        <v>0</v>
      </c>
      <c r="K22" s="2062"/>
      <c r="L22" s="2062"/>
      <c r="M22" s="2062"/>
      <c r="N22" s="2062"/>
      <c r="O22" s="2167"/>
      <c r="P22" s="2168">
        <v>0</v>
      </c>
      <c r="Q22" s="2062"/>
      <c r="R22" s="2062"/>
      <c r="S22" s="2062"/>
      <c r="T22" s="2062"/>
      <c r="U22" s="2063"/>
      <c r="V22" s="2064">
        <v>0</v>
      </c>
      <c r="W22" s="2062"/>
      <c r="X22" s="2062"/>
      <c r="Y22" s="2062"/>
      <c r="Z22" s="2062"/>
      <c r="AA22" s="2167"/>
      <c r="AB22" s="2168">
        <v>0</v>
      </c>
      <c r="AC22" s="2062"/>
      <c r="AD22" s="2062"/>
      <c r="AE22" s="2062"/>
      <c r="AF22" s="2062"/>
      <c r="AG22" s="2063"/>
      <c r="AH22" s="2064">
        <v>0</v>
      </c>
      <c r="AI22" s="2062"/>
      <c r="AJ22" s="2062"/>
      <c r="AK22" s="2062"/>
      <c r="AL22" s="2062"/>
      <c r="AM22" s="2062"/>
      <c r="AN22" s="1856">
        <f t="shared" si="0"/>
        <v>0</v>
      </c>
      <c r="AO22" s="1857"/>
      <c r="AP22" s="1857"/>
      <c r="AQ22" s="1857"/>
      <c r="AR22" s="1857"/>
      <c r="AS22" s="1861"/>
      <c r="AU22" s="230" t="str">
        <f>IF(AN22&lt;&gt;Table10!BJ26,"Totals in column 7 of this table shall be equal to the totals in Table 10a (column 18 - Total Nationally-funded teachers working in the school).","")</f>
        <v/>
      </c>
    </row>
    <row r="23" spans="2:73" s="72" customFormat="1" ht="30" customHeight="1" thickTop="1" thickBot="1" x14ac:dyDescent="0.4">
      <c r="B23" s="2199" t="s">
        <v>16</v>
      </c>
      <c r="C23" s="2200"/>
      <c r="D23" s="2200"/>
      <c r="E23" s="2200"/>
      <c r="F23" s="2200"/>
      <c r="G23" s="2200"/>
      <c r="H23" s="2200"/>
      <c r="I23" s="2201"/>
      <c r="J23" s="1855">
        <f>SUM(J7:O22)</f>
        <v>71</v>
      </c>
      <c r="K23" s="1841"/>
      <c r="L23" s="1841"/>
      <c r="M23" s="1841"/>
      <c r="N23" s="1841"/>
      <c r="O23" s="1847"/>
      <c r="P23" s="1846">
        <f t="shared" ref="P23" si="1">SUM(P7:U22)</f>
        <v>1</v>
      </c>
      <c r="Q23" s="1841"/>
      <c r="R23" s="1841"/>
      <c r="S23" s="1841"/>
      <c r="T23" s="1841"/>
      <c r="U23" s="1847"/>
      <c r="V23" s="1846">
        <f t="shared" ref="V23" si="2">SUM(V7:AA22)</f>
        <v>0</v>
      </c>
      <c r="W23" s="1841"/>
      <c r="X23" s="1841"/>
      <c r="Y23" s="1841"/>
      <c r="Z23" s="1841"/>
      <c r="AA23" s="1847"/>
      <c r="AB23" s="1846">
        <f t="shared" ref="AB23" si="3">SUM(AB7:AG22)</f>
        <v>0</v>
      </c>
      <c r="AC23" s="1841"/>
      <c r="AD23" s="1841"/>
      <c r="AE23" s="1841"/>
      <c r="AF23" s="1841"/>
      <c r="AG23" s="1847"/>
      <c r="AH23" s="1841">
        <f t="shared" ref="AH23" si="4">SUM(AH7:AM22)</f>
        <v>0</v>
      </c>
      <c r="AI23" s="1841"/>
      <c r="AJ23" s="1841"/>
      <c r="AK23" s="1841"/>
      <c r="AL23" s="1841"/>
      <c r="AM23" s="1841"/>
      <c r="AN23" s="2196">
        <f t="shared" ref="AN23" si="5">SUM(AN7:AS22)</f>
        <v>72</v>
      </c>
      <c r="AO23" s="2197"/>
      <c r="AP23" s="2197"/>
      <c r="AQ23" s="2197"/>
      <c r="AR23" s="2197"/>
      <c r="AS23" s="2198"/>
      <c r="AU23" s="269"/>
    </row>
    <row r="24" spans="2:73" s="72" customFormat="1" ht="7.5" customHeight="1" thickTop="1" x14ac:dyDescent="0.35">
      <c r="B24" s="270"/>
      <c r="C24" s="270"/>
      <c r="D24" s="270"/>
      <c r="E24" s="270"/>
      <c r="F24" s="270"/>
      <c r="G24" s="270"/>
      <c r="H24" s="270"/>
      <c r="I24" s="270"/>
      <c r="J24" s="271"/>
      <c r="K24" s="271"/>
      <c r="L24" s="271"/>
      <c r="M24" s="271"/>
      <c r="N24" s="271"/>
      <c r="O24" s="271"/>
      <c r="P24" s="271"/>
      <c r="Q24" s="271"/>
      <c r="R24" s="271"/>
      <c r="S24" s="271"/>
      <c r="T24" s="271"/>
      <c r="U24" s="271"/>
      <c r="V24" s="271"/>
      <c r="W24" s="271"/>
      <c r="X24" s="271"/>
      <c r="Y24" s="271"/>
      <c r="Z24" s="271"/>
      <c r="AA24" s="271"/>
      <c r="AB24" s="271"/>
      <c r="AC24" s="271"/>
      <c r="AD24" s="271"/>
      <c r="AE24" s="271"/>
      <c r="AF24" s="271"/>
      <c r="AG24" s="271"/>
      <c r="AH24" s="271"/>
      <c r="AI24" s="271"/>
      <c r="AJ24" s="271"/>
      <c r="AK24" s="271"/>
      <c r="AL24" s="271"/>
      <c r="AM24" s="271"/>
      <c r="AN24" s="272"/>
      <c r="AO24" s="272"/>
      <c r="AP24" s="272"/>
      <c r="AQ24" s="272"/>
      <c r="AR24" s="272"/>
      <c r="AS24" s="272"/>
      <c r="AU24" s="269"/>
    </row>
    <row r="25" spans="2:73" s="97" customFormat="1" ht="14" customHeight="1" x14ac:dyDescent="0.3">
      <c r="B25" s="273" t="s">
        <v>150</v>
      </c>
      <c r="C25" s="2202" t="s">
        <v>1160</v>
      </c>
      <c r="D25" s="2202"/>
      <c r="E25" s="2202"/>
      <c r="F25" s="2202"/>
      <c r="G25" s="2202"/>
      <c r="H25" s="2202"/>
      <c r="I25" s="2202"/>
      <c r="J25" s="2202"/>
      <c r="K25" s="2202"/>
      <c r="L25" s="2202"/>
      <c r="M25" s="2202"/>
      <c r="N25" s="2202"/>
      <c r="O25" s="2202"/>
      <c r="P25" s="2202"/>
      <c r="Q25" s="2202"/>
      <c r="R25" s="2202"/>
      <c r="S25" s="2202"/>
      <c r="T25" s="2202"/>
      <c r="U25" s="2202"/>
      <c r="V25" s="2202"/>
      <c r="W25" s="2202"/>
      <c r="X25" s="2202"/>
      <c r="Y25" s="2202"/>
      <c r="Z25" s="2202"/>
      <c r="AA25" s="2202"/>
      <c r="AB25" s="2202"/>
      <c r="AC25" s="2202"/>
      <c r="AD25" s="2202"/>
      <c r="AE25" s="2202"/>
      <c r="AF25" s="2202"/>
      <c r="AG25" s="2202"/>
      <c r="AH25" s="2202"/>
      <c r="AI25" s="2202"/>
      <c r="AJ25" s="2202"/>
      <c r="AK25" s="2202"/>
      <c r="AL25" s="2202"/>
      <c r="AM25" s="2202"/>
      <c r="AN25" s="2202"/>
      <c r="AO25" s="2202"/>
      <c r="AP25" s="2202"/>
      <c r="AQ25" s="2202"/>
      <c r="AR25" s="2202"/>
      <c r="AS25" s="2202"/>
      <c r="BB25" s="274"/>
    </row>
    <row r="26" spans="2:73" s="97" customFormat="1" ht="14" customHeight="1" x14ac:dyDescent="0.3">
      <c r="B26" s="273" t="s">
        <v>151</v>
      </c>
      <c r="C26" s="2202" t="s">
        <v>1161</v>
      </c>
      <c r="D26" s="2202"/>
      <c r="E26" s="2202"/>
      <c r="F26" s="2202"/>
      <c r="G26" s="2202"/>
      <c r="H26" s="2202"/>
      <c r="I26" s="2202"/>
      <c r="J26" s="2202"/>
      <c r="K26" s="2202"/>
      <c r="L26" s="2202"/>
      <c r="M26" s="2202"/>
      <c r="N26" s="2202"/>
      <c r="O26" s="2202"/>
      <c r="P26" s="2202"/>
      <c r="Q26" s="2202"/>
      <c r="R26" s="2202"/>
      <c r="S26" s="2202"/>
      <c r="T26" s="2202"/>
      <c r="U26" s="2202"/>
      <c r="V26" s="2202"/>
      <c r="W26" s="2202"/>
      <c r="X26" s="2202"/>
      <c r="Y26" s="2202"/>
      <c r="Z26" s="2202"/>
      <c r="AA26" s="2202"/>
      <c r="AB26" s="2202"/>
      <c r="AC26" s="2202"/>
      <c r="AD26" s="2202"/>
      <c r="AE26" s="2202"/>
      <c r="AF26" s="2202"/>
      <c r="AG26" s="2202"/>
      <c r="AH26" s="2202"/>
      <c r="AI26" s="2202"/>
      <c r="AJ26" s="2202"/>
      <c r="AK26" s="2202"/>
      <c r="AL26" s="2202"/>
      <c r="AM26" s="2202"/>
      <c r="AN26" s="2202"/>
      <c r="AO26" s="2202"/>
      <c r="AP26" s="2202"/>
      <c r="AQ26" s="2202"/>
      <c r="AR26" s="2202"/>
      <c r="AS26" s="2202"/>
      <c r="BB26" s="274"/>
    </row>
    <row r="27" spans="2:73" s="97" customFormat="1" ht="14" customHeight="1" x14ac:dyDescent="0.3">
      <c r="B27" s="273" t="s">
        <v>152</v>
      </c>
      <c r="C27" s="2202" t="s">
        <v>904</v>
      </c>
      <c r="D27" s="2202"/>
      <c r="E27" s="2202"/>
      <c r="F27" s="2202"/>
      <c r="G27" s="2202"/>
      <c r="H27" s="2202"/>
      <c r="I27" s="2202"/>
      <c r="J27" s="2202"/>
      <c r="K27" s="2202"/>
      <c r="L27" s="2202"/>
      <c r="M27" s="2202"/>
      <c r="N27" s="2202"/>
      <c r="O27" s="2202"/>
      <c r="P27" s="2202"/>
      <c r="Q27" s="2202"/>
      <c r="R27" s="2202"/>
      <c r="S27" s="2202"/>
      <c r="T27" s="2202"/>
      <c r="U27" s="2202"/>
      <c r="V27" s="2202"/>
      <c r="W27" s="2202"/>
      <c r="X27" s="2202"/>
      <c r="Y27" s="2202"/>
      <c r="Z27" s="2202"/>
      <c r="AA27" s="2202"/>
      <c r="AB27" s="2202"/>
      <c r="AC27" s="2202"/>
      <c r="AD27" s="2202"/>
      <c r="AE27" s="2202"/>
      <c r="AF27" s="2202"/>
      <c r="AG27" s="2202"/>
      <c r="AH27" s="2202"/>
      <c r="AI27" s="2202"/>
      <c r="AJ27" s="2202"/>
      <c r="AK27" s="2202"/>
      <c r="AL27" s="2202"/>
      <c r="AM27" s="2202"/>
      <c r="AN27" s="2202"/>
      <c r="AO27" s="2202"/>
      <c r="AP27" s="2202"/>
      <c r="AQ27" s="2202"/>
      <c r="AR27" s="2202"/>
      <c r="AS27" s="2202"/>
      <c r="BB27" s="274"/>
    </row>
    <row r="28" spans="2:73" s="97" customFormat="1" ht="10" customHeight="1" x14ac:dyDescent="0.3">
      <c r="B28" s="275"/>
      <c r="C28" s="84"/>
      <c r="D28" s="86"/>
      <c r="E28" s="86"/>
      <c r="F28" s="86"/>
      <c r="G28" s="86"/>
      <c r="H28" s="86"/>
      <c r="I28" s="86"/>
      <c r="J28" s="86"/>
      <c r="K28" s="86"/>
      <c r="L28" s="86"/>
      <c r="M28" s="86"/>
      <c r="N28" s="86"/>
      <c r="BB28" s="274"/>
    </row>
    <row r="29" spans="2:73" s="98" customFormat="1" ht="17.5" x14ac:dyDescent="0.35">
      <c r="B29" s="85" t="s">
        <v>171</v>
      </c>
      <c r="E29" s="85" t="s">
        <v>1162</v>
      </c>
      <c r="F29" s="276"/>
      <c r="G29" s="276"/>
      <c r="H29" s="276"/>
      <c r="I29" s="276"/>
      <c r="J29" s="276"/>
      <c r="K29" s="276"/>
      <c r="L29" s="276"/>
      <c r="M29" s="276"/>
      <c r="N29" s="276"/>
      <c r="O29" s="276"/>
      <c r="P29" s="276"/>
      <c r="Q29" s="276"/>
      <c r="R29" s="276"/>
      <c r="S29" s="276"/>
      <c r="T29" s="276"/>
      <c r="U29" s="276"/>
      <c r="V29" s="276"/>
      <c r="W29" s="276"/>
      <c r="X29" s="276"/>
      <c r="Y29" s="276"/>
      <c r="Z29" s="276"/>
      <c r="AA29" s="276"/>
      <c r="AB29" s="276"/>
      <c r="BA29" s="215"/>
      <c r="BB29" s="277"/>
      <c r="BC29" s="215"/>
      <c r="BD29" s="215"/>
    </row>
    <row r="30" spans="2:73" s="97" customFormat="1" ht="30.75" customHeight="1" x14ac:dyDescent="0.35">
      <c r="AT30" s="87"/>
      <c r="AU30" s="87"/>
      <c r="AV30" s="87"/>
      <c r="AW30" s="87"/>
      <c r="AX30" s="87"/>
      <c r="AY30" s="87"/>
      <c r="AZ30" s="87"/>
      <c r="BA30" s="87"/>
      <c r="BB30" s="87"/>
      <c r="BC30" s="87"/>
      <c r="BD30" s="87"/>
      <c r="BE30" s="278"/>
      <c r="BF30" s="278"/>
      <c r="BG30" s="278"/>
      <c r="BH30" s="278"/>
      <c r="BI30" s="278"/>
      <c r="BJ30" s="278"/>
      <c r="BK30" s="278"/>
      <c r="BL30" s="87"/>
      <c r="BM30" s="87"/>
      <c r="BN30" s="87"/>
      <c r="BO30" s="87"/>
      <c r="BP30" s="87"/>
      <c r="BQ30" s="87"/>
      <c r="BR30" s="44"/>
      <c r="BS30" s="44"/>
      <c r="BT30" s="44"/>
      <c r="BU30" s="44"/>
    </row>
    <row r="31" spans="2:73" s="73" customFormat="1" ht="14" x14ac:dyDescent="0.3">
      <c r="B31" s="74" t="s">
        <v>913</v>
      </c>
      <c r="Q31" s="74" t="s">
        <v>912</v>
      </c>
      <c r="AF31" s="74" t="s">
        <v>922</v>
      </c>
    </row>
    <row r="32" spans="2:73" s="73" customFormat="1" ht="21.75" customHeight="1" x14ac:dyDescent="0.3">
      <c r="B32" s="74" t="s">
        <v>780</v>
      </c>
      <c r="F32" s="1482" t="str">
        <f>SchInfo!F38</f>
        <v>MELCHESIEDICK Q. BOLANIO/ March 17, 2023</v>
      </c>
      <c r="G32" s="1482"/>
      <c r="H32" s="1482"/>
      <c r="I32" s="1482"/>
      <c r="J32" s="1482"/>
      <c r="K32" s="1482"/>
      <c r="L32" s="1482"/>
      <c r="M32" s="1482"/>
      <c r="N32" s="1482"/>
      <c r="Q32" s="1482" t="str">
        <f>'Tables7-8'!AI5</f>
        <v>ELMA CEZARIE Y. ROMERO  /  May 17, 2023</v>
      </c>
      <c r="R32" s="1482"/>
      <c r="S32" s="1482"/>
      <c r="T32" s="1482"/>
      <c r="U32" s="1482"/>
      <c r="V32" s="1482"/>
      <c r="W32" s="1482"/>
      <c r="X32" s="1482"/>
      <c r="Y32" s="1482"/>
      <c r="Z32" s="1482"/>
      <c r="AA32" s="1482"/>
      <c r="AB32" s="1482"/>
      <c r="AC32" s="1482"/>
      <c r="AF32" s="1484" t="str">
        <f>SchInfo!R38</f>
        <v>MICHAEL T. JAMIS   /  March 17, 2023</v>
      </c>
      <c r="AG32" s="1484"/>
      <c r="AH32" s="1484"/>
      <c r="AI32" s="1484"/>
      <c r="AJ32" s="1484"/>
      <c r="AK32" s="1484"/>
      <c r="AL32" s="1484"/>
      <c r="AM32" s="1484"/>
      <c r="AN32" s="1484"/>
      <c r="AO32" s="1484"/>
      <c r="AP32" s="1484"/>
      <c r="AQ32" s="1484"/>
      <c r="AR32" s="1484"/>
    </row>
    <row r="33" spans="2:45" s="68" customFormat="1" ht="15" customHeight="1" x14ac:dyDescent="0.3">
      <c r="B33" s="210"/>
      <c r="F33" s="1452" t="s">
        <v>779</v>
      </c>
      <c r="G33" s="1452"/>
      <c r="H33" s="1452"/>
      <c r="I33" s="1452"/>
      <c r="J33" s="1452"/>
      <c r="K33" s="1452"/>
      <c r="L33" s="1452"/>
      <c r="M33" s="1452"/>
      <c r="N33" s="1452"/>
      <c r="O33" s="210"/>
      <c r="P33" s="210"/>
      <c r="Q33" s="1452" t="s">
        <v>779</v>
      </c>
      <c r="R33" s="1452"/>
      <c r="S33" s="1452"/>
      <c r="T33" s="1452"/>
      <c r="U33" s="1452"/>
      <c r="V33" s="1452"/>
      <c r="W33" s="1452"/>
      <c r="X33" s="1452"/>
      <c r="Y33" s="1452"/>
      <c r="Z33" s="1452"/>
      <c r="AA33" s="1452"/>
      <c r="AB33" s="1452"/>
      <c r="AC33" s="1452"/>
      <c r="AD33" s="64"/>
      <c r="AE33" s="64"/>
      <c r="AF33" s="1485"/>
      <c r="AG33" s="1485"/>
      <c r="AH33" s="1485"/>
      <c r="AI33" s="1485"/>
      <c r="AJ33" s="1485"/>
      <c r="AK33" s="1485"/>
      <c r="AL33" s="1485"/>
      <c r="AM33" s="1485"/>
      <c r="AN33" s="1485"/>
      <c r="AO33" s="1485"/>
      <c r="AP33" s="1485"/>
      <c r="AQ33" s="1485"/>
      <c r="AR33" s="1485"/>
      <c r="AS33" s="210"/>
    </row>
    <row r="34" spans="2:45" s="73" customFormat="1" ht="21.75" customHeight="1" x14ac:dyDescent="0.3">
      <c r="B34" s="74" t="s">
        <v>784</v>
      </c>
      <c r="F34" s="1482" t="str">
        <f>SchInfo!F40</f>
        <v>Principal IV</v>
      </c>
      <c r="G34" s="1482"/>
      <c r="H34" s="1482"/>
      <c r="I34" s="1482"/>
      <c r="J34" s="1482"/>
      <c r="K34" s="1482"/>
      <c r="L34" s="1482"/>
      <c r="M34" s="1482"/>
      <c r="N34" s="1482"/>
      <c r="Q34" s="74" t="s">
        <v>784</v>
      </c>
      <c r="U34" s="1482" t="str">
        <f>'Tables7-8'!AM7</f>
        <v>Administrative Officer</v>
      </c>
      <c r="V34" s="1482"/>
      <c r="W34" s="1482"/>
      <c r="X34" s="1482"/>
      <c r="Y34" s="1482"/>
      <c r="Z34" s="1482"/>
      <c r="AA34" s="1482"/>
      <c r="AB34" s="1482"/>
      <c r="AC34" s="1482"/>
      <c r="AF34" s="1452" t="s">
        <v>779</v>
      </c>
      <c r="AG34" s="1452"/>
      <c r="AH34" s="1452"/>
      <c r="AI34" s="1452"/>
      <c r="AJ34" s="1452"/>
      <c r="AK34" s="1452"/>
      <c r="AL34" s="1452"/>
      <c r="AM34" s="1452"/>
      <c r="AN34" s="1452"/>
      <c r="AO34" s="1452"/>
      <c r="AP34" s="1452"/>
      <c r="AQ34" s="1452"/>
      <c r="AR34" s="1452"/>
    </row>
    <row r="35" spans="2:45" x14ac:dyDescent="0.35">
      <c r="AF35" s="73"/>
      <c r="AG35" s="73"/>
      <c r="AH35" s="73"/>
      <c r="AI35" s="73"/>
      <c r="AJ35" s="73"/>
      <c r="AK35" s="73"/>
      <c r="AL35" s="73"/>
      <c r="AM35" s="73"/>
      <c r="AN35" s="73"/>
      <c r="AO35" s="73"/>
      <c r="AP35" s="73"/>
      <c r="AQ35" s="73"/>
      <c r="AR35" s="73"/>
    </row>
    <row r="37" spans="2:45" x14ac:dyDescent="0.35">
      <c r="C37" s="279"/>
    </row>
  </sheetData>
  <sheetProtection algorithmName="SHA-512" hashValue="WvZ0CcVkfoGYdv2bkx3lfbUVtbAdN7oB+10XPLVxkWMqgVGV3dS5VQuXSWaf1gFhX9OvJbnXxezuQCxCqStSXA==" saltValue="LbatCIqgQ0dUsj0loC24vg==" spinCount="100000" sheet="1" objects="1" scenarios="1"/>
  <mergeCells count="130">
    <mergeCell ref="AF34:AR34"/>
    <mergeCell ref="F32:N32"/>
    <mergeCell ref="F34:N34"/>
    <mergeCell ref="Q33:AC33"/>
    <mergeCell ref="Q32:AC32"/>
    <mergeCell ref="U34:AC34"/>
    <mergeCell ref="AF32:AR33"/>
    <mergeCell ref="F33:N33"/>
    <mergeCell ref="AN23:AS23"/>
    <mergeCell ref="B23:I23"/>
    <mergeCell ref="J23:O23"/>
    <mergeCell ref="P23:U23"/>
    <mergeCell ref="V23:AA23"/>
    <mergeCell ref="AB23:AG23"/>
    <mergeCell ref="AH23:AM23"/>
    <mergeCell ref="C25:AS25"/>
    <mergeCell ref="C26:AS26"/>
    <mergeCell ref="C27:AS27"/>
    <mergeCell ref="J22:O22"/>
    <mergeCell ref="P22:U22"/>
    <mergeCell ref="V22:AA22"/>
    <mergeCell ref="AB22:AG22"/>
    <mergeCell ref="AH22:AM22"/>
    <mergeCell ref="AN22:AS22"/>
    <mergeCell ref="J21:O21"/>
    <mergeCell ref="P21:U21"/>
    <mergeCell ref="V21:AA21"/>
    <mergeCell ref="AB21:AG21"/>
    <mergeCell ref="AH21:AM21"/>
    <mergeCell ref="AN21:AS21"/>
    <mergeCell ref="J20:O20"/>
    <mergeCell ref="P20:U20"/>
    <mergeCell ref="V20:AA20"/>
    <mergeCell ref="AB20:AG20"/>
    <mergeCell ref="AH20:AM20"/>
    <mergeCell ref="AN20:AS20"/>
    <mergeCell ref="J19:O19"/>
    <mergeCell ref="P19:U19"/>
    <mergeCell ref="V19:AA19"/>
    <mergeCell ref="AB19:AG19"/>
    <mergeCell ref="AH19:AM19"/>
    <mergeCell ref="AN19:AS19"/>
    <mergeCell ref="J18:O18"/>
    <mergeCell ref="P18:U18"/>
    <mergeCell ref="V18:AA18"/>
    <mergeCell ref="AB18:AG18"/>
    <mergeCell ref="AH18:AM18"/>
    <mergeCell ref="AN18:AS18"/>
    <mergeCell ref="J17:O17"/>
    <mergeCell ref="P17:U17"/>
    <mergeCell ref="V17:AA17"/>
    <mergeCell ref="AB17:AG17"/>
    <mergeCell ref="AH17:AM17"/>
    <mergeCell ref="AN17:AS17"/>
    <mergeCell ref="J16:O16"/>
    <mergeCell ref="P16:U16"/>
    <mergeCell ref="V16:AA16"/>
    <mergeCell ref="AB16:AG16"/>
    <mergeCell ref="AH16:AM16"/>
    <mergeCell ref="AN16:AS16"/>
    <mergeCell ref="J15:O15"/>
    <mergeCell ref="P15:U15"/>
    <mergeCell ref="V15:AA15"/>
    <mergeCell ref="AB15:AG15"/>
    <mergeCell ref="AH15:AM15"/>
    <mergeCell ref="AN15:AS15"/>
    <mergeCell ref="J14:O14"/>
    <mergeCell ref="P14:U14"/>
    <mergeCell ref="V14:AA14"/>
    <mergeCell ref="AB14:AG14"/>
    <mergeCell ref="AH14:AM14"/>
    <mergeCell ref="AN14:AS14"/>
    <mergeCell ref="J13:O13"/>
    <mergeCell ref="P13:U13"/>
    <mergeCell ref="V13:AA13"/>
    <mergeCell ref="AB13:AG13"/>
    <mergeCell ref="AH13:AM13"/>
    <mergeCell ref="AN13:AS13"/>
    <mergeCell ref="J12:O12"/>
    <mergeCell ref="P12:U12"/>
    <mergeCell ref="V12:AA12"/>
    <mergeCell ref="AB12:AG12"/>
    <mergeCell ref="AH12:AM12"/>
    <mergeCell ref="AN12:AS12"/>
    <mergeCell ref="J11:O11"/>
    <mergeCell ref="P11:U11"/>
    <mergeCell ref="V11:AA11"/>
    <mergeCell ref="AB11:AG11"/>
    <mergeCell ref="AH11:AM11"/>
    <mergeCell ref="AN11:AS11"/>
    <mergeCell ref="J10:O10"/>
    <mergeCell ref="P10:U10"/>
    <mergeCell ref="V10:AA10"/>
    <mergeCell ref="AB10:AG10"/>
    <mergeCell ref="AH10:AM10"/>
    <mergeCell ref="AN10:AS10"/>
    <mergeCell ref="J9:O9"/>
    <mergeCell ref="P9:U9"/>
    <mergeCell ref="V9:AA9"/>
    <mergeCell ref="AB9:AG9"/>
    <mergeCell ref="AH9:AM9"/>
    <mergeCell ref="AN9:AS9"/>
    <mergeCell ref="J8:O8"/>
    <mergeCell ref="P8:U8"/>
    <mergeCell ref="V8:AA8"/>
    <mergeCell ref="AB8:AG8"/>
    <mergeCell ref="AH8:AM8"/>
    <mergeCell ref="AN8:AS8"/>
    <mergeCell ref="AN6:AS6"/>
    <mergeCell ref="J7:O7"/>
    <mergeCell ref="P7:U7"/>
    <mergeCell ref="V7:AA7"/>
    <mergeCell ref="AB7:AG7"/>
    <mergeCell ref="AH7:AM7"/>
    <mergeCell ref="AN7:AS7"/>
    <mergeCell ref="AN3:AS5"/>
    <mergeCell ref="J4:O5"/>
    <mergeCell ref="P4:U5"/>
    <mergeCell ref="V4:AA5"/>
    <mergeCell ref="AB4:AG5"/>
    <mergeCell ref="B6:I6"/>
    <mergeCell ref="J6:O6"/>
    <mergeCell ref="P6:U6"/>
    <mergeCell ref="V6:AA6"/>
    <mergeCell ref="AB6:AG6"/>
    <mergeCell ref="AH6:AM6"/>
    <mergeCell ref="B3:I5"/>
    <mergeCell ref="J3:U3"/>
    <mergeCell ref="V3:AG3"/>
    <mergeCell ref="AH3:AM5"/>
  </mergeCells>
  <dataValidations count="1">
    <dataValidation type="whole" allowBlank="1" showErrorMessage="1" errorTitle="GJHSP SY 2022-2023" error="Please enter valid number between 0-999." sqref="J7:AM22" xr:uid="{F238BC49-487C-426D-ABF8-74881095E013}">
      <formula1>0</formula1>
      <formula2>999</formula2>
    </dataValidation>
  </dataValidations>
  <printOptions horizontalCentered="1" verticalCentered="1"/>
  <pageMargins left="0.23622047244094491" right="0.23622047244094491" top="0.19685039370078741" bottom="0.19685039370078741" header="0" footer="0.11811023622047245"/>
  <pageSetup paperSize="14" scale="75" orientation="landscape" r:id="rId1"/>
  <headerFooter alignWithMargins="0">
    <oddFooter>&amp;L&amp;10&amp;F &amp;A&amp;R&amp;10Page 11 of 63</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11B97-4D45-4A3B-BBDC-D1EE1CE63271}">
  <sheetPr codeName="Sheet14">
    <pageSetUpPr fitToPage="1"/>
  </sheetPr>
  <dimension ref="A1:CC43"/>
  <sheetViews>
    <sheetView showGridLines="0" topLeftCell="A18" zoomScaleNormal="100" workbookViewId="0">
      <selection activeCell="AE11" sqref="AE11:AG11"/>
    </sheetView>
  </sheetViews>
  <sheetFormatPr defaultColWidth="9" defaultRowHeight="16.5" x14ac:dyDescent="0.35"/>
  <cols>
    <col min="1" max="1" width="2.08203125" style="110" customWidth="1"/>
    <col min="2" max="60" width="3.58203125" style="110" customWidth="1"/>
    <col min="61" max="61" width="2.08203125" style="110" customWidth="1"/>
    <col min="62" max="69" width="3.58203125" style="110" customWidth="1"/>
    <col min="70" max="16384" width="9" style="110"/>
  </cols>
  <sheetData>
    <row r="1" spans="1:60" ht="12" customHeight="1" x14ac:dyDescent="0.35"/>
    <row r="2" spans="1:60" x14ac:dyDescent="0.35">
      <c r="A2" s="334"/>
      <c r="B2" s="335" t="s">
        <v>1114</v>
      </c>
      <c r="C2" s="111"/>
      <c r="D2" s="111"/>
      <c r="E2" s="111"/>
      <c r="F2" s="111"/>
      <c r="G2" s="111"/>
      <c r="H2" s="111"/>
      <c r="I2" s="111"/>
      <c r="J2" s="111"/>
      <c r="K2" s="111"/>
      <c r="L2" s="111"/>
      <c r="M2" s="111"/>
      <c r="N2" s="111"/>
      <c r="O2" s="111"/>
      <c r="P2" s="111"/>
      <c r="Q2" s="111"/>
      <c r="R2" s="111"/>
      <c r="S2" s="111"/>
      <c r="T2" s="111"/>
      <c r="U2" s="111"/>
      <c r="V2" s="111"/>
      <c r="W2" s="335" t="s">
        <v>1116</v>
      </c>
      <c r="X2" s="112"/>
      <c r="Y2" s="112"/>
      <c r="Z2" s="336"/>
      <c r="AA2" s="336"/>
      <c r="AB2" s="336"/>
      <c r="AC2" s="336"/>
      <c r="AD2" s="336"/>
      <c r="AE2" s="336"/>
      <c r="AF2" s="336"/>
      <c r="AG2" s="336"/>
      <c r="AH2" s="336"/>
      <c r="AI2" s="336"/>
      <c r="AJ2" s="336"/>
      <c r="AK2" s="336"/>
      <c r="AL2" s="336"/>
      <c r="AM2" s="336"/>
      <c r="AN2" s="336"/>
      <c r="AO2" s="336"/>
      <c r="AP2" s="336"/>
      <c r="AQ2" s="336"/>
      <c r="AR2" s="335" t="s">
        <v>1115</v>
      </c>
      <c r="AS2" s="112"/>
      <c r="AT2" s="112"/>
      <c r="AU2" s="336"/>
      <c r="AV2" s="336"/>
      <c r="AW2" s="336"/>
      <c r="AX2" s="336"/>
      <c r="AY2" s="336"/>
      <c r="AZ2" s="336"/>
      <c r="BA2" s="336"/>
      <c r="BB2" s="336"/>
      <c r="BC2" s="336"/>
      <c r="BD2" s="336"/>
      <c r="BE2" s="336"/>
      <c r="BF2" s="336"/>
      <c r="BG2" s="336"/>
      <c r="BH2" s="112"/>
    </row>
    <row r="3" spans="1:60" x14ac:dyDescent="0.35">
      <c r="A3" s="334"/>
      <c r="B3" s="335" t="s">
        <v>12688</v>
      </c>
      <c r="C3" s="111"/>
      <c r="D3" s="111"/>
      <c r="E3" s="111"/>
      <c r="F3" s="111"/>
      <c r="G3" s="111"/>
      <c r="H3" s="111"/>
      <c r="I3" s="111"/>
      <c r="J3" s="111"/>
      <c r="K3" s="111"/>
      <c r="L3" s="111"/>
      <c r="M3" s="111"/>
      <c r="N3" s="111"/>
      <c r="O3" s="111"/>
      <c r="P3" s="111"/>
      <c r="Q3" s="111"/>
      <c r="R3" s="111"/>
      <c r="S3" s="111"/>
      <c r="T3" s="111"/>
      <c r="U3" s="111"/>
      <c r="V3" s="111"/>
      <c r="W3" s="335" t="s">
        <v>919</v>
      </c>
      <c r="X3" s="337"/>
      <c r="Y3" s="337"/>
      <c r="Z3" s="337"/>
      <c r="AA3" s="337"/>
      <c r="AB3" s="337"/>
      <c r="AC3" s="337"/>
      <c r="AD3" s="337"/>
      <c r="AE3" s="337"/>
      <c r="AF3" s="337"/>
      <c r="AG3" s="337"/>
      <c r="AH3" s="337"/>
      <c r="AI3" s="337"/>
      <c r="AJ3" s="337"/>
      <c r="AK3" s="161"/>
      <c r="AL3" s="161"/>
      <c r="AM3" s="161"/>
      <c r="AN3" s="161"/>
      <c r="AO3" s="161"/>
      <c r="AP3" s="161"/>
      <c r="AQ3" s="161"/>
      <c r="AR3" s="335" t="s">
        <v>981</v>
      </c>
      <c r="AS3" s="337"/>
      <c r="AT3" s="337"/>
      <c r="AU3" s="337"/>
      <c r="AV3" s="337"/>
      <c r="AW3" s="337"/>
      <c r="AX3" s="337"/>
      <c r="AY3" s="337"/>
      <c r="AZ3" s="337"/>
      <c r="BA3" s="337"/>
      <c r="BB3" s="337"/>
      <c r="BC3" s="337"/>
      <c r="BD3" s="337"/>
      <c r="BE3" s="337"/>
      <c r="BF3" s="161"/>
      <c r="BG3" s="161"/>
      <c r="BH3" s="161"/>
    </row>
    <row r="4" spans="1:60" ht="16.5" customHeight="1" thickBot="1" x14ac:dyDescent="0.4">
      <c r="A4" s="334"/>
      <c r="B4" s="335" t="s">
        <v>918</v>
      </c>
      <c r="C4" s="111"/>
      <c r="D4" s="111"/>
      <c r="E4" s="111"/>
      <c r="F4" s="111"/>
      <c r="G4" s="111"/>
      <c r="H4" s="111"/>
      <c r="I4" s="111"/>
      <c r="J4" s="111"/>
      <c r="K4" s="111"/>
      <c r="L4" s="111"/>
      <c r="M4" s="111"/>
      <c r="N4" s="111"/>
      <c r="O4" s="111"/>
      <c r="P4" s="111"/>
      <c r="Q4" s="111"/>
      <c r="R4" s="111"/>
      <c r="S4" s="111"/>
      <c r="T4" s="111"/>
      <c r="U4" s="111"/>
      <c r="V4" s="111"/>
      <c r="W4" s="335" t="s">
        <v>918</v>
      </c>
      <c r="X4" s="337"/>
      <c r="Y4" s="337"/>
      <c r="Z4" s="337"/>
      <c r="AA4" s="337"/>
      <c r="AB4" s="337"/>
      <c r="AC4" s="337"/>
      <c r="AD4" s="337"/>
      <c r="AE4" s="337"/>
      <c r="AF4" s="337"/>
      <c r="AG4" s="337"/>
      <c r="AH4" s="337"/>
      <c r="AI4" s="337"/>
      <c r="AJ4" s="337"/>
      <c r="AK4" s="161"/>
      <c r="AL4" s="161"/>
      <c r="AM4" s="161"/>
      <c r="AN4" s="337"/>
      <c r="AO4" s="337"/>
      <c r="AP4" s="337"/>
      <c r="AQ4" s="337"/>
      <c r="AR4" s="335" t="s">
        <v>12684</v>
      </c>
      <c r="AS4" s="338"/>
      <c r="AT4" s="338"/>
      <c r="AU4" s="338"/>
      <c r="AV4" s="338"/>
      <c r="AW4" s="338"/>
      <c r="AX4" s="338"/>
      <c r="AY4" s="338"/>
      <c r="AZ4" s="338"/>
      <c r="BA4" s="338"/>
      <c r="BB4" s="338"/>
      <c r="BC4" s="338"/>
      <c r="BD4" s="338"/>
      <c r="BE4" s="338"/>
      <c r="BF4" s="310"/>
      <c r="BG4" s="310"/>
      <c r="BH4" s="339"/>
    </row>
    <row r="5" spans="1:60" ht="17.5" thickTop="1" thickBot="1" x14ac:dyDescent="0.4">
      <c r="A5" s="334"/>
      <c r="B5" s="2041" t="s">
        <v>23</v>
      </c>
      <c r="C5" s="2042"/>
      <c r="D5" s="2042"/>
      <c r="E5" s="2042"/>
      <c r="F5" s="2042"/>
      <c r="G5" s="2042"/>
      <c r="H5" s="2042"/>
      <c r="I5" s="2043"/>
      <c r="J5" s="2260" t="s">
        <v>301</v>
      </c>
      <c r="K5" s="2261"/>
      <c r="L5" s="2261"/>
      <c r="M5" s="2261"/>
      <c r="N5" s="2261"/>
      <c r="O5" s="2261"/>
      <c r="P5" s="2261"/>
      <c r="Q5" s="2261"/>
      <c r="R5" s="2262"/>
      <c r="S5" s="149"/>
      <c r="T5" s="149"/>
      <c r="U5" s="149"/>
      <c r="V5" s="149"/>
      <c r="W5" s="335" t="s">
        <v>12684</v>
      </c>
      <c r="X5" s="338"/>
      <c r="Y5" s="338"/>
      <c r="Z5" s="338"/>
      <c r="AA5" s="338"/>
      <c r="AB5" s="338"/>
      <c r="AC5" s="338"/>
      <c r="AD5" s="338"/>
      <c r="AE5" s="338"/>
      <c r="AF5" s="338"/>
      <c r="AG5" s="338"/>
      <c r="AH5" s="338"/>
      <c r="AI5" s="338"/>
      <c r="AJ5" s="338"/>
      <c r="AK5" s="310"/>
      <c r="AL5" s="310"/>
      <c r="AM5" s="337"/>
      <c r="AN5" s="337"/>
      <c r="AO5" s="337"/>
      <c r="AP5" s="337"/>
      <c r="AQ5" s="337"/>
      <c r="AR5" s="2263" t="s">
        <v>797</v>
      </c>
      <c r="AS5" s="2264"/>
      <c r="AT5" s="2264"/>
      <c r="AU5" s="2264"/>
      <c r="AV5" s="2264"/>
      <c r="AW5" s="2264"/>
      <c r="AX5" s="2264"/>
      <c r="AY5" s="2265"/>
      <c r="AZ5" s="2260" t="s">
        <v>301</v>
      </c>
      <c r="BA5" s="2261"/>
      <c r="BB5" s="2261"/>
      <c r="BC5" s="2261"/>
      <c r="BD5" s="2261"/>
      <c r="BE5" s="2261"/>
      <c r="BF5" s="2261"/>
      <c r="BG5" s="2261"/>
      <c r="BH5" s="2262"/>
    </row>
    <row r="6" spans="1:60" ht="21" customHeight="1" thickTop="1" thickBot="1" x14ac:dyDescent="0.4">
      <c r="B6" s="2257"/>
      <c r="C6" s="2258"/>
      <c r="D6" s="2258"/>
      <c r="E6" s="2258"/>
      <c r="F6" s="2258"/>
      <c r="G6" s="2258"/>
      <c r="H6" s="2258"/>
      <c r="I6" s="2259"/>
      <c r="J6" s="2269" t="s">
        <v>14</v>
      </c>
      <c r="K6" s="2258"/>
      <c r="L6" s="2270"/>
      <c r="M6" s="2271" t="s">
        <v>15</v>
      </c>
      <c r="N6" s="2258"/>
      <c r="O6" s="2272"/>
      <c r="P6" s="2273" t="s">
        <v>16</v>
      </c>
      <c r="Q6" s="2258"/>
      <c r="R6" s="2274"/>
      <c r="S6" s="149"/>
      <c r="T6" s="149"/>
      <c r="U6" s="149"/>
      <c r="V6" s="149"/>
      <c r="W6" s="2263" t="s">
        <v>786</v>
      </c>
      <c r="X6" s="2264"/>
      <c r="Y6" s="2264"/>
      <c r="Z6" s="2264"/>
      <c r="AA6" s="2264"/>
      <c r="AB6" s="2264"/>
      <c r="AC6" s="2264"/>
      <c r="AD6" s="2265"/>
      <c r="AE6" s="2260" t="s">
        <v>301</v>
      </c>
      <c r="AF6" s="2261"/>
      <c r="AG6" s="2261"/>
      <c r="AH6" s="2261"/>
      <c r="AI6" s="2261"/>
      <c r="AJ6" s="2261"/>
      <c r="AK6" s="2261"/>
      <c r="AL6" s="2261"/>
      <c r="AM6" s="2262"/>
      <c r="AN6" s="337"/>
      <c r="AO6" s="337"/>
      <c r="AP6" s="337"/>
      <c r="AQ6" s="337"/>
      <c r="AR6" s="2266"/>
      <c r="AS6" s="2267"/>
      <c r="AT6" s="2267"/>
      <c r="AU6" s="2267"/>
      <c r="AV6" s="2267"/>
      <c r="AW6" s="2267"/>
      <c r="AX6" s="2267"/>
      <c r="AY6" s="2268"/>
      <c r="AZ6" s="2269" t="s">
        <v>14</v>
      </c>
      <c r="BA6" s="2258"/>
      <c r="BB6" s="2270"/>
      <c r="BC6" s="2271" t="s">
        <v>15</v>
      </c>
      <c r="BD6" s="2258"/>
      <c r="BE6" s="2272"/>
      <c r="BF6" s="2273" t="s">
        <v>16</v>
      </c>
      <c r="BG6" s="2258"/>
      <c r="BH6" s="2274"/>
    </row>
    <row r="7" spans="1:60" s="112" customFormat="1" ht="30" customHeight="1" thickTop="1" thickBot="1" x14ac:dyDescent="0.4">
      <c r="B7" s="255"/>
      <c r="C7" s="112" t="s">
        <v>187</v>
      </c>
      <c r="J7" s="2249">
        <v>0</v>
      </c>
      <c r="K7" s="2250"/>
      <c r="L7" s="2251"/>
      <c r="M7" s="2252">
        <v>0</v>
      </c>
      <c r="N7" s="2250"/>
      <c r="O7" s="2253"/>
      <c r="P7" s="2254">
        <f>SUM(J7:O7)</f>
        <v>0</v>
      </c>
      <c r="Q7" s="2255"/>
      <c r="R7" s="2256"/>
      <c r="S7" s="308"/>
      <c r="T7" s="308"/>
      <c r="U7" s="308"/>
      <c r="V7" s="308"/>
      <c r="W7" s="2266"/>
      <c r="X7" s="2267"/>
      <c r="Y7" s="2267"/>
      <c r="Z7" s="2267"/>
      <c r="AA7" s="2267"/>
      <c r="AB7" s="2267"/>
      <c r="AC7" s="2267"/>
      <c r="AD7" s="2268"/>
      <c r="AE7" s="2269" t="s">
        <v>14</v>
      </c>
      <c r="AF7" s="2258"/>
      <c r="AG7" s="2270"/>
      <c r="AH7" s="2271" t="s">
        <v>15</v>
      </c>
      <c r="AI7" s="2258"/>
      <c r="AJ7" s="2272"/>
      <c r="AK7" s="2273" t="s">
        <v>16</v>
      </c>
      <c r="AL7" s="2258"/>
      <c r="AM7" s="2274"/>
      <c r="AN7" s="314"/>
      <c r="AO7" s="314"/>
      <c r="AP7" s="314"/>
      <c r="AQ7" s="314"/>
      <c r="AR7" s="320"/>
      <c r="AS7" s="321" t="s">
        <v>791</v>
      </c>
      <c r="AT7" s="322"/>
      <c r="AU7" s="322"/>
      <c r="AV7" s="322"/>
      <c r="AW7" s="322"/>
      <c r="AX7" s="322"/>
      <c r="AY7" s="323"/>
      <c r="AZ7" s="2249"/>
      <c r="BA7" s="2250"/>
      <c r="BB7" s="2251"/>
      <c r="BC7" s="2252"/>
      <c r="BD7" s="2250"/>
      <c r="BE7" s="2253"/>
      <c r="BF7" s="2254">
        <f>SUM(AZ7:BE7)</f>
        <v>0</v>
      </c>
      <c r="BG7" s="2255"/>
      <c r="BH7" s="2256"/>
    </row>
    <row r="8" spans="1:60" s="112" customFormat="1" ht="30" customHeight="1" thickTop="1" x14ac:dyDescent="0.35">
      <c r="B8" s="224"/>
      <c r="C8" s="107" t="s">
        <v>188</v>
      </c>
      <c r="D8" s="107"/>
      <c r="E8" s="107"/>
      <c r="F8" s="107"/>
      <c r="G8" s="107"/>
      <c r="H8" s="107"/>
      <c r="I8" s="327"/>
      <c r="J8" s="2061">
        <v>0</v>
      </c>
      <c r="K8" s="2062"/>
      <c r="L8" s="2063"/>
      <c r="M8" s="2064">
        <v>0</v>
      </c>
      <c r="N8" s="2062"/>
      <c r="O8" s="2065"/>
      <c r="P8" s="1880">
        <f t="shared" ref="P8:P22" si="0">SUM(J8:O8)</f>
        <v>0</v>
      </c>
      <c r="Q8" s="1881"/>
      <c r="R8" s="2244"/>
      <c r="S8" s="308"/>
      <c r="T8" s="308"/>
      <c r="U8" s="308"/>
      <c r="V8" s="308"/>
      <c r="W8" s="320"/>
      <c r="X8" s="321" t="s">
        <v>787</v>
      </c>
      <c r="Y8" s="322"/>
      <c r="Z8" s="322"/>
      <c r="AA8" s="322"/>
      <c r="AB8" s="322"/>
      <c r="AC8" s="322"/>
      <c r="AD8" s="323"/>
      <c r="AE8" s="2249">
        <v>10</v>
      </c>
      <c r="AF8" s="2250"/>
      <c r="AG8" s="2251"/>
      <c r="AH8" s="2252">
        <v>40</v>
      </c>
      <c r="AI8" s="2250"/>
      <c r="AJ8" s="2253"/>
      <c r="AK8" s="2254">
        <f>SUM(AE8:AJ8)</f>
        <v>50</v>
      </c>
      <c r="AL8" s="2255"/>
      <c r="AM8" s="2256"/>
      <c r="AN8" s="314"/>
      <c r="AO8" s="314"/>
      <c r="AP8" s="314"/>
      <c r="AQ8" s="314"/>
      <c r="AR8" s="316"/>
      <c r="AS8" s="317" t="s">
        <v>792</v>
      </c>
      <c r="AT8" s="318"/>
      <c r="AU8" s="318"/>
      <c r="AV8" s="318"/>
      <c r="AW8" s="318"/>
      <c r="AX8" s="318"/>
      <c r="AY8" s="319"/>
      <c r="AZ8" s="2061"/>
      <c r="BA8" s="2062"/>
      <c r="BB8" s="2063"/>
      <c r="BC8" s="2064"/>
      <c r="BD8" s="2062"/>
      <c r="BE8" s="2065"/>
      <c r="BF8" s="1880">
        <f t="shared" ref="BF8:BF13" si="1">SUM(AZ8:BE8)</f>
        <v>0</v>
      </c>
      <c r="BG8" s="1881"/>
      <c r="BH8" s="2244"/>
    </row>
    <row r="9" spans="1:60" s="112" customFormat="1" ht="30" customHeight="1" thickBot="1" x14ac:dyDescent="0.4">
      <c r="B9" s="257"/>
      <c r="C9" s="103" t="s">
        <v>177</v>
      </c>
      <c r="D9" s="103"/>
      <c r="E9" s="103"/>
      <c r="F9" s="103"/>
      <c r="G9" s="103"/>
      <c r="H9" s="103"/>
      <c r="I9" s="328"/>
      <c r="J9" s="2021">
        <v>0</v>
      </c>
      <c r="K9" s="2022"/>
      <c r="L9" s="2023"/>
      <c r="M9" s="2024">
        <v>0</v>
      </c>
      <c r="N9" s="2022"/>
      <c r="O9" s="2025"/>
      <c r="P9" s="2238">
        <f t="shared" si="0"/>
        <v>0</v>
      </c>
      <c r="Q9" s="2239"/>
      <c r="R9" s="2240"/>
      <c r="S9" s="308"/>
      <c r="T9" s="308"/>
      <c r="U9" s="308"/>
      <c r="V9" s="308"/>
      <c r="W9" s="316"/>
      <c r="X9" s="317" t="s">
        <v>788</v>
      </c>
      <c r="Y9" s="318"/>
      <c r="Z9" s="318"/>
      <c r="AA9" s="318"/>
      <c r="AB9" s="318"/>
      <c r="AC9" s="318"/>
      <c r="AD9" s="319"/>
      <c r="AE9" s="2061">
        <v>1</v>
      </c>
      <c r="AF9" s="2062"/>
      <c r="AG9" s="2063"/>
      <c r="AH9" s="2064">
        <v>5</v>
      </c>
      <c r="AI9" s="2062"/>
      <c r="AJ9" s="2065"/>
      <c r="AK9" s="1880">
        <f t="shared" ref="AK9:AK12" si="2">SUM(AE9:AJ9)</f>
        <v>6</v>
      </c>
      <c r="AL9" s="1881"/>
      <c r="AM9" s="2244"/>
      <c r="AN9" s="314"/>
      <c r="AO9" s="314"/>
      <c r="AP9" s="314"/>
      <c r="AQ9" s="314"/>
      <c r="AR9" s="316"/>
      <c r="AS9" s="317" t="s">
        <v>793</v>
      </c>
      <c r="AT9" s="318"/>
      <c r="AU9" s="318"/>
      <c r="AV9" s="318"/>
      <c r="AW9" s="318"/>
      <c r="AX9" s="318"/>
      <c r="AY9" s="319"/>
      <c r="AZ9" s="2061"/>
      <c r="BA9" s="2062"/>
      <c r="BB9" s="2063"/>
      <c r="BC9" s="2064"/>
      <c r="BD9" s="2062"/>
      <c r="BE9" s="2065"/>
      <c r="BF9" s="1880">
        <f t="shared" si="1"/>
        <v>0</v>
      </c>
      <c r="BG9" s="1881"/>
      <c r="BH9" s="2244"/>
    </row>
    <row r="10" spans="1:60" s="112" customFormat="1" ht="30" customHeight="1" x14ac:dyDescent="0.35">
      <c r="B10" s="255"/>
      <c r="C10" s="112" t="s">
        <v>189</v>
      </c>
      <c r="I10" s="329"/>
      <c r="J10" s="2036">
        <v>0</v>
      </c>
      <c r="K10" s="2037"/>
      <c r="L10" s="2038"/>
      <c r="M10" s="2072">
        <v>0</v>
      </c>
      <c r="N10" s="2037"/>
      <c r="O10" s="2073"/>
      <c r="P10" s="2241">
        <f t="shared" si="0"/>
        <v>0</v>
      </c>
      <c r="Q10" s="2242"/>
      <c r="R10" s="2243"/>
      <c r="S10" s="308"/>
      <c r="T10" s="308"/>
      <c r="U10" s="308"/>
      <c r="V10" s="308"/>
      <c r="W10" s="316"/>
      <c r="X10" s="317" t="s">
        <v>789</v>
      </c>
      <c r="Y10" s="318"/>
      <c r="Z10" s="318"/>
      <c r="AA10" s="318"/>
      <c r="AB10" s="318"/>
      <c r="AC10" s="318"/>
      <c r="AD10" s="319"/>
      <c r="AE10" s="2061">
        <v>0</v>
      </c>
      <c r="AF10" s="2062"/>
      <c r="AG10" s="2063"/>
      <c r="AH10" s="2064">
        <v>0</v>
      </c>
      <c r="AI10" s="2062"/>
      <c r="AJ10" s="2065"/>
      <c r="AK10" s="1880">
        <f t="shared" si="2"/>
        <v>0</v>
      </c>
      <c r="AL10" s="1881"/>
      <c r="AM10" s="2244"/>
      <c r="AN10" s="314"/>
      <c r="AO10" s="314"/>
      <c r="AP10" s="314"/>
      <c r="AQ10" s="314"/>
      <c r="AR10" s="316"/>
      <c r="AS10" s="317" t="s">
        <v>794</v>
      </c>
      <c r="AT10" s="318"/>
      <c r="AU10" s="318"/>
      <c r="AV10" s="318"/>
      <c r="AW10" s="318"/>
      <c r="AX10" s="318"/>
      <c r="AY10" s="319"/>
      <c r="AZ10" s="2061"/>
      <c r="BA10" s="2062"/>
      <c r="BB10" s="2063"/>
      <c r="BC10" s="2064"/>
      <c r="BD10" s="2062"/>
      <c r="BE10" s="2065"/>
      <c r="BF10" s="1880">
        <f t="shared" si="1"/>
        <v>0</v>
      </c>
      <c r="BG10" s="1881"/>
      <c r="BH10" s="2244"/>
    </row>
    <row r="11" spans="1:60" s="112" customFormat="1" ht="30" customHeight="1" x14ac:dyDescent="0.35">
      <c r="B11" s="224"/>
      <c r="C11" s="107" t="s">
        <v>74</v>
      </c>
      <c r="D11" s="107"/>
      <c r="E11" s="107"/>
      <c r="F11" s="107"/>
      <c r="G11" s="107"/>
      <c r="H11" s="107"/>
      <c r="I11" s="327"/>
      <c r="J11" s="2061">
        <v>0</v>
      </c>
      <c r="K11" s="2062"/>
      <c r="L11" s="2063"/>
      <c r="M11" s="2064">
        <v>0</v>
      </c>
      <c r="N11" s="2062"/>
      <c r="O11" s="2065"/>
      <c r="P11" s="1880">
        <f t="shared" si="0"/>
        <v>0</v>
      </c>
      <c r="Q11" s="1881"/>
      <c r="R11" s="2244"/>
      <c r="S11" s="308"/>
      <c r="T11" s="308"/>
      <c r="U11" s="308"/>
      <c r="V11" s="308"/>
      <c r="W11" s="316"/>
      <c r="X11" s="317" t="s">
        <v>790</v>
      </c>
      <c r="Y11" s="318"/>
      <c r="Z11" s="318"/>
      <c r="AA11" s="318"/>
      <c r="AB11" s="318"/>
      <c r="AC11" s="318"/>
      <c r="AD11" s="319"/>
      <c r="AE11" s="2061">
        <v>0</v>
      </c>
      <c r="AF11" s="2062"/>
      <c r="AG11" s="2063"/>
      <c r="AH11" s="2064">
        <v>0</v>
      </c>
      <c r="AI11" s="2062"/>
      <c r="AJ11" s="2065"/>
      <c r="AK11" s="1880">
        <f t="shared" si="2"/>
        <v>0</v>
      </c>
      <c r="AL11" s="1881"/>
      <c r="AM11" s="2244"/>
      <c r="AN11" s="314"/>
      <c r="AO11" s="314"/>
      <c r="AP11" s="314"/>
      <c r="AQ11" s="314"/>
      <c r="AR11" s="316"/>
      <c r="AS11" s="318" t="s">
        <v>795</v>
      </c>
      <c r="AT11" s="318"/>
      <c r="AU11" s="318"/>
      <c r="AV11" s="318"/>
      <c r="AW11" s="318"/>
      <c r="AX11" s="318"/>
      <c r="AY11" s="319"/>
      <c r="AZ11" s="2061"/>
      <c r="BA11" s="2062"/>
      <c r="BB11" s="2063"/>
      <c r="BC11" s="2064"/>
      <c r="BD11" s="2062"/>
      <c r="BE11" s="2065"/>
      <c r="BF11" s="1880">
        <f t="shared" si="1"/>
        <v>0</v>
      </c>
      <c r="BG11" s="1881"/>
      <c r="BH11" s="2244"/>
    </row>
    <row r="12" spans="1:60" s="112" customFormat="1" ht="30" customHeight="1" thickBot="1" x14ac:dyDescent="0.4">
      <c r="B12" s="224"/>
      <c r="C12" s="107" t="s">
        <v>47</v>
      </c>
      <c r="D12" s="107"/>
      <c r="E12" s="107"/>
      <c r="F12" s="107"/>
      <c r="G12" s="107"/>
      <c r="H12" s="107"/>
      <c r="I12" s="327"/>
      <c r="J12" s="2061">
        <v>0</v>
      </c>
      <c r="K12" s="2062"/>
      <c r="L12" s="2063"/>
      <c r="M12" s="2064">
        <v>2</v>
      </c>
      <c r="N12" s="2062"/>
      <c r="O12" s="2065"/>
      <c r="P12" s="1880">
        <f t="shared" si="0"/>
        <v>2</v>
      </c>
      <c r="Q12" s="1881"/>
      <c r="R12" s="2244"/>
      <c r="S12" s="308"/>
      <c r="T12" s="308"/>
      <c r="U12" s="308"/>
      <c r="V12" s="308"/>
      <c r="W12" s="324"/>
      <c r="X12" s="325" t="s">
        <v>18</v>
      </c>
      <c r="Y12" s="325"/>
      <c r="Z12" s="325"/>
      <c r="AA12" s="325"/>
      <c r="AB12" s="325"/>
      <c r="AC12" s="325"/>
      <c r="AD12" s="326"/>
      <c r="AE12" s="2083">
        <v>0</v>
      </c>
      <c r="AF12" s="2084"/>
      <c r="AG12" s="2085"/>
      <c r="AH12" s="2086">
        <v>0</v>
      </c>
      <c r="AI12" s="2084"/>
      <c r="AJ12" s="2087"/>
      <c r="AK12" s="2214">
        <f t="shared" si="2"/>
        <v>0</v>
      </c>
      <c r="AL12" s="2215"/>
      <c r="AM12" s="2216"/>
      <c r="AN12" s="310"/>
      <c r="AO12" s="310"/>
      <c r="AP12" s="310"/>
      <c r="AQ12" s="310"/>
      <c r="AR12" s="316"/>
      <c r="AS12" s="317" t="s">
        <v>796</v>
      </c>
      <c r="AT12" s="318"/>
      <c r="AU12" s="318"/>
      <c r="AV12" s="318"/>
      <c r="AW12" s="318"/>
      <c r="AX12" s="318"/>
      <c r="AY12" s="319"/>
      <c r="AZ12" s="2061"/>
      <c r="BA12" s="2062"/>
      <c r="BB12" s="2063"/>
      <c r="BC12" s="2064"/>
      <c r="BD12" s="2062"/>
      <c r="BE12" s="2065"/>
      <c r="BF12" s="1880">
        <f t="shared" si="1"/>
        <v>0</v>
      </c>
      <c r="BG12" s="1881"/>
      <c r="BH12" s="2244"/>
    </row>
    <row r="13" spans="1:60" s="112" customFormat="1" ht="30" customHeight="1" thickTop="1" thickBot="1" x14ac:dyDescent="0.4">
      <c r="B13" s="257"/>
      <c r="C13" s="103" t="s">
        <v>48</v>
      </c>
      <c r="D13" s="103"/>
      <c r="E13" s="103"/>
      <c r="F13" s="103"/>
      <c r="G13" s="103"/>
      <c r="H13" s="103"/>
      <c r="I13" s="328"/>
      <c r="J13" s="2021">
        <v>4</v>
      </c>
      <c r="K13" s="2022"/>
      <c r="L13" s="2023"/>
      <c r="M13" s="2024">
        <v>1</v>
      </c>
      <c r="N13" s="2022"/>
      <c r="O13" s="2025"/>
      <c r="P13" s="2238">
        <f t="shared" si="0"/>
        <v>5</v>
      </c>
      <c r="Q13" s="2239"/>
      <c r="R13" s="2240"/>
      <c r="S13" s="308"/>
      <c r="T13" s="308"/>
      <c r="U13" s="308"/>
      <c r="V13" s="308"/>
      <c r="W13" s="2246" t="s">
        <v>16</v>
      </c>
      <c r="X13" s="2247"/>
      <c r="Y13" s="2247"/>
      <c r="Z13" s="2247"/>
      <c r="AA13" s="2247"/>
      <c r="AB13" s="2247"/>
      <c r="AC13" s="2247"/>
      <c r="AD13" s="2248"/>
      <c r="AE13" s="1855">
        <f>SUM(AE8:AG12)</f>
        <v>11</v>
      </c>
      <c r="AF13" s="1841"/>
      <c r="AG13" s="1847"/>
      <c r="AH13" s="1846">
        <f t="shared" ref="AH13" si="3">SUM(AH8:AJ12)</f>
        <v>45</v>
      </c>
      <c r="AI13" s="1841"/>
      <c r="AJ13" s="2109"/>
      <c r="AK13" s="1838">
        <f t="shared" ref="AK13" si="4">SUM(AK8:AM12)</f>
        <v>56</v>
      </c>
      <c r="AL13" s="1838"/>
      <c r="AM13" s="2245"/>
      <c r="AN13" s="309"/>
      <c r="AO13" s="309"/>
      <c r="AP13" s="309"/>
      <c r="AQ13" s="309"/>
      <c r="AR13" s="313"/>
      <c r="AS13" s="314" t="s">
        <v>18</v>
      </c>
      <c r="AT13" s="314"/>
      <c r="AU13" s="314"/>
      <c r="AV13" s="314"/>
      <c r="AW13" s="314"/>
      <c r="AX13" s="314"/>
      <c r="AY13" s="315"/>
      <c r="AZ13" s="2083"/>
      <c r="BA13" s="2084"/>
      <c r="BB13" s="2085"/>
      <c r="BC13" s="2086"/>
      <c r="BD13" s="2084"/>
      <c r="BE13" s="2087"/>
      <c r="BF13" s="2214">
        <f t="shared" si="1"/>
        <v>0</v>
      </c>
      <c r="BG13" s="2215"/>
      <c r="BH13" s="2216"/>
    </row>
    <row r="14" spans="1:60" s="112" customFormat="1" ht="30" customHeight="1" thickTop="1" thickBot="1" x14ac:dyDescent="0.4">
      <c r="B14" s="255"/>
      <c r="C14" s="112" t="s">
        <v>49</v>
      </c>
      <c r="I14" s="329"/>
      <c r="J14" s="2036">
        <v>2</v>
      </c>
      <c r="K14" s="2037"/>
      <c r="L14" s="2038"/>
      <c r="M14" s="2072">
        <v>14</v>
      </c>
      <c r="N14" s="2037"/>
      <c r="O14" s="2073"/>
      <c r="P14" s="2241">
        <f t="shared" si="0"/>
        <v>16</v>
      </c>
      <c r="Q14" s="2242"/>
      <c r="R14" s="2243"/>
      <c r="S14" s="308"/>
      <c r="T14" s="308"/>
      <c r="U14" s="308"/>
      <c r="V14" s="308"/>
      <c r="W14" s="311" t="s">
        <v>150</v>
      </c>
      <c r="X14" s="2213" t="s">
        <v>923</v>
      </c>
      <c r="Y14" s="2213"/>
      <c r="Z14" s="2213"/>
      <c r="AA14" s="2213"/>
      <c r="AB14" s="2213"/>
      <c r="AC14" s="2213"/>
      <c r="AD14" s="2213"/>
      <c r="AE14" s="2213"/>
      <c r="AF14" s="2213"/>
      <c r="AG14" s="2213"/>
      <c r="AH14" s="2213"/>
      <c r="AI14" s="2213"/>
      <c r="AJ14" s="2213"/>
      <c r="AK14" s="2213"/>
      <c r="AL14" s="2213"/>
      <c r="AM14" s="2213"/>
      <c r="AN14" s="309"/>
      <c r="AO14" s="309"/>
      <c r="AP14" s="309"/>
      <c r="AQ14" s="309"/>
      <c r="AR14" s="2246" t="s">
        <v>16</v>
      </c>
      <c r="AS14" s="2247"/>
      <c r="AT14" s="2247"/>
      <c r="AU14" s="2247"/>
      <c r="AV14" s="2247"/>
      <c r="AW14" s="2247"/>
      <c r="AX14" s="2247"/>
      <c r="AY14" s="2248"/>
      <c r="AZ14" s="1855">
        <f>SUM(AZ7:BB13)</f>
        <v>0</v>
      </c>
      <c r="BA14" s="1841"/>
      <c r="BB14" s="1847"/>
      <c r="BC14" s="1838">
        <f t="shared" ref="BC14" si="5">SUM(BC7:BE13)</f>
        <v>0</v>
      </c>
      <c r="BD14" s="1838"/>
      <c r="BE14" s="1854"/>
      <c r="BF14" s="1837">
        <f t="shared" ref="BF14" si="6">SUM(BF7:BH13)</f>
        <v>0</v>
      </c>
      <c r="BG14" s="1838"/>
      <c r="BH14" s="2245"/>
    </row>
    <row r="15" spans="1:60" s="112" customFormat="1" ht="30" customHeight="1" thickTop="1" x14ac:dyDescent="0.35">
      <c r="B15" s="224"/>
      <c r="C15" s="107" t="s">
        <v>50</v>
      </c>
      <c r="D15" s="107"/>
      <c r="E15" s="107"/>
      <c r="F15" s="107"/>
      <c r="G15" s="107"/>
      <c r="H15" s="107"/>
      <c r="I15" s="327"/>
      <c r="J15" s="2061">
        <v>1</v>
      </c>
      <c r="K15" s="2062"/>
      <c r="L15" s="2063"/>
      <c r="M15" s="2064">
        <v>4</v>
      </c>
      <c r="N15" s="2062"/>
      <c r="O15" s="2065"/>
      <c r="P15" s="1880">
        <f t="shared" si="0"/>
        <v>5</v>
      </c>
      <c r="Q15" s="1881"/>
      <c r="R15" s="2244"/>
      <c r="S15" s="308"/>
      <c r="T15" s="308"/>
      <c r="U15" s="308"/>
      <c r="V15" s="308"/>
      <c r="W15" s="300"/>
      <c r="X15" s="2213"/>
      <c r="Y15" s="2213"/>
      <c r="Z15" s="2213"/>
      <c r="AA15" s="2213"/>
      <c r="AB15" s="2213"/>
      <c r="AC15" s="2213"/>
      <c r="AD15" s="2213"/>
      <c r="AE15" s="2213"/>
      <c r="AF15" s="2213"/>
      <c r="AG15" s="2213"/>
      <c r="AH15" s="2213"/>
      <c r="AI15" s="2213"/>
      <c r="AJ15" s="2213"/>
      <c r="AK15" s="2213"/>
      <c r="AL15" s="2213"/>
      <c r="AM15" s="2213"/>
      <c r="AN15" s="309"/>
      <c r="AO15" s="309"/>
      <c r="AP15" s="309"/>
      <c r="AQ15" s="309"/>
      <c r="AR15" s="300" t="s">
        <v>150</v>
      </c>
      <c r="AS15" s="2213" t="s">
        <v>924</v>
      </c>
      <c r="AT15" s="2213"/>
      <c r="AU15" s="2213"/>
      <c r="AV15" s="2213"/>
      <c r="AW15" s="2213"/>
      <c r="AX15" s="2213"/>
      <c r="AY15" s="2213"/>
      <c r="AZ15" s="2213"/>
      <c r="BA15" s="2213"/>
      <c r="BB15" s="2213"/>
      <c r="BC15" s="2213"/>
      <c r="BD15" s="2213"/>
      <c r="BE15" s="2213"/>
      <c r="BF15" s="2213"/>
      <c r="BG15" s="2213"/>
      <c r="BH15" s="2213"/>
    </row>
    <row r="16" spans="1:60" s="112" customFormat="1" ht="30" customHeight="1" thickBot="1" x14ac:dyDescent="0.4">
      <c r="B16" s="257"/>
      <c r="C16" s="103" t="s">
        <v>51</v>
      </c>
      <c r="D16" s="103"/>
      <c r="E16" s="103"/>
      <c r="F16" s="103"/>
      <c r="G16" s="103"/>
      <c r="H16" s="103"/>
      <c r="I16" s="328"/>
      <c r="J16" s="2021">
        <v>7</v>
      </c>
      <c r="K16" s="2022"/>
      <c r="L16" s="2023"/>
      <c r="M16" s="2024">
        <v>25</v>
      </c>
      <c r="N16" s="2022"/>
      <c r="O16" s="2025"/>
      <c r="P16" s="2238">
        <f t="shared" si="0"/>
        <v>32</v>
      </c>
      <c r="Q16" s="2239"/>
      <c r="R16" s="2240"/>
      <c r="S16" s="308"/>
      <c r="T16" s="308"/>
      <c r="U16" s="308"/>
      <c r="V16" s="308"/>
      <c r="X16" s="2213"/>
      <c r="Y16" s="2213"/>
      <c r="Z16" s="2213"/>
      <c r="AA16" s="2213"/>
      <c r="AB16" s="2213"/>
      <c r="AC16" s="2213"/>
      <c r="AD16" s="2213"/>
      <c r="AE16" s="2213"/>
      <c r="AF16" s="2213"/>
      <c r="AG16" s="2213"/>
      <c r="AH16" s="2213"/>
      <c r="AI16" s="2213"/>
      <c r="AJ16" s="2213"/>
      <c r="AK16" s="2213"/>
      <c r="AL16" s="2213"/>
      <c r="AM16" s="2213"/>
      <c r="AN16" s="309"/>
      <c r="AO16" s="309"/>
      <c r="AP16" s="309"/>
      <c r="AQ16" s="309"/>
      <c r="AR16" s="300"/>
      <c r="AS16" s="2213"/>
      <c r="AT16" s="2213"/>
      <c r="AU16" s="2213"/>
      <c r="AV16" s="2213"/>
      <c r="AW16" s="2213"/>
      <c r="AX16" s="2213"/>
      <c r="AY16" s="2213"/>
      <c r="AZ16" s="2213"/>
      <c r="BA16" s="2213"/>
      <c r="BB16" s="2213"/>
      <c r="BC16" s="2213"/>
      <c r="BD16" s="2213"/>
      <c r="BE16" s="2213"/>
      <c r="BF16" s="2213"/>
      <c r="BG16" s="2213"/>
      <c r="BH16" s="2213"/>
    </row>
    <row r="17" spans="1:64" s="112" customFormat="1" ht="30" customHeight="1" thickBot="1" x14ac:dyDescent="0.4">
      <c r="B17" s="255"/>
      <c r="C17" s="112" t="s">
        <v>235</v>
      </c>
      <c r="I17" s="329"/>
      <c r="J17" s="2021">
        <v>0</v>
      </c>
      <c r="K17" s="2022"/>
      <c r="L17" s="2023"/>
      <c r="M17" s="2024">
        <v>1</v>
      </c>
      <c r="N17" s="2022"/>
      <c r="O17" s="2025"/>
      <c r="P17" s="2238">
        <f t="shared" si="0"/>
        <v>1</v>
      </c>
      <c r="Q17" s="2239"/>
      <c r="R17" s="2240"/>
      <c r="S17" s="308"/>
      <c r="T17" s="308"/>
      <c r="U17" s="308"/>
      <c r="V17" s="308"/>
      <c r="W17" s="300" t="s">
        <v>151</v>
      </c>
      <c r="X17" s="2213" t="s">
        <v>925</v>
      </c>
      <c r="Y17" s="2213"/>
      <c r="Z17" s="2213"/>
      <c r="AA17" s="2213"/>
      <c r="AB17" s="2213"/>
      <c r="AC17" s="2213"/>
      <c r="AD17" s="2213"/>
      <c r="AE17" s="2213"/>
      <c r="AF17" s="2213"/>
      <c r="AG17" s="2213"/>
      <c r="AH17" s="2213"/>
      <c r="AI17" s="2213"/>
      <c r="AJ17" s="2213"/>
      <c r="AK17" s="2213"/>
      <c r="AL17" s="2213"/>
      <c r="AM17" s="2213"/>
      <c r="AN17" s="161"/>
      <c r="AO17" s="161"/>
      <c r="AP17" s="161"/>
      <c r="AQ17" s="161"/>
      <c r="AR17" s="300" t="s">
        <v>151</v>
      </c>
      <c r="AS17" s="2213" t="s">
        <v>926</v>
      </c>
      <c r="AT17" s="2213"/>
      <c r="AU17" s="2213"/>
      <c r="AV17" s="2213"/>
      <c r="AW17" s="2213"/>
      <c r="AX17" s="2213"/>
      <c r="AY17" s="2213"/>
      <c r="AZ17" s="2213"/>
      <c r="BA17" s="2213"/>
      <c r="BB17" s="2213"/>
      <c r="BC17" s="2213"/>
      <c r="BD17" s="2213"/>
      <c r="BE17" s="2213"/>
      <c r="BF17" s="2213"/>
      <c r="BG17" s="2213"/>
      <c r="BH17" s="2213"/>
    </row>
    <row r="18" spans="1:64" s="112" customFormat="1" ht="30" customHeight="1" x14ac:dyDescent="0.35">
      <c r="B18" s="330"/>
      <c r="C18" s="331" t="s">
        <v>190</v>
      </c>
      <c r="D18" s="331"/>
      <c r="E18" s="331"/>
      <c r="F18" s="331"/>
      <c r="G18" s="331"/>
      <c r="H18" s="331"/>
      <c r="I18" s="332"/>
      <c r="J18" s="2036">
        <v>0</v>
      </c>
      <c r="K18" s="2037"/>
      <c r="L18" s="2038"/>
      <c r="M18" s="2072">
        <v>0</v>
      </c>
      <c r="N18" s="2037"/>
      <c r="O18" s="2073"/>
      <c r="P18" s="2241">
        <f t="shared" si="0"/>
        <v>0</v>
      </c>
      <c r="Q18" s="2242"/>
      <c r="R18" s="2243"/>
      <c r="S18" s="308"/>
      <c r="T18" s="308"/>
      <c r="U18" s="308"/>
      <c r="V18" s="308"/>
      <c r="X18" s="2213"/>
      <c r="Y18" s="2213"/>
      <c r="Z18" s="2213"/>
      <c r="AA18" s="2213"/>
      <c r="AB18" s="2213"/>
      <c r="AC18" s="2213"/>
      <c r="AD18" s="2213"/>
      <c r="AE18" s="2213"/>
      <c r="AF18" s="2213"/>
      <c r="AG18" s="2213"/>
      <c r="AH18" s="2213"/>
      <c r="AI18" s="2213"/>
      <c r="AJ18" s="2213"/>
      <c r="AK18" s="2213"/>
      <c r="AL18" s="2213"/>
      <c r="AM18" s="2213"/>
      <c r="AN18" s="161"/>
      <c r="AO18" s="161"/>
      <c r="AP18" s="161"/>
      <c r="AQ18" s="161"/>
      <c r="AR18" s="312"/>
      <c r="AS18" s="2213"/>
      <c r="AT18" s="2213"/>
      <c r="AU18" s="2213"/>
      <c r="AV18" s="2213"/>
      <c r="AW18" s="2213"/>
      <c r="AX18" s="2213"/>
      <c r="AY18" s="2213"/>
      <c r="AZ18" s="2213"/>
      <c r="BA18" s="2213"/>
      <c r="BB18" s="2213"/>
      <c r="BC18" s="2213"/>
      <c r="BD18" s="2213"/>
      <c r="BE18" s="2213"/>
      <c r="BF18" s="2213"/>
      <c r="BG18" s="2213"/>
      <c r="BH18" s="2213"/>
    </row>
    <row r="19" spans="1:64" s="112" customFormat="1" ht="30" customHeight="1" x14ac:dyDescent="0.35">
      <c r="B19" s="224"/>
      <c r="C19" s="107" t="s">
        <v>191</v>
      </c>
      <c r="D19" s="107"/>
      <c r="E19" s="107"/>
      <c r="F19" s="107"/>
      <c r="G19" s="107"/>
      <c r="H19" s="107"/>
      <c r="I19" s="327"/>
      <c r="J19" s="2061">
        <v>0</v>
      </c>
      <c r="K19" s="2062"/>
      <c r="L19" s="2063"/>
      <c r="M19" s="2064">
        <v>0</v>
      </c>
      <c r="N19" s="2062"/>
      <c r="O19" s="2065"/>
      <c r="P19" s="1880">
        <f t="shared" si="0"/>
        <v>0</v>
      </c>
      <c r="Q19" s="1881"/>
      <c r="R19" s="2244"/>
      <c r="S19" s="308"/>
      <c r="T19" s="308"/>
      <c r="U19" s="308"/>
      <c r="V19" s="308"/>
      <c r="X19" s="2213"/>
      <c r="Y19" s="2213"/>
      <c r="Z19" s="2213"/>
      <c r="AA19" s="2213"/>
      <c r="AB19" s="2213"/>
      <c r="AC19" s="2213"/>
      <c r="AD19" s="2213"/>
      <c r="AE19" s="2213"/>
      <c r="AF19" s="2213"/>
      <c r="AG19" s="2213"/>
      <c r="AH19" s="2213"/>
      <c r="AI19" s="2213"/>
      <c r="AJ19" s="2213"/>
      <c r="AK19" s="2213"/>
      <c r="AL19" s="2213"/>
      <c r="AM19" s="2213"/>
      <c r="AN19" s="161"/>
      <c r="AO19" s="161"/>
      <c r="AP19" s="161"/>
      <c r="AQ19" s="161"/>
      <c r="AR19" s="312"/>
      <c r="AS19" s="2213"/>
      <c r="AT19" s="2213"/>
      <c r="AU19" s="2213"/>
      <c r="AV19" s="2213"/>
      <c r="AW19" s="2213"/>
      <c r="AX19" s="2213"/>
      <c r="AY19" s="2213"/>
      <c r="AZ19" s="2213"/>
      <c r="BA19" s="2213"/>
      <c r="BB19" s="2213"/>
      <c r="BC19" s="2213"/>
      <c r="BD19" s="2213"/>
      <c r="BE19" s="2213"/>
      <c r="BF19" s="2213"/>
      <c r="BG19" s="2213"/>
      <c r="BH19" s="2213"/>
    </row>
    <row r="20" spans="1:64" s="112" customFormat="1" ht="30" customHeight="1" x14ac:dyDescent="0.35">
      <c r="B20" s="224"/>
      <c r="C20" s="107" t="s">
        <v>192</v>
      </c>
      <c r="D20" s="107"/>
      <c r="E20" s="107"/>
      <c r="F20" s="107"/>
      <c r="G20" s="107"/>
      <c r="H20" s="107"/>
      <c r="I20" s="327"/>
      <c r="J20" s="2061">
        <v>0</v>
      </c>
      <c r="K20" s="2062"/>
      <c r="L20" s="2063"/>
      <c r="M20" s="2064">
        <v>0</v>
      </c>
      <c r="N20" s="2062"/>
      <c r="O20" s="2065"/>
      <c r="P20" s="1880">
        <f t="shared" si="0"/>
        <v>0</v>
      </c>
      <c r="Q20" s="1881"/>
      <c r="R20" s="2244"/>
      <c r="S20" s="308"/>
      <c r="T20" s="308"/>
      <c r="U20" s="308"/>
      <c r="V20" s="308"/>
      <c r="W20" s="300" t="s">
        <v>152</v>
      </c>
      <c r="X20" s="2213" t="s">
        <v>927</v>
      </c>
      <c r="Y20" s="2213"/>
      <c r="Z20" s="2213"/>
      <c r="AA20" s="2213"/>
      <c r="AB20" s="2213"/>
      <c r="AC20" s="2213"/>
      <c r="AD20" s="2213"/>
      <c r="AE20" s="2213"/>
      <c r="AF20" s="2213"/>
      <c r="AG20" s="2213"/>
      <c r="AH20" s="2213"/>
      <c r="AI20" s="2213"/>
      <c r="AJ20" s="2213"/>
      <c r="AK20" s="2213"/>
      <c r="AL20" s="2213"/>
      <c r="AM20" s="2213"/>
      <c r="AN20" s="161"/>
      <c r="AO20" s="161"/>
      <c r="AP20" s="161"/>
      <c r="AQ20" s="161"/>
      <c r="AR20" s="300" t="s">
        <v>152</v>
      </c>
      <c r="AS20" s="2213" t="s">
        <v>928</v>
      </c>
      <c r="AT20" s="2213"/>
      <c r="AU20" s="2213"/>
      <c r="AV20" s="2213"/>
      <c r="AW20" s="2213"/>
      <c r="AX20" s="2213"/>
      <c r="AY20" s="2213"/>
      <c r="AZ20" s="2213"/>
      <c r="BA20" s="2213"/>
      <c r="BB20" s="2213"/>
      <c r="BC20" s="2213"/>
      <c r="BD20" s="2213"/>
      <c r="BE20" s="2213"/>
      <c r="BF20" s="2213"/>
      <c r="BG20" s="2213"/>
      <c r="BH20" s="2213"/>
    </row>
    <row r="21" spans="1:64" s="112" customFormat="1" ht="30" customHeight="1" x14ac:dyDescent="0.35">
      <c r="B21" s="224"/>
      <c r="C21" s="107" t="s">
        <v>7396</v>
      </c>
      <c r="D21" s="107"/>
      <c r="E21" s="107"/>
      <c r="F21" s="107"/>
      <c r="G21" s="107"/>
      <c r="H21" s="107"/>
      <c r="I21" s="327"/>
      <c r="J21" s="2061">
        <v>0</v>
      </c>
      <c r="K21" s="2062"/>
      <c r="L21" s="2063"/>
      <c r="M21" s="2064">
        <v>0</v>
      </c>
      <c r="N21" s="2062"/>
      <c r="O21" s="2065"/>
      <c r="P21" s="1880">
        <f t="shared" si="0"/>
        <v>0</v>
      </c>
      <c r="Q21" s="1881"/>
      <c r="R21" s="2244"/>
      <c r="S21" s="308"/>
      <c r="T21" s="308"/>
      <c r="U21" s="308"/>
      <c r="V21" s="308"/>
      <c r="X21" s="2213"/>
      <c r="Y21" s="2213"/>
      <c r="Z21" s="2213"/>
      <c r="AA21" s="2213"/>
      <c r="AB21" s="2213"/>
      <c r="AC21" s="2213"/>
      <c r="AD21" s="2213"/>
      <c r="AE21" s="2213"/>
      <c r="AF21" s="2213"/>
      <c r="AG21" s="2213"/>
      <c r="AH21" s="2213"/>
      <c r="AI21" s="2213"/>
      <c r="AJ21" s="2213"/>
      <c r="AK21" s="2213"/>
      <c r="AL21" s="2213"/>
      <c r="AM21" s="2213"/>
      <c r="AN21" s="161"/>
      <c r="AO21" s="161"/>
      <c r="AP21" s="161"/>
      <c r="AQ21" s="161"/>
      <c r="AR21" s="300"/>
      <c r="AS21" s="2213"/>
      <c r="AT21" s="2213"/>
      <c r="AU21" s="2213"/>
      <c r="AV21" s="2213"/>
      <c r="AW21" s="2213"/>
      <c r="AX21" s="2213"/>
      <c r="AY21" s="2213"/>
      <c r="AZ21" s="2213"/>
      <c r="BA21" s="2213"/>
      <c r="BB21" s="2213"/>
      <c r="BC21" s="2213"/>
      <c r="BD21" s="2213"/>
      <c r="BE21" s="2213"/>
      <c r="BF21" s="2213"/>
      <c r="BG21" s="2213"/>
      <c r="BH21" s="2213"/>
    </row>
    <row r="22" spans="1:64" s="112" customFormat="1" ht="30" customHeight="1" thickBot="1" x14ac:dyDescent="0.4">
      <c r="B22" s="225"/>
      <c r="C22" s="226" t="s">
        <v>193</v>
      </c>
      <c r="D22" s="226"/>
      <c r="E22" s="226"/>
      <c r="F22" s="226"/>
      <c r="G22" s="226"/>
      <c r="H22" s="226"/>
      <c r="I22" s="333"/>
      <c r="J22" s="2083">
        <v>0</v>
      </c>
      <c r="K22" s="2084"/>
      <c r="L22" s="2085"/>
      <c r="M22" s="2086">
        <v>0</v>
      </c>
      <c r="N22" s="2084"/>
      <c r="O22" s="2087"/>
      <c r="P22" s="2214">
        <f t="shared" si="0"/>
        <v>0</v>
      </c>
      <c r="Q22" s="2215"/>
      <c r="R22" s="2216"/>
      <c r="S22" s="308"/>
      <c r="T22" s="308"/>
      <c r="U22" s="308"/>
      <c r="V22" s="308"/>
      <c r="W22" s="300" t="s">
        <v>155</v>
      </c>
      <c r="X22" s="2213" t="s">
        <v>929</v>
      </c>
      <c r="Y22" s="2213"/>
      <c r="Z22" s="2213"/>
      <c r="AA22" s="2213"/>
      <c r="AB22" s="2213"/>
      <c r="AC22" s="2213"/>
      <c r="AD22" s="2213"/>
      <c r="AE22" s="2213"/>
      <c r="AF22" s="2213"/>
      <c r="AG22" s="2213"/>
      <c r="AH22" s="2213"/>
      <c r="AI22" s="2213"/>
      <c r="AJ22" s="2213"/>
      <c r="AK22" s="2213"/>
      <c r="AL22" s="2213"/>
      <c r="AM22" s="2213"/>
      <c r="AN22" s="161"/>
      <c r="AO22" s="161"/>
      <c r="AP22" s="161"/>
      <c r="AQ22" s="161"/>
      <c r="AR22" s="300" t="s">
        <v>155</v>
      </c>
      <c r="AS22" s="2213" t="s">
        <v>930</v>
      </c>
      <c r="AT22" s="2213"/>
      <c r="AU22" s="2213"/>
      <c r="AV22" s="2213"/>
      <c r="AW22" s="2213"/>
      <c r="AX22" s="2213"/>
      <c r="AY22" s="2213"/>
      <c r="AZ22" s="2213"/>
      <c r="BA22" s="2213"/>
      <c r="BB22" s="2213"/>
      <c r="BC22" s="2213"/>
      <c r="BD22" s="2213"/>
      <c r="BE22" s="2213"/>
      <c r="BF22" s="2213"/>
      <c r="BG22" s="2213"/>
      <c r="BH22" s="2213"/>
    </row>
    <row r="23" spans="1:64" s="112" customFormat="1" ht="30" customHeight="1" thickTop="1" thickBot="1" x14ac:dyDescent="0.4">
      <c r="B23" s="2235" t="s">
        <v>16</v>
      </c>
      <c r="C23" s="2236"/>
      <c r="D23" s="2236"/>
      <c r="E23" s="2236"/>
      <c r="F23" s="2236"/>
      <c r="G23" s="2236"/>
      <c r="H23" s="2236"/>
      <c r="I23" s="2237"/>
      <c r="J23" s="1855">
        <f>SUM(J7:L22)</f>
        <v>14</v>
      </c>
      <c r="K23" s="1841"/>
      <c r="L23" s="1847"/>
      <c r="M23" s="1841">
        <f t="shared" ref="M23" si="7">SUM(M7:O22)</f>
        <v>47</v>
      </c>
      <c r="N23" s="1841"/>
      <c r="O23" s="1847"/>
      <c r="P23" s="1840">
        <f t="shared" ref="P23" si="8">SUM(P7:R22)</f>
        <v>61</v>
      </c>
      <c r="Q23" s="1841"/>
      <c r="R23" s="1845"/>
      <c r="S23" s="308"/>
      <c r="T23" s="308"/>
      <c r="U23" s="308"/>
      <c r="V23" s="308"/>
      <c r="W23" s="300"/>
      <c r="X23" s="2213"/>
      <c r="Y23" s="2213"/>
      <c r="Z23" s="2213"/>
      <c r="AA23" s="2213"/>
      <c r="AB23" s="2213"/>
      <c r="AC23" s="2213"/>
      <c r="AD23" s="2213"/>
      <c r="AE23" s="2213"/>
      <c r="AF23" s="2213"/>
      <c r="AG23" s="2213"/>
      <c r="AH23" s="2213"/>
      <c r="AI23" s="2213"/>
      <c r="AJ23" s="2213"/>
      <c r="AK23" s="2213"/>
      <c r="AL23" s="2213"/>
      <c r="AM23" s="2213"/>
      <c r="AN23" s="161"/>
      <c r="AO23" s="161"/>
      <c r="AP23" s="161"/>
      <c r="AQ23" s="161"/>
      <c r="AR23" s="300"/>
      <c r="AS23" s="2213"/>
      <c r="AT23" s="2213"/>
      <c r="AU23" s="2213"/>
      <c r="AV23" s="2213"/>
      <c r="AW23" s="2213"/>
      <c r="AX23" s="2213"/>
      <c r="AY23" s="2213"/>
      <c r="AZ23" s="2213"/>
      <c r="BA23" s="2213"/>
      <c r="BB23" s="2213"/>
      <c r="BC23" s="2213"/>
      <c r="BD23" s="2213"/>
      <c r="BE23" s="2213"/>
      <c r="BF23" s="2213"/>
      <c r="BG23" s="2213"/>
      <c r="BH23" s="2213"/>
    </row>
    <row r="24" spans="1:64" s="140" customFormat="1" ht="16.5" customHeight="1" thickTop="1" x14ac:dyDescent="0.35">
      <c r="B24" s="227" t="s">
        <v>1073</v>
      </c>
      <c r="C24" s="227"/>
      <c r="D24" s="227"/>
      <c r="E24" s="227"/>
      <c r="F24" s="227"/>
      <c r="G24" s="227"/>
      <c r="H24" s="227"/>
      <c r="I24" s="227"/>
      <c r="J24" s="227"/>
      <c r="K24" s="227"/>
      <c r="W24" s="306" t="s">
        <v>940</v>
      </c>
      <c r="X24" s="302"/>
      <c r="Y24" s="302"/>
      <c r="Z24" s="2224" t="s">
        <v>1096</v>
      </c>
      <c r="AA24" s="2224"/>
      <c r="AB24" s="2224"/>
      <c r="AC24" s="2224"/>
      <c r="AD24" s="2224"/>
      <c r="AE24" s="2224"/>
      <c r="AF24" s="2224"/>
      <c r="AG24" s="2224"/>
      <c r="AH24" s="2224"/>
      <c r="AI24" s="2224"/>
      <c r="AJ24" s="2224"/>
      <c r="AK24" s="2224"/>
      <c r="AL24" s="2224"/>
      <c r="AM24" s="2224"/>
      <c r="AN24" s="309"/>
      <c r="AO24" s="161"/>
      <c r="AP24" s="161"/>
      <c r="AQ24" s="161"/>
      <c r="AR24" s="300" t="s">
        <v>156</v>
      </c>
      <c r="AS24" s="2213" t="s">
        <v>931</v>
      </c>
      <c r="AT24" s="2213"/>
      <c r="AU24" s="2213"/>
      <c r="AV24" s="2213"/>
      <c r="AW24" s="2213"/>
      <c r="AX24" s="2213"/>
      <c r="AY24" s="2213"/>
      <c r="AZ24" s="2213"/>
      <c r="BA24" s="2213"/>
      <c r="BB24" s="2213"/>
      <c r="BC24" s="2213"/>
      <c r="BD24" s="2213"/>
      <c r="BE24" s="2213"/>
      <c r="BF24" s="2213"/>
      <c r="BG24" s="2213"/>
      <c r="BH24" s="2213"/>
    </row>
    <row r="25" spans="1:64" s="140" customFormat="1" x14ac:dyDescent="0.35">
      <c r="C25" s="227" t="s">
        <v>1158</v>
      </c>
      <c r="D25" s="227"/>
      <c r="E25" s="227"/>
      <c r="F25" s="227"/>
      <c r="G25" s="227"/>
      <c r="H25" s="227"/>
      <c r="I25" s="227"/>
      <c r="J25" s="227"/>
      <c r="K25" s="227"/>
      <c r="X25" s="300"/>
      <c r="Y25" s="302"/>
      <c r="Z25" s="2224"/>
      <c r="AA25" s="2224"/>
      <c r="AB25" s="2224"/>
      <c r="AC25" s="2224"/>
      <c r="AD25" s="2224"/>
      <c r="AE25" s="2224"/>
      <c r="AF25" s="2224"/>
      <c r="AG25" s="2224"/>
      <c r="AH25" s="2224"/>
      <c r="AI25" s="2224"/>
      <c r="AJ25" s="2224"/>
      <c r="AK25" s="2224"/>
      <c r="AL25" s="2224"/>
      <c r="AM25" s="2224"/>
      <c r="AN25" s="309"/>
      <c r="AO25" s="161"/>
      <c r="AP25" s="161"/>
      <c r="AQ25" s="161"/>
      <c r="AR25" s="300"/>
      <c r="AS25" s="2213"/>
      <c r="AT25" s="2213"/>
      <c r="AU25" s="2213"/>
      <c r="AV25" s="2213"/>
      <c r="AW25" s="2213"/>
      <c r="AX25" s="2213"/>
      <c r="AY25" s="2213"/>
      <c r="AZ25" s="2213"/>
      <c r="BA25" s="2213"/>
      <c r="BB25" s="2213"/>
      <c r="BC25" s="2213"/>
      <c r="BD25" s="2213"/>
      <c r="BE25" s="2213"/>
      <c r="BF25" s="2213"/>
      <c r="BG25" s="2213"/>
      <c r="BH25" s="2213"/>
      <c r="BI25" s="142"/>
    </row>
    <row r="26" spans="1:64" s="140" customFormat="1" ht="23" customHeight="1" x14ac:dyDescent="0.35">
      <c r="C26" s="227"/>
      <c r="D26" s="227"/>
      <c r="E26" s="227"/>
      <c r="F26" s="227"/>
      <c r="G26" s="227"/>
      <c r="H26" s="227"/>
      <c r="I26" s="227"/>
      <c r="J26" s="227"/>
      <c r="K26" s="227"/>
      <c r="X26" s="300"/>
      <c r="Y26" s="302"/>
      <c r="Z26" s="302"/>
      <c r="AA26" s="302"/>
      <c r="AB26" s="302"/>
      <c r="AC26" s="302"/>
      <c r="AD26" s="302"/>
      <c r="AE26" s="302"/>
      <c r="AF26" s="302"/>
      <c r="AG26" s="302"/>
      <c r="AH26" s="302"/>
      <c r="AI26" s="302"/>
      <c r="AJ26" s="302"/>
      <c r="AK26" s="302"/>
      <c r="AL26" s="302"/>
      <c r="AM26" s="161"/>
      <c r="AN26" s="161"/>
      <c r="AO26" s="161"/>
      <c r="AP26" s="161"/>
      <c r="AQ26" s="161"/>
      <c r="AR26" s="300"/>
      <c r="AS26" s="2213"/>
      <c r="AT26" s="2213"/>
      <c r="AU26" s="2213"/>
      <c r="AV26" s="2213"/>
      <c r="AW26" s="2213"/>
      <c r="AX26" s="2213"/>
      <c r="AY26" s="2213"/>
      <c r="AZ26" s="2213"/>
      <c r="BA26" s="2213"/>
      <c r="BB26" s="2213"/>
      <c r="BC26" s="2213"/>
      <c r="BD26" s="2213"/>
      <c r="BE26" s="2213"/>
      <c r="BF26" s="2213"/>
      <c r="BG26" s="2213"/>
      <c r="BH26" s="2213"/>
      <c r="BI26" s="142"/>
    </row>
    <row r="27" spans="1:64" s="140" customFormat="1" ht="24.75" customHeight="1" x14ac:dyDescent="0.35">
      <c r="C27" s="227"/>
      <c r="D27" s="227"/>
      <c r="E27" s="227"/>
      <c r="F27" s="227"/>
      <c r="G27" s="227"/>
      <c r="H27" s="227"/>
      <c r="I27" s="227"/>
      <c r="J27" s="227"/>
      <c r="K27" s="227"/>
      <c r="X27" s="300"/>
      <c r="Y27" s="302"/>
      <c r="Z27" s="302"/>
      <c r="AA27" s="302"/>
      <c r="AB27" s="302"/>
      <c r="AC27" s="302"/>
      <c r="AD27" s="302"/>
      <c r="AE27" s="302"/>
      <c r="AF27" s="302"/>
      <c r="AG27" s="302"/>
      <c r="AH27" s="302"/>
      <c r="AI27" s="302"/>
      <c r="AJ27" s="302"/>
      <c r="AK27" s="302"/>
      <c r="AL27" s="302"/>
      <c r="AM27" s="161"/>
      <c r="AN27" s="44"/>
      <c r="AO27" s="44"/>
      <c r="AP27" s="44"/>
      <c r="AQ27" s="44"/>
      <c r="AR27" s="300" t="s">
        <v>157</v>
      </c>
      <c r="AS27" s="2213" t="s">
        <v>932</v>
      </c>
      <c r="AT27" s="2213"/>
      <c r="AU27" s="2213"/>
      <c r="AV27" s="2213"/>
      <c r="AW27" s="2213"/>
      <c r="AX27" s="2213"/>
      <c r="AY27" s="2213"/>
      <c r="AZ27" s="2213"/>
      <c r="BA27" s="2213"/>
      <c r="BB27" s="2213"/>
      <c r="BC27" s="2213"/>
      <c r="BD27" s="2213"/>
      <c r="BE27" s="2213"/>
      <c r="BF27" s="2213"/>
      <c r="BG27" s="2213"/>
      <c r="BH27" s="2213"/>
      <c r="BI27" s="142"/>
      <c r="BJ27" s="142"/>
    </row>
    <row r="28" spans="1:64" s="140" customFormat="1" ht="21" customHeight="1" x14ac:dyDescent="0.35">
      <c r="C28" s="227"/>
      <c r="D28" s="227"/>
      <c r="E28" s="227"/>
      <c r="F28" s="227"/>
      <c r="G28" s="227"/>
      <c r="H28" s="227"/>
      <c r="I28" s="227"/>
      <c r="J28" s="227"/>
      <c r="K28" s="227"/>
      <c r="X28" s="300"/>
      <c r="Y28" s="302"/>
      <c r="Z28" s="302"/>
      <c r="AA28" s="302"/>
      <c r="AB28" s="302"/>
      <c r="AC28" s="302"/>
      <c r="AD28" s="302"/>
      <c r="AE28" s="302"/>
      <c r="AF28" s="302"/>
      <c r="AG28" s="302"/>
      <c r="AH28" s="302"/>
      <c r="AI28" s="302"/>
      <c r="AJ28" s="302"/>
      <c r="AK28" s="302"/>
      <c r="AL28" s="302"/>
      <c r="AM28" s="161"/>
      <c r="AN28" s="44"/>
      <c r="AO28" s="44"/>
      <c r="AP28" s="44"/>
      <c r="AQ28" s="44"/>
      <c r="AR28" s="300"/>
      <c r="AS28" s="2213"/>
      <c r="AT28" s="2213"/>
      <c r="AU28" s="2213"/>
      <c r="AV28" s="2213"/>
      <c r="AW28" s="2213"/>
      <c r="AX28" s="2213"/>
      <c r="AY28" s="2213"/>
      <c r="AZ28" s="2213"/>
      <c r="BA28" s="2213"/>
      <c r="BB28" s="2213"/>
      <c r="BC28" s="2213"/>
      <c r="BD28" s="2213"/>
      <c r="BE28" s="2213"/>
      <c r="BF28" s="2213"/>
      <c r="BG28" s="2213"/>
      <c r="BH28" s="2213"/>
      <c r="BI28" s="142"/>
      <c r="BJ28" s="142"/>
    </row>
    <row r="29" spans="1:64" s="140" customFormat="1" ht="24.75" customHeight="1" x14ac:dyDescent="0.35">
      <c r="A29" s="44"/>
      <c r="B29" s="141" t="s">
        <v>1372</v>
      </c>
      <c r="C29" s="44"/>
      <c r="D29" s="44"/>
      <c r="E29" s="44"/>
      <c r="F29" s="44"/>
      <c r="G29" s="44"/>
      <c r="H29" s="44"/>
      <c r="I29" s="44"/>
      <c r="J29" s="44"/>
      <c r="K29" s="44"/>
      <c r="L29" s="44"/>
      <c r="M29" s="44"/>
      <c r="N29" s="44"/>
      <c r="O29" s="44"/>
      <c r="P29" s="44"/>
      <c r="Q29" s="44"/>
      <c r="R29" s="44"/>
      <c r="S29" s="44"/>
      <c r="T29" s="44"/>
      <c r="U29" s="44"/>
      <c r="V29" s="44"/>
      <c r="W29" s="44"/>
      <c r="X29" s="44"/>
      <c r="Y29" s="44"/>
      <c r="Z29" s="44"/>
      <c r="AA29" s="49"/>
      <c r="AB29" s="49"/>
      <c r="AC29" s="44"/>
      <c r="AD29" s="44"/>
      <c r="AE29" s="44"/>
      <c r="AF29" s="44"/>
      <c r="AG29" s="44"/>
      <c r="AH29" s="44"/>
      <c r="AI29" s="44"/>
      <c r="AJ29" s="44"/>
      <c r="AK29" s="44"/>
      <c r="AL29" s="44"/>
      <c r="AM29" s="110"/>
      <c r="AN29" s="110"/>
      <c r="AO29" s="110"/>
      <c r="AP29" s="110"/>
      <c r="AQ29" s="110"/>
      <c r="AR29" s="301"/>
      <c r="AS29" s="2213"/>
      <c r="AT29" s="2213"/>
      <c r="AU29" s="2213"/>
      <c r="AV29" s="2213"/>
      <c r="AW29" s="2213"/>
      <c r="AX29" s="2213"/>
      <c r="AY29" s="2213"/>
      <c r="AZ29" s="2213"/>
      <c r="BA29" s="2213"/>
      <c r="BB29" s="2213"/>
      <c r="BC29" s="2213"/>
      <c r="BD29" s="2213"/>
      <c r="BE29" s="2213"/>
      <c r="BF29" s="2213"/>
      <c r="BG29" s="2213"/>
      <c r="BH29" s="2213"/>
      <c r="BI29" s="142"/>
      <c r="BJ29" s="142"/>
    </row>
    <row r="30" spans="1:64" s="140" customFormat="1" ht="24.75" customHeight="1" thickBot="1" x14ac:dyDescent="0.4">
      <c r="A30" s="44"/>
      <c r="B30" s="310" t="s">
        <v>1331</v>
      </c>
      <c r="C30" s="44"/>
      <c r="D30" s="44"/>
      <c r="E30" s="44"/>
      <c r="F30" s="44"/>
      <c r="G30" s="44"/>
      <c r="H30" s="44"/>
      <c r="I30" s="44"/>
      <c r="J30" s="44"/>
      <c r="K30" s="44"/>
      <c r="L30" s="44"/>
      <c r="M30" s="44"/>
      <c r="N30" s="44"/>
      <c r="O30" s="44"/>
      <c r="P30" s="44"/>
      <c r="Q30" s="44"/>
      <c r="R30" s="44"/>
      <c r="S30" s="44"/>
      <c r="T30" s="44"/>
      <c r="U30" s="44"/>
      <c r="V30" s="44"/>
      <c r="W30" s="44"/>
      <c r="X30" s="44"/>
      <c r="Y30" s="44"/>
      <c r="Z30" s="44"/>
      <c r="AA30" s="49"/>
      <c r="AB30" s="49"/>
      <c r="AC30" s="44"/>
      <c r="AD30" s="44"/>
      <c r="AE30" s="44"/>
      <c r="AF30" s="44"/>
      <c r="AG30" s="44"/>
      <c r="AH30" s="44"/>
      <c r="AI30" s="44"/>
      <c r="AJ30" s="44"/>
      <c r="AK30" s="44"/>
      <c r="AL30" s="44"/>
      <c r="AM30" s="110"/>
      <c r="AN30" s="110"/>
      <c r="AO30" s="110"/>
      <c r="AP30" s="110"/>
      <c r="AQ30" s="110"/>
      <c r="AR30" s="300" t="s">
        <v>159</v>
      </c>
      <c r="AS30" s="2213" t="s">
        <v>933</v>
      </c>
      <c r="AT30" s="2213"/>
      <c r="AU30" s="2213"/>
      <c r="AV30" s="2213"/>
      <c r="AW30" s="2213"/>
      <c r="AX30" s="2213"/>
      <c r="AY30" s="2213"/>
      <c r="AZ30" s="2213"/>
      <c r="BA30" s="2213"/>
      <c r="BB30" s="2213"/>
      <c r="BC30" s="2213"/>
      <c r="BD30" s="2213"/>
      <c r="BE30" s="2213"/>
      <c r="BF30" s="2213"/>
      <c r="BG30" s="2213"/>
      <c r="BH30" s="2213"/>
      <c r="BI30" s="142"/>
      <c r="BJ30" s="142"/>
    </row>
    <row r="31" spans="1:64" s="140" customFormat="1" ht="24.75" customHeight="1" thickTop="1" thickBot="1" x14ac:dyDescent="0.4">
      <c r="A31" s="110"/>
      <c r="B31" s="1969" t="s">
        <v>982</v>
      </c>
      <c r="C31" s="1970"/>
      <c r="D31" s="1970"/>
      <c r="E31" s="1970"/>
      <c r="F31" s="1970"/>
      <c r="G31" s="1970"/>
      <c r="H31" s="1970"/>
      <c r="I31" s="1970"/>
      <c r="J31" s="1970"/>
      <c r="K31" s="1970"/>
      <c r="L31" s="1970"/>
      <c r="M31" s="1970"/>
      <c r="N31" s="1970"/>
      <c r="O31" s="1970"/>
      <c r="P31" s="1971"/>
      <c r="Q31" s="1904" t="s">
        <v>983</v>
      </c>
      <c r="R31" s="1905"/>
      <c r="S31" s="1905"/>
      <c r="T31" s="1905"/>
      <c r="U31" s="1905"/>
      <c r="V31" s="1905"/>
      <c r="W31" s="1905"/>
      <c r="X31" s="1905"/>
      <c r="Y31" s="1905"/>
      <c r="Z31" s="1905"/>
      <c r="AA31" s="1905"/>
      <c r="AB31" s="2225"/>
      <c r="AC31" s="1904" t="s">
        <v>984</v>
      </c>
      <c r="AD31" s="1905"/>
      <c r="AE31" s="1905"/>
      <c r="AF31" s="1905"/>
      <c r="AG31" s="1905"/>
      <c r="AH31" s="1905"/>
      <c r="AI31" s="1905"/>
      <c r="AJ31" s="1905"/>
      <c r="AK31" s="1905"/>
      <c r="AL31" s="1905"/>
      <c r="AM31" s="1905"/>
      <c r="AN31" s="1906"/>
      <c r="AO31" s="110"/>
      <c r="AP31" s="110"/>
      <c r="AQ31" s="110"/>
      <c r="AR31" s="110"/>
      <c r="AS31" s="2213"/>
      <c r="AT31" s="2213"/>
      <c r="AU31" s="2213"/>
      <c r="AV31" s="2213"/>
      <c r="AW31" s="2213"/>
      <c r="AX31" s="2213"/>
      <c r="AY31" s="2213"/>
      <c r="AZ31" s="2213"/>
      <c r="BA31" s="2213"/>
      <c r="BB31" s="2213"/>
      <c r="BC31" s="2213"/>
      <c r="BD31" s="2213"/>
      <c r="BE31" s="2213"/>
      <c r="BF31" s="2213"/>
      <c r="BG31" s="2213"/>
      <c r="BH31" s="2213"/>
      <c r="BI31" s="302"/>
      <c r="BJ31" s="302"/>
      <c r="BK31" s="142"/>
      <c r="BL31" s="142"/>
    </row>
    <row r="32" spans="1:64" s="140" customFormat="1" ht="24.75" customHeight="1" thickBot="1" x14ac:dyDescent="0.4">
      <c r="A32" s="110"/>
      <c r="B32" s="2287"/>
      <c r="C32" s="2288"/>
      <c r="D32" s="2288"/>
      <c r="E32" s="2288"/>
      <c r="F32" s="2288"/>
      <c r="G32" s="2288"/>
      <c r="H32" s="2288"/>
      <c r="I32" s="2288"/>
      <c r="J32" s="2288"/>
      <c r="K32" s="2288"/>
      <c r="L32" s="2288"/>
      <c r="M32" s="2288"/>
      <c r="N32" s="2288"/>
      <c r="O32" s="2288"/>
      <c r="P32" s="2289"/>
      <c r="Q32" s="2226" t="s">
        <v>14</v>
      </c>
      <c r="R32" s="2227"/>
      <c r="S32" s="2227"/>
      <c r="T32" s="2228"/>
      <c r="U32" s="2229" t="s">
        <v>15</v>
      </c>
      <c r="V32" s="2227"/>
      <c r="W32" s="2227"/>
      <c r="X32" s="2230"/>
      <c r="Y32" s="2231" t="s">
        <v>16</v>
      </c>
      <c r="Z32" s="2232"/>
      <c r="AA32" s="2232"/>
      <c r="AB32" s="2233"/>
      <c r="AC32" s="2226" t="s">
        <v>14</v>
      </c>
      <c r="AD32" s="2227"/>
      <c r="AE32" s="2227"/>
      <c r="AF32" s="2228"/>
      <c r="AG32" s="2229" t="s">
        <v>15</v>
      </c>
      <c r="AH32" s="2227"/>
      <c r="AI32" s="2227"/>
      <c r="AJ32" s="2230"/>
      <c r="AK32" s="2231" t="s">
        <v>16</v>
      </c>
      <c r="AL32" s="2232"/>
      <c r="AM32" s="2232"/>
      <c r="AN32" s="2234"/>
      <c r="AO32" s="110"/>
      <c r="AP32" s="110"/>
      <c r="AQ32" s="110"/>
      <c r="AR32" s="110"/>
      <c r="AS32" s="2213"/>
      <c r="AT32" s="2213"/>
      <c r="AU32" s="2213"/>
      <c r="AV32" s="2213"/>
      <c r="AW32" s="2213"/>
      <c r="AX32" s="2213"/>
      <c r="AY32" s="2213"/>
      <c r="AZ32" s="2213"/>
      <c r="BA32" s="2213"/>
      <c r="BB32" s="2213"/>
      <c r="BC32" s="2213"/>
      <c r="BD32" s="2213"/>
      <c r="BE32" s="2213"/>
      <c r="BF32" s="2213"/>
      <c r="BG32" s="2213"/>
      <c r="BH32" s="2213"/>
      <c r="BI32" s="302"/>
      <c r="BJ32" s="302"/>
      <c r="BK32" s="142"/>
      <c r="BL32" s="142"/>
    </row>
    <row r="33" spans="1:81" s="140" customFormat="1" ht="30" customHeight="1" thickTop="1" x14ac:dyDescent="0.35">
      <c r="A33" s="110"/>
      <c r="B33" s="2278" t="s">
        <v>217</v>
      </c>
      <c r="C33" s="2279"/>
      <c r="D33" s="2279"/>
      <c r="E33" s="2279"/>
      <c r="F33" s="2279"/>
      <c r="G33" s="2279"/>
      <c r="H33" s="2279"/>
      <c r="I33" s="2279"/>
      <c r="J33" s="2279"/>
      <c r="K33" s="2279"/>
      <c r="L33" s="2279"/>
      <c r="M33" s="2279"/>
      <c r="N33" s="2279"/>
      <c r="O33" s="2279"/>
      <c r="P33" s="2280"/>
      <c r="Q33" s="2217">
        <v>0</v>
      </c>
      <c r="R33" s="2218"/>
      <c r="S33" s="2218"/>
      <c r="T33" s="2219"/>
      <c r="U33" s="2220">
        <v>0</v>
      </c>
      <c r="V33" s="2218"/>
      <c r="W33" s="2218"/>
      <c r="X33" s="2218"/>
      <c r="Y33" s="2221">
        <f>SUM(Q33:X33)</f>
        <v>0</v>
      </c>
      <c r="Z33" s="2222"/>
      <c r="AA33" s="2222"/>
      <c r="AB33" s="2223"/>
      <c r="AC33" s="2218">
        <v>0</v>
      </c>
      <c r="AD33" s="2218"/>
      <c r="AE33" s="2218"/>
      <c r="AF33" s="2219"/>
      <c r="AG33" s="2220">
        <v>0</v>
      </c>
      <c r="AH33" s="2218"/>
      <c r="AI33" s="2218"/>
      <c r="AJ33" s="2218"/>
      <c r="AK33" s="2221">
        <f>SUM(AC33:AJ33)</f>
        <v>0</v>
      </c>
      <c r="AL33" s="2222"/>
      <c r="AM33" s="2222"/>
      <c r="AN33" s="2290"/>
      <c r="AO33" s="110"/>
      <c r="AP33" s="110"/>
      <c r="AQ33" s="110"/>
      <c r="BI33" s="142"/>
      <c r="BJ33" s="142"/>
    </row>
    <row r="34" spans="1:81" s="140" customFormat="1" ht="30" customHeight="1" x14ac:dyDescent="0.35">
      <c r="A34" s="110"/>
      <c r="B34" s="2281" t="s">
        <v>218</v>
      </c>
      <c r="C34" s="2282"/>
      <c r="D34" s="2282"/>
      <c r="E34" s="2282"/>
      <c r="F34" s="2282"/>
      <c r="G34" s="2282"/>
      <c r="H34" s="2282"/>
      <c r="I34" s="2282"/>
      <c r="J34" s="2282"/>
      <c r="K34" s="2282"/>
      <c r="L34" s="2282"/>
      <c r="M34" s="2282"/>
      <c r="N34" s="2282"/>
      <c r="O34" s="2282"/>
      <c r="P34" s="2283"/>
      <c r="Q34" s="1632">
        <v>0</v>
      </c>
      <c r="R34" s="2208"/>
      <c r="S34" s="2208"/>
      <c r="T34" s="1633"/>
      <c r="U34" s="1630">
        <v>0</v>
      </c>
      <c r="V34" s="2208"/>
      <c r="W34" s="2208"/>
      <c r="X34" s="2208"/>
      <c r="Y34" s="2209">
        <f t="shared" ref="Y34:Y38" si="9">SUM(Q34:X34)</f>
        <v>0</v>
      </c>
      <c r="Z34" s="2210"/>
      <c r="AA34" s="2210"/>
      <c r="AB34" s="2211"/>
      <c r="AC34" s="2208">
        <v>0</v>
      </c>
      <c r="AD34" s="2208"/>
      <c r="AE34" s="2208"/>
      <c r="AF34" s="1633"/>
      <c r="AG34" s="1630">
        <v>0</v>
      </c>
      <c r="AH34" s="2208"/>
      <c r="AI34" s="2208"/>
      <c r="AJ34" s="2208"/>
      <c r="AK34" s="2209">
        <f t="shared" ref="AK34:AK38" si="10">SUM(AC34:AJ34)</f>
        <v>0</v>
      </c>
      <c r="AL34" s="2210"/>
      <c r="AM34" s="2210"/>
      <c r="AN34" s="2212"/>
      <c r="AO34" s="110"/>
      <c r="AP34" s="110"/>
      <c r="AQ34" s="110"/>
      <c r="AR34" s="306" t="s">
        <v>940</v>
      </c>
      <c r="AS34" s="302"/>
      <c r="AT34" s="302"/>
      <c r="AU34" s="2224" t="s">
        <v>1097</v>
      </c>
      <c r="AV34" s="2224"/>
      <c r="AW34" s="2224"/>
      <c r="AX34" s="2224"/>
      <c r="AY34" s="2224"/>
      <c r="AZ34" s="2224"/>
      <c r="BA34" s="2224"/>
      <c r="BB34" s="2224"/>
      <c r="BC34" s="2224"/>
      <c r="BD34" s="2224"/>
      <c r="BE34" s="2224"/>
      <c r="BF34" s="2224"/>
      <c r="BG34" s="2224"/>
      <c r="BH34" s="2224"/>
      <c r="BI34" s="142"/>
      <c r="BJ34" s="142"/>
    </row>
    <row r="35" spans="1:81" s="140" customFormat="1" ht="30" customHeight="1" x14ac:dyDescent="0.35">
      <c r="A35" s="110"/>
      <c r="B35" s="2281" t="s">
        <v>219</v>
      </c>
      <c r="C35" s="2282"/>
      <c r="D35" s="2282"/>
      <c r="E35" s="2282"/>
      <c r="F35" s="2282"/>
      <c r="G35" s="2282"/>
      <c r="H35" s="2282"/>
      <c r="I35" s="2282"/>
      <c r="J35" s="2282"/>
      <c r="K35" s="2282"/>
      <c r="L35" s="2282"/>
      <c r="M35" s="2282"/>
      <c r="N35" s="2282"/>
      <c r="O35" s="2282"/>
      <c r="P35" s="2283"/>
      <c r="Q35" s="1632">
        <v>0</v>
      </c>
      <c r="R35" s="2208"/>
      <c r="S35" s="2208"/>
      <c r="T35" s="1633"/>
      <c r="U35" s="1630">
        <v>0</v>
      </c>
      <c r="V35" s="2208"/>
      <c r="W35" s="2208"/>
      <c r="X35" s="2208"/>
      <c r="Y35" s="2209">
        <f t="shared" si="9"/>
        <v>0</v>
      </c>
      <c r="Z35" s="2210"/>
      <c r="AA35" s="2210"/>
      <c r="AB35" s="2211"/>
      <c r="AC35" s="2208">
        <v>0</v>
      </c>
      <c r="AD35" s="2208"/>
      <c r="AE35" s="2208"/>
      <c r="AF35" s="1633"/>
      <c r="AG35" s="1630">
        <v>0</v>
      </c>
      <c r="AH35" s="2208"/>
      <c r="AI35" s="2208"/>
      <c r="AJ35" s="2208"/>
      <c r="AK35" s="2209">
        <f t="shared" si="10"/>
        <v>0</v>
      </c>
      <c r="AL35" s="2210"/>
      <c r="AM35" s="2210"/>
      <c r="AN35" s="2212"/>
      <c r="AO35" s="110"/>
      <c r="AP35" s="110"/>
      <c r="AQ35" s="110"/>
      <c r="AS35" s="300"/>
      <c r="AT35" s="302"/>
      <c r="AU35" s="2224"/>
      <c r="AV35" s="2224"/>
      <c r="AW35" s="2224"/>
      <c r="AX35" s="2224"/>
      <c r="AY35" s="2224"/>
      <c r="AZ35" s="2224"/>
      <c r="BA35" s="2224"/>
      <c r="BB35" s="2224"/>
      <c r="BC35" s="2224"/>
      <c r="BD35" s="2224"/>
      <c r="BE35" s="2224"/>
      <c r="BF35" s="2224"/>
      <c r="BG35" s="2224"/>
      <c r="BH35" s="2224"/>
      <c r="BI35" s="142"/>
      <c r="BJ35" s="142"/>
    </row>
    <row r="36" spans="1:81" s="140" customFormat="1" ht="30" customHeight="1" x14ac:dyDescent="0.35">
      <c r="A36" s="110"/>
      <c r="B36" s="2281" t="s">
        <v>1159</v>
      </c>
      <c r="C36" s="2282"/>
      <c r="D36" s="2282"/>
      <c r="E36" s="2282"/>
      <c r="F36" s="2282"/>
      <c r="G36" s="2282"/>
      <c r="H36" s="2282"/>
      <c r="I36" s="2282"/>
      <c r="J36" s="2282"/>
      <c r="K36" s="2282"/>
      <c r="L36" s="2282"/>
      <c r="M36" s="2282"/>
      <c r="N36" s="2282"/>
      <c r="O36" s="2282"/>
      <c r="P36" s="2283"/>
      <c r="Q36" s="1632">
        <v>0</v>
      </c>
      <c r="R36" s="2208"/>
      <c r="S36" s="2208"/>
      <c r="T36" s="1633"/>
      <c r="U36" s="1630">
        <v>0</v>
      </c>
      <c r="V36" s="2208"/>
      <c r="W36" s="2208"/>
      <c r="X36" s="2208"/>
      <c r="Y36" s="2209">
        <f t="shared" si="9"/>
        <v>0</v>
      </c>
      <c r="Z36" s="2210"/>
      <c r="AA36" s="2210"/>
      <c r="AB36" s="2211"/>
      <c r="AC36" s="2208">
        <v>0</v>
      </c>
      <c r="AD36" s="2208"/>
      <c r="AE36" s="2208"/>
      <c r="AF36" s="1633"/>
      <c r="AG36" s="1630">
        <v>0</v>
      </c>
      <c r="AH36" s="2208"/>
      <c r="AI36" s="2208"/>
      <c r="AJ36" s="2208"/>
      <c r="AK36" s="2209">
        <f t="shared" si="10"/>
        <v>0</v>
      </c>
      <c r="AL36" s="2210"/>
      <c r="AM36" s="2210"/>
      <c r="AN36" s="2212"/>
      <c r="AO36" s="110"/>
      <c r="AP36" s="110"/>
      <c r="AQ36" s="110"/>
      <c r="AS36" s="300"/>
      <c r="AT36" s="302"/>
      <c r="AU36" s="307"/>
      <c r="AV36" s="307"/>
      <c r="AW36" s="307"/>
      <c r="AX36" s="307"/>
      <c r="AY36" s="307"/>
      <c r="AZ36" s="307"/>
      <c r="BA36" s="307"/>
      <c r="BB36" s="307"/>
      <c r="BC36" s="307"/>
      <c r="BD36" s="307"/>
      <c r="BE36" s="307"/>
      <c r="BF36" s="307"/>
      <c r="BG36" s="307"/>
      <c r="BH36" s="307"/>
      <c r="BI36" s="142"/>
      <c r="BJ36" s="142"/>
    </row>
    <row r="37" spans="1:81" ht="30" customHeight="1" x14ac:dyDescent="0.35">
      <c r="B37" s="2281" t="s">
        <v>221</v>
      </c>
      <c r="C37" s="2282"/>
      <c r="D37" s="2282"/>
      <c r="E37" s="2282"/>
      <c r="F37" s="2282"/>
      <c r="G37" s="2282"/>
      <c r="H37" s="2282"/>
      <c r="I37" s="2282"/>
      <c r="J37" s="2282"/>
      <c r="K37" s="2282"/>
      <c r="L37" s="2282"/>
      <c r="M37" s="2282"/>
      <c r="N37" s="2282"/>
      <c r="O37" s="2282"/>
      <c r="P37" s="2283"/>
      <c r="Q37" s="1632">
        <v>0</v>
      </c>
      <c r="R37" s="2208"/>
      <c r="S37" s="2208"/>
      <c r="T37" s="1633"/>
      <c r="U37" s="1630">
        <v>0</v>
      </c>
      <c r="V37" s="2208"/>
      <c r="W37" s="2208"/>
      <c r="X37" s="2208"/>
      <c r="Y37" s="2209">
        <f t="shared" si="9"/>
        <v>0</v>
      </c>
      <c r="Z37" s="2210"/>
      <c r="AA37" s="2210"/>
      <c r="AB37" s="2211"/>
      <c r="AC37" s="2208">
        <v>0</v>
      </c>
      <c r="AD37" s="2208"/>
      <c r="AE37" s="2208"/>
      <c r="AF37" s="1633"/>
      <c r="AG37" s="1630">
        <v>0</v>
      </c>
      <c r="AH37" s="2208"/>
      <c r="AI37" s="2208"/>
      <c r="AJ37" s="2208"/>
      <c r="AK37" s="2209">
        <f t="shared" si="10"/>
        <v>0</v>
      </c>
      <c r="AL37" s="2210"/>
      <c r="AM37" s="2210"/>
      <c r="AN37" s="2212"/>
      <c r="AR37" s="301"/>
      <c r="AS37" s="302"/>
      <c r="AT37" s="302"/>
      <c r="AU37" s="302"/>
      <c r="AV37" s="302"/>
      <c r="AW37" s="302"/>
      <c r="AX37" s="302"/>
      <c r="AY37" s="302"/>
      <c r="AZ37" s="302"/>
      <c r="BA37" s="302"/>
      <c r="BB37" s="302"/>
      <c r="BC37" s="302"/>
      <c r="BD37" s="302"/>
      <c r="BE37" s="302"/>
      <c r="BF37" s="302"/>
      <c r="BG37" s="302"/>
      <c r="BH37" s="302"/>
      <c r="BI37" s="142"/>
      <c r="BJ37" s="301"/>
      <c r="BK37" s="301"/>
      <c r="BL37" s="301"/>
      <c r="BM37" s="301"/>
      <c r="BN37" s="301"/>
      <c r="BO37" s="301"/>
      <c r="BP37" s="301"/>
      <c r="BQ37" s="301"/>
    </row>
    <row r="38" spans="1:81" ht="30" customHeight="1" thickBot="1" x14ac:dyDescent="0.4">
      <c r="B38" s="2284" t="s">
        <v>222</v>
      </c>
      <c r="C38" s="2285"/>
      <c r="D38" s="2285"/>
      <c r="E38" s="2285"/>
      <c r="F38" s="2285"/>
      <c r="G38" s="2285"/>
      <c r="H38" s="2285"/>
      <c r="I38" s="2285"/>
      <c r="J38" s="2285"/>
      <c r="K38" s="2285"/>
      <c r="L38" s="2285"/>
      <c r="M38" s="2285"/>
      <c r="N38" s="2285"/>
      <c r="O38" s="2285"/>
      <c r="P38" s="2286"/>
      <c r="Q38" s="1647">
        <v>0</v>
      </c>
      <c r="R38" s="2203"/>
      <c r="S38" s="2203"/>
      <c r="T38" s="1642"/>
      <c r="U38" s="1645">
        <v>0</v>
      </c>
      <c r="V38" s="2203"/>
      <c r="W38" s="2203"/>
      <c r="X38" s="2203"/>
      <c r="Y38" s="2204">
        <f t="shared" si="9"/>
        <v>0</v>
      </c>
      <c r="Z38" s="2205"/>
      <c r="AA38" s="2205"/>
      <c r="AB38" s="2206"/>
      <c r="AC38" s="2203">
        <v>0</v>
      </c>
      <c r="AD38" s="2203"/>
      <c r="AE38" s="2203"/>
      <c r="AF38" s="1642"/>
      <c r="AG38" s="1645">
        <v>0</v>
      </c>
      <c r="AH38" s="2203"/>
      <c r="AI38" s="2203"/>
      <c r="AJ38" s="2203"/>
      <c r="AK38" s="2204">
        <f t="shared" si="10"/>
        <v>0</v>
      </c>
      <c r="AL38" s="2205"/>
      <c r="AM38" s="2205"/>
      <c r="AN38" s="2207"/>
      <c r="AR38" s="140"/>
      <c r="AS38" s="140"/>
      <c r="AT38" s="140"/>
      <c r="AU38" s="140"/>
      <c r="AV38" s="140"/>
      <c r="AW38" s="140"/>
      <c r="AX38" s="140"/>
      <c r="AY38" s="140"/>
      <c r="AZ38" s="140"/>
      <c r="BA38" s="140"/>
      <c r="BB38" s="140"/>
      <c r="BC38" s="140"/>
      <c r="BD38" s="140"/>
      <c r="BE38" s="140"/>
      <c r="BF38" s="140"/>
      <c r="BG38" s="140"/>
      <c r="BH38" s="140"/>
      <c r="BI38" s="301"/>
      <c r="CA38" s="304"/>
      <c r="CB38" s="304"/>
    </row>
    <row r="39" spans="1:81" ht="21.75" customHeight="1" thickTop="1" x14ac:dyDescent="0.35">
      <c r="T39" s="140"/>
      <c r="U39" s="300"/>
      <c r="AN39" s="301"/>
      <c r="AO39" s="301"/>
      <c r="AP39" s="301"/>
      <c r="AQ39" s="302"/>
      <c r="BH39" s="301"/>
      <c r="BI39" s="303"/>
      <c r="CC39" s="304"/>
    </row>
    <row r="40" spans="1:81" s="51" customFormat="1" x14ac:dyDescent="0.35">
      <c r="A40" s="110"/>
      <c r="B40" s="305" t="s">
        <v>913</v>
      </c>
      <c r="C40" s="110"/>
      <c r="D40" s="110"/>
      <c r="E40" s="110"/>
      <c r="F40" s="110"/>
      <c r="G40" s="110"/>
      <c r="H40" s="110"/>
      <c r="I40" s="110"/>
      <c r="J40" s="110"/>
      <c r="K40" s="110"/>
      <c r="L40" s="110"/>
      <c r="M40" s="110"/>
      <c r="N40" s="110"/>
      <c r="O40" s="110"/>
      <c r="P40" s="110"/>
      <c r="Q40" s="110"/>
      <c r="R40" s="110"/>
      <c r="S40" s="110"/>
      <c r="T40" s="110"/>
      <c r="U40" s="110"/>
      <c r="V40" s="110"/>
      <c r="W40" s="305" t="s">
        <v>905</v>
      </c>
      <c r="X40" s="110"/>
      <c r="Y40" s="110"/>
      <c r="Z40" s="110"/>
      <c r="AA40" s="110"/>
      <c r="AB40" s="110"/>
      <c r="AC40" s="110"/>
      <c r="AD40" s="110"/>
      <c r="AE40" s="110"/>
      <c r="AF40" s="110"/>
      <c r="AG40" s="110"/>
      <c r="AH40" s="110"/>
      <c r="AI40" s="110"/>
      <c r="AJ40" s="110"/>
      <c r="AK40" s="110"/>
      <c r="AL40" s="110"/>
      <c r="AM40" s="110"/>
      <c r="AN40" s="110"/>
      <c r="AO40" s="110"/>
      <c r="AP40" s="110"/>
      <c r="AQ40" s="110"/>
      <c r="AR40" s="305" t="s">
        <v>922</v>
      </c>
      <c r="AS40" s="110"/>
      <c r="AT40" s="110"/>
      <c r="AU40" s="110"/>
      <c r="AV40" s="110"/>
      <c r="AW40" s="110"/>
      <c r="AX40" s="110"/>
      <c r="AY40" s="110"/>
      <c r="AZ40" s="110"/>
      <c r="BA40" s="110"/>
      <c r="BB40" s="110"/>
      <c r="BC40" s="110"/>
      <c r="BD40" s="110"/>
      <c r="BE40" s="110"/>
      <c r="BF40" s="303"/>
      <c r="BG40" s="303"/>
      <c r="BH40" s="305"/>
      <c r="BI40" s="110"/>
      <c r="BJ40" s="73"/>
      <c r="BK40" s="73"/>
      <c r="BL40" s="73"/>
      <c r="BM40" s="73"/>
      <c r="BN40" s="73"/>
      <c r="BO40" s="73"/>
      <c r="BP40" s="73"/>
      <c r="BQ40" s="73"/>
      <c r="BR40" s="73"/>
      <c r="BS40" s="73"/>
      <c r="BT40" s="73"/>
      <c r="BU40" s="73"/>
      <c r="BV40" s="73"/>
      <c r="BW40" s="73"/>
      <c r="BX40" s="73"/>
      <c r="BY40" s="73"/>
      <c r="BZ40" s="73"/>
      <c r="CA40" s="73"/>
      <c r="CB40" s="73"/>
      <c r="CC40" s="73"/>
    </row>
    <row r="41" spans="1:81" ht="21.75" customHeight="1" x14ac:dyDescent="0.35">
      <c r="B41" s="305" t="s">
        <v>780</v>
      </c>
      <c r="F41" s="2275" t="str">
        <f>SchInfo!F38</f>
        <v>MELCHESIEDICK Q. BOLANIO/ March 17, 2023</v>
      </c>
      <c r="G41" s="2275"/>
      <c r="H41" s="2275"/>
      <c r="I41" s="2275"/>
      <c r="J41" s="2275"/>
      <c r="K41" s="2275"/>
      <c r="L41" s="2275"/>
      <c r="M41" s="2275"/>
      <c r="N41" s="2275"/>
      <c r="O41" s="2275"/>
      <c r="P41" s="2275"/>
      <c r="Q41" s="2275"/>
      <c r="R41" s="2275"/>
      <c r="W41" s="2276" t="str">
        <f>'Tables7-8'!AI24</f>
        <v>ELMA CEZARIE Y. ROMERO  /  May 17, 2023</v>
      </c>
      <c r="X41" s="2276"/>
      <c r="Y41" s="2276"/>
      <c r="Z41" s="2276"/>
      <c r="AA41" s="2276"/>
      <c r="AB41" s="2276"/>
      <c r="AC41" s="2276"/>
      <c r="AD41" s="2276"/>
      <c r="AE41" s="2276"/>
      <c r="AF41" s="2276"/>
      <c r="AG41" s="2276"/>
      <c r="AH41" s="2276"/>
      <c r="AI41" s="2276"/>
      <c r="AJ41" s="2276"/>
      <c r="AK41" s="2276"/>
      <c r="AL41" s="2276"/>
      <c r="AM41" s="2276"/>
      <c r="AR41" s="2276" t="str">
        <f>SchInfo!R38</f>
        <v>MICHAEL T. JAMIS   /  March 17, 2023</v>
      </c>
      <c r="AS41" s="2276"/>
      <c r="AT41" s="2276"/>
      <c r="AU41" s="2276"/>
      <c r="AV41" s="2276"/>
      <c r="AW41" s="2276"/>
      <c r="AX41" s="2276"/>
      <c r="AY41" s="2276"/>
      <c r="AZ41" s="2276"/>
      <c r="BA41" s="2276"/>
      <c r="BB41" s="2276"/>
      <c r="BC41" s="2276"/>
      <c r="BD41" s="2276"/>
      <c r="BE41" s="2276"/>
      <c r="BF41" s="2276"/>
      <c r="BG41" s="2276"/>
      <c r="BH41" s="2276"/>
      <c r="BI41" s="73"/>
    </row>
    <row r="42" spans="1:81" x14ac:dyDescent="0.35">
      <c r="A42" s="51"/>
      <c r="B42" s="74"/>
      <c r="C42" s="51"/>
      <c r="D42" s="51"/>
      <c r="E42" s="51"/>
      <c r="F42" s="1452" t="s">
        <v>779</v>
      </c>
      <c r="G42" s="1452"/>
      <c r="H42" s="1452"/>
      <c r="I42" s="1452"/>
      <c r="J42" s="1452"/>
      <c r="K42" s="1452"/>
      <c r="L42" s="1452"/>
      <c r="M42" s="1452"/>
      <c r="N42" s="1452"/>
      <c r="O42" s="1452"/>
      <c r="P42" s="1452"/>
      <c r="Q42" s="1452"/>
      <c r="R42" s="1452"/>
      <c r="S42" s="76"/>
      <c r="T42" s="76"/>
      <c r="U42" s="76"/>
      <c r="V42" s="76"/>
      <c r="W42" s="2277"/>
      <c r="X42" s="2277"/>
      <c r="Y42" s="2277"/>
      <c r="Z42" s="2277"/>
      <c r="AA42" s="2277"/>
      <c r="AB42" s="2277"/>
      <c r="AC42" s="2277"/>
      <c r="AD42" s="2277"/>
      <c r="AE42" s="2277"/>
      <c r="AF42" s="2277"/>
      <c r="AG42" s="2277"/>
      <c r="AH42" s="2277"/>
      <c r="AI42" s="2277"/>
      <c r="AJ42" s="2277"/>
      <c r="AK42" s="2277"/>
      <c r="AL42" s="2277"/>
      <c r="AM42" s="2277"/>
      <c r="AR42" s="2277"/>
      <c r="AS42" s="2277"/>
      <c r="AT42" s="2277"/>
      <c r="AU42" s="2277"/>
      <c r="AV42" s="2277"/>
      <c r="AW42" s="2277"/>
      <c r="AX42" s="2277"/>
      <c r="AY42" s="2277"/>
      <c r="AZ42" s="2277"/>
      <c r="BA42" s="2277"/>
      <c r="BB42" s="2277"/>
      <c r="BC42" s="2277"/>
      <c r="BD42" s="2277"/>
      <c r="BE42" s="2277"/>
      <c r="BF42" s="2277"/>
      <c r="BG42" s="2277"/>
      <c r="BH42" s="2277"/>
    </row>
    <row r="43" spans="1:81" x14ac:dyDescent="0.35">
      <c r="B43" s="305" t="s">
        <v>782</v>
      </c>
      <c r="F43" s="2275" t="str">
        <f>SchInfo!F40</f>
        <v>Principal IV</v>
      </c>
      <c r="G43" s="2275"/>
      <c r="H43" s="2275"/>
      <c r="I43" s="2275"/>
      <c r="J43" s="2275"/>
      <c r="K43" s="2275"/>
      <c r="L43" s="2275"/>
      <c r="M43" s="2275"/>
      <c r="N43" s="2275"/>
      <c r="O43" s="2275"/>
      <c r="P43" s="2275"/>
      <c r="Q43" s="2275"/>
      <c r="R43" s="2275"/>
      <c r="W43" s="1452" t="s">
        <v>779</v>
      </c>
      <c r="X43" s="1452"/>
      <c r="Y43" s="1452"/>
      <c r="Z43" s="1452"/>
      <c r="AA43" s="1452"/>
      <c r="AB43" s="1452"/>
      <c r="AC43" s="1452"/>
      <c r="AD43" s="1452"/>
      <c r="AE43" s="1452"/>
      <c r="AF43" s="1452"/>
      <c r="AG43" s="1452"/>
      <c r="AH43" s="1452"/>
      <c r="AI43" s="1452"/>
      <c r="AJ43" s="1452"/>
      <c r="AK43" s="1452"/>
      <c r="AL43" s="1452"/>
      <c r="AM43" s="1452"/>
      <c r="AN43" s="79"/>
      <c r="AO43" s="79"/>
      <c r="AP43" s="79"/>
      <c r="AQ43" s="79"/>
      <c r="AR43" s="1452" t="s">
        <v>779</v>
      </c>
      <c r="AS43" s="1452"/>
      <c r="AT43" s="1452"/>
      <c r="AU43" s="1452"/>
      <c r="AV43" s="1452"/>
      <c r="AW43" s="1452"/>
      <c r="AX43" s="1452"/>
      <c r="AY43" s="1452"/>
      <c r="AZ43" s="1452"/>
      <c r="BA43" s="1452"/>
      <c r="BB43" s="1452"/>
      <c r="BC43" s="1452"/>
      <c r="BD43" s="1452"/>
      <c r="BE43" s="1452"/>
      <c r="BF43" s="1452"/>
      <c r="BG43" s="1452"/>
      <c r="BH43" s="1452"/>
    </row>
  </sheetData>
  <sheetProtection algorithmName="SHA-512" hashValue="M68xCvhZ8Dh0Yga+cR85u2Q6i8XXfr8LiPVgzfUpKtXXvz0ll03pN9AGrArJlp/h4eXT91bDnYBElZC85cfM3Q==" saltValue="vy9m+9yvIdHwk04O0IXrBg==" spinCount="100000" sheet="1" objects="1" scenarios="1"/>
  <mergeCells count="182">
    <mergeCell ref="F41:R41"/>
    <mergeCell ref="F42:R42"/>
    <mergeCell ref="F43:R43"/>
    <mergeCell ref="W41:AM42"/>
    <mergeCell ref="W43:AM43"/>
    <mergeCell ref="AR41:BH42"/>
    <mergeCell ref="AR43:BH43"/>
    <mergeCell ref="AS27:BH29"/>
    <mergeCell ref="B33:P33"/>
    <mergeCell ref="B34:P34"/>
    <mergeCell ref="B35:P35"/>
    <mergeCell ref="B36:P36"/>
    <mergeCell ref="B37:P37"/>
    <mergeCell ref="B38:P38"/>
    <mergeCell ref="B31:P32"/>
    <mergeCell ref="AK33:AN33"/>
    <mergeCell ref="Q34:T34"/>
    <mergeCell ref="Q38:T38"/>
    <mergeCell ref="B5:I6"/>
    <mergeCell ref="J5:R5"/>
    <mergeCell ref="AR5:AY6"/>
    <mergeCell ref="AZ5:BH5"/>
    <mergeCell ref="J6:L6"/>
    <mergeCell ref="M6:O6"/>
    <mergeCell ref="P6:R6"/>
    <mergeCell ref="W6:AD7"/>
    <mergeCell ref="AE6:AM6"/>
    <mergeCell ref="AZ6:BB6"/>
    <mergeCell ref="BC6:BE6"/>
    <mergeCell ref="BF6:BH6"/>
    <mergeCell ref="J7:L7"/>
    <mergeCell ref="M7:O7"/>
    <mergeCell ref="P7:R7"/>
    <mergeCell ref="AE7:AG7"/>
    <mergeCell ref="AH7:AJ7"/>
    <mergeCell ref="AK7:AM7"/>
    <mergeCell ref="AZ7:BB7"/>
    <mergeCell ref="BC7:BE7"/>
    <mergeCell ref="BF7:BH7"/>
    <mergeCell ref="J8:L8"/>
    <mergeCell ref="M8:O8"/>
    <mergeCell ref="P8:R8"/>
    <mergeCell ref="AE8:AG8"/>
    <mergeCell ref="AH8:AJ8"/>
    <mergeCell ref="AK8:AM8"/>
    <mergeCell ref="AZ8:BB8"/>
    <mergeCell ref="BC8:BE8"/>
    <mergeCell ref="BF8:BH8"/>
    <mergeCell ref="AZ9:BB9"/>
    <mergeCell ref="BC9:BE9"/>
    <mergeCell ref="BF9:BH9"/>
    <mergeCell ref="J10:L10"/>
    <mergeCell ref="M10:O10"/>
    <mergeCell ref="P10:R10"/>
    <mergeCell ref="AE10:AG10"/>
    <mergeCell ref="AH10:AJ10"/>
    <mergeCell ref="AK10:AM10"/>
    <mergeCell ref="AZ10:BB10"/>
    <mergeCell ref="J9:L9"/>
    <mergeCell ref="M9:O9"/>
    <mergeCell ref="P9:R9"/>
    <mergeCell ref="AE9:AG9"/>
    <mergeCell ref="AH9:AJ9"/>
    <mergeCell ref="AK9:AM9"/>
    <mergeCell ref="BC10:BE10"/>
    <mergeCell ref="BF10:BH10"/>
    <mergeCell ref="J11:L11"/>
    <mergeCell ref="M11:O11"/>
    <mergeCell ref="P11:R11"/>
    <mergeCell ref="AE11:AG11"/>
    <mergeCell ref="AH11:AJ11"/>
    <mergeCell ref="AK11:AM11"/>
    <mergeCell ref="AZ11:BB11"/>
    <mergeCell ref="BC11:BE11"/>
    <mergeCell ref="BF11:BH11"/>
    <mergeCell ref="J12:L12"/>
    <mergeCell ref="M12:O12"/>
    <mergeCell ref="P12:R12"/>
    <mergeCell ref="AE12:AG12"/>
    <mergeCell ref="AH12:AJ12"/>
    <mergeCell ref="AK12:AM12"/>
    <mergeCell ref="AZ12:BB12"/>
    <mergeCell ref="BC12:BE12"/>
    <mergeCell ref="BF12:BH12"/>
    <mergeCell ref="AK13:AM13"/>
    <mergeCell ref="AZ13:BB13"/>
    <mergeCell ref="BC13:BE13"/>
    <mergeCell ref="BF13:BH13"/>
    <mergeCell ref="J14:L14"/>
    <mergeCell ref="M14:O14"/>
    <mergeCell ref="P14:R14"/>
    <mergeCell ref="X14:AM16"/>
    <mergeCell ref="AR14:AY14"/>
    <mergeCell ref="AZ14:BB14"/>
    <mergeCell ref="J13:L13"/>
    <mergeCell ref="M13:O13"/>
    <mergeCell ref="P13:R13"/>
    <mergeCell ref="W13:AD13"/>
    <mergeCell ref="AE13:AG13"/>
    <mergeCell ref="AH13:AJ13"/>
    <mergeCell ref="BC14:BE14"/>
    <mergeCell ref="BF14:BH14"/>
    <mergeCell ref="J15:L15"/>
    <mergeCell ref="M15:O15"/>
    <mergeCell ref="P15:R15"/>
    <mergeCell ref="AS15:BH16"/>
    <mergeCell ref="J16:L16"/>
    <mergeCell ref="M16:O16"/>
    <mergeCell ref="AS22:BH23"/>
    <mergeCell ref="B23:I23"/>
    <mergeCell ref="J23:L23"/>
    <mergeCell ref="M23:O23"/>
    <mergeCell ref="P23:R23"/>
    <mergeCell ref="P16:R16"/>
    <mergeCell ref="J17:L17"/>
    <mergeCell ref="M17:O17"/>
    <mergeCell ref="P17:R17"/>
    <mergeCell ref="X17:AM19"/>
    <mergeCell ref="AS17:BH19"/>
    <mergeCell ref="J18:L18"/>
    <mergeCell ref="M18:O18"/>
    <mergeCell ref="P18:R18"/>
    <mergeCell ref="J19:L19"/>
    <mergeCell ref="M19:O19"/>
    <mergeCell ref="P19:R19"/>
    <mergeCell ref="AS20:BH21"/>
    <mergeCell ref="J21:L21"/>
    <mergeCell ref="M21:O21"/>
    <mergeCell ref="P21:R21"/>
    <mergeCell ref="J20:L20"/>
    <mergeCell ref="M20:O20"/>
    <mergeCell ref="P20:R20"/>
    <mergeCell ref="AS24:BH26"/>
    <mergeCell ref="Y36:AB36"/>
    <mergeCell ref="AC36:AF36"/>
    <mergeCell ref="AG33:AJ33"/>
    <mergeCell ref="AK35:AN35"/>
    <mergeCell ref="AK34:AN34"/>
    <mergeCell ref="Q35:T35"/>
    <mergeCell ref="Q36:T36"/>
    <mergeCell ref="U36:X36"/>
    <mergeCell ref="Z24:AM25"/>
    <mergeCell ref="AU34:BH35"/>
    <mergeCell ref="AC35:AF35"/>
    <mergeCell ref="AG35:AJ35"/>
    <mergeCell ref="AS30:BH32"/>
    <mergeCell ref="Q31:AB31"/>
    <mergeCell ref="Q32:T32"/>
    <mergeCell ref="U32:X32"/>
    <mergeCell ref="Y32:AB32"/>
    <mergeCell ref="AC31:AN31"/>
    <mergeCell ref="AC32:AF32"/>
    <mergeCell ref="AG32:AJ32"/>
    <mergeCell ref="AK32:AN32"/>
    <mergeCell ref="X20:AM21"/>
    <mergeCell ref="P22:R22"/>
    <mergeCell ref="X22:AM23"/>
    <mergeCell ref="AG36:AJ36"/>
    <mergeCell ref="AK36:AN36"/>
    <mergeCell ref="U34:X34"/>
    <mergeCell ref="Y34:AB34"/>
    <mergeCell ref="AC34:AF34"/>
    <mergeCell ref="AG34:AJ34"/>
    <mergeCell ref="Q33:T33"/>
    <mergeCell ref="U33:X33"/>
    <mergeCell ref="U35:X35"/>
    <mergeCell ref="Y35:AB35"/>
    <mergeCell ref="Y33:AB33"/>
    <mergeCell ref="AC33:AF33"/>
    <mergeCell ref="J22:L22"/>
    <mergeCell ref="M22:O22"/>
    <mergeCell ref="U38:X38"/>
    <mergeCell ref="Y38:AB38"/>
    <mergeCell ref="AC38:AF38"/>
    <mergeCell ref="AG38:AJ38"/>
    <mergeCell ref="AK38:AN38"/>
    <mergeCell ref="Q37:T37"/>
    <mergeCell ref="U37:X37"/>
    <mergeCell ref="Y37:AB37"/>
    <mergeCell ref="AC37:AF37"/>
    <mergeCell ref="AG37:AJ37"/>
    <mergeCell ref="AK37:AN37"/>
  </mergeCells>
  <dataValidations count="1">
    <dataValidation type="whole" allowBlank="1" showErrorMessage="1" errorTitle="GJHSP SY 2022-2023" error="Please enter valid number between 0-999." sqref="J7:O22 AE8:AJ12 AZ7:BE13 Q33:X38 AC33:AJ38" xr:uid="{23AAF496-1E37-4981-8AD0-0A270F89668A}">
      <formula1>0</formula1>
      <formula2>999</formula2>
    </dataValidation>
  </dataValidations>
  <printOptions horizontalCentered="1" verticalCentered="1"/>
  <pageMargins left="0.25" right="0.25" top="0.2" bottom="0.2" header="0" footer="0.1"/>
  <pageSetup paperSize="9" scale="37" orientation="landscape" r:id="rId1"/>
  <headerFooter alignWithMargins="0">
    <oddFooter>&amp;L&amp;10&amp;F &amp;A&amp;R&amp;10Page 12 of 63</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dimension ref="B1:BR34"/>
  <sheetViews>
    <sheetView showGridLines="0" zoomScaleNormal="100" workbookViewId="0">
      <selection activeCell="O9" sqref="O9:Q9"/>
    </sheetView>
  </sheetViews>
  <sheetFormatPr defaultColWidth="9" defaultRowHeight="15.5" x14ac:dyDescent="0.35"/>
  <cols>
    <col min="1" max="1" width="2.08203125" style="44" customWidth="1"/>
    <col min="2" max="52" width="3.58203125" style="44" customWidth="1"/>
    <col min="53" max="53" width="2.08203125" style="44" customWidth="1"/>
    <col min="54" max="62" width="3.58203125" style="44" customWidth="1"/>
    <col min="63" max="16384" width="9" style="44"/>
  </cols>
  <sheetData>
    <row r="1" spans="2:52" ht="12" customHeight="1" x14ac:dyDescent="0.35"/>
    <row r="2" spans="2:52" ht="15.75" customHeight="1" x14ac:dyDescent="0.35">
      <c r="B2" s="49" t="s">
        <v>1117</v>
      </c>
      <c r="C2" s="49"/>
      <c r="D2" s="49"/>
      <c r="E2" s="49"/>
      <c r="F2" s="49"/>
      <c r="G2" s="49"/>
      <c r="H2" s="49"/>
      <c r="I2" s="49"/>
      <c r="J2" s="49"/>
      <c r="K2" s="49"/>
      <c r="L2" s="49"/>
      <c r="M2" s="49"/>
      <c r="N2" s="49"/>
      <c r="O2" s="49"/>
      <c r="P2" s="49"/>
      <c r="Q2" s="49"/>
      <c r="R2" s="49"/>
      <c r="S2" s="49"/>
      <c r="T2" s="49"/>
      <c r="U2" s="49"/>
      <c r="V2" s="49"/>
      <c r="W2" s="49"/>
      <c r="X2" s="49"/>
      <c r="Y2" s="49"/>
      <c r="Z2" s="49"/>
      <c r="AA2" s="49"/>
      <c r="AB2" s="49"/>
    </row>
    <row r="3" spans="2:52" ht="15.75" customHeight="1" thickBot="1" x14ac:dyDescent="0.4">
      <c r="B3" s="49" t="s">
        <v>12689</v>
      </c>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row>
    <row r="4" spans="2:52" ht="15.75" customHeight="1" thickTop="1" thickBot="1" x14ac:dyDescent="0.4">
      <c r="B4" s="2302" t="s">
        <v>564</v>
      </c>
      <c r="C4" s="2303"/>
      <c r="D4" s="2303"/>
      <c r="E4" s="2303"/>
      <c r="F4" s="2303"/>
      <c r="G4" s="2303"/>
      <c r="H4" s="2304"/>
      <c r="I4" s="1904" t="s">
        <v>301</v>
      </c>
      <c r="J4" s="1905"/>
      <c r="K4" s="1905"/>
      <c r="L4" s="1905"/>
      <c r="M4" s="1905"/>
      <c r="N4" s="1905"/>
      <c r="O4" s="1905"/>
      <c r="P4" s="1905"/>
      <c r="Q4" s="1905"/>
      <c r="R4" s="1905"/>
      <c r="S4" s="1905"/>
      <c r="T4" s="1905"/>
      <c r="U4" s="1905"/>
      <c r="V4" s="1905"/>
      <c r="W4" s="1905"/>
      <c r="X4" s="1905"/>
      <c r="Y4" s="1905"/>
      <c r="Z4" s="1906"/>
      <c r="AB4" s="85" t="s">
        <v>652</v>
      </c>
    </row>
    <row r="5" spans="2:52" ht="15.75" customHeight="1" thickBot="1" x14ac:dyDescent="0.4">
      <c r="B5" s="2305"/>
      <c r="C5" s="2306"/>
      <c r="D5" s="2306"/>
      <c r="E5" s="2306"/>
      <c r="F5" s="2306"/>
      <c r="G5" s="2306"/>
      <c r="H5" s="2307"/>
      <c r="I5" s="2226" t="s">
        <v>916</v>
      </c>
      <c r="J5" s="2227"/>
      <c r="K5" s="2227"/>
      <c r="L5" s="2227"/>
      <c r="M5" s="2227"/>
      <c r="N5" s="2227"/>
      <c r="O5" s="2227"/>
      <c r="P5" s="2227"/>
      <c r="Q5" s="2335"/>
      <c r="R5" s="2226" t="s">
        <v>917</v>
      </c>
      <c r="S5" s="2227"/>
      <c r="T5" s="2227"/>
      <c r="U5" s="2227"/>
      <c r="V5" s="2227"/>
      <c r="W5" s="2227"/>
      <c r="X5" s="2227"/>
      <c r="Y5" s="2227"/>
      <c r="Z5" s="2336"/>
      <c r="AB5" s="72"/>
      <c r="AC5" s="193" t="s">
        <v>150</v>
      </c>
      <c r="AD5" s="2309" t="s">
        <v>1156</v>
      </c>
      <c r="AE5" s="2309"/>
      <c r="AF5" s="2309"/>
      <c r="AG5" s="2309"/>
      <c r="AH5" s="2309"/>
      <c r="AI5" s="2309"/>
      <c r="AJ5" s="2309"/>
      <c r="AK5" s="2309"/>
      <c r="AL5" s="2309"/>
      <c r="AM5" s="2309"/>
      <c r="AN5" s="2309"/>
      <c r="AO5" s="2309"/>
      <c r="AP5" s="2309"/>
      <c r="AQ5" s="2309"/>
      <c r="AR5" s="2309"/>
      <c r="AS5" s="2309"/>
      <c r="AT5" s="2309"/>
      <c r="AU5" s="2309"/>
      <c r="AV5" s="2309"/>
      <c r="AW5" s="2309"/>
      <c r="AX5" s="2309"/>
      <c r="AY5" s="2309"/>
      <c r="AZ5" s="2309"/>
    </row>
    <row r="6" spans="2:52" ht="15.75" customHeight="1" thickBot="1" x14ac:dyDescent="0.4">
      <c r="B6" s="2308"/>
      <c r="C6" s="1603"/>
      <c r="D6" s="1603"/>
      <c r="E6" s="1603"/>
      <c r="F6" s="1603"/>
      <c r="G6" s="1603"/>
      <c r="H6" s="1610"/>
      <c r="I6" s="1611" t="s">
        <v>14</v>
      </c>
      <c r="J6" s="1603"/>
      <c r="K6" s="1604"/>
      <c r="L6" s="1605" t="s">
        <v>15</v>
      </c>
      <c r="M6" s="1603"/>
      <c r="N6" s="1621"/>
      <c r="O6" s="1603" t="s">
        <v>16</v>
      </c>
      <c r="P6" s="1603"/>
      <c r="Q6" s="1610"/>
      <c r="R6" s="1603" t="s">
        <v>14</v>
      </c>
      <c r="S6" s="1603"/>
      <c r="T6" s="1604"/>
      <c r="U6" s="1605" t="s">
        <v>15</v>
      </c>
      <c r="V6" s="1603"/>
      <c r="W6" s="1621"/>
      <c r="X6" s="1603" t="s">
        <v>16</v>
      </c>
      <c r="Y6" s="1603"/>
      <c r="Z6" s="1606"/>
      <c r="AD6" s="2310" t="s">
        <v>1157</v>
      </c>
      <c r="AE6" s="2310"/>
      <c r="AF6" s="2310"/>
      <c r="AG6" s="2310"/>
      <c r="AH6" s="2310"/>
      <c r="AI6" s="2310"/>
      <c r="AJ6" s="2310"/>
      <c r="AK6" s="2310"/>
      <c r="AL6" s="2310"/>
      <c r="AM6" s="2310"/>
      <c r="AN6" s="2310"/>
      <c r="AO6" s="2310"/>
      <c r="AP6" s="2310"/>
      <c r="AQ6" s="2310"/>
      <c r="AR6" s="2310"/>
      <c r="AS6" s="2310"/>
      <c r="AT6" s="2310"/>
      <c r="AU6" s="2310"/>
      <c r="AV6" s="2310"/>
      <c r="AW6" s="2310"/>
      <c r="AX6" s="2310"/>
      <c r="AY6" s="2310"/>
      <c r="AZ6" s="2310"/>
    </row>
    <row r="7" spans="2:52" ht="32" customHeight="1" thickTop="1" x14ac:dyDescent="0.35">
      <c r="B7" s="280"/>
      <c r="C7" s="72"/>
      <c r="D7" s="72" t="s">
        <v>87</v>
      </c>
      <c r="E7" s="72"/>
      <c r="F7" s="72"/>
      <c r="G7" s="72"/>
      <c r="H7" s="358"/>
      <c r="I7" s="2311">
        <v>6</v>
      </c>
      <c r="J7" s="2312"/>
      <c r="K7" s="2313"/>
      <c r="L7" s="2314">
        <v>14</v>
      </c>
      <c r="M7" s="2312"/>
      <c r="N7" s="2315"/>
      <c r="O7" s="2316">
        <f>SUM(I7:N7)</f>
        <v>20</v>
      </c>
      <c r="P7" s="2317"/>
      <c r="Q7" s="2318"/>
      <c r="R7" s="2319">
        <v>6</v>
      </c>
      <c r="S7" s="2319"/>
      <c r="T7" s="2320"/>
      <c r="U7" s="2321">
        <v>23</v>
      </c>
      <c r="V7" s="2319"/>
      <c r="W7" s="2322"/>
      <c r="X7" s="2323">
        <f>SUM(R7:W7)</f>
        <v>29</v>
      </c>
      <c r="Y7" s="2323"/>
      <c r="Z7" s="2324"/>
      <c r="AD7" s="2310"/>
      <c r="AE7" s="2310"/>
      <c r="AF7" s="2310"/>
      <c r="AG7" s="2310"/>
      <c r="AH7" s="2310"/>
      <c r="AI7" s="2310"/>
      <c r="AJ7" s="2310"/>
      <c r="AK7" s="2310"/>
      <c r="AL7" s="2310"/>
      <c r="AM7" s="2310"/>
      <c r="AN7" s="2310"/>
      <c r="AO7" s="2310"/>
      <c r="AP7" s="2310"/>
      <c r="AQ7" s="2310"/>
      <c r="AR7" s="2310"/>
      <c r="AS7" s="2310"/>
      <c r="AT7" s="2310"/>
      <c r="AU7" s="2310"/>
      <c r="AV7" s="2310"/>
      <c r="AW7" s="2310"/>
      <c r="AX7" s="2310"/>
      <c r="AY7" s="2310"/>
      <c r="AZ7" s="2310"/>
    </row>
    <row r="8" spans="2:52" ht="32" customHeight="1" x14ac:dyDescent="0.35">
      <c r="B8" s="348"/>
      <c r="C8" s="349"/>
      <c r="D8" s="349" t="s">
        <v>88</v>
      </c>
      <c r="E8" s="349"/>
      <c r="F8" s="349"/>
      <c r="G8" s="349"/>
      <c r="H8" s="350"/>
      <c r="I8" s="1464">
        <v>9</v>
      </c>
      <c r="J8" s="1462"/>
      <c r="K8" s="1465"/>
      <c r="L8" s="1461">
        <v>14</v>
      </c>
      <c r="M8" s="1462"/>
      <c r="N8" s="1463"/>
      <c r="O8" s="1459">
        <f t="shared" ref="O8:O10" si="0">SUM(I8:N8)</f>
        <v>23</v>
      </c>
      <c r="P8" s="1457"/>
      <c r="Q8" s="1458"/>
      <c r="R8" s="1462">
        <v>13</v>
      </c>
      <c r="S8" s="1462"/>
      <c r="T8" s="1465"/>
      <c r="U8" s="1461">
        <v>18</v>
      </c>
      <c r="V8" s="1462"/>
      <c r="W8" s="1463"/>
      <c r="X8" s="1457">
        <f t="shared" ref="X8:X10" si="1">SUM(R8:W8)</f>
        <v>31</v>
      </c>
      <c r="Y8" s="1457"/>
      <c r="Z8" s="1458"/>
      <c r="AD8" s="2310"/>
      <c r="AE8" s="2310"/>
      <c r="AF8" s="2310"/>
      <c r="AG8" s="2310"/>
      <c r="AH8" s="2310"/>
      <c r="AI8" s="2310"/>
      <c r="AJ8" s="2310"/>
      <c r="AK8" s="2310"/>
      <c r="AL8" s="2310"/>
      <c r="AM8" s="2310"/>
      <c r="AN8" s="2310"/>
      <c r="AO8" s="2310"/>
      <c r="AP8" s="2310"/>
      <c r="AQ8" s="2310"/>
      <c r="AR8" s="2310"/>
      <c r="AS8" s="2310"/>
      <c r="AT8" s="2310"/>
      <c r="AU8" s="2310"/>
      <c r="AV8" s="2310"/>
      <c r="AW8" s="2310"/>
      <c r="AX8" s="2310"/>
      <c r="AY8" s="2310"/>
      <c r="AZ8" s="2310"/>
    </row>
    <row r="9" spans="2:52" ht="32" customHeight="1" x14ac:dyDescent="0.35">
      <c r="B9" s="348"/>
      <c r="C9" s="349"/>
      <c r="D9" s="349" t="s">
        <v>89</v>
      </c>
      <c r="E9" s="349"/>
      <c r="F9" s="349"/>
      <c r="G9" s="349"/>
      <c r="H9" s="350"/>
      <c r="I9" s="1464">
        <v>2</v>
      </c>
      <c r="J9" s="1462"/>
      <c r="K9" s="1465"/>
      <c r="L9" s="1461">
        <v>13</v>
      </c>
      <c r="M9" s="1462"/>
      <c r="N9" s="1463"/>
      <c r="O9" s="1459">
        <f t="shared" si="0"/>
        <v>15</v>
      </c>
      <c r="P9" s="1457"/>
      <c r="Q9" s="1458"/>
      <c r="R9" s="1462">
        <v>7</v>
      </c>
      <c r="S9" s="1462"/>
      <c r="T9" s="1465"/>
      <c r="U9" s="1461">
        <v>23</v>
      </c>
      <c r="V9" s="1462"/>
      <c r="W9" s="1463"/>
      <c r="X9" s="1457">
        <f t="shared" si="1"/>
        <v>30</v>
      </c>
      <c r="Y9" s="1457"/>
      <c r="Z9" s="1458"/>
      <c r="AC9" s="193" t="s">
        <v>151</v>
      </c>
      <c r="AD9" s="2291" t="s">
        <v>12692</v>
      </c>
      <c r="AE9" s="2291"/>
      <c r="AF9" s="2291"/>
      <c r="AG9" s="2291"/>
      <c r="AH9" s="2291"/>
      <c r="AI9" s="2291"/>
      <c r="AJ9" s="2291"/>
      <c r="AK9" s="2291"/>
      <c r="AL9" s="2291"/>
      <c r="AM9" s="2291"/>
      <c r="AN9" s="2291"/>
      <c r="AO9" s="2291"/>
      <c r="AP9" s="2291"/>
      <c r="AQ9" s="2291"/>
      <c r="AR9" s="2291"/>
      <c r="AS9" s="2291"/>
      <c r="AT9" s="2291"/>
      <c r="AU9" s="2291"/>
      <c r="AV9" s="2291"/>
      <c r="AW9" s="2291"/>
      <c r="AX9" s="2291"/>
      <c r="AY9" s="2291"/>
      <c r="AZ9" s="2291"/>
    </row>
    <row r="10" spans="2:52" ht="32" customHeight="1" thickBot="1" x14ac:dyDescent="0.4">
      <c r="B10" s="280"/>
      <c r="C10" s="72"/>
      <c r="D10" s="72" t="s">
        <v>90</v>
      </c>
      <c r="E10" s="72"/>
      <c r="F10" s="72"/>
      <c r="G10" s="72"/>
      <c r="H10" s="358"/>
      <c r="I10" s="2311">
        <v>1</v>
      </c>
      <c r="J10" s="2312"/>
      <c r="K10" s="2313"/>
      <c r="L10" s="2314">
        <v>13</v>
      </c>
      <c r="M10" s="2312"/>
      <c r="N10" s="2315"/>
      <c r="O10" s="2328">
        <f t="shared" si="0"/>
        <v>14</v>
      </c>
      <c r="P10" s="2329"/>
      <c r="Q10" s="2330"/>
      <c r="R10" s="2331">
        <v>5</v>
      </c>
      <c r="S10" s="2331"/>
      <c r="T10" s="2332"/>
      <c r="U10" s="2333">
        <v>24</v>
      </c>
      <c r="V10" s="2331"/>
      <c r="W10" s="2334"/>
      <c r="X10" s="2329">
        <f t="shared" si="1"/>
        <v>29</v>
      </c>
      <c r="Y10" s="2329"/>
      <c r="Z10" s="2330"/>
      <c r="AB10" s="49"/>
      <c r="AD10" s="2291"/>
      <c r="AE10" s="2291"/>
      <c r="AF10" s="2291"/>
      <c r="AG10" s="2291"/>
      <c r="AH10" s="2291"/>
      <c r="AI10" s="2291"/>
      <c r="AJ10" s="2291"/>
      <c r="AK10" s="2291"/>
      <c r="AL10" s="2291"/>
      <c r="AM10" s="2291"/>
      <c r="AN10" s="2291"/>
      <c r="AO10" s="2291"/>
      <c r="AP10" s="2291"/>
      <c r="AQ10" s="2291"/>
      <c r="AR10" s="2291"/>
      <c r="AS10" s="2291"/>
      <c r="AT10" s="2291"/>
      <c r="AU10" s="2291"/>
      <c r="AV10" s="2291"/>
      <c r="AW10" s="2291"/>
      <c r="AX10" s="2291"/>
      <c r="AY10" s="2291"/>
      <c r="AZ10" s="2291"/>
    </row>
    <row r="11" spans="2:52" s="49" customFormat="1" ht="32" customHeight="1" thickTop="1" thickBot="1" x14ac:dyDescent="0.35">
      <c r="B11" s="354"/>
      <c r="C11" s="355"/>
      <c r="D11" s="355" t="s">
        <v>915</v>
      </c>
      <c r="E11" s="355"/>
      <c r="F11" s="355"/>
      <c r="G11" s="355"/>
      <c r="H11" s="356"/>
      <c r="I11" s="2325">
        <f>SUM(I7:K10)</f>
        <v>18</v>
      </c>
      <c r="J11" s="2326"/>
      <c r="K11" s="2327"/>
      <c r="L11" s="2326">
        <f>SUM(L7:N10)</f>
        <v>54</v>
      </c>
      <c r="M11" s="2326"/>
      <c r="N11" s="2326"/>
      <c r="O11" s="2337">
        <f t="shared" ref="O11" si="2">SUM(O7:Q10)</f>
        <v>72</v>
      </c>
      <c r="P11" s="2326"/>
      <c r="Q11" s="2338"/>
      <c r="R11" s="2325">
        <f t="shared" ref="R11" si="3">SUM(R7:T10)</f>
        <v>31</v>
      </c>
      <c r="S11" s="2326"/>
      <c r="T11" s="2327"/>
      <c r="U11" s="2326">
        <f t="shared" ref="U11" si="4">SUM(U7:W10)</f>
        <v>88</v>
      </c>
      <c r="V11" s="2326"/>
      <c r="W11" s="2339"/>
      <c r="X11" s="2340">
        <f t="shared" ref="X11" si="5">SUM(X7:Z10)</f>
        <v>119</v>
      </c>
      <c r="Y11" s="2340"/>
      <c r="Z11" s="2341"/>
      <c r="AC11" s="193" t="s">
        <v>152</v>
      </c>
      <c r="AD11" s="2291" t="s">
        <v>12691</v>
      </c>
      <c r="AE11" s="2291"/>
      <c r="AF11" s="2291"/>
      <c r="AG11" s="2291"/>
      <c r="AH11" s="2291"/>
      <c r="AI11" s="2291"/>
      <c r="AJ11" s="2291"/>
      <c r="AK11" s="2291"/>
      <c r="AL11" s="2291"/>
      <c r="AM11" s="2291"/>
      <c r="AN11" s="2291"/>
      <c r="AO11" s="2291"/>
      <c r="AP11" s="2291"/>
      <c r="AQ11" s="2291"/>
      <c r="AR11" s="2291"/>
      <c r="AS11" s="2291"/>
      <c r="AT11" s="2291"/>
      <c r="AU11" s="2291"/>
      <c r="AV11" s="2291"/>
      <c r="AW11" s="2291"/>
      <c r="AX11" s="2291"/>
      <c r="AY11" s="2291"/>
      <c r="AZ11" s="2291"/>
    </row>
    <row r="12" spans="2:52" s="124" customFormat="1" ht="43.75" customHeight="1" thickTop="1" x14ac:dyDescent="0.3">
      <c r="B12" s="123"/>
      <c r="I12" s="2292" t="str">
        <f>IF(OR(I11&lt;&gt;Table10!BD29,L11&lt;&gt;Table10!BG29,O11&lt;&gt;Table10!BJ29),"Totals of the Number of Teachers (counted only once) shall tally with the totals in Handling Grades 7-10 in Table 10b. ","")</f>
        <v/>
      </c>
      <c r="J12" s="2292"/>
      <c r="K12" s="2292"/>
      <c r="L12" s="2292"/>
      <c r="M12" s="2292"/>
      <c r="N12" s="2292"/>
      <c r="O12" s="2292"/>
      <c r="P12" s="2292"/>
      <c r="Q12" s="2292"/>
      <c r="R12" s="2292" t="str">
        <f>IF(OR(I7&gt;R7, L7&gt;U7, I8&gt;R8, L8&gt;U8,  I9&gt;R9, L9&gt;U9,  I10&gt;R10, L10&gt;U10), "Number of Teachers Counted more than once should be greater than or equal to the Number of Teachers counted only once.", "")</f>
        <v/>
      </c>
      <c r="S12" s="2292"/>
      <c r="T12" s="2292"/>
      <c r="U12" s="2292"/>
      <c r="V12" s="2292"/>
      <c r="W12" s="2292"/>
      <c r="X12" s="2292"/>
      <c r="Y12" s="2292"/>
      <c r="Z12" s="2292"/>
      <c r="AC12" s="193" t="s">
        <v>155</v>
      </c>
      <c r="AD12" s="1433" t="s">
        <v>12693</v>
      </c>
    </row>
    <row r="13" spans="2:52" ht="15.75" customHeight="1" thickBot="1" x14ac:dyDescent="0.4">
      <c r="B13" s="49" t="s">
        <v>12690</v>
      </c>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row>
    <row r="14" spans="2:52" ht="15.75" customHeight="1" thickTop="1" thickBot="1" x14ac:dyDescent="0.4">
      <c r="B14" s="2302" t="s">
        <v>392</v>
      </c>
      <c r="C14" s="2303"/>
      <c r="D14" s="2303"/>
      <c r="E14" s="2303"/>
      <c r="F14" s="2303"/>
      <c r="G14" s="2303"/>
      <c r="H14" s="2303"/>
      <c r="I14" s="2303"/>
      <c r="J14" s="2303"/>
      <c r="K14" s="2303"/>
      <c r="L14" s="2303"/>
      <c r="M14" s="2303"/>
      <c r="N14" s="2303"/>
      <c r="O14" s="2303"/>
      <c r="P14" s="2304"/>
      <c r="Q14" s="1904" t="s">
        <v>313</v>
      </c>
      <c r="R14" s="1905"/>
      <c r="S14" s="1905"/>
      <c r="T14" s="1905"/>
      <c r="U14" s="1905"/>
      <c r="V14" s="1905"/>
      <c r="W14" s="1905"/>
      <c r="X14" s="1905"/>
      <c r="Y14" s="1905"/>
      <c r="Z14" s="1905"/>
      <c r="AA14" s="1905"/>
      <c r="AB14" s="1905"/>
      <c r="AC14" s="1905"/>
      <c r="AD14" s="1905"/>
      <c r="AE14" s="1905"/>
      <c r="AF14" s="1905"/>
      <c r="AG14" s="1905"/>
      <c r="AH14" s="1905"/>
      <c r="AI14" s="1905"/>
      <c r="AJ14" s="1905"/>
      <c r="AK14" s="1905"/>
      <c r="AL14" s="1905"/>
      <c r="AM14" s="1905"/>
      <c r="AN14" s="2225"/>
      <c r="AO14" s="1904" t="s">
        <v>314</v>
      </c>
      <c r="AP14" s="1905"/>
      <c r="AQ14" s="1905"/>
      <c r="AR14" s="1905"/>
      <c r="AS14" s="1905"/>
      <c r="AT14" s="1905"/>
      <c r="AU14" s="1905"/>
      <c r="AV14" s="1905"/>
      <c r="AW14" s="1905"/>
      <c r="AX14" s="1905"/>
      <c r="AY14" s="1905"/>
      <c r="AZ14" s="1906"/>
    </row>
    <row r="15" spans="2:52" ht="15.75" customHeight="1" thickBot="1" x14ac:dyDescent="0.4">
      <c r="B15" s="2305"/>
      <c r="C15" s="2306"/>
      <c r="D15" s="2306"/>
      <c r="E15" s="2306"/>
      <c r="F15" s="2306"/>
      <c r="G15" s="2306"/>
      <c r="H15" s="2306"/>
      <c r="I15" s="2306"/>
      <c r="J15" s="2306"/>
      <c r="K15" s="2306"/>
      <c r="L15" s="2306"/>
      <c r="M15" s="2306"/>
      <c r="N15" s="2306"/>
      <c r="O15" s="2306"/>
      <c r="P15" s="2307"/>
      <c r="Q15" s="2226" t="s">
        <v>87</v>
      </c>
      <c r="R15" s="2227"/>
      <c r="S15" s="2227"/>
      <c r="T15" s="2227"/>
      <c r="U15" s="2227"/>
      <c r="V15" s="2228"/>
      <c r="W15" s="2229" t="s">
        <v>88</v>
      </c>
      <c r="X15" s="2227"/>
      <c r="Y15" s="2227"/>
      <c r="Z15" s="2227"/>
      <c r="AA15" s="2227"/>
      <c r="AB15" s="2228"/>
      <c r="AC15" s="2229" t="s">
        <v>89</v>
      </c>
      <c r="AD15" s="2227"/>
      <c r="AE15" s="2227"/>
      <c r="AF15" s="2227"/>
      <c r="AG15" s="2227"/>
      <c r="AH15" s="2228"/>
      <c r="AI15" s="2229" t="s">
        <v>90</v>
      </c>
      <c r="AJ15" s="2227"/>
      <c r="AK15" s="2227"/>
      <c r="AL15" s="2227"/>
      <c r="AM15" s="2227"/>
      <c r="AN15" s="2335"/>
      <c r="AO15" s="2226" t="s">
        <v>311</v>
      </c>
      <c r="AP15" s="2227"/>
      <c r="AQ15" s="2227"/>
      <c r="AR15" s="2227"/>
      <c r="AS15" s="2227"/>
      <c r="AT15" s="2228"/>
      <c r="AU15" s="2229" t="s">
        <v>312</v>
      </c>
      <c r="AV15" s="2227"/>
      <c r="AW15" s="2227"/>
      <c r="AX15" s="2227"/>
      <c r="AY15" s="2227"/>
      <c r="AZ15" s="2336"/>
    </row>
    <row r="16" spans="2:52" ht="15.75" customHeight="1" thickBot="1" x14ac:dyDescent="0.4">
      <c r="B16" s="2342"/>
      <c r="C16" s="2343"/>
      <c r="D16" s="2343"/>
      <c r="E16" s="2343"/>
      <c r="F16" s="2343"/>
      <c r="G16" s="2343"/>
      <c r="H16" s="2343"/>
      <c r="I16" s="2343"/>
      <c r="J16" s="2343"/>
      <c r="K16" s="2343"/>
      <c r="L16" s="2343"/>
      <c r="M16" s="2343"/>
      <c r="N16" s="2343"/>
      <c r="O16" s="2343"/>
      <c r="P16" s="2344"/>
      <c r="Q16" s="2350" t="s">
        <v>14</v>
      </c>
      <c r="R16" s="2343"/>
      <c r="S16" s="2346"/>
      <c r="T16" s="2345" t="s">
        <v>15</v>
      </c>
      <c r="U16" s="2343"/>
      <c r="V16" s="2346"/>
      <c r="W16" s="2345" t="s">
        <v>14</v>
      </c>
      <c r="X16" s="2343"/>
      <c r="Y16" s="2346"/>
      <c r="Z16" s="2345" t="s">
        <v>15</v>
      </c>
      <c r="AA16" s="2343"/>
      <c r="AB16" s="2346"/>
      <c r="AC16" s="2345" t="s">
        <v>14</v>
      </c>
      <c r="AD16" s="2343"/>
      <c r="AE16" s="2346"/>
      <c r="AF16" s="2345" t="s">
        <v>15</v>
      </c>
      <c r="AG16" s="2343"/>
      <c r="AH16" s="2346"/>
      <c r="AI16" s="2345" t="s">
        <v>14</v>
      </c>
      <c r="AJ16" s="2343"/>
      <c r="AK16" s="2346"/>
      <c r="AL16" s="2345" t="s">
        <v>15</v>
      </c>
      <c r="AM16" s="2343"/>
      <c r="AN16" s="2344"/>
      <c r="AO16" s="2347" t="s">
        <v>14</v>
      </c>
      <c r="AP16" s="2306"/>
      <c r="AQ16" s="2348"/>
      <c r="AR16" s="2347" t="s">
        <v>15</v>
      </c>
      <c r="AS16" s="2306"/>
      <c r="AT16" s="2348"/>
      <c r="AU16" s="2347" t="s">
        <v>14</v>
      </c>
      <c r="AV16" s="2306"/>
      <c r="AW16" s="2348"/>
      <c r="AX16" s="2347" t="s">
        <v>15</v>
      </c>
      <c r="AY16" s="2306"/>
      <c r="AZ16" s="2349"/>
    </row>
    <row r="17" spans="2:52" ht="30" customHeight="1" x14ac:dyDescent="0.35">
      <c r="B17" s="345"/>
      <c r="C17" s="346" t="s">
        <v>385</v>
      </c>
      <c r="D17" s="346"/>
      <c r="E17" s="346"/>
      <c r="F17" s="346"/>
      <c r="G17" s="346"/>
      <c r="H17" s="346"/>
      <c r="I17" s="346"/>
      <c r="J17" s="346"/>
      <c r="K17" s="346"/>
      <c r="L17" s="346"/>
      <c r="M17" s="346"/>
      <c r="N17" s="346"/>
      <c r="O17" s="346"/>
      <c r="P17" s="347"/>
      <c r="Q17" s="2301">
        <v>1</v>
      </c>
      <c r="R17" s="2294"/>
      <c r="S17" s="2295"/>
      <c r="T17" s="2293">
        <v>4</v>
      </c>
      <c r="U17" s="2294"/>
      <c r="V17" s="2294"/>
      <c r="W17" s="2293">
        <v>1</v>
      </c>
      <c r="X17" s="2294"/>
      <c r="Y17" s="2295"/>
      <c r="Z17" s="2293">
        <v>4</v>
      </c>
      <c r="AA17" s="2294"/>
      <c r="AB17" s="2295"/>
      <c r="AC17" s="2293">
        <v>0</v>
      </c>
      <c r="AD17" s="2294"/>
      <c r="AE17" s="2295"/>
      <c r="AF17" s="2293">
        <v>3</v>
      </c>
      <c r="AG17" s="2294"/>
      <c r="AH17" s="2295"/>
      <c r="AI17" s="2293">
        <v>1</v>
      </c>
      <c r="AJ17" s="2294"/>
      <c r="AK17" s="2295"/>
      <c r="AL17" s="2293">
        <v>2</v>
      </c>
      <c r="AM17" s="2294"/>
      <c r="AN17" s="2295"/>
      <c r="AO17" s="2296"/>
      <c r="AP17" s="2296"/>
      <c r="AQ17" s="2296"/>
      <c r="AR17" s="2296"/>
      <c r="AS17" s="2296"/>
      <c r="AT17" s="2296"/>
      <c r="AU17" s="2296"/>
      <c r="AV17" s="2296"/>
      <c r="AW17" s="2296"/>
      <c r="AX17" s="2296"/>
      <c r="AY17" s="2296"/>
      <c r="AZ17" s="2300"/>
    </row>
    <row r="18" spans="2:52" ht="30" customHeight="1" x14ac:dyDescent="0.35">
      <c r="B18" s="348"/>
      <c r="C18" s="349" t="s">
        <v>386</v>
      </c>
      <c r="D18" s="349"/>
      <c r="E18" s="349"/>
      <c r="F18" s="349"/>
      <c r="G18" s="349"/>
      <c r="H18" s="349"/>
      <c r="I18" s="349"/>
      <c r="J18" s="349"/>
      <c r="K18" s="349"/>
      <c r="L18" s="349"/>
      <c r="M18" s="349"/>
      <c r="N18" s="349"/>
      <c r="O18" s="349"/>
      <c r="P18" s="350"/>
      <c r="Q18" s="1464">
        <v>1</v>
      </c>
      <c r="R18" s="1462"/>
      <c r="S18" s="1465"/>
      <c r="T18" s="1461">
        <v>2</v>
      </c>
      <c r="U18" s="1462"/>
      <c r="V18" s="1462"/>
      <c r="W18" s="1461">
        <v>2</v>
      </c>
      <c r="X18" s="1462"/>
      <c r="Y18" s="1465"/>
      <c r="Z18" s="1461">
        <v>3</v>
      </c>
      <c r="AA18" s="1462"/>
      <c r="AB18" s="1465"/>
      <c r="AC18" s="1461">
        <v>0</v>
      </c>
      <c r="AD18" s="1462"/>
      <c r="AE18" s="1465"/>
      <c r="AF18" s="1461">
        <v>2</v>
      </c>
      <c r="AG18" s="1462"/>
      <c r="AH18" s="1465"/>
      <c r="AI18" s="1461">
        <v>0</v>
      </c>
      <c r="AJ18" s="1462"/>
      <c r="AK18" s="1465"/>
      <c r="AL18" s="1461">
        <v>4</v>
      </c>
      <c r="AM18" s="1462"/>
      <c r="AN18" s="1465"/>
      <c r="AO18" s="2296"/>
      <c r="AP18" s="2296"/>
      <c r="AQ18" s="2296"/>
      <c r="AR18" s="2296"/>
      <c r="AS18" s="2296"/>
      <c r="AT18" s="2296"/>
      <c r="AU18" s="2296"/>
      <c r="AV18" s="2296"/>
      <c r="AW18" s="2296"/>
      <c r="AX18" s="2296"/>
      <c r="AY18" s="2296"/>
      <c r="AZ18" s="2300"/>
    </row>
    <row r="19" spans="2:52" ht="30" customHeight="1" x14ac:dyDescent="0.35">
      <c r="B19" s="348"/>
      <c r="C19" s="349" t="s">
        <v>387</v>
      </c>
      <c r="D19" s="349"/>
      <c r="E19" s="349"/>
      <c r="F19" s="349"/>
      <c r="G19" s="349"/>
      <c r="H19" s="349"/>
      <c r="I19" s="349"/>
      <c r="J19" s="349"/>
      <c r="K19" s="349"/>
      <c r="L19" s="349"/>
      <c r="M19" s="349"/>
      <c r="N19" s="349"/>
      <c r="O19" s="349"/>
      <c r="P19" s="350"/>
      <c r="Q19" s="1464">
        <v>1</v>
      </c>
      <c r="R19" s="1462"/>
      <c r="S19" s="1465"/>
      <c r="T19" s="1461">
        <v>2</v>
      </c>
      <c r="U19" s="1462"/>
      <c r="V19" s="1462"/>
      <c r="W19" s="1461">
        <v>1</v>
      </c>
      <c r="X19" s="1462"/>
      <c r="Y19" s="1465"/>
      <c r="Z19" s="1461">
        <v>1</v>
      </c>
      <c r="AA19" s="1462"/>
      <c r="AB19" s="1465"/>
      <c r="AC19" s="1461">
        <v>0</v>
      </c>
      <c r="AD19" s="1462"/>
      <c r="AE19" s="1465"/>
      <c r="AF19" s="1461">
        <v>4</v>
      </c>
      <c r="AG19" s="1462"/>
      <c r="AH19" s="1465"/>
      <c r="AI19" s="1461">
        <v>0</v>
      </c>
      <c r="AJ19" s="1462"/>
      <c r="AK19" s="1465"/>
      <c r="AL19" s="1461">
        <v>2</v>
      </c>
      <c r="AM19" s="1462"/>
      <c r="AN19" s="1465"/>
      <c r="AO19" s="2296"/>
      <c r="AP19" s="2296"/>
      <c r="AQ19" s="2296"/>
      <c r="AR19" s="2296"/>
      <c r="AS19" s="2296"/>
      <c r="AT19" s="2296"/>
      <c r="AU19" s="2296"/>
      <c r="AV19" s="2296"/>
      <c r="AW19" s="2296"/>
      <c r="AX19" s="2296"/>
      <c r="AY19" s="2296"/>
      <c r="AZ19" s="2300"/>
    </row>
    <row r="20" spans="2:52" ht="30" customHeight="1" x14ac:dyDescent="0.35">
      <c r="B20" s="348"/>
      <c r="C20" s="349" t="s">
        <v>388</v>
      </c>
      <c r="D20" s="349"/>
      <c r="E20" s="349"/>
      <c r="F20" s="349"/>
      <c r="G20" s="349"/>
      <c r="H20" s="349"/>
      <c r="I20" s="349"/>
      <c r="J20" s="349"/>
      <c r="K20" s="349"/>
      <c r="L20" s="349"/>
      <c r="M20" s="349"/>
      <c r="N20" s="349"/>
      <c r="O20" s="349"/>
      <c r="P20" s="350"/>
      <c r="Q20" s="1464">
        <v>0</v>
      </c>
      <c r="R20" s="1462"/>
      <c r="S20" s="1465"/>
      <c r="T20" s="1461">
        <v>4</v>
      </c>
      <c r="U20" s="1462"/>
      <c r="V20" s="1462"/>
      <c r="W20" s="1461">
        <v>1</v>
      </c>
      <c r="X20" s="1462"/>
      <c r="Y20" s="1465"/>
      <c r="Z20" s="1461">
        <v>5</v>
      </c>
      <c r="AA20" s="1462"/>
      <c r="AB20" s="1465"/>
      <c r="AC20" s="1461">
        <v>1</v>
      </c>
      <c r="AD20" s="1462"/>
      <c r="AE20" s="1465"/>
      <c r="AF20" s="1461">
        <v>3</v>
      </c>
      <c r="AG20" s="1462"/>
      <c r="AH20" s="1465"/>
      <c r="AI20" s="1461">
        <v>0</v>
      </c>
      <c r="AJ20" s="1462"/>
      <c r="AK20" s="1465"/>
      <c r="AL20" s="1461">
        <v>4</v>
      </c>
      <c r="AM20" s="1462"/>
      <c r="AN20" s="1465"/>
      <c r="AO20" s="2296"/>
      <c r="AP20" s="2296"/>
      <c r="AQ20" s="2296"/>
      <c r="AR20" s="2296"/>
      <c r="AS20" s="2296"/>
      <c r="AT20" s="2296"/>
      <c r="AU20" s="2296"/>
      <c r="AV20" s="2296"/>
      <c r="AW20" s="2296"/>
      <c r="AX20" s="2296"/>
      <c r="AY20" s="2296"/>
      <c r="AZ20" s="2300"/>
    </row>
    <row r="21" spans="2:52" ht="30" customHeight="1" x14ac:dyDescent="0.35">
      <c r="B21" s="348"/>
      <c r="C21" s="349" t="s">
        <v>389</v>
      </c>
      <c r="D21" s="349"/>
      <c r="E21" s="349"/>
      <c r="F21" s="349"/>
      <c r="G21" s="349"/>
      <c r="H21" s="349"/>
      <c r="I21" s="349"/>
      <c r="J21" s="349"/>
      <c r="K21" s="349"/>
      <c r="L21" s="349"/>
      <c r="M21" s="349"/>
      <c r="N21" s="349"/>
      <c r="O21" s="349"/>
      <c r="P21" s="350"/>
      <c r="Q21" s="1464">
        <v>0</v>
      </c>
      <c r="R21" s="1462"/>
      <c r="S21" s="1465"/>
      <c r="T21" s="1461">
        <v>2</v>
      </c>
      <c r="U21" s="1462"/>
      <c r="V21" s="1462"/>
      <c r="W21" s="1461">
        <v>0</v>
      </c>
      <c r="X21" s="1462"/>
      <c r="Y21" s="1465"/>
      <c r="Z21" s="1461">
        <v>2</v>
      </c>
      <c r="AA21" s="1462"/>
      <c r="AB21" s="1465"/>
      <c r="AC21" s="1461">
        <v>0</v>
      </c>
      <c r="AD21" s="1462"/>
      <c r="AE21" s="1465"/>
      <c r="AF21" s="1461">
        <v>3</v>
      </c>
      <c r="AG21" s="1462"/>
      <c r="AH21" s="1465"/>
      <c r="AI21" s="1461">
        <v>0</v>
      </c>
      <c r="AJ21" s="1462"/>
      <c r="AK21" s="1465"/>
      <c r="AL21" s="1461">
        <v>3</v>
      </c>
      <c r="AM21" s="1462"/>
      <c r="AN21" s="1465"/>
      <c r="AO21" s="2296"/>
      <c r="AP21" s="2296"/>
      <c r="AQ21" s="2296"/>
      <c r="AR21" s="2296"/>
      <c r="AS21" s="2296"/>
      <c r="AT21" s="2296"/>
      <c r="AU21" s="2296"/>
      <c r="AV21" s="2296"/>
      <c r="AW21" s="2296"/>
      <c r="AX21" s="2296"/>
      <c r="AY21" s="2296"/>
      <c r="AZ21" s="2300"/>
    </row>
    <row r="22" spans="2:52" ht="30" customHeight="1" x14ac:dyDescent="0.35">
      <c r="B22" s="348"/>
      <c r="C22" s="349" t="s">
        <v>390</v>
      </c>
      <c r="D22" s="349"/>
      <c r="E22" s="349"/>
      <c r="F22" s="349"/>
      <c r="G22" s="349"/>
      <c r="H22" s="349"/>
      <c r="I22" s="349"/>
      <c r="J22" s="349"/>
      <c r="K22" s="349"/>
      <c r="L22" s="349"/>
      <c r="M22" s="349"/>
      <c r="N22" s="349"/>
      <c r="O22" s="349"/>
      <c r="P22" s="350"/>
      <c r="Q22" s="1464">
        <v>0</v>
      </c>
      <c r="R22" s="1462"/>
      <c r="S22" s="1465"/>
      <c r="T22" s="1461">
        <v>3</v>
      </c>
      <c r="U22" s="1462"/>
      <c r="V22" s="1462"/>
      <c r="W22" s="1461">
        <v>1</v>
      </c>
      <c r="X22" s="1462"/>
      <c r="Y22" s="1465"/>
      <c r="Z22" s="1461">
        <v>2</v>
      </c>
      <c r="AA22" s="1462"/>
      <c r="AB22" s="1465"/>
      <c r="AC22" s="1461">
        <v>0</v>
      </c>
      <c r="AD22" s="1462"/>
      <c r="AE22" s="1465"/>
      <c r="AF22" s="1461">
        <v>1</v>
      </c>
      <c r="AG22" s="1462"/>
      <c r="AH22" s="1465"/>
      <c r="AI22" s="1461">
        <v>0</v>
      </c>
      <c r="AJ22" s="1462"/>
      <c r="AK22" s="1465"/>
      <c r="AL22" s="1461">
        <v>1</v>
      </c>
      <c r="AM22" s="1462"/>
      <c r="AN22" s="1465"/>
      <c r="AO22" s="2296"/>
      <c r="AP22" s="2296"/>
      <c r="AQ22" s="2296"/>
      <c r="AR22" s="2296"/>
      <c r="AS22" s="2296"/>
      <c r="AT22" s="2296"/>
      <c r="AU22" s="2296"/>
      <c r="AV22" s="2296"/>
      <c r="AW22" s="2296"/>
      <c r="AX22" s="2296"/>
      <c r="AY22" s="2296"/>
      <c r="AZ22" s="2300"/>
    </row>
    <row r="23" spans="2:52" ht="30" customHeight="1" x14ac:dyDescent="0.35">
      <c r="B23" s="351"/>
      <c r="C23" s="352" t="s">
        <v>391</v>
      </c>
      <c r="D23" s="352"/>
      <c r="E23" s="352"/>
      <c r="F23" s="352"/>
      <c r="G23" s="352"/>
      <c r="H23" s="352"/>
      <c r="I23" s="352"/>
      <c r="J23" s="352"/>
      <c r="K23" s="352"/>
      <c r="L23" s="352"/>
      <c r="M23" s="352"/>
      <c r="N23" s="352"/>
      <c r="O23" s="352"/>
      <c r="P23" s="353"/>
      <c r="Q23" s="1464">
        <v>4</v>
      </c>
      <c r="R23" s="1462"/>
      <c r="S23" s="1465"/>
      <c r="T23" s="1461">
        <v>6</v>
      </c>
      <c r="U23" s="1462"/>
      <c r="V23" s="1462"/>
      <c r="W23" s="1461">
        <v>7</v>
      </c>
      <c r="X23" s="1462"/>
      <c r="Y23" s="1465"/>
      <c r="Z23" s="1461">
        <v>5</v>
      </c>
      <c r="AA23" s="1462"/>
      <c r="AB23" s="1465"/>
      <c r="AC23" s="1461">
        <v>5</v>
      </c>
      <c r="AD23" s="1462"/>
      <c r="AE23" s="1465"/>
      <c r="AF23" s="1461">
        <v>5</v>
      </c>
      <c r="AG23" s="1462"/>
      <c r="AH23" s="1465"/>
      <c r="AI23" s="1461">
        <v>4</v>
      </c>
      <c r="AJ23" s="1462"/>
      <c r="AK23" s="1465"/>
      <c r="AL23" s="1461">
        <v>5</v>
      </c>
      <c r="AM23" s="1462"/>
      <c r="AN23" s="1465"/>
      <c r="AO23" s="2296"/>
      <c r="AP23" s="2296"/>
      <c r="AQ23" s="2296"/>
      <c r="AR23" s="2296"/>
      <c r="AS23" s="2296"/>
      <c r="AT23" s="2296"/>
      <c r="AU23" s="2296"/>
      <c r="AV23" s="2296"/>
      <c r="AW23" s="2296"/>
      <c r="AX23" s="2296"/>
      <c r="AY23" s="2296"/>
      <c r="AZ23" s="2300"/>
    </row>
    <row r="24" spans="2:52" ht="30" customHeight="1" x14ac:dyDescent="0.35">
      <c r="B24" s="351"/>
      <c r="C24" s="352" t="s">
        <v>384</v>
      </c>
      <c r="D24" s="349"/>
      <c r="E24" s="349"/>
      <c r="F24" s="349"/>
      <c r="G24" s="349"/>
      <c r="H24" s="349"/>
      <c r="I24" s="349"/>
      <c r="J24" s="349"/>
      <c r="K24" s="349"/>
      <c r="L24" s="349"/>
      <c r="M24" s="349"/>
      <c r="N24" s="349"/>
      <c r="O24" s="349"/>
      <c r="P24" s="350"/>
      <c r="Q24" s="1464">
        <v>0</v>
      </c>
      <c r="R24" s="1462"/>
      <c r="S24" s="1465"/>
      <c r="T24" s="1461">
        <v>2</v>
      </c>
      <c r="U24" s="1462"/>
      <c r="V24" s="1462"/>
      <c r="W24" s="1461">
        <v>0</v>
      </c>
      <c r="X24" s="1462"/>
      <c r="Y24" s="1465"/>
      <c r="Z24" s="1461">
        <v>2</v>
      </c>
      <c r="AA24" s="1462"/>
      <c r="AB24" s="1465"/>
      <c r="AC24" s="1461">
        <v>1</v>
      </c>
      <c r="AD24" s="1462"/>
      <c r="AE24" s="1465"/>
      <c r="AF24" s="1461">
        <v>2</v>
      </c>
      <c r="AG24" s="1462"/>
      <c r="AH24" s="1465"/>
      <c r="AI24" s="1461">
        <v>0</v>
      </c>
      <c r="AJ24" s="1462"/>
      <c r="AK24" s="1465"/>
      <c r="AL24" s="1461">
        <v>4</v>
      </c>
      <c r="AM24" s="1462"/>
      <c r="AN24" s="1465"/>
      <c r="AO24" s="2296"/>
      <c r="AP24" s="2296"/>
      <c r="AQ24" s="2296"/>
      <c r="AR24" s="2296"/>
      <c r="AS24" s="2296"/>
      <c r="AT24" s="2296"/>
      <c r="AU24" s="2296"/>
      <c r="AV24" s="2296"/>
      <c r="AW24" s="2296"/>
      <c r="AX24" s="2296"/>
      <c r="AY24" s="2296"/>
      <c r="AZ24" s="2300"/>
    </row>
    <row r="25" spans="2:52" ht="30" customHeight="1" thickBot="1" x14ac:dyDescent="0.4">
      <c r="B25" s="340" t="s">
        <v>403</v>
      </c>
      <c r="C25" s="341" t="s">
        <v>785</v>
      </c>
      <c r="D25" s="342"/>
      <c r="E25" s="342"/>
      <c r="F25" s="342"/>
      <c r="G25" s="342"/>
      <c r="H25" s="342"/>
      <c r="I25" s="342"/>
      <c r="J25" s="342"/>
      <c r="K25" s="342"/>
      <c r="L25" s="342"/>
      <c r="M25" s="342"/>
      <c r="N25" s="342"/>
      <c r="O25" s="342"/>
      <c r="P25" s="342"/>
      <c r="Q25" s="2299"/>
      <c r="R25" s="2299"/>
      <c r="S25" s="2299"/>
      <c r="T25" s="2299"/>
      <c r="U25" s="2299"/>
      <c r="V25" s="2299"/>
      <c r="W25" s="2299"/>
      <c r="X25" s="2299"/>
      <c r="Y25" s="2299"/>
      <c r="Z25" s="2299"/>
      <c r="AA25" s="2299"/>
      <c r="AB25" s="2299"/>
      <c r="AC25" s="2299"/>
      <c r="AD25" s="2299"/>
      <c r="AE25" s="2299"/>
      <c r="AF25" s="2299"/>
      <c r="AG25" s="2299"/>
      <c r="AH25" s="2299"/>
      <c r="AI25" s="2299"/>
      <c r="AJ25" s="2299"/>
      <c r="AK25" s="2299"/>
      <c r="AL25" s="2299"/>
      <c r="AM25" s="2299"/>
      <c r="AN25" s="2299"/>
      <c r="AO25" s="2297">
        <v>4</v>
      </c>
      <c r="AP25" s="2297"/>
      <c r="AQ25" s="2297"/>
      <c r="AR25" s="2297">
        <v>7</v>
      </c>
      <c r="AS25" s="2297"/>
      <c r="AT25" s="2297"/>
      <c r="AU25" s="2297">
        <v>1</v>
      </c>
      <c r="AV25" s="2297"/>
      <c r="AW25" s="2297"/>
      <c r="AX25" s="2297">
        <v>2</v>
      </c>
      <c r="AY25" s="2297"/>
      <c r="AZ25" s="2298"/>
    </row>
    <row r="26" spans="2:52" ht="5.15" customHeight="1" thickTop="1" x14ac:dyDescent="0.35">
      <c r="B26" s="343"/>
      <c r="H26" s="132"/>
      <c r="I26" s="132"/>
      <c r="J26" s="132"/>
      <c r="K26" s="132"/>
      <c r="O26" s="132"/>
      <c r="P26" s="132"/>
      <c r="Q26" s="132"/>
      <c r="R26" s="132"/>
      <c r="S26" s="132"/>
      <c r="T26" s="132"/>
      <c r="U26" s="132"/>
      <c r="X26" s="132"/>
      <c r="Y26" s="132"/>
      <c r="Z26" s="132"/>
      <c r="AA26" s="132"/>
      <c r="AB26" s="132"/>
      <c r="AC26" s="132"/>
    </row>
    <row r="27" spans="2:52" s="84" customFormat="1" x14ac:dyDescent="0.35">
      <c r="B27" s="85" t="s">
        <v>315</v>
      </c>
      <c r="E27" s="86"/>
      <c r="F27" s="86"/>
      <c r="G27" s="86"/>
      <c r="H27" s="86"/>
      <c r="I27" s="86"/>
      <c r="J27" s="86"/>
      <c r="K27" s="86"/>
      <c r="N27" s="86"/>
    </row>
    <row r="28" spans="2:52" s="84" customFormat="1" ht="7" customHeight="1" x14ac:dyDescent="0.35">
      <c r="B28" s="85"/>
      <c r="E28" s="86"/>
      <c r="F28" s="86"/>
      <c r="G28" s="86"/>
      <c r="H28" s="86"/>
      <c r="I28" s="86"/>
      <c r="J28" s="86"/>
      <c r="K28" s="86"/>
      <c r="N28" s="86"/>
    </row>
    <row r="29" spans="2:52" s="158" customFormat="1" ht="15.75" customHeight="1" x14ac:dyDescent="0.35">
      <c r="B29" s="227" t="s">
        <v>171</v>
      </c>
      <c r="E29" s="238" t="s">
        <v>136</v>
      </c>
      <c r="G29" s="344"/>
      <c r="H29" s="344"/>
      <c r="I29" s="344"/>
      <c r="J29" s="344"/>
      <c r="K29" s="344"/>
      <c r="L29" s="344"/>
      <c r="M29" s="344"/>
      <c r="N29" s="344"/>
      <c r="O29" s="344"/>
      <c r="P29" s="344"/>
      <c r="Q29" s="344"/>
      <c r="R29" s="344"/>
      <c r="S29" s="344"/>
      <c r="T29" s="344"/>
      <c r="U29" s="344"/>
      <c r="V29" s="344"/>
      <c r="W29" s="344"/>
      <c r="X29" s="344"/>
      <c r="Y29" s="344"/>
      <c r="Z29" s="344"/>
      <c r="AA29" s="344"/>
    </row>
    <row r="30" spans="2:52" ht="30" customHeight="1" x14ac:dyDescent="0.35">
      <c r="C30" s="123"/>
    </row>
    <row r="31" spans="2:52" x14ac:dyDescent="0.35">
      <c r="B31" s="60" t="s">
        <v>913</v>
      </c>
      <c r="T31" s="60" t="s">
        <v>912</v>
      </c>
      <c r="U31" s="73"/>
      <c r="V31" s="73"/>
      <c r="W31" s="73"/>
      <c r="X31" s="73"/>
      <c r="Y31" s="73"/>
      <c r="Z31" s="73"/>
      <c r="AA31" s="73"/>
      <c r="AB31" s="73"/>
      <c r="AC31" s="73"/>
      <c r="AD31" s="73"/>
      <c r="AE31" s="73"/>
      <c r="AF31" s="73"/>
      <c r="AG31" s="73"/>
      <c r="AL31" s="60" t="s">
        <v>922</v>
      </c>
    </row>
    <row r="32" spans="2:52" ht="21.75" customHeight="1" x14ac:dyDescent="0.35">
      <c r="B32" s="60" t="s">
        <v>780</v>
      </c>
      <c r="F32" s="1581" t="str">
        <f>SchInfo!F38</f>
        <v>MELCHESIEDICK Q. BOLANIO/ March 17, 2023</v>
      </c>
      <c r="G32" s="1581"/>
      <c r="H32" s="1581"/>
      <c r="I32" s="1581"/>
      <c r="J32" s="1581"/>
      <c r="K32" s="1581"/>
      <c r="L32" s="1581"/>
      <c r="M32" s="1581"/>
      <c r="N32" s="1581"/>
      <c r="O32" s="1581"/>
      <c r="T32" s="1581" t="str">
        <f>'Tables7-8'!AI5</f>
        <v>ELMA CEZARIE Y. ROMERO  /  May 17, 2023</v>
      </c>
      <c r="U32" s="1581"/>
      <c r="V32" s="1581"/>
      <c r="W32" s="1581"/>
      <c r="X32" s="1581"/>
      <c r="Y32" s="1581"/>
      <c r="Z32" s="1581"/>
      <c r="AA32" s="1581"/>
      <c r="AB32" s="1581"/>
      <c r="AC32" s="1581"/>
      <c r="AD32" s="1581"/>
      <c r="AE32" s="1581"/>
      <c r="AF32" s="1581"/>
      <c r="AG32" s="1581"/>
      <c r="AL32" s="1582" t="str">
        <f>SchInfo!R38</f>
        <v>MICHAEL T. JAMIS   /  March 17, 2023</v>
      </c>
      <c r="AM32" s="1582"/>
      <c r="AN32" s="1582"/>
      <c r="AO32" s="1582"/>
      <c r="AP32" s="1582"/>
      <c r="AQ32" s="1582"/>
      <c r="AR32" s="1582"/>
      <c r="AS32" s="1582"/>
      <c r="AT32" s="1582"/>
      <c r="AU32" s="1582"/>
      <c r="AV32" s="1582"/>
      <c r="AW32" s="1582"/>
      <c r="AX32" s="1582"/>
      <c r="AY32" s="1582"/>
    </row>
    <row r="33" spans="2:70" s="68" customFormat="1" ht="15.75" customHeight="1" x14ac:dyDescent="0.3">
      <c r="B33" s="210"/>
      <c r="F33" s="1452" t="s">
        <v>779</v>
      </c>
      <c r="G33" s="1452"/>
      <c r="H33" s="1452"/>
      <c r="I33" s="1452"/>
      <c r="J33" s="1452"/>
      <c r="K33" s="1452"/>
      <c r="L33" s="1452"/>
      <c r="M33" s="1452"/>
      <c r="N33" s="1452"/>
      <c r="O33" s="1452"/>
      <c r="P33" s="64"/>
      <c r="Q33" s="64"/>
      <c r="R33" s="64"/>
      <c r="S33" s="64"/>
      <c r="T33" s="1452" t="s">
        <v>779</v>
      </c>
      <c r="U33" s="1452"/>
      <c r="V33" s="1452"/>
      <c r="W33" s="1452"/>
      <c r="X33" s="1452"/>
      <c r="Y33" s="1452"/>
      <c r="Z33" s="1452"/>
      <c r="AA33" s="1452"/>
      <c r="AB33" s="1452"/>
      <c r="AC33" s="1452"/>
      <c r="AD33" s="1452"/>
      <c r="AE33" s="1452"/>
      <c r="AF33" s="1452"/>
      <c r="AG33" s="1452"/>
      <c r="AH33" s="64"/>
      <c r="AI33" s="64"/>
      <c r="AJ33" s="64"/>
      <c r="AK33" s="64"/>
      <c r="AL33" s="1583"/>
      <c r="AM33" s="1583"/>
      <c r="AN33" s="1583"/>
      <c r="AO33" s="1583"/>
      <c r="AP33" s="1583"/>
      <c r="AQ33" s="1583"/>
      <c r="AR33" s="1583"/>
      <c r="AS33" s="1583"/>
      <c r="AT33" s="1583"/>
      <c r="AU33" s="1583"/>
      <c r="AV33" s="1583"/>
      <c r="AW33" s="1583"/>
      <c r="AX33" s="1583"/>
      <c r="AY33" s="1583"/>
      <c r="AZ33" s="210"/>
      <c r="BA33" s="64"/>
      <c r="BB33" s="209"/>
      <c r="BC33" s="209"/>
      <c r="BD33" s="209"/>
      <c r="BE33" s="209"/>
      <c r="BF33" s="209"/>
      <c r="BG33" s="209"/>
      <c r="BH33" s="209"/>
      <c r="BI33" s="209"/>
      <c r="BJ33" s="209"/>
      <c r="BK33" s="209"/>
      <c r="BL33" s="209"/>
      <c r="BM33" s="209"/>
      <c r="BN33" s="209"/>
      <c r="BO33" s="209"/>
      <c r="BP33" s="209"/>
      <c r="BQ33" s="209"/>
      <c r="BR33" s="209"/>
    </row>
    <row r="34" spans="2:70" ht="21.75" customHeight="1" x14ac:dyDescent="0.35">
      <c r="B34" s="60" t="s">
        <v>782</v>
      </c>
      <c r="F34" s="1581" t="str">
        <f>SchInfo!F40</f>
        <v>Principal IV</v>
      </c>
      <c r="G34" s="1581"/>
      <c r="H34" s="1581"/>
      <c r="I34" s="1581"/>
      <c r="J34" s="1581"/>
      <c r="K34" s="1581"/>
      <c r="L34" s="1581"/>
      <c r="M34" s="1581"/>
      <c r="N34" s="1581"/>
      <c r="O34" s="1581"/>
      <c r="T34" s="60" t="s">
        <v>782</v>
      </c>
      <c r="X34" s="1581" t="str">
        <f>'Tables7-8'!AM7</f>
        <v>Administrative Officer</v>
      </c>
      <c r="Y34" s="1581"/>
      <c r="Z34" s="1581"/>
      <c r="AA34" s="1581"/>
      <c r="AB34" s="1581"/>
      <c r="AC34" s="1581"/>
      <c r="AD34" s="1581"/>
      <c r="AE34" s="1581"/>
      <c r="AF34" s="1581"/>
      <c r="AG34" s="1581"/>
      <c r="AL34" s="1452" t="s">
        <v>779</v>
      </c>
      <c r="AM34" s="1452"/>
      <c r="AN34" s="1452"/>
      <c r="AO34" s="1452"/>
      <c r="AP34" s="1452"/>
      <c r="AQ34" s="1452"/>
      <c r="AR34" s="1452"/>
      <c r="AS34" s="1452"/>
      <c r="AT34" s="1452"/>
      <c r="AU34" s="1452"/>
      <c r="AV34" s="1452"/>
      <c r="AW34" s="1452"/>
      <c r="AX34" s="1452"/>
      <c r="AY34" s="1452"/>
    </row>
  </sheetData>
  <sheetProtection algorithmName="SHA-512" hashValue="d9Ye3y9q51XMH+H3/QRoIk7j5PWVvtK3IEXFEVkRG7ldNTW6kUv4Ui9d50jV1Sf6p9XHpivqHbMkdVxmWY1Sxw==" saltValue="iidSpBCRGMb7IB5S9oZiAA==" spinCount="100000" sheet="1" objects="1" scenarios="1"/>
  <mergeCells count="183">
    <mergeCell ref="AD9:AZ10"/>
    <mergeCell ref="AR18:AT18"/>
    <mergeCell ref="AR17:AT17"/>
    <mergeCell ref="AO24:AQ24"/>
    <mergeCell ref="AO23:AQ23"/>
    <mergeCell ref="AO22:AQ22"/>
    <mergeCell ref="AO21:AQ21"/>
    <mergeCell ref="AO20:AQ20"/>
    <mergeCell ref="AO19:AQ19"/>
    <mergeCell ref="AO18:AQ18"/>
    <mergeCell ref="AO17:AQ17"/>
    <mergeCell ref="AR24:AT24"/>
    <mergeCell ref="AI16:AK16"/>
    <mergeCell ref="AL16:AN16"/>
    <mergeCell ref="AO16:AQ16"/>
    <mergeCell ref="AX18:AZ18"/>
    <mergeCell ref="AU18:AW18"/>
    <mergeCell ref="AX17:AZ17"/>
    <mergeCell ref="AU17:AW17"/>
    <mergeCell ref="AX23:AZ23"/>
    <mergeCell ref="AU23:AW23"/>
    <mergeCell ref="AL23:AN23"/>
    <mergeCell ref="AX19:AZ19"/>
    <mergeCell ref="AU19:AW19"/>
    <mergeCell ref="B14:P16"/>
    <mergeCell ref="W16:Y16"/>
    <mergeCell ref="Z16:AB16"/>
    <mergeCell ref="AC16:AE16"/>
    <mergeCell ref="AF16:AH16"/>
    <mergeCell ref="Q14:AN14"/>
    <mergeCell ref="AO14:AZ14"/>
    <mergeCell ref="Q15:V15"/>
    <mergeCell ref="W15:AB15"/>
    <mergeCell ref="AC15:AH15"/>
    <mergeCell ref="AI15:AN15"/>
    <mergeCell ref="AO15:AT15"/>
    <mergeCell ref="AU15:AZ15"/>
    <mergeCell ref="AR16:AT16"/>
    <mergeCell ref="AU16:AW16"/>
    <mergeCell ref="AX16:AZ16"/>
    <mergeCell ref="Q16:S16"/>
    <mergeCell ref="T16:V16"/>
    <mergeCell ref="I11:K11"/>
    <mergeCell ref="I10:K10"/>
    <mergeCell ref="L10:N10"/>
    <mergeCell ref="O10:Q10"/>
    <mergeCell ref="R10:T10"/>
    <mergeCell ref="U10:W10"/>
    <mergeCell ref="I4:Z4"/>
    <mergeCell ref="I5:Q5"/>
    <mergeCell ref="R5:Z5"/>
    <mergeCell ref="L11:N11"/>
    <mergeCell ref="O11:Q11"/>
    <mergeCell ref="R11:T11"/>
    <mergeCell ref="U11:W11"/>
    <mergeCell ref="X11:Z11"/>
    <mergeCell ref="X10:Z10"/>
    <mergeCell ref="AD5:AZ5"/>
    <mergeCell ref="I6:K6"/>
    <mergeCell ref="L6:N6"/>
    <mergeCell ref="O6:Q6"/>
    <mergeCell ref="R6:T6"/>
    <mergeCell ref="U6:W6"/>
    <mergeCell ref="X6:Z6"/>
    <mergeCell ref="AD6:AZ8"/>
    <mergeCell ref="I7:K7"/>
    <mergeCell ref="L7:N7"/>
    <mergeCell ref="O7:Q7"/>
    <mergeCell ref="R7:T7"/>
    <mergeCell ref="U7:W7"/>
    <mergeCell ref="X7:Z7"/>
    <mergeCell ref="I8:K8"/>
    <mergeCell ref="B4:H6"/>
    <mergeCell ref="I9:K9"/>
    <mergeCell ref="L9:N9"/>
    <mergeCell ref="O9:Q9"/>
    <mergeCell ref="R9:T9"/>
    <mergeCell ref="U9:W9"/>
    <mergeCell ref="X9:Z9"/>
    <mergeCell ref="L8:N8"/>
    <mergeCell ref="O8:Q8"/>
    <mergeCell ref="R8:T8"/>
    <mergeCell ref="U8:W8"/>
    <mergeCell ref="X8:Z8"/>
    <mergeCell ref="AI25:AK25"/>
    <mergeCell ref="AF25:AH25"/>
    <mergeCell ref="AC25:AE25"/>
    <mergeCell ref="T21:V21"/>
    <mergeCell ref="W21:Y21"/>
    <mergeCell ref="Z21:AB21"/>
    <mergeCell ref="Q22:S22"/>
    <mergeCell ref="Q23:S23"/>
    <mergeCell ref="T23:V23"/>
    <mergeCell ref="W23:Y23"/>
    <mergeCell ref="Z23:AB23"/>
    <mergeCell ref="AC23:AE23"/>
    <mergeCell ref="Q21:S21"/>
    <mergeCell ref="Z25:AB25"/>
    <mergeCell ref="W25:Y25"/>
    <mergeCell ref="T25:V25"/>
    <mergeCell ref="AC21:AE21"/>
    <mergeCell ref="AF23:AH23"/>
    <mergeCell ref="AI23:AK23"/>
    <mergeCell ref="Q20:S20"/>
    <mergeCell ref="T20:V20"/>
    <mergeCell ref="W20:Y20"/>
    <mergeCell ref="Z20:AB20"/>
    <mergeCell ref="AC20:AE20"/>
    <mergeCell ref="AF20:AH20"/>
    <mergeCell ref="AI20:AK20"/>
    <mergeCell ref="AL19:AN19"/>
    <mergeCell ref="AI17:AK17"/>
    <mergeCell ref="AL17:AN17"/>
    <mergeCell ref="Q18:S18"/>
    <mergeCell ref="T18:V18"/>
    <mergeCell ref="W18:Y18"/>
    <mergeCell ref="Z18:AB18"/>
    <mergeCell ref="AC18:AE18"/>
    <mergeCell ref="AF18:AH18"/>
    <mergeCell ref="AI18:AK18"/>
    <mergeCell ref="Q17:S17"/>
    <mergeCell ref="T17:V17"/>
    <mergeCell ref="W17:Y17"/>
    <mergeCell ref="AI19:AK19"/>
    <mergeCell ref="AR23:AT23"/>
    <mergeCell ref="AX22:AZ22"/>
    <mergeCell ref="AU22:AW22"/>
    <mergeCell ref="AX21:AZ21"/>
    <mergeCell ref="AU21:AW21"/>
    <mergeCell ref="AX20:AZ20"/>
    <mergeCell ref="AU20:AW20"/>
    <mergeCell ref="AF21:AH21"/>
    <mergeCell ref="AI21:AK21"/>
    <mergeCell ref="AL20:AN20"/>
    <mergeCell ref="AL21:AN21"/>
    <mergeCell ref="F34:O34"/>
    <mergeCell ref="X34:AG34"/>
    <mergeCell ref="AL34:AY34"/>
    <mergeCell ref="AO25:AQ25"/>
    <mergeCell ref="AR25:AT25"/>
    <mergeCell ref="AU25:AW25"/>
    <mergeCell ref="AX25:AZ25"/>
    <mergeCell ref="Q24:S24"/>
    <mergeCell ref="T24:V24"/>
    <mergeCell ref="W24:Y24"/>
    <mergeCell ref="Z24:AB24"/>
    <mergeCell ref="AC24:AE24"/>
    <mergeCell ref="AF24:AH24"/>
    <mergeCell ref="AI24:AK24"/>
    <mergeCell ref="AL24:AN24"/>
    <mergeCell ref="F32:O32"/>
    <mergeCell ref="T32:AG32"/>
    <mergeCell ref="AL32:AY33"/>
    <mergeCell ref="F33:O33"/>
    <mergeCell ref="T33:AG33"/>
    <mergeCell ref="AL25:AN25"/>
    <mergeCell ref="Q25:S25"/>
    <mergeCell ref="AX24:AZ24"/>
    <mergeCell ref="AU24:AW24"/>
    <mergeCell ref="AD11:AZ11"/>
    <mergeCell ref="I12:Q12"/>
    <mergeCell ref="R12:Z12"/>
    <mergeCell ref="AL22:AN22"/>
    <mergeCell ref="T22:V22"/>
    <mergeCell ref="W22:Y22"/>
    <mergeCell ref="Z22:AB22"/>
    <mergeCell ref="AC22:AE22"/>
    <mergeCell ref="AF22:AH22"/>
    <mergeCell ref="AI22:AK22"/>
    <mergeCell ref="Z17:AB17"/>
    <mergeCell ref="AC17:AE17"/>
    <mergeCell ref="AF17:AH17"/>
    <mergeCell ref="AL18:AN18"/>
    <mergeCell ref="Q19:S19"/>
    <mergeCell ref="T19:V19"/>
    <mergeCell ref="W19:Y19"/>
    <mergeCell ref="Z19:AB19"/>
    <mergeCell ref="AC19:AE19"/>
    <mergeCell ref="AR22:AT22"/>
    <mergeCell ref="AR21:AT21"/>
    <mergeCell ref="AR20:AT20"/>
    <mergeCell ref="AR19:AT19"/>
    <mergeCell ref="AF19:AH19"/>
  </mergeCells>
  <dataValidations count="3">
    <dataValidation type="whole" allowBlank="1" showErrorMessage="1" errorTitle="GJHSP SY 2021-2022" error="Please enter valid number between 0-999." sqref="Q17:AZ24" xr:uid="{E29E32FA-7B48-4AB5-B886-1BBC735C40A8}">
      <formula1>0</formula1>
      <formula2>999</formula2>
    </dataValidation>
    <dataValidation type="whole" allowBlank="1" showInputMessage="1" showErrorMessage="1" errorTitle="GJHSP SY 2022-2023" error="Please enter valid number between 0-999." sqref="AO25:AZ25" xr:uid="{935ACD4E-64A6-4DB5-9D20-64FA8024F44C}">
      <formula1>0</formula1>
      <formula2>999</formula2>
    </dataValidation>
    <dataValidation type="whole" allowBlank="1" showErrorMessage="1" errorTitle="GJHSP SY 2022-2023" error="Please enter valid number between 0-999." sqref="I7:N10 R7:W10" xr:uid="{E2633AC0-C994-4F7F-95EB-A0762C1D3587}">
      <formula1>0</formula1>
      <formula2>999</formula2>
    </dataValidation>
  </dataValidations>
  <printOptions horizontalCentered="1" verticalCentered="1"/>
  <pageMargins left="0.23622047244094491" right="0.23622047244094491" top="0.19685039370078741" bottom="0.19685039370078741" header="0" footer="0.11811023622047245"/>
  <pageSetup paperSize="14" scale="65" orientation="landscape" r:id="rId1"/>
  <headerFooter alignWithMargins="0">
    <oddFooter>&amp;L&amp;10&amp;F &amp;A&amp;R&amp;10Page 13 of 63</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92F04-7A90-4661-B372-8341675EF243}">
  <sheetPr codeName="Sheet23">
    <pageSetUpPr fitToPage="1"/>
  </sheetPr>
  <dimension ref="B1:BX50"/>
  <sheetViews>
    <sheetView showGridLines="0" zoomScaleNormal="100" workbookViewId="0">
      <selection activeCell="P43" sqref="P43:R43"/>
    </sheetView>
  </sheetViews>
  <sheetFormatPr defaultColWidth="9" defaultRowHeight="15.5" x14ac:dyDescent="0.35"/>
  <cols>
    <col min="1" max="1" width="2.08203125" style="44" customWidth="1"/>
    <col min="2" max="60" width="3.58203125" style="44" customWidth="1"/>
    <col min="61" max="61" width="2.08203125" style="44" customWidth="1"/>
    <col min="62" max="74" width="3.58203125" style="44" customWidth="1"/>
    <col min="75" max="16384" width="9" style="44"/>
  </cols>
  <sheetData>
    <row r="1" spans="2:62" ht="12" customHeight="1" x14ac:dyDescent="0.35"/>
    <row r="2" spans="2:62" s="110" customFormat="1" ht="15.75" customHeight="1" x14ac:dyDescent="0.35">
      <c r="B2" s="111" t="s">
        <v>1118</v>
      </c>
      <c r="C2" s="111"/>
      <c r="D2" s="111"/>
      <c r="E2" s="111"/>
      <c r="F2" s="111"/>
      <c r="G2" s="111"/>
      <c r="H2" s="111"/>
      <c r="I2" s="111"/>
      <c r="J2" s="111"/>
      <c r="K2" s="111"/>
      <c r="L2" s="111"/>
      <c r="M2" s="111"/>
      <c r="N2" s="111"/>
      <c r="O2" s="111"/>
      <c r="P2" s="111"/>
      <c r="Q2" s="111"/>
      <c r="R2" s="111"/>
      <c r="S2" s="111"/>
      <c r="T2" s="111"/>
      <c r="U2" s="111"/>
      <c r="V2" s="111"/>
      <c r="W2" s="111"/>
      <c r="X2" s="389"/>
      <c r="Y2" s="389"/>
      <c r="Z2" s="389"/>
      <c r="AA2" s="389"/>
      <c r="AB2" s="389"/>
      <c r="AC2" s="389"/>
      <c r="AD2" s="389"/>
      <c r="AE2" s="389"/>
      <c r="AF2" s="389"/>
      <c r="AG2" s="389"/>
      <c r="AL2" s="111" t="s">
        <v>1119</v>
      </c>
      <c r="AM2" s="111"/>
      <c r="AN2" s="111"/>
      <c r="AO2" s="111"/>
      <c r="AP2" s="111"/>
      <c r="AQ2" s="111"/>
      <c r="AR2" s="111"/>
      <c r="AS2" s="111"/>
      <c r="AT2" s="111"/>
      <c r="AU2" s="111"/>
      <c r="AV2" s="111"/>
      <c r="AW2" s="111"/>
      <c r="AX2" s="111"/>
      <c r="AY2" s="111"/>
      <c r="AZ2" s="111"/>
      <c r="BA2" s="111"/>
      <c r="BB2" s="111"/>
      <c r="BC2" s="111"/>
      <c r="BD2" s="111"/>
      <c r="BE2" s="111"/>
      <c r="BF2" s="111"/>
      <c r="BG2" s="111"/>
      <c r="BH2" s="389"/>
      <c r="BI2" s="389"/>
    </row>
    <row r="3" spans="2:62" s="110" customFormat="1" ht="16.5" customHeight="1" thickBot="1" x14ac:dyDescent="0.4">
      <c r="B3" s="111" t="s">
        <v>12694</v>
      </c>
      <c r="C3" s="111"/>
      <c r="D3" s="111"/>
      <c r="E3" s="111"/>
      <c r="F3" s="111"/>
      <c r="G3" s="111"/>
      <c r="H3" s="111"/>
      <c r="I3" s="111"/>
      <c r="J3" s="111"/>
      <c r="K3" s="111"/>
      <c r="L3" s="111"/>
      <c r="M3" s="111"/>
      <c r="N3" s="111"/>
      <c r="O3" s="111"/>
      <c r="P3" s="111"/>
      <c r="Q3" s="111"/>
      <c r="R3" s="111"/>
      <c r="S3" s="111"/>
      <c r="T3" s="111"/>
      <c r="U3" s="111"/>
      <c r="V3" s="111"/>
      <c r="W3" s="111"/>
      <c r="X3" s="389"/>
      <c r="Y3" s="389"/>
      <c r="Z3" s="389"/>
      <c r="AA3" s="389"/>
      <c r="AB3" s="389"/>
      <c r="AC3" s="389"/>
      <c r="AD3" s="389"/>
      <c r="AE3" s="389"/>
      <c r="AF3" s="389"/>
      <c r="AG3" s="389"/>
      <c r="AL3" s="111" t="s">
        <v>12694</v>
      </c>
      <c r="AM3" s="111"/>
      <c r="AN3" s="111"/>
      <c r="AO3" s="111"/>
      <c r="AP3" s="111"/>
      <c r="AQ3" s="111"/>
      <c r="AR3" s="111"/>
      <c r="AS3" s="111"/>
      <c r="AT3" s="111"/>
      <c r="AU3" s="111"/>
      <c r="AV3" s="111"/>
      <c r="AW3" s="111"/>
      <c r="AX3" s="111"/>
      <c r="AY3" s="111"/>
      <c r="AZ3" s="111"/>
      <c r="BA3" s="111"/>
      <c r="BB3" s="111"/>
      <c r="BC3" s="111"/>
      <c r="BD3" s="111"/>
      <c r="BE3" s="111"/>
      <c r="BF3" s="111"/>
      <c r="BG3" s="111"/>
      <c r="BH3" s="389"/>
      <c r="BI3" s="389"/>
    </row>
    <row r="4" spans="2:62" ht="25" customHeight="1" thickTop="1" thickBot="1" x14ac:dyDescent="0.4">
      <c r="B4" s="1585" t="s">
        <v>749</v>
      </c>
      <c r="C4" s="1586"/>
      <c r="D4" s="1586"/>
      <c r="E4" s="1586"/>
      <c r="F4" s="1586"/>
      <c r="G4" s="1586"/>
      <c r="H4" s="1586"/>
      <c r="I4" s="1586"/>
      <c r="J4" s="1586"/>
      <c r="K4" s="1586"/>
      <c r="L4" s="2359"/>
      <c r="M4" s="2039" t="s">
        <v>301</v>
      </c>
      <c r="N4" s="1591"/>
      <c r="O4" s="1591"/>
      <c r="P4" s="1591"/>
      <c r="Q4" s="1591"/>
      <c r="R4" s="1591"/>
      <c r="S4" s="1591"/>
      <c r="T4" s="1591"/>
      <c r="U4" s="1591"/>
      <c r="V4" s="1591"/>
      <c r="W4" s="1591"/>
      <c r="X4" s="1592"/>
      <c r="Y4" s="148"/>
      <c r="Z4" s="148"/>
      <c r="AA4" s="148"/>
      <c r="AB4" s="148"/>
      <c r="AC4" s="148"/>
      <c r="AL4" s="1585" t="s">
        <v>602</v>
      </c>
      <c r="AM4" s="1586"/>
      <c r="AN4" s="1586"/>
      <c r="AO4" s="1586"/>
      <c r="AP4" s="1586"/>
      <c r="AQ4" s="1586"/>
      <c r="AR4" s="1586"/>
      <c r="AS4" s="1586"/>
      <c r="AT4" s="1586"/>
      <c r="AU4" s="1586"/>
      <c r="AV4" s="2359"/>
      <c r="AW4" s="2039" t="s">
        <v>301</v>
      </c>
      <c r="AX4" s="1591"/>
      <c r="AY4" s="1591"/>
      <c r="AZ4" s="1591"/>
      <c r="BA4" s="1591"/>
      <c r="BB4" s="1591"/>
      <c r="BC4" s="1591"/>
      <c r="BD4" s="1591"/>
      <c r="BE4" s="1591"/>
      <c r="BF4" s="1591"/>
      <c r="BG4" s="1591"/>
      <c r="BH4" s="1592"/>
    </row>
    <row r="5" spans="2:62" ht="25" customHeight="1" thickBot="1" x14ac:dyDescent="0.4">
      <c r="B5" s="1588"/>
      <c r="C5" s="1589"/>
      <c r="D5" s="1589"/>
      <c r="E5" s="1589"/>
      <c r="F5" s="1589"/>
      <c r="G5" s="1589"/>
      <c r="H5" s="1589"/>
      <c r="I5" s="1589"/>
      <c r="J5" s="1589"/>
      <c r="K5" s="1589"/>
      <c r="L5" s="2360"/>
      <c r="M5" s="2361" t="s">
        <v>14</v>
      </c>
      <c r="N5" s="1589"/>
      <c r="O5" s="1589"/>
      <c r="P5" s="2362"/>
      <c r="Q5" s="2363" t="s">
        <v>15</v>
      </c>
      <c r="R5" s="1589"/>
      <c r="S5" s="1589"/>
      <c r="T5" s="2364"/>
      <c r="U5" s="1589" t="s">
        <v>16</v>
      </c>
      <c r="V5" s="1589"/>
      <c r="W5" s="1589"/>
      <c r="X5" s="2365"/>
      <c r="Y5" s="148"/>
      <c r="Z5" s="148"/>
      <c r="AA5" s="148"/>
      <c r="AB5" s="148"/>
      <c r="AC5" s="148"/>
      <c r="AL5" s="1588"/>
      <c r="AM5" s="1589"/>
      <c r="AN5" s="1589"/>
      <c r="AO5" s="1589"/>
      <c r="AP5" s="1589"/>
      <c r="AQ5" s="1589"/>
      <c r="AR5" s="1589"/>
      <c r="AS5" s="1589"/>
      <c r="AT5" s="1589"/>
      <c r="AU5" s="1589"/>
      <c r="AV5" s="2360"/>
      <c r="AW5" s="2361" t="s">
        <v>14</v>
      </c>
      <c r="AX5" s="1589"/>
      <c r="AY5" s="1589"/>
      <c r="AZ5" s="2362"/>
      <c r="BA5" s="2363" t="s">
        <v>15</v>
      </c>
      <c r="BB5" s="1589"/>
      <c r="BC5" s="1589"/>
      <c r="BD5" s="2364"/>
      <c r="BE5" s="1589" t="s">
        <v>16</v>
      </c>
      <c r="BF5" s="1589"/>
      <c r="BG5" s="1589"/>
      <c r="BH5" s="2365"/>
    </row>
    <row r="6" spans="2:62" ht="30" customHeight="1" thickTop="1" x14ac:dyDescent="0.35">
      <c r="B6" s="388" t="s">
        <v>596</v>
      </c>
      <c r="C6" s="112"/>
      <c r="D6" s="112"/>
      <c r="E6" s="112"/>
      <c r="F6" s="112"/>
      <c r="G6" s="112"/>
      <c r="H6" s="112"/>
      <c r="I6" s="112"/>
      <c r="J6" s="112"/>
      <c r="K6" s="112"/>
      <c r="L6" s="256"/>
      <c r="M6" s="2351">
        <v>10</v>
      </c>
      <c r="N6" s="2352"/>
      <c r="O6" s="2352"/>
      <c r="P6" s="2353"/>
      <c r="Q6" s="2354">
        <v>17</v>
      </c>
      <c r="R6" s="2352"/>
      <c r="S6" s="2352"/>
      <c r="T6" s="2355"/>
      <c r="U6" s="2356">
        <f>SUM(M6:T6)</f>
        <v>27</v>
      </c>
      <c r="V6" s="2356"/>
      <c r="W6" s="2356"/>
      <c r="X6" s="2357"/>
      <c r="Y6" s="120"/>
      <c r="Z6" s="120"/>
      <c r="AA6" s="120"/>
      <c r="AB6" s="120"/>
      <c r="AC6" s="120"/>
      <c r="AL6" s="387" t="s">
        <v>601</v>
      </c>
      <c r="AM6" s="112"/>
      <c r="AN6" s="112"/>
      <c r="AO6" s="112"/>
      <c r="AP6" s="112"/>
      <c r="AQ6" s="112"/>
      <c r="AR6" s="112"/>
      <c r="AS6" s="112"/>
      <c r="AT6" s="112"/>
      <c r="AU6" s="112"/>
      <c r="AV6" s="256"/>
      <c r="AW6" s="2351">
        <v>0</v>
      </c>
      <c r="AX6" s="2352"/>
      <c r="AY6" s="2352"/>
      <c r="AZ6" s="2353"/>
      <c r="BA6" s="2354">
        <v>5</v>
      </c>
      <c r="BB6" s="2352"/>
      <c r="BC6" s="2352"/>
      <c r="BD6" s="2355"/>
      <c r="BE6" s="2356">
        <f>SUM(AW6:BD6)</f>
        <v>5</v>
      </c>
      <c r="BF6" s="2356"/>
      <c r="BG6" s="2356"/>
      <c r="BH6" s="2358"/>
    </row>
    <row r="7" spans="2:62" ht="30" customHeight="1" x14ac:dyDescent="0.35">
      <c r="B7" s="385" t="s">
        <v>597</v>
      </c>
      <c r="C7" s="107"/>
      <c r="D7" s="107"/>
      <c r="E7" s="107"/>
      <c r="F7" s="107"/>
      <c r="G7" s="107"/>
      <c r="H7" s="107"/>
      <c r="I7" s="107"/>
      <c r="J7" s="107"/>
      <c r="K7" s="107"/>
      <c r="L7" s="108"/>
      <c r="M7" s="2366">
        <v>7</v>
      </c>
      <c r="N7" s="2367"/>
      <c r="O7" s="2367"/>
      <c r="P7" s="2368"/>
      <c r="Q7" s="2369">
        <v>33</v>
      </c>
      <c r="R7" s="2367"/>
      <c r="S7" s="2367"/>
      <c r="T7" s="2370"/>
      <c r="U7" s="2371">
        <f t="shared" ref="U7:U10" si="0">SUM(M7:T7)</f>
        <v>40</v>
      </c>
      <c r="V7" s="2371"/>
      <c r="W7" s="2371"/>
      <c r="X7" s="2372"/>
      <c r="Y7" s="120"/>
      <c r="Z7" s="120"/>
      <c r="AA7" s="120"/>
      <c r="AB7" s="120"/>
      <c r="AC7" s="120"/>
      <c r="AL7" s="382" t="s">
        <v>603</v>
      </c>
      <c r="AM7" s="107"/>
      <c r="AN7" s="107"/>
      <c r="AO7" s="107"/>
      <c r="AP7" s="107"/>
      <c r="AQ7" s="107"/>
      <c r="AR7" s="107"/>
      <c r="AS7" s="107"/>
      <c r="AT7" s="107"/>
      <c r="AU7" s="107"/>
      <c r="AV7" s="108"/>
      <c r="AW7" s="2366">
        <v>1</v>
      </c>
      <c r="AX7" s="2367"/>
      <c r="AY7" s="2367"/>
      <c r="AZ7" s="2368"/>
      <c r="BA7" s="2369">
        <v>1</v>
      </c>
      <c r="BB7" s="2367"/>
      <c r="BC7" s="2367"/>
      <c r="BD7" s="2370"/>
      <c r="BE7" s="2371">
        <f t="shared" ref="BE7:BE10" si="1">SUM(AW7:BD7)</f>
        <v>2</v>
      </c>
      <c r="BF7" s="2371"/>
      <c r="BG7" s="2371"/>
      <c r="BH7" s="2373"/>
    </row>
    <row r="8" spans="2:62" ht="30" customHeight="1" x14ac:dyDescent="0.35">
      <c r="B8" s="385" t="s">
        <v>598</v>
      </c>
      <c r="C8" s="107"/>
      <c r="D8" s="107"/>
      <c r="E8" s="107"/>
      <c r="F8" s="107"/>
      <c r="G8" s="107"/>
      <c r="H8" s="107"/>
      <c r="I8" s="107"/>
      <c r="J8" s="107"/>
      <c r="K8" s="107"/>
      <c r="L8" s="108"/>
      <c r="M8" s="2366">
        <v>1</v>
      </c>
      <c r="N8" s="2367"/>
      <c r="O8" s="2367"/>
      <c r="P8" s="2368"/>
      <c r="Q8" s="2369">
        <v>4</v>
      </c>
      <c r="R8" s="2367"/>
      <c r="S8" s="2367"/>
      <c r="T8" s="2370"/>
      <c r="U8" s="2371">
        <f t="shared" si="0"/>
        <v>5</v>
      </c>
      <c r="V8" s="2371"/>
      <c r="W8" s="2371"/>
      <c r="X8" s="2372"/>
      <c r="Y8" s="120"/>
      <c r="Z8" s="120"/>
      <c r="AA8" s="120"/>
      <c r="AB8" s="120"/>
      <c r="AC8" s="120"/>
      <c r="AL8" s="382" t="s">
        <v>604</v>
      </c>
      <c r="AM8" s="107"/>
      <c r="AN8" s="107"/>
      <c r="AO8" s="107"/>
      <c r="AP8" s="107"/>
      <c r="AQ8" s="107"/>
      <c r="AR8" s="107"/>
      <c r="AS8" s="107"/>
      <c r="AT8" s="107"/>
      <c r="AU8" s="107"/>
      <c r="AV8" s="108"/>
      <c r="AW8" s="2366">
        <v>1</v>
      </c>
      <c r="AX8" s="2367"/>
      <c r="AY8" s="2367"/>
      <c r="AZ8" s="2368"/>
      <c r="BA8" s="2369">
        <v>0</v>
      </c>
      <c r="BB8" s="2367"/>
      <c r="BC8" s="2367"/>
      <c r="BD8" s="2370"/>
      <c r="BE8" s="2371">
        <f t="shared" si="1"/>
        <v>1</v>
      </c>
      <c r="BF8" s="2371"/>
      <c r="BG8" s="2371"/>
      <c r="BH8" s="2373"/>
    </row>
    <row r="9" spans="2:62" ht="30" customHeight="1" x14ac:dyDescent="0.35">
      <c r="B9" s="385" t="s">
        <v>599</v>
      </c>
      <c r="C9" s="107"/>
      <c r="D9" s="107"/>
      <c r="E9" s="107"/>
      <c r="F9" s="107"/>
      <c r="G9" s="107"/>
      <c r="H9" s="107"/>
      <c r="I9" s="107"/>
      <c r="J9" s="107"/>
      <c r="K9" s="107"/>
      <c r="L9" s="108"/>
      <c r="M9" s="2366">
        <v>0</v>
      </c>
      <c r="N9" s="2367"/>
      <c r="O9" s="2367"/>
      <c r="P9" s="2368"/>
      <c r="Q9" s="2369">
        <v>1</v>
      </c>
      <c r="R9" s="2367"/>
      <c r="S9" s="2367"/>
      <c r="T9" s="2370"/>
      <c r="U9" s="2371">
        <f t="shared" si="0"/>
        <v>1</v>
      </c>
      <c r="V9" s="2371"/>
      <c r="W9" s="2371"/>
      <c r="X9" s="2372"/>
      <c r="Y9" s="120"/>
      <c r="Z9" s="120"/>
      <c r="AA9" s="120"/>
      <c r="AB9" s="120"/>
      <c r="AC9" s="120"/>
      <c r="AL9" s="382" t="s">
        <v>605</v>
      </c>
      <c r="AM9" s="107"/>
      <c r="AN9" s="107"/>
      <c r="AO9" s="107"/>
      <c r="AP9" s="107"/>
      <c r="AQ9" s="107"/>
      <c r="AR9" s="107"/>
      <c r="AS9" s="107"/>
      <c r="AT9" s="107"/>
      <c r="AU9" s="107"/>
      <c r="AV9" s="108"/>
      <c r="AW9" s="2366">
        <v>0</v>
      </c>
      <c r="AX9" s="2367"/>
      <c r="AY9" s="2367"/>
      <c r="AZ9" s="2368"/>
      <c r="BA9" s="2369">
        <v>4</v>
      </c>
      <c r="BB9" s="2367"/>
      <c r="BC9" s="2367"/>
      <c r="BD9" s="2370"/>
      <c r="BE9" s="2371">
        <f t="shared" si="1"/>
        <v>4</v>
      </c>
      <c r="BF9" s="2371"/>
      <c r="BG9" s="2371"/>
      <c r="BH9" s="2373"/>
    </row>
    <row r="10" spans="2:62" ht="30" customHeight="1" thickBot="1" x14ac:dyDescent="0.4">
      <c r="B10" s="386" t="s">
        <v>600</v>
      </c>
      <c r="C10" s="264"/>
      <c r="D10" s="264"/>
      <c r="E10" s="264"/>
      <c r="F10" s="264"/>
      <c r="G10" s="264"/>
      <c r="H10" s="264"/>
      <c r="I10" s="264"/>
      <c r="J10" s="264"/>
      <c r="K10" s="264"/>
      <c r="L10" s="384"/>
      <c r="M10" s="2374">
        <v>0</v>
      </c>
      <c r="N10" s="2375"/>
      <c r="O10" s="2375"/>
      <c r="P10" s="2376"/>
      <c r="Q10" s="2377">
        <v>0</v>
      </c>
      <c r="R10" s="2375"/>
      <c r="S10" s="2375"/>
      <c r="T10" s="2378"/>
      <c r="U10" s="2379">
        <f t="shared" si="0"/>
        <v>0</v>
      </c>
      <c r="V10" s="2379"/>
      <c r="W10" s="2379"/>
      <c r="X10" s="2380"/>
      <c r="Y10" s="120"/>
      <c r="Z10" s="120"/>
      <c r="AA10" s="120"/>
      <c r="AB10" s="120"/>
      <c r="AC10" s="120"/>
      <c r="AL10" s="383" t="s">
        <v>18</v>
      </c>
      <c r="AM10" s="264"/>
      <c r="AN10" s="264"/>
      <c r="AO10" s="264"/>
      <c r="AP10" s="264"/>
      <c r="AQ10" s="264"/>
      <c r="AR10" s="264"/>
      <c r="AS10" s="264"/>
      <c r="AT10" s="264"/>
      <c r="AU10" s="264"/>
      <c r="AV10" s="384"/>
      <c r="AW10" s="2374">
        <v>0</v>
      </c>
      <c r="AX10" s="2375"/>
      <c r="AY10" s="2375"/>
      <c r="AZ10" s="2376"/>
      <c r="BA10" s="2377">
        <v>1</v>
      </c>
      <c r="BB10" s="2375"/>
      <c r="BC10" s="2375"/>
      <c r="BD10" s="2378"/>
      <c r="BE10" s="2379">
        <f t="shared" si="1"/>
        <v>1</v>
      </c>
      <c r="BF10" s="2379"/>
      <c r="BG10" s="2379"/>
      <c r="BH10" s="2381"/>
    </row>
    <row r="11" spans="2:62" ht="30" customHeight="1" thickTop="1" thickBot="1" x14ac:dyDescent="0.4">
      <c r="B11" s="2033" t="s">
        <v>16</v>
      </c>
      <c r="C11" s="2034"/>
      <c r="D11" s="2034"/>
      <c r="E11" s="2034"/>
      <c r="F11" s="2034"/>
      <c r="G11" s="2034"/>
      <c r="H11" s="2034"/>
      <c r="I11" s="2034"/>
      <c r="J11" s="2034"/>
      <c r="K11" s="2034"/>
      <c r="L11" s="2035"/>
      <c r="M11" s="2389">
        <f>SUM(M6:P10)</f>
        <v>18</v>
      </c>
      <c r="N11" s="2384"/>
      <c r="O11" s="2384"/>
      <c r="P11" s="2390"/>
      <c r="Q11" s="2382">
        <f t="shared" ref="Q11" si="2">SUM(Q6:T10)</f>
        <v>55</v>
      </c>
      <c r="R11" s="2382"/>
      <c r="S11" s="2382"/>
      <c r="T11" s="2382"/>
      <c r="U11" s="2383">
        <f t="shared" ref="U11" si="3">SUM(U6:X10)</f>
        <v>73</v>
      </c>
      <c r="V11" s="2384"/>
      <c r="W11" s="2384"/>
      <c r="X11" s="2391"/>
      <c r="Y11" s="148"/>
      <c r="Z11" s="148"/>
      <c r="AA11" s="148"/>
      <c r="AB11" s="148"/>
      <c r="AC11" s="148"/>
      <c r="AL11" s="2033" t="s">
        <v>16</v>
      </c>
      <c r="AM11" s="2034"/>
      <c r="AN11" s="2034"/>
      <c r="AO11" s="2034"/>
      <c r="AP11" s="2034"/>
      <c r="AQ11" s="2034"/>
      <c r="AR11" s="2034"/>
      <c r="AS11" s="2034"/>
      <c r="AT11" s="2034"/>
      <c r="AU11" s="2034"/>
      <c r="AV11" s="2035"/>
      <c r="AW11" s="2389">
        <f>SUM(AW6:AZ10)</f>
        <v>2</v>
      </c>
      <c r="AX11" s="2384"/>
      <c r="AY11" s="2384"/>
      <c r="AZ11" s="2390"/>
      <c r="BA11" s="2382">
        <f t="shared" ref="BA11" si="4">SUM(BA6:BD10)</f>
        <v>11</v>
      </c>
      <c r="BB11" s="2382"/>
      <c r="BC11" s="2382"/>
      <c r="BD11" s="2382"/>
      <c r="BE11" s="2383">
        <f t="shared" ref="BE11" si="5">SUM(BE6:BH10)</f>
        <v>13</v>
      </c>
      <c r="BF11" s="2384"/>
      <c r="BG11" s="2384"/>
      <c r="BH11" s="2385"/>
    </row>
    <row r="12" spans="2:62" s="158" customFormat="1" ht="15.75" customHeight="1" thickTop="1" x14ac:dyDescent="0.35">
      <c r="B12" s="238" t="s">
        <v>171</v>
      </c>
      <c r="E12" s="238" t="s">
        <v>1152</v>
      </c>
      <c r="F12" s="344"/>
      <c r="G12" s="344"/>
      <c r="H12" s="344"/>
      <c r="I12" s="344"/>
      <c r="J12" s="344"/>
      <c r="K12" s="344"/>
      <c r="L12" s="344"/>
      <c r="M12" s="344"/>
      <c r="N12" s="344"/>
      <c r="O12" s="344"/>
      <c r="P12" s="344"/>
      <c r="Q12" s="344"/>
      <c r="R12" s="344"/>
      <c r="S12" s="344"/>
      <c r="T12" s="344"/>
      <c r="U12" s="344"/>
      <c r="V12" s="344"/>
      <c r="W12" s="344"/>
      <c r="X12" s="344"/>
      <c r="Y12" s="344"/>
      <c r="Z12" s="344"/>
      <c r="AA12" s="344"/>
      <c r="AB12" s="344"/>
      <c r="AC12" s="344"/>
      <c r="AD12" s="344"/>
      <c r="AE12" s="344"/>
      <c r="AF12" s="344"/>
      <c r="AG12" s="344"/>
      <c r="AH12" s="344"/>
      <c r="AI12" s="344"/>
      <c r="AJ12" s="344"/>
      <c r="AK12" s="123"/>
      <c r="AL12" s="238" t="s">
        <v>171</v>
      </c>
      <c r="AO12" s="238" t="s">
        <v>1064</v>
      </c>
      <c r="AP12" s="344"/>
      <c r="AQ12" s="344"/>
      <c r="AR12" s="344"/>
      <c r="AS12" s="344"/>
      <c r="AT12" s="344"/>
      <c r="AU12" s="344"/>
      <c r="AV12" s="344"/>
      <c r="AW12" s="344"/>
      <c r="AX12" s="344"/>
      <c r="AY12" s="344"/>
      <c r="AZ12" s="344"/>
      <c r="BA12" s="344"/>
      <c r="BB12" s="344"/>
      <c r="BC12" s="344"/>
      <c r="BD12" s="344"/>
      <c r="BE12" s="344"/>
      <c r="BF12" s="344"/>
      <c r="BG12" s="344"/>
      <c r="BH12" s="344"/>
      <c r="BI12" s="344"/>
      <c r="BJ12" s="344"/>
    </row>
    <row r="13" spans="2:62" s="158" customFormat="1" ht="15.75" customHeight="1" x14ac:dyDescent="0.35">
      <c r="B13" s="44"/>
      <c r="C13" s="123"/>
      <c r="D13" s="44"/>
      <c r="E13" s="304" t="s">
        <v>743</v>
      </c>
      <c r="F13" s="44"/>
      <c r="G13" s="44"/>
      <c r="H13" s="44"/>
      <c r="I13" s="44"/>
      <c r="J13" s="44"/>
      <c r="K13" s="44"/>
      <c r="L13" s="44"/>
      <c r="M13" s="44"/>
      <c r="N13" s="44"/>
      <c r="O13" s="44"/>
      <c r="P13" s="44"/>
      <c r="Q13" s="44"/>
      <c r="R13" s="44"/>
      <c r="S13" s="44"/>
      <c r="T13" s="44"/>
      <c r="U13" s="44"/>
      <c r="V13" s="44"/>
      <c r="W13" s="44"/>
      <c r="X13" s="344"/>
      <c r="Y13" s="344"/>
      <c r="Z13" s="344"/>
      <c r="AA13" s="344"/>
      <c r="AB13" s="344"/>
      <c r="AC13" s="344"/>
      <c r="AD13" s="344"/>
      <c r="AE13" s="344"/>
      <c r="AF13" s="344"/>
      <c r="AG13" s="344"/>
      <c r="AH13" s="123"/>
      <c r="AK13" s="123"/>
      <c r="AL13" s="44"/>
      <c r="AM13" s="123"/>
      <c r="AN13" s="44"/>
      <c r="AO13" s="304" t="s">
        <v>1065</v>
      </c>
      <c r="AP13" s="44"/>
      <c r="AQ13" s="44"/>
      <c r="AR13" s="44"/>
      <c r="AS13" s="44"/>
      <c r="AT13" s="44"/>
      <c r="AU13" s="44"/>
      <c r="AV13" s="44"/>
      <c r="AW13" s="44"/>
      <c r="AX13" s="44"/>
      <c r="AY13" s="44"/>
      <c r="AZ13" s="44"/>
      <c r="BA13" s="44"/>
      <c r="BB13" s="44"/>
      <c r="BC13" s="44"/>
      <c r="BD13" s="44"/>
      <c r="BE13" s="44"/>
      <c r="BF13" s="44"/>
      <c r="BG13" s="44"/>
      <c r="BH13" s="344"/>
      <c r="BI13" s="344"/>
      <c r="BJ13" s="344"/>
    </row>
    <row r="14" spans="2:62" s="158" customFormat="1" ht="15.75" customHeight="1" x14ac:dyDescent="0.35">
      <c r="B14" s="44"/>
      <c r="C14" s="123"/>
      <c r="D14" s="44"/>
      <c r="E14" s="304" t="s">
        <v>744</v>
      </c>
      <c r="F14" s="44"/>
      <c r="G14" s="44"/>
      <c r="H14" s="44"/>
      <c r="I14" s="44"/>
      <c r="J14" s="44"/>
      <c r="K14" s="44"/>
      <c r="L14" s="44"/>
      <c r="M14" s="44"/>
      <c r="N14" s="44"/>
      <c r="O14" s="44"/>
      <c r="P14" s="44"/>
      <c r="Q14" s="44"/>
      <c r="R14" s="44"/>
      <c r="S14" s="44"/>
      <c r="T14" s="44"/>
      <c r="U14" s="44"/>
      <c r="V14" s="44"/>
      <c r="W14" s="44"/>
      <c r="X14" s="344"/>
      <c r="Y14" s="344"/>
      <c r="Z14" s="344"/>
      <c r="AA14" s="344"/>
      <c r="AB14" s="344"/>
      <c r="AC14" s="344"/>
      <c r="AD14" s="344"/>
      <c r="AE14" s="344"/>
      <c r="AF14" s="344"/>
      <c r="AG14" s="344"/>
      <c r="AH14" s="344"/>
      <c r="AI14" s="123"/>
      <c r="AL14" s="44"/>
      <c r="AM14" s="123"/>
      <c r="AN14" s="44"/>
      <c r="AO14" s="304"/>
      <c r="AP14" s="44"/>
      <c r="AQ14" s="44"/>
      <c r="AR14" s="44"/>
      <c r="AS14" s="44"/>
      <c r="AT14" s="44"/>
      <c r="AU14" s="44"/>
      <c r="AV14" s="44"/>
      <c r="AW14" s="44"/>
      <c r="AX14" s="44"/>
      <c r="AY14" s="44"/>
      <c r="AZ14" s="44"/>
      <c r="BA14" s="44"/>
      <c r="BB14" s="44"/>
      <c r="BC14" s="44"/>
      <c r="BD14" s="44"/>
      <c r="BE14" s="44"/>
      <c r="BF14" s="44"/>
      <c r="BG14" s="44"/>
      <c r="BH14" s="344"/>
      <c r="BI14" s="344"/>
      <c r="BJ14" s="344"/>
    </row>
    <row r="15" spans="2:62" ht="30" customHeight="1" x14ac:dyDescent="0.35">
      <c r="C15" s="123"/>
    </row>
    <row r="16" spans="2:62" ht="17" thickBot="1" x14ac:dyDescent="0.4">
      <c r="B16" s="380" t="s">
        <v>12695</v>
      </c>
      <c r="C16" s="206"/>
      <c r="D16" s="206"/>
      <c r="E16" s="206"/>
      <c r="F16" s="206"/>
      <c r="G16" s="206"/>
      <c r="H16" s="206"/>
      <c r="I16" s="206"/>
      <c r="J16" s="206"/>
      <c r="K16" s="206"/>
      <c r="L16" s="206"/>
      <c r="M16" s="206"/>
      <c r="N16" s="206"/>
      <c r="O16" s="206"/>
      <c r="P16" s="206"/>
      <c r="Q16" s="206"/>
      <c r="R16" s="206"/>
      <c r="S16" s="206"/>
      <c r="T16" s="206"/>
      <c r="U16" s="206"/>
      <c r="V16" s="206"/>
      <c r="W16" s="206"/>
      <c r="X16" s="206"/>
      <c r="Y16" s="206"/>
      <c r="Z16" s="206"/>
      <c r="AA16" s="206"/>
      <c r="AB16" s="206"/>
      <c r="AC16" s="206"/>
      <c r="AD16" s="206"/>
      <c r="AE16" s="206"/>
    </row>
    <row r="17" spans="2:62" s="73" customFormat="1" ht="21" customHeight="1" thickTop="1" thickBot="1" x14ac:dyDescent="0.35">
      <c r="B17" s="2041" t="s">
        <v>620</v>
      </c>
      <c r="C17" s="2042"/>
      <c r="D17" s="2042"/>
      <c r="E17" s="2042"/>
      <c r="F17" s="2042"/>
      <c r="G17" s="2042"/>
      <c r="H17" s="2042"/>
      <c r="I17" s="2042"/>
      <c r="J17" s="2043"/>
      <c r="K17" s="2260" t="s">
        <v>621</v>
      </c>
      <c r="L17" s="2261"/>
      <c r="M17" s="2261"/>
      <c r="N17" s="2261"/>
      <c r="O17" s="2261"/>
      <c r="P17" s="2261"/>
      <c r="Q17" s="2261"/>
      <c r="R17" s="2261"/>
      <c r="S17" s="2261"/>
      <c r="T17" s="2261"/>
      <c r="U17" s="2261"/>
      <c r="V17" s="2261"/>
      <c r="W17" s="2261"/>
      <c r="X17" s="2261"/>
      <c r="Y17" s="2261"/>
      <c r="Z17" s="2261"/>
      <c r="AA17" s="2261"/>
      <c r="AB17" s="2261"/>
      <c r="AC17" s="2261"/>
      <c r="AD17" s="2261"/>
      <c r="AE17" s="2261"/>
      <c r="AF17" s="2261"/>
      <c r="AG17" s="2261"/>
      <c r="AH17" s="2261"/>
      <c r="AI17" s="2261"/>
      <c r="AJ17" s="2261"/>
      <c r="AK17" s="2261"/>
      <c r="AL17" s="2261"/>
      <c r="AM17" s="2261"/>
      <c r="AN17" s="2386"/>
      <c r="AO17" s="2260" t="s">
        <v>622</v>
      </c>
      <c r="AP17" s="2261"/>
      <c r="AQ17" s="2261"/>
      <c r="AR17" s="2261"/>
      <c r="AS17" s="2261"/>
      <c r="AT17" s="2261"/>
      <c r="AU17" s="2261"/>
      <c r="AV17" s="2261"/>
      <c r="AW17" s="2261"/>
      <c r="AX17" s="2261"/>
      <c r="AY17" s="2261"/>
      <c r="AZ17" s="2261"/>
      <c r="BA17" s="2261"/>
      <c r="BB17" s="2261"/>
      <c r="BC17" s="2261"/>
      <c r="BD17" s="2261"/>
      <c r="BE17" s="2261"/>
      <c r="BF17" s="2261"/>
      <c r="BG17" s="2261"/>
      <c r="BH17" s="2262"/>
      <c r="BI17" s="137"/>
    </row>
    <row r="18" spans="2:62" s="73" customFormat="1" ht="21" customHeight="1" thickBot="1" x14ac:dyDescent="0.35">
      <c r="B18" s="2044"/>
      <c r="C18" s="1554"/>
      <c r="D18" s="1554"/>
      <c r="E18" s="1554"/>
      <c r="F18" s="1554"/>
      <c r="G18" s="1554"/>
      <c r="H18" s="1554"/>
      <c r="I18" s="1554"/>
      <c r="J18" s="1555"/>
      <c r="K18" s="2387" t="s">
        <v>1365</v>
      </c>
      <c r="L18" s="1600"/>
      <c r="M18" s="1600"/>
      <c r="N18" s="1600"/>
      <c r="O18" s="1600"/>
      <c r="P18" s="1600"/>
      <c r="Q18" s="1600"/>
      <c r="R18" s="1600"/>
      <c r="S18" s="1600"/>
      <c r="T18" s="2388"/>
      <c r="U18" s="2387" t="s">
        <v>1366</v>
      </c>
      <c r="V18" s="1600"/>
      <c r="W18" s="1600"/>
      <c r="X18" s="1600"/>
      <c r="Y18" s="1600"/>
      <c r="Z18" s="1600"/>
      <c r="AA18" s="1600"/>
      <c r="AB18" s="1600"/>
      <c r="AC18" s="1600"/>
      <c r="AD18" s="2388"/>
      <c r="AE18" s="2387" t="s">
        <v>1367</v>
      </c>
      <c r="AF18" s="1600"/>
      <c r="AG18" s="1600"/>
      <c r="AH18" s="1600"/>
      <c r="AI18" s="1600"/>
      <c r="AJ18" s="1600"/>
      <c r="AK18" s="1600"/>
      <c r="AL18" s="1600"/>
      <c r="AM18" s="1600"/>
      <c r="AN18" s="2388"/>
      <c r="AO18" s="2387" t="s">
        <v>1368</v>
      </c>
      <c r="AP18" s="1600"/>
      <c r="AQ18" s="1600"/>
      <c r="AR18" s="1600"/>
      <c r="AS18" s="1600"/>
      <c r="AT18" s="1600"/>
      <c r="AU18" s="1600"/>
      <c r="AV18" s="1600"/>
      <c r="AW18" s="1600"/>
      <c r="AX18" s="2388"/>
      <c r="AY18" s="2387" t="s">
        <v>1369</v>
      </c>
      <c r="AZ18" s="1600"/>
      <c r="BA18" s="1600"/>
      <c r="BB18" s="1600"/>
      <c r="BC18" s="1600"/>
      <c r="BD18" s="1600"/>
      <c r="BE18" s="1600"/>
      <c r="BF18" s="1600"/>
      <c r="BG18" s="1600"/>
      <c r="BH18" s="1601"/>
      <c r="BI18" s="381"/>
    </row>
    <row r="19" spans="2:62" s="73" customFormat="1" ht="36.65" customHeight="1" x14ac:dyDescent="0.3">
      <c r="B19" s="2044"/>
      <c r="C19" s="1554"/>
      <c r="D19" s="1554"/>
      <c r="E19" s="1554"/>
      <c r="F19" s="1554"/>
      <c r="G19" s="1554"/>
      <c r="H19" s="1554"/>
      <c r="I19" s="1554"/>
      <c r="J19" s="1555"/>
      <c r="K19" s="1959" t="s">
        <v>12773</v>
      </c>
      <c r="L19" s="1927"/>
      <c r="M19" s="1927"/>
      <c r="N19" s="1927"/>
      <c r="O19" s="1928"/>
      <c r="P19" s="1926" t="s">
        <v>12774</v>
      </c>
      <c r="Q19" s="1927"/>
      <c r="R19" s="1927"/>
      <c r="S19" s="1927"/>
      <c r="T19" s="1960"/>
      <c r="U19" s="1959" t="s">
        <v>12773</v>
      </c>
      <c r="V19" s="1927"/>
      <c r="W19" s="1927"/>
      <c r="X19" s="1927"/>
      <c r="Y19" s="1928"/>
      <c r="Z19" s="1926" t="s">
        <v>12774</v>
      </c>
      <c r="AA19" s="1927"/>
      <c r="AB19" s="1927"/>
      <c r="AC19" s="1927"/>
      <c r="AD19" s="1960"/>
      <c r="AE19" s="1959" t="s">
        <v>12773</v>
      </c>
      <c r="AF19" s="1927"/>
      <c r="AG19" s="1927"/>
      <c r="AH19" s="1927"/>
      <c r="AI19" s="1928"/>
      <c r="AJ19" s="1926" t="s">
        <v>12774</v>
      </c>
      <c r="AK19" s="1927"/>
      <c r="AL19" s="1927"/>
      <c r="AM19" s="1927"/>
      <c r="AN19" s="1960"/>
      <c r="AO19" s="1959" t="s">
        <v>12773</v>
      </c>
      <c r="AP19" s="1927"/>
      <c r="AQ19" s="1927"/>
      <c r="AR19" s="1927"/>
      <c r="AS19" s="1928"/>
      <c r="AT19" s="1926" t="s">
        <v>12774</v>
      </c>
      <c r="AU19" s="1927"/>
      <c r="AV19" s="1927"/>
      <c r="AW19" s="1927"/>
      <c r="AX19" s="1960"/>
      <c r="AY19" s="1959" t="s">
        <v>12773</v>
      </c>
      <c r="AZ19" s="1927"/>
      <c r="BA19" s="1927"/>
      <c r="BB19" s="1927"/>
      <c r="BC19" s="1928"/>
      <c r="BD19" s="1926" t="s">
        <v>12774</v>
      </c>
      <c r="BE19" s="1927"/>
      <c r="BF19" s="1927"/>
      <c r="BG19" s="1927"/>
      <c r="BH19" s="1960"/>
    </row>
    <row r="20" spans="2:62" s="73" customFormat="1" ht="36.65" customHeight="1" thickBot="1" x14ac:dyDescent="0.35">
      <c r="B20" s="2257"/>
      <c r="C20" s="2258"/>
      <c r="D20" s="2258"/>
      <c r="E20" s="2258"/>
      <c r="F20" s="2258"/>
      <c r="G20" s="2258"/>
      <c r="H20" s="2258"/>
      <c r="I20" s="2258"/>
      <c r="J20" s="2259"/>
      <c r="K20" s="2395"/>
      <c r="L20" s="2396"/>
      <c r="M20" s="2396"/>
      <c r="N20" s="2396"/>
      <c r="O20" s="2397"/>
      <c r="P20" s="2398"/>
      <c r="Q20" s="2396"/>
      <c r="R20" s="2396"/>
      <c r="S20" s="2396"/>
      <c r="T20" s="2399"/>
      <c r="U20" s="2395"/>
      <c r="V20" s="2396"/>
      <c r="W20" s="2396"/>
      <c r="X20" s="2396"/>
      <c r="Y20" s="2397"/>
      <c r="Z20" s="2398"/>
      <c r="AA20" s="2396"/>
      <c r="AB20" s="2396"/>
      <c r="AC20" s="2396"/>
      <c r="AD20" s="2399"/>
      <c r="AE20" s="2395"/>
      <c r="AF20" s="2396"/>
      <c r="AG20" s="2396"/>
      <c r="AH20" s="2396"/>
      <c r="AI20" s="2397"/>
      <c r="AJ20" s="2398"/>
      <c r="AK20" s="2396"/>
      <c r="AL20" s="2396"/>
      <c r="AM20" s="2396"/>
      <c r="AN20" s="2399"/>
      <c r="AO20" s="2395"/>
      <c r="AP20" s="2396"/>
      <c r="AQ20" s="2396"/>
      <c r="AR20" s="2396"/>
      <c r="AS20" s="2397"/>
      <c r="AT20" s="2398"/>
      <c r="AU20" s="2396"/>
      <c r="AV20" s="2396"/>
      <c r="AW20" s="2396"/>
      <c r="AX20" s="2399"/>
      <c r="AY20" s="2395"/>
      <c r="AZ20" s="2396"/>
      <c r="BA20" s="2396"/>
      <c r="BB20" s="2396"/>
      <c r="BC20" s="2397"/>
      <c r="BD20" s="2398"/>
      <c r="BE20" s="2396"/>
      <c r="BF20" s="2396"/>
      <c r="BG20" s="2396"/>
      <c r="BH20" s="2399"/>
      <c r="BI20" s="137"/>
    </row>
    <row r="21" spans="2:62" ht="33" customHeight="1" thickTop="1" x14ac:dyDescent="0.35">
      <c r="B21" s="2400" t="s">
        <v>385</v>
      </c>
      <c r="C21" s="2401"/>
      <c r="D21" s="2401"/>
      <c r="E21" s="2401"/>
      <c r="F21" s="2401"/>
      <c r="G21" s="2401"/>
      <c r="H21" s="2401"/>
      <c r="I21" s="2401"/>
      <c r="J21" s="2402"/>
      <c r="K21" s="2403">
        <v>0</v>
      </c>
      <c r="L21" s="2404"/>
      <c r="M21" s="2404"/>
      <c r="N21" s="2404"/>
      <c r="O21" s="2405"/>
      <c r="P21" s="2406">
        <v>0</v>
      </c>
      <c r="Q21" s="2404"/>
      <c r="R21" s="2404"/>
      <c r="S21" s="2404"/>
      <c r="T21" s="2407"/>
      <c r="U21" s="2403">
        <v>6</v>
      </c>
      <c r="V21" s="2404"/>
      <c r="W21" s="2404"/>
      <c r="X21" s="2404"/>
      <c r="Y21" s="2405"/>
      <c r="Z21" s="2406">
        <v>7</v>
      </c>
      <c r="AA21" s="2404"/>
      <c r="AB21" s="2404"/>
      <c r="AC21" s="2404"/>
      <c r="AD21" s="2407"/>
      <c r="AE21" s="2403">
        <v>0</v>
      </c>
      <c r="AF21" s="2404"/>
      <c r="AG21" s="2404"/>
      <c r="AH21" s="2404"/>
      <c r="AI21" s="2405"/>
      <c r="AJ21" s="2406">
        <v>0</v>
      </c>
      <c r="AK21" s="2404"/>
      <c r="AL21" s="2404"/>
      <c r="AM21" s="2404"/>
      <c r="AN21" s="2407"/>
      <c r="AO21" s="2403">
        <v>0</v>
      </c>
      <c r="AP21" s="2404"/>
      <c r="AQ21" s="2404"/>
      <c r="AR21" s="2404"/>
      <c r="AS21" s="2405"/>
      <c r="AT21" s="2406">
        <v>0</v>
      </c>
      <c r="AU21" s="2404"/>
      <c r="AV21" s="2404"/>
      <c r="AW21" s="2404"/>
      <c r="AX21" s="2407"/>
      <c r="AY21" s="2403">
        <v>0</v>
      </c>
      <c r="AZ21" s="2404"/>
      <c r="BA21" s="2404"/>
      <c r="BB21" s="2404"/>
      <c r="BC21" s="2405"/>
      <c r="BD21" s="2406">
        <v>0</v>
      </c>
      <c r="BE21" s="2404"/>
      <c r="BF21" s="2404"/>
      <c r="BG21" s="2404"/>
      <c r="BH21" s="2409"/>
      <c r="BI21" s="374"/>
      <c r="BJ21" s="374"/>
    </row>
    <row r="22" spans="2:62" ht="33" customHeight="1" x14ac:dyDescent="0.35">
      <c r="B22" s="2392" t="s">
        <v>386</v>
      </c>
      <c r="C22" s="1879"/>
      <c r="D22" s="1879"/>
      <c r="E22" s="1879"/>
      <c r="F22" s="1879"/>
      <c r="G22" s="1879"/>
      <c r="H22" s="1879"/>
      <c r="I22" s="1879"/>
      <c r="J22" s="2393"/>
      <c r="K22" s="2366">
        <v>0</v>
      </c>
      <c r="L22" s="2367"/>
      <c r="M22" s="2367"/>
      <c r="N22" s="2367"/>
      <c r="O22" s="2368"/>
      <c r="P22" s="2369">
        <v>0</v>
      </c>
      <c r="Q22" s="2367"/>
      <c r="R22" s="2367"/>
      <c r="S22" s="2367"/>
      <c r="T22" s="2394"/>
      <c r="U22" s="2366">
        <v>3</v>
      </c>
      <c r="V22" s="2367"/>
      <c r="W22" s="2367"/>
      <c r="X22" s="2367"/>
      <c r="Y22" s="2368"/>
      <c r="Z22" s="2369">
        <v>4</v>
      </c>
      <c r="AA22" s="2367"/>
      <c r="AB22" s="2367"/>
      <c r="AC22" s="2367"/>
      <c r="AD22" s="2394"/>
      <c r="AE22" s="2366">
        <v>0</v>
      </c>
      <c r="AF22" s="2367"/>
      <c r="AG22" s="2367"/>
      <c r="AH22" s="2367"/>
      <c r="AI22" s="2368"/>
      <c r="AJ22" s="2369">
        <v>0</v>
      </c>
      <c r="AK22" s="2367"/>
      <c r="AL22" s="2367"/>
      <c r="AM22" s="2367"/>
      <c r="AN22" s="2394"/>
      <c r="AO22" s="2366">
        <v>0</v>
      </c>
      <c r="AP22" s="2367"/>
      <c r="AQ22" s="2367"/>
      <c r="AR22" s="2367"/>
      <c r="AS22" s="2368"/>
      <c r="AT22" s="2369">
        <v>0</v>
      </c>
      <c r="AU22" s="2367"/>
      <c r="AV22" s="2367"/>
      <c r="AW22" s="2367"/>
      <c r="AX22" s="2394"/>
      <c r="AY22" s="2366">
        <v>0</v>
      </c>
      <c r="AZ22" s="2367"/>
      <c r="BA22" s="2367"/>
      <c r="BB22" s="2367"/>
      <c r="BC22" s="2368"/>
      <c r="BD22" s="2369">
        <v>0</v>
      </c>
      <c r="BE22" s="2367"/>
      <c r="BF22" s="2367"/>
      <c r="BG22" s="2367"/>
      <c r="BH22" s="2408"/>
      <c r="BI22" s="374"/>
      <c r="BJ22" s="374"/>
    </row>
    <row r="23" spans="2:62" ht="33" customHeight="1" x14ac:dyDescent="0.35">
      <c r="B23" s="2392" t="s">
        <v>387</v>
      </c>
      <c r="C23" s="1879"/>
      <c r="D23" s="1879"/>
      <c r="E23" s="1879"/>
      <c r="F23" s="1879"/>
      <c r="G23" s="1879"/>
      <c r="H23" s="1879"/>
      <c r="I23" s="1879"/>
      <c r="J23" s="2393"/>
      <c r="K23" s="2410">
        <v>0</v>
      </c>
      <c r="L23" s="2411"/>
      <c r="M23" s="2411"/>
      <c r="N23" s="2411"/>
      <c r="O23" s="2412"/>
      <c r="P23" s="2413">
        <v>0</v>
      </c>
      <c r="Q23" s="2411"/>
      <c r="R23" s="2411"/>
      <c r="S23" s="2411"/>
      <c r="T23" s="2414"/>
      <c r="U23" s="2410">
        <v>3</v>
      </c>
      <c r="V23" s="2411"/>
      <c r="W23" s="2411"/>
      <c r="X23" s="2411"/>
      <c r="Y23" s="2412"/>
      <c r="Z23" s="2413">
        <v>3</v>
      </c>
      <c r="AA23" s="2411"/>
      <c r="AB23" s="2411"/>
      <c r="AC23" s="2411"/>
      <c r="AD23" s="2414"/>
      <c r="AE23" s="2410">
        <v>0</v>
      </c>
      <c r="AF23" s="2411"/>
      <c r="AG23" s="2411"/>
      <c r="AH23" s="2411"/>
      <c r="AI23" s="2412"/>
      <c r="AJ23" s="2413">
        <v>0</v>
      </c>
      <c r="AK23" s="2411"/>
      <c r="AL23" s="2411"/>
      <c r="AM23" s="2411"/>
      <c r="AN23" s="2414"/>
      <c r="AO23" s="2410">
        <v>0</v>
      </c>
      <c r="AP23" s="2411"/>
      <c r="AQ23" s="2411"/>
      <c r="AR23" s="2411"/>
      <c r="AS23" s="2412"/>
      <c r="AT23" s="2413">
        <v>0</v>
      </c>
      <c r="AU23" s="2411"/>
      <c r="AV23" s="2411"/>
      <c r="AW23" s="2411"/>
      <c r="AX23" s="2414"/>
      <c r="AY23" s="2410">
        <v>0</v>
      </c>
      <c r="AZ23" s="2411"/>
      <c r="BA23" s="2411"/>
      <c r="BB23" s="2411"/>
      <c r="BC23" s="2412"/>
      <c r="BD23" s="2413">
        <v>0</v>
      </c>
      <c r="BE23" s="2411"/>
      <c r="BF23" s="2411"/>
      <c r="BG23" s="2411"/>
      <c r="BH23" s="2415"/>
    </row>
    <row r="24" spans="2:62" ht="33" customHeight="1" x14ac:dyDescent="0.35">
      <c r="B24" s="2392" t="s">
        <v>388</v>
      </c>
      <c r="C24" s="1879"/>
      <c r="D24" s="1879"/>
      <c r="E24" s="1879"/>
      <c r="F24" s="1879"/>
      <c r="G24" s="1879"/>
      <c r="H24" s="1879"/>
      <c r="I24" s="1879"/>
      <c r="J24" s="2393"/>
      <c r="K24" s="2366">
        <v>1</v>
      </c>
      <c r="L24" s="2367"/>
      <c r="M24" s="2367"/>
      <c r="N24" s="2367"/>
      <c r="O24" s="2368"/>
      <c r="P24" s="2369">
        <v>4</v>
      </c>
      <c r="Q24" s="2367"/>
      <c r="R24" s="2367"/>
      <c r="S24" s="2367"/>
      <c r="T24" s="2394"/>
      <c r="U24" s="2366">
        <v>6</v>
      </c>
      <c r="V24" s="2367"/>
      <c r="W24" s="2367"/>
      <c r="X24" s="2367"/>
      <c r="Y24" s="2368"/>
      <c r="Z24" s="2369">
        <v>7</v>
      </c>
      <c r="AA24" s="2367"/>
      <c r="AB24" s="2367"/>
      <c r="AC24" s="2367"/>
      <c r="AD24" s="2394"/>
      <c r="AE24" s="2366">
        <v>0</v>
      </c>
      <c r="AF24" s="2367"/>
      <c r="AG24" s="2367"/>
      <c r="AH24" s="2367"/>
      <c r="AI24" s="2368"/>
      <c r="AJ24" s="2369">
        <v>0</v>
      </c>
      <c r="AK24" s="2367"/>
      <c r="AL24" s="2367"/>
      <c r="AM24" s="2367"/>
      <c r="AN24" s="2394"/>
      <c r="AO24" s="2366">
        <v>0</v>
      </c>
      <c r="AP24" s="2367"/>
      <c r="AQ24" s="2367"/>
      <c r="AR24" s="2367"/>
      <c r="AS24" s="2368"/>
      <c r="AT24" s="2369">
        <v>0</v>
      </c>
      <c r="AU24" s="2367"/>
      <c r="AV24" s="2367"/>
      <c r="AW24" s="2367"/>
      <c r="AX24" s="2394"/>
      <c r="AY24" s="2366">
        <v>0</v>
      </c>
      <c r="AZ24" s="2367"/>
      <c r="BA24" s="2367"/>
      <c r="BB24" s="2367"/>
      <c r="BC24" s="2368"/>
      <c r="BD24" s="2369">
        <v>0</v>
      </c>
      <c r="BE24" s="2367"/>
      <c r="BF24" s="2367"/>
      <c r="BG24" s="2367"/>
      <c r="BH24" s="2408"/>
    </row>
    <row r="25" spans="2:62" ht="33" customHeight="1" x14ac:dyDescent="0.35">
      <c r="B25" s="2392" t="s">
        <v>389</v>
      </c>
      <c r="C25" s="1879"/>
      <c r="D25" s="1879"/>
      <c r="E25" s="1879"/>
      <c r="F25" s="1879"/>
      <c r="G25" s="1879"/>
      <c r="H25" s="1879"/>
      <c r="I25" s="1879"/>
      <c r="J25" s="2393"/>
      <c r="K25" s="2410">
        <v>0</v>
      </c>
      <c r="L25" s="2411"/>
      <c r="M25" s="2411"/>
      <c r="N25" s="2411"/>
      <c r="O25" s="2412"/>
      <c r="P25" s="2413">
        <v>0</v>
      </c>
      <c r="Q25" s="2411"/>
      <c r="R25" s="2411"/>
      <c r="S25" s="2411"/>
      <c r="T25" s="2414"/>
      <c r="U25" s="2410">
        <v>3</v>
      </c>
      <c r="V25" s="2411"/>
      <c r="W25" s="2411"/>
      <c r="X25" s="2411"/>
      <c r="Y25" s="2412"/>
      <c r="Z25" s="2413">
        <v>4</v>
      </c>
      <c r="AA25" s="2411"/>
      <c r="AB25" s="2411"/>
      <c r="AC25" s="2411"/>
      <c r="AD25" s="2414"/>
      <c r="AE25" s="2410">
        <v>0</v>
      </c>
      <c r="AF25" s="2411"/>
      <c r="AG25" s="2411"/>
      <c r="AH25" s="2411"/>
      <c r="AI25" s="2412"/>
      <c r="AJ25" s="2413">
        <v>0</v>
      </c>
      <c r="AK25" s="2411"/>
      <c r="AL25" s="2411"/>
      <c r="AM25" s="2411"/>
      <c r="AN25" s="2414"/>
      <c r="AO25" s="2410">
        <v>2</v>
      </c>
      <c r="AP25" s="2411"/>
      <c r="AQ25" s="2411"/>
      <c r="AR25" s="2411"/>
      <c r="AS25" s="2412"/>
      <c r="AT25" s="2413">
        <v>0</v>
      </c>
      <c r="AU25" s="2411"/>
      <c r="AV25" s="2411"/>
      <c r="AW25" s="2411"/>
      <c r="AX25" s="2414"/>
      <c r="AY25" s="2410">
        <v>0</v>
      </c>
      <c r="AZ25" s="2411"/>
      <c r="BA25" s="2411"/>
      <c r="BB25" s="2411"/>
      <c r="BC25" s="2412"/>
      <c r="BD25" s="2413">
        <v>0</v>
      </c>
      <c r="BE25" s="2411"/>
      <c r="BF25" s="2411"/>
      <c r="BG25" s="2411"/>
      <c r="BH25" s="2415"/>
    </row>
    <row r="26" spans="2:62" ht="33" customHeight="1" x14ac:dyDescent="0.35">
      <c r="B26" s="2392" t="s">
        <v>390</v>
      </c>
      <c r="C26" s="1879"/>
      <c r="D26" s="1879"/>
      <c r="E26" s="1879"/>
      <c r="F26" s="1879"/>
      <c r="G26" s="1879"/>
      <c r="H26" s="1879"/>
      <c r="I26" s="1879"/>
      <c r="J26" s="2393"/>
      <c r="K26" s="2366">
        <v>0</v>
      </c>
      <c r="L26" s="2367"/>
      <c r="M26" s="2367"/>
      <c r="N26" s="2367"/>
      <c r="O26" s="2368"/>
      <c r="P26" s="2369">
        <v>0</v>
      </c>
      <c r="Q26" s="2367"/>
      <c r="R26" s="2367"/>
      <c r="S26" s="2367"/>
      <c r="T26" s="2394"/>
      <c r="U26" s="2366">
        <v>0</v>
      </c>
      <c r="V26" s="2367"/>
      <c r="W26" s="2367"/>
      <c r="X26" s="2367"/>
      <c r="Y26" s="2368"/>
      <c r="Z26" s="2369">
        <v>0</v>
      </c>
      <c r="AA26" s="2367"/>
      <c r="AB26" s="2367"/>
      <c r="AC26" s="2367"/>
      <c r="AD26" s="2394"/>
      <c r="AE26" s="2366">
        <v>0</v>
      </c>
      <c r="AF26" s="2367"/>
      <c r="AG26" s="2367"/>
      <c r="AH26" s="2367"/>
      <c r="AI26" s="2368"/>
      <c r="AJ26" s="2369">
        <v>0</v>
      </c>
      <c r="AK26" s="2367"/>
      <c r="AL26" s="2367"/>
      <c r="AM26" s="2367"/>
      <c r="AN26" s="2394"/>
      <c r="AO26" s="2366">
        <v>3</v>
      </c>
      <c r="AP26" s="2367"/>
      <c r="AQ26" s="2367"/>
      <c r="AR26" s="2367"/>
      <c r="AS26" s="2368"/>
      <c r="AT26" s="2369">
        <v>4</v>
      </c>
      <c r="AU26" s="2367"/>
      <c r="AV26" s="2367"/>
      <c r="AW26" s="2367"/>
      <c r="AX26" s="2394"/>
      <c r="AY26" s="2366">
        <v>0</v>
      </c>
      <c r="AZ26" s="2367"/>
      <c r="BA26" s="2367"/>
      <c r="BB26" s="2367"/>
      <c r="BC26" s="2368"/>
      <c r="BD26" s="2369">
        <v>0</v>
      </c>
      <c r="BE26" s="2367"/>
      <c r="BF26" s="2367"/>
      <c r="BG26" s="2367"/>
      <c r="BH26" s="2408"/>
    </row>
    <row r="27" spans="2:62" ht="33" customHeight="1" x14ac:dyDescent="0.35">
      <c r="B27" s="2392" t="s">
        <v>1370</v>
      </c>
      <c r="C27" s="1879"/>
      <c r="D27" s="1879"/>
      <c r="E27" s="1879"/>
      <c r="F27" s="1879"/>
      <c r="G27" s="1879"/>
      <c r="H27" s="1879"/>
      <c r="I27" s="1879"/>
      <c r="J27" s="2393"/>
      <c r="K27" s="2410">
        <v>0</v>
      </c>
      <c r="L27" s="2411"/>
      <c r="M27" s="2411"/>
      <c r="N27" s="2411"/>
      <c r="O27" s="2412"/>
      <c r="P27" s="2413">
        <v>0</v>
      </c>
      <c r="Q27" s="2411"/>
      <c r="R27" s="2411"/>
      <c r="S27" s="2411"/>
      <c r="T27" s="2414"/>
      <c r="U27" s="2410">
        <v>5</v>
      </c>
      <c r="V27" s="2411"/>
      <c r="W27" s="2411"/>
      <c r="X27" s="2411"/>
      <c r="Y27" s="2412"/>
      <c r="Z27" s="2413">
        <v>10</v>
      </c>
      <c r="AA27" s="2411"/>
      <c r="AB27" s="2411"/>
      <c r="AC27" s="2411"/>
      <c r="AD27" s="2414"/>
      <c r="AE27" s="2410">
        <v>0</v>
      </c>
      <c r="AF27" s="2411"/>
      <c r="AG27" s="2411"/>
      <c r="AH27" s="2411"/>
      <c r="AI27" s="2412"/>
      <c r="AJ27" s="2413">
        <v>0</v>
      </c>
      <c r="AK27" s="2411"/>
      <c r="AL27" s="2411"/>
      <c r="AM27" s="2411"/>
      <c r="AN27" s="2414"/>
      <c r="AO27" s="2410">
        <v>0</v>
      </c>
      <c r="AP27" s="2411"/>
      <c r="AQ27" s="2411"/>
      <c r="AR27" s="2411"/>
      <c r="AS27" s="2412"/>
      <c r="AT27" s="2413">
        <v>3</v>
      </c>
      <c r="AU27" s="2411"/>
      <c r="AV27" s="2411"/>
      <c r="AW27" s="2411"/>
      <c r="AX27" s="2414"/>
      <c r="AY27" s="2410">
        <v>0</v>
      </c>
      <c r="AZ27" s="2411"/>
      <c r="BA27" s="2411"/>
      <c r="BB27" s="2411"/>
      <c r="BC27" s="2412"/>
      <c r="BD27" s="2413">
        <v>0</v>
      </c>
      <c r="BE27" s="2411"/>
      <c r="BF27" s="2411"/>
      <c r="BG27" s="2411"/>
      <c r="BH27" s="2415"/>
    </row>
    <row r="28" spans="2:62" ht="33" customHeight="1" thickBot="1" x14ac:dyDescent="0.4">
      <c r="B28" s="2416" t="s">
        <v>1371</v>
      </c>
      <c r="C28" s="2417"/>
      <c r="D28" s="2417"/>
      <c r="E28" s="2417"/>
      <c r="F28" s="2417"/>
      <c r="G28" s="2417"/>
      <c r="H28" s="2417"/>
      <c r="I28" s="2417"/>
      <c r="J28" s="2418"/>
      <c r="K28" s="2419">
        <v>0</v>
      </c>
      <c r="L28" s="2420"/>
      <c r="M28" s="2420"/>
      <c r="N28" s="2420"/>
      <c r="O28" s="2421"/>
      <c r="P28" s="2422">
        <v>0</v>
      </c>
      <c r="Q28" s="2420"/>
      <c r="R28" s="2420"/>
      <c r="S28" s="2420"/>
      <c r="T28" s="2423"/>
      <c r="U28" s="2419">
        <v>3</v>
      </c>
      <c r="V28" s="2420"/>
      <c r="W28" s="2420"/>
      <c r="X28" s="2420"/>
      <c r="Y28" s="2421"/>
      <c r="Z28" s="2422">
        <v>3</v>
      </c>
      <c r="AA28" s="2420"/>
      <c r="AB28" s="2420"/>
      <c r="AC28" s="2420"/>
      <c r="AD28" s="2423"/>
      <c r="AE28" s="2419">
        <v>0</v>
      </c>
      <c r="AF28" s="2420"/>
      <c r="AG28" s="2420"/>
      <c r="AH28" s="2420"/>
      <c r="AI28" s="2421"/>
      <c r="AJ28" s="2422">
        <v>0</v>
      </c>
      <c r="AK28" s="2420"/>
      <c r="AL28" s="2420"/>
      <c r="AM28" s="2420"/>
      <c r="AN28" s="2423"/>
      <c r="AO28" s="2419">
        <v>0</v>
      </c>
      <c r="AP28" s="2420"/>
      <c r="AQ28" s="2420"/>
      <c r="AR28" s="2420"/>
      <c r="AS28" s="2421"/>
      <c r="AT28" s="2422">
        <v>0</v>
      </c>
      <c r="AU28" s="2420"/>
      <c r="AV28" s="2420"/>
      <c r="AW28" s="2420"/>
      <c r="AX28" s="2423"/>
      <c r="AY28" s="2419">
        <v>0</v>
      </c>
      <c r="AZ28" s="2420"/>
      <c r="BA28" s="2420"/>
      <c r="BB28" s="2420"/>
      <c r="BC28" s="2421"/>
      <c r="BD28" s="2422">
        <v>0</v>
      </c>
      <c r="BE28" s="2420"/>
      <c r="BF28" s="2420"/>
      <c r="BG28" s="2420"/>
      <c r="BH28" s="2424"/>
    </row>
    <row r="29" spans="2:62" s="72" customFormat="1" ht="16" thickTop="1" x14ac:dyDescent="0.35">
      <c r="B29" s="372" t="s">
        <v>150</v>
      </c>
      <c r="C29" s="123" t="s">
        <v>1153</v>
      </c>
      <c r="D29" s="123"/>
      <c r="E29" s="123"/>
      <c r="F29" s="123"/>
      <c r="G29" s="123"/>
      <c r="H29" s="123"/>
      <c r="I29" s="123"/>
      <c r="J29" s="123"/>
      <c r="K29" s="123"/>
      <c r="L29" s="123"/>
      <c r="M29" s="123"/>
      <c r="N29" s="123"/>
      <c r="O29" s="123"/>
      <c r="P29" s="123"/>
      <c r="Q29" s="123"/>
      <c r="R29" s="123"/>
      <c r="S29" s="123"/>
      <c r="T29" s="123"/>
      <c r="U29" s="123"/>
      <c r="V29" s="123"/>
      <c r="W29" s="123"/>
      <c r="X29" s="123"/>
      <c r="Y29" s="123"/>
      <c r="Z29" s="123"/>
      <c r="AA29" s="123"/>
      <c r="AB29" s="123"/>
      <c r="AC29" s="123"/>
      <c r="AD29" s="373"/>
      <c r="AE29" s="374"/>
      <c r="AF29" s="374"/>
      <c r="AG29" s="374"/>
      <c r="AH29" s="374"/>
      <c r="AI29" s="374"/>
      <c r="AJ29" s="374"/>
      <c r="AK29" s="374"/>
      <c r="AL29" s="374"/>
      <c r="AM29" s="374"/>
      <c r="AN29" s="374"/>
      <c r="AO29" s="374"/>
    </row>
    <row r="30" spans="2:62" s="72" customFormat="1" x14ac:dyDescent="0.35">
      <c r="B30" s="372" t="s">
        <v>151</v>
      </c>
      <c r="C30" s="123" t="s">
        <v>1154</v>
      </c>
      <c r="D30" s="375"/>
      <c r="E30" s="375"/>
      <c r="F30" s="375"/>
      <c r="G30" s="375"/>
      <c r="H30" s="375"/>
      <c r="I30" s="375"/>
      <c r="J30" s="375"/>
      <c r="K30" s="375"/>
      <c r="L30" s="375"/>
      <c r="M30" s="375"/>
      <c r="N30" s="375"/>
      <c r="O30" s="375"/>
      <c r="P30" s="375"/>
      <c r="Q30" s="375"/>
      <c r="R30" s="375"/>
      <c r="S30" s="375"/>
      <c r="T30" s="375"/>
      <c r="U30" s="375"/>
      <c r="V30" s="375"/>
      <c r="W30" s="375"/>
      <c r="X30" s="375"/>
      <c r="Y30" s="375"/>
      <c r="Z30" s="375"/>
      <c r="AA30" s="375"/>
      <c r="AB30" s="375"/>
      <c r="AC30" s="375"/>
      <c r="AD30" s="373"/>
      <c r="AE30" s="374"/>
      <c r="AF30" s="374"/>
      <c r="AG30" s="374"/>
      <c r="AH30" s="374"/>
      <c r="AI30" s="374"/>
      <c r="AJ30" s="374"/>
      <c r="AK30" s="374"/>
      <c r="AL30" s="374"/>
      <c r="AM30" s="374"/>
      <c r="AN30" s="374"/>
      <c r="AO30" s="374"/>
    </row>
    <row r="31" spans="2:62" ht="13.75" customHeight="1" x14ac:dyDescent="0.35">
      <c r="C31" s="376"/>
      <c r="D31" s="376"/>
      <c r="E31" s="376"/>
      <c r="F31" s="376"/>
      <c r="G31" s="376"/>
      <c r="H31" s="376"/>
      <c r="I31" s="376"/>
      <c r="J31" s="376"/>
      <c r="K31" s="376"/>
      <c r="L31" s="376"/>
      <c r="M31" s="376"/>
      <c r="N31" s="376"/>
      <c r="O31" s="376"/>
      <c r="P31" s="376"/>
      <c r="Q31" s="376"/>
      <c r="R31" s="376"/>
      <c r="S31" s="376"/>
      <c r="T31" s="376"/>
      <c r="U31" s="376"/>
      <c r="V31" s="376"/>
      <c r="W31" s="376"/>
      <c r="X31" s="376"/>
      <c r="Y31" s="376"/>
      <c r="Z31" s="376"/>
      <c r="AA31" s="376"/>
      <c r="AB31" s="376"/>
      <c r="AC31" s="376"/>
      <c r="AD31" s="377"/>
    </row>
    <row r="32" spans="2:62" s="72" customFormat="1" ht="16.5" x14ac:dyDescent="0.35">
      <c r="B32" s="238" t="s">
        <v>652</v>
      </c>
      <c r="C32" s="112"/>
      <c r="D32" s="112"/>
      <c r="E32" s="378" t="s">
        <v>150</v>
      </c>
      <c r="F32" s="238" t="s">
        <v>653</v>
      </c>
      <c r="G32" s="112"/>
      <c r="H32" s="112"/>
      <c r="I32" s="112"/>
      <c r="J32" s="112"/>
      <c r="K32" s="112"/>
      <c r="L32" s="112"/>
      <c r="M32" s="112"/>
      <c r="N32" s="112"/>
      <c r="O32" s="112"/>
      <c r="P32" s="112"/>
      <c r="Q32" s="112"/>
      <c r="R32" s="112"/>
      <c r="S32" s="112"/>
      <c r="T32" s="112"/>
      <c r="U32" s="112"/>
    </row>
    <row r="33" spans="2:60" s="72" customFormat="1" ht="16.5" x14ac:dyDescent="0.35">
      <c r="B33" s="238"/>
      <c r="C33" s="112"/>
      <c r="D33" s="112"/>
      <c r="E33" s="378" t="s">
        <v>151</v>
      </c>
      <c r="F33" s="166" t="s">
        <v>1155</v>
      </c>
      <c r="G33" s="112"/>
      <c r="H33" s="112"/>
      <c r="I33" s="112"/>
      <c r="J33" s="112"/>
      <c r="K33" s="112"/>
      <c r="L33" s="112"/>
      <c r="M33" s="112"/>
      <c r="N33" s="112"/>
      <c r="O33" s="112"/>
      <c r="P33" s="112"/>
      <c r="Q33" s="112"/>
      <c r="R33" s="112"/>
      <c r="S33" s="112"/>
      <c r="T33" s="112"/>
      <c r="U33" s="112"/>
    </row>
    <row r="34" spans="2:60" ht="46.25" customHeight="1" x14ac:dyDescent="0.35">
      <c r="C34" s="123"/>
      <c r="D34" s="379"/>
      <c r="E34" s="123"/>
      <c r="F34" s="2444" t="s">
        <v>12775</v>
      </c>
      <c r="G34" s="2444"/>
      <c r="H34" s="2444"/>
      <c r="I34" s="2444"/>
      <c r="J34" s="2444"/>
      <c r="K34" s="2444"/>
      <c r="L34" s="2444"/>
      <c r="M34" s="2444"/>
      <c r="N34" s="2444"/>
      <c r="O34" s="2444"/>
      <c r="P34" s="2444"/>
      <c r="Q34" s="2444"/>
      <c r="R34" s="2444"/>
      <c r="S34" s="2444"/>
      <c r="T34" s="2444"/>
      <c r="U34" s="2444"/>
      <c r="V34" s="2444"/>
      <c r="W34" s="2444"/>
      <c r="X34" s="2444"/>
      <c r="Y34" s="2444"/>
      <c r="Z34" s="2444"/>
      <c r="AA34" s="2444"/>
      <c r="AB34" s="2444"/>
      <c r="AC34" s="2444"/>
      <c r="AD34" s="2444"/>
      <c r="AE34" s="2444"/>
      <c r="AF34" s="2444"/>
      <c r="AG34" s="2444"/>
      <c r="AH34" s="2444"/>
      <c r="AI34" s="2444"/>
      <c r="AJ34" s="2444"/>
      <c r="AK34" s="2444"/>
      <c r="AL34" s="2444"/>
      <c r="AM34" s="2444"/>
      <c r="AN34" s="2444"/>
      <c r="AO34" s="2444"/>
      <c r="AP34" s="2444"/>
      <c r="AQ34" s="2444"/>
      <c r="AR34" s="2444"/>
      <c r="AS34" s="2444"/>
      <c r="AT34" s="2444"/>
    </row>
    <row r="35" spans="2:60" ht="17" thickBot="1" x14ac:dyDescent="0.4">
      <c r="B35" s="380" t="s">
        <v>12696</v>
      </c>
      <c r="C35" s="206"/>
      <c r="D35" s="206"/>
      <c r="E35" s="206"/>
      <c r="F35" s="206"/>
      <c r="G35" s="206"/>
      <c r="H35" s="206"/>
      <c r="I35" s="206"/>
      <c r="J35" s="206"/>
      <c r="K35" s="206"/>
      <c r="L35" s="206"/>
      <c r="M35" s="206"/>
      <c r="N35" s="206"/>
      <c r="O35" s="206"/>
      <c r="P35" s="206"/>
      <c r="Q35" s="206"/>
      <c r="R35" s="206"/>
      <c r="S35" s="206"/>
      <c r="T35" s="206"/>
      <c r="U35" s="206"/>
      <c r="V35" s="206"/>
      <c r="W35" s="206"/>
      <c r="X35" s="206"/>
      <c r="Y35" s="206"/>
      <c r="Z35" s="206"/>
      <c r="AA35" s="206"/>
      <c r="AB35" s="206"/>
      <c r="AC35" s="206"/>
      <c r="AD35" s="206"/>
      <c r="AE35" s="206"/>
    </row>
    <row r="36" spans="2:60" s="73" customFormat="1" ht="15.75" customHeight="1" x14ac:dyDescent="0.3">
      <c r="B36" s="2425" t="s">
        <v>620</v>
      </c>
      <c r="C36" s="1512"/>
      <c r="D36" s="1512"/>
      <c r="E36" s="1512"/>
      <c r="F36" s="1513"/>
      <c r="G36" s="1804" t="s">
        <v>935</v>
      </c>
      <c r="H36" s="1805"/>
      <c r="I36" s="1805"/>
      <c r="J36" s="1805"/>
      <c r="K36" s="1805"/>
      <c r="L36" s="1805"/>
      <c r="M36" s="1805"/>
      <c r="N36" s="1805"/>
      <c r="O36" s="1805"/>
      <c r="P36" s="1805"/>
      <c r="Q36" s="1805"/>
      <c r="R36" s="1805"/>
      <c r="S36" s="1805"/>
      <c r="T36" s="1805"/>
      <c r="U36" s="1805"/>
      <c r="V36" s="1805"/>
      <c r="W36" s="1805"/>
      <c r="X36" s="1805"/>
      <c r="Y36" s="1805"/>
      <c r="Z36" s="1805"/>
      <c r="AA36" s="1805"/>
      <c r="AB36" s="1805"/>
      <c r="AC36" s="1805"/>
      <c r="AD36" s="1805"/>
      <c r="AE36" s="1805"/>
      <c r="AF36" s="1805"/>
      <c r="AG36" s="1806"/>
      <c r="AH36" s="1804" t="s">
        <v>936</v>
      </c>
      <c r="AI36" s="1805"/>
      <c r="AJ36" s="1805"/>
      <c r="AK36" s="1805"/>
      <c r="AL36" s="1805"/>
      <c r="AM36" s="1805"/>
      <c r="AN36" s="1805"/>
      <c r="AO36" s="1805"/>
      <c r="AP36" s="1805"/>
      <c r="AQ36" s="1805"/>
      <c r="AR36" s="1805"/>
      <c r="AS36" s="1805"/>
      <c r="AT36" s="1805"/>
      <c r="AU36" s="1805"/>
      <c r="AV36" s="1805"/>
      <c r="AW36" s="1805"/>
      <c r="AX36" s="1805"/>
      <c r="AY36" s="1805"/>
      <c r="AZ36" s="1805"/>
      <c r="BA36" s="1805"/>
      <c r="BB36" s="1805"/>
      <c r="BC36" s="1805"/>
      <c r="BD36" s="1805"/>
      <c r="BE36" s="1805"/>
      <c r="BF36" s="1805"/>
      <c r="BG36" s="1805"/>
      <c r="BH36" s="1806"/>
    </row>
    <row r="37" spans="2:60" s="73" customFormat="1" ht="20.149999999999999" customHeight="1" x14ac:dyDescent="0.3">
      <c r="B37" s="2426"/>
      <c r="C37" s="1554"/>
      <c r="D37" s="1554"/>
      <c r="E37" s="1554"/>
      <c r="F37" s="1555"/>
      <c r="G37" s="2428" t="s">
        <v>938</v>
      </c>
      <c r="H37" s="2429"/>
      <c r="I37" s="2429"/>
      <c r="J37" s="2429"/>
      <c r="K37" s="2429"/>
      <c r="L37" s="2429"/>
      <c r="M37" s="2429"/>
      <c r="N37" s="2429"/>
      <c r="O37" s="2429"/>
      <c r="P37" s="2429"/>
      <c r="Q37" s="2429"/>
      <c r="R37" s="2430"/>
      <c r="S37" s="2428" t="s">
        <v>941</v>
      </c>
      <c r="T37" s="2429"/>
      <c r="U37" s="2429"/>
      <c r="V37" s="2429"/>
      <c r="W37" s="2429"/>
      <c r="X37" s="2429"/>
      <c r="Y37" s="2429"/>
      <c r="Z37" s="2429"/>
      <c r="AA37" s="2429"/>
      <c r="AB37" s="2429"/>
      <c r="AC37" s="2429"/>
      <c r="AD37" s="2430"/>
      <c r="AE37" s="2431" t="s">
        <v>939</v>
      </c>
      <c r="AF37" s="2432"/>
      <c r="AG37" s="2433"/>
      <c r="AH37" s="2428" t="s">
        <v>938</v>
      </c>
      <c r="AI37" s="2429"/>
      <c r="AJ37" s="2429"/>
      <c r="AK37" s="2429"/>
      <c r="AL37" s="2429"/>
      <c r="AM37" s="2429"/>
      <c r="AN37" s="2429"/>
      <c r="AO37" s="2429"/>
      <c r="AP37" s="2429"/>
      <c r="AQ37" s="2429"/>
      <c r="AR37" s="2429"/>
      <c r="AS37" s="2430"/>
      <c r="AT37" s="2428" t="s">
        <v>941</v>
      </c>
      <c r="AU37" s="2429"/>
      <c r="AV37" s="2429"/>
      <c r="AW37" s="2429"/>
      <c r="AX37" s="2429"/>
      <c r="AY37" s="2429"/>
      <c r="AZ37" s="2429"/>
      <c r="BA37" s="2429"/>
      <c r="BB37" s="2429"/>
      <c r="BC37" s="2429"/>
      <c r="BD37" s="2429"/>
      <c r="BE37" s="2430"/>
      <c r="BF37" s="2431" t="s">
        <v>939</v>
      </c>
      <c r="BG37" s="2432"/>
      <c r="BH37" s="2433"/>
    </row>
    <row r="38" spans="2:60" s="73" customFormat="1" ht="20.149999999999999" customHeight="1" x14ac:dyDescent="0.3">
      <c r="B38" s="2426"/>
      <c r="C38" s="1554"/>
      <c r="D38" s="1554"/>
      <c r="E38" s="1554"/>
      <c r="F38" s="1555"/>
      <c r="G38" s="2431" t="s">
        <v>937</v>
      </c>
      <c r="H38" s="2432"/>
      <c r="I38" s="2440"/>
      <c r="J38" s="2442" t="s">
        <v>296</v>
      </c>
      <c r="K38" s="2432"/>
      <c r="L38" s="2440"/>
      <c r="M38" s="2442" t="s">
        <v>297</v>
      </c>
      <c r="N38" s="2432"/>
      <c r="O38" s="2440"/>
      <c r="P38" s="2442" t="s">
        <v>298</v>
      </c>
      <c r="Q38" s="2432"/>
      <c r="R38" s="2433"/>
      <c r="S38" s="2431" t="s">
        <v>937</v>
      </c>
      <c r="T38" s="2432"/>
      <c r="U38" s="2440"/>
      <c r="V38" s="2442" t="s">
        <v>296</v>
      </c>
      <c r="W38" s="2432"/>
      <c r="X38" s="2440"/>
      <c r="Y38" s="2442" t="s">
        <v>297</v>
      </c>
      <c r="Z38" s="2432"/>
      <c r="AA38" s="2440"/>
      <c r="AB38" s="2442" t="s">
        <v>298</v>
      </c>
      <c r="AC38" s="2432"/>
      <c r="AD38" s="2433"/>
      <c r="AE38" s="2434"/>
      <c r="AF38" s="2435"/>
      <c r="AG38" s="2436"/>
      <c r="AH38" s="2431" t="s">
        <v>937</v>
      </c>
      <c r="AI38" s="2432"/>
      <c r="AJ38" s="2440"/>
      <c r="AK38" s="2442" t="s">
        <v>296</v>
      </c>
      <c r="AL38" s="2432"/>
      <c r="AM38" s="2440"/>
      <c r="AN38" s="2442" t="s">
        <v>297</v>
      </c>
      <c r="AO38" s="2432"/>
      <c r="AP38" s="2440"/>
      <c r="AQ38" s="2442" t="s">
        <v>298</v>
      </c>
      <c r="AR38" s="2432"/>
      <c r="AS38" s="2433"/>
      <c r="AT38" s="2431" t="s">
        <v>937</v>
      </c>
      <c r="AU38" s="2432"/>
      <c r="AV38" s="2440"/>
      <c r="AW38" s="2442" t="s">
        <v>296</v>
      </c>
      <c r="AX38" s="2432"/>
      <c r="AY38" s="2440"/>
      <c r="AZ38" s="2442" t="s">
        <v>297</v>
      </c>
      <c r="BA38" s="2432"/>
      <c r="BB38" s="2440"/>
      <c r="BC38" s="2442" t="s">
        <v>298</v>
      </c>
      <c r="BD38" s="2432"/>
      <c r="BE38" s="2433"/>
      <c r="BF38" s="2434"/>
      <c r="BG38" s="2435"/>
      <c r="BH38" s="2436"/>
    </row>
    <row r="39" spans="2:60" s="73" customFormat="1" ht="20.149999999999999" customHeight="1" thickBot="1" x14ac:dyDescent="0.35">
      <c r="B39" s="2427"/>
      <c r="C39" s="1815"/>
      <c r="D39" s="1815"/>
      <c r="E39" s="1815"/>
      <c r="F39" s="1820"/>
      <c r="G39" s="2437"/>
      <c r="H39" s="2438"/>
      <c r="I39" s="2441"/>
      <c r="J39" s="2443"/>
      <c r="K39" s="2438"/>
      <c r="L39" s="2441"/>
      <c r="M39" s="2443"/>
      <c r="N39" s="2438"/>
      <c r="O39" s="2441"/>
      <c r="P39" s="2443"/>
      <c r="Q39" s="2438"/>
      <c r="R39" s="2439"/>
      <c r="S39" s="2437"/>
      <c r="T39" s="2438"/>
      <c r="U39" s="2441"/>
      <c r="V39" s="2443"/>
      <c r="W39" s="2438"/>
      <c r="X39" s="2441"/>
      <c r="Y39" s="2443"/>
      <c r="Z39" s="2438"/>
      <c r="AA39" s="2441"/>
      <c r="AB39" s="2443"/>
      <c r="AC39" s="2438"/>
      <c r="AD39" s="2439"/>
      <c r="AE39" s="2437"/>
      <c r="AF39" s="2438"/>
      <c r="AG39" s="2439"/>
      <c r="AH39" s="2437"/>
      <c r="AI39" s="2438"/>
      <c r="AJ39" s="2441"/>
      <c r="AK39" s="2443"/>
      <c r="AL39" s="2438"/>
      <c r="AM39" s="2441"/>
      <c r="AN39" s="2443"/>
      <c r="AO39" s="2438"/>
      <c r="AP39" s="2441"/>
      <c r="AQ39" s="2443"/>
      <c r="AR39" s="2438"/>
      <c r="AS39" s="2439"/>
      <c r="AT39" s="2437"/>
      <c r="AU39" s="2438"/>
      <c r="AV39" s="2441"/>
      <c r="AW39" s="2443"/>
      <c r="AX39" s="2438"/>
      <c r="AY39" s="2441"/>
      <c r="AZ39" s="2443"/>
      <c r="BA39" s="2438"/>
      <c r="BB39" s="2441"/>
      <c r="BC39" s="2443"/>
      <c r="BD39" s="2438"/>
      <c r="BE39" s="2439"/>
      <c r="BF39" s="2437"/>
      <c r="BG39" s="2438"/>
      <c r="BH39" s="2439"/>
    </row>
    <row r="40" spans="2:60" ht="30" customHeight="1" x14ac:dyDescent="0.35">
      <c r="B40" s="360" t="s">
        <v>937</v>
      </c>
      <c r="C40" s="361"/>
      <c r="D40" s="362"/>
      <c r="E40" s="362"/>
      <c r="F40" s="363"/>
      <c r="G40" s="2445">
        <v>12</v>
      </c>
      <c r="H40" s="2446"/>
      <c r="I40" s="2447"/>
      <c r="J40" s="2448">
        <v>0</v>
      </c>
      <c r="K40" s="2446"/>
      <c r="L40" s="2447"/>
      <c r="M40" s="2448">
        <v>0</v>
      </c>
      <c r="N40" s="2446"/>
      <c r="O40" s="2447"/>
      <c r="P40" s="2448">
        <v>0</v>
      </c>
      <c r="Q40" s="2446"/>
      <c r="R40" s="2449"/>
      <c r="S40" s="2445">
        <v>0</v>
      </c>
      <c r="T40" s="2446"/>
      <c r="U40" s="2447"/>
      <c r="V40" s="2448">
        <v>0</v>
      </c>
      <c r="W40" s="2446"/>
      <c r="X40" s="2447"/>
      <c r="Y40" s="2448">
        <v>0</v>
      </c>
      <c r="Z40" s="2446"/>
      <c r="AA40" s="2447"/>
      <c r="AB40" s="2448">
        <v>0</v>
      </c>
      <c r="AC40" s="2446"/>
      <c r="AD40" s="2449"/>
      <c r="AE40" s="2448">
        <v>0</v>
      </c>
      <c r="AF40" s="2446"/>
      <c r="AG40" s="2449"/>
      <c r="AH40" s="2445">
        <v>0</v>
      </c>
      <c r="AI40" s="2446"/>
      <c r="AJ40" s="2447"/>
      <c r="AK40" s="2448">
        <v>0</v>
      </c>
      <c r="AL40" s="2446"/>
      <c r="AM40" s="2447"/>
      <c r="AN40" s="2448">
        <v>0</v>
      </c>
      <c r="AO40" s="2446"/>
      <c r="AP40" s="2447"/>
      <c r="AQ40" s="2448">
        <v>0</v>
      </c>
      <c r="AR40" s="2446"/>
      <c r="AS40" s="2449"/>
      <c r="AT40" s="2445">
        <v>0</v>
      </c>
      <c r="AU40" s="2446"/>
      <c r="AV40" s="2447"/>
      <c r="AW40" s="2448">
        <v>0</v>
      </c>
      <c r="AX40" s="2446"/>
      <c r="AY40" s="2447"/>
      <c r="AZ40" s="2448">
        <v>0</v>
      </c>
      <c r="BA40" s="2446"/>
      <c r="BB40" s="2447"/>
      <c r="BC40" s="2448">
        <v>0</v>
      </c>
      <c r="BD40" s="2446"/>
      <c r="BE40" s="2449"/>
      <c r="BF40" s="2448">
        <v>0</v>
      </c>
      <c r="BG40" s="2446"/>
      <c r="BH40" s="2449"/>
    </row>
    <row r="41" spans="2:60" ht="30" customHeight="1" x14ac:dyDescent="0.35">
      <c r="B41" s="364" t="s">
        <v>296</v>
      </c>
      <c r="C41" s="361"/>
      <c r="D41" s="362"/>
      <c r="E41" s="362"/>
      <c r="F41" s="363"/>
      <c r="G41" s="2366">
        <v>3</v>
      </c>
      <c r="H41" s="2367"/>
      <c r="I41" s="2368"/>
      <c r="J41" s="2369">
        <v>7</v>
      </c>
      <c r="K41" s="2367"/>
      <c r="L41" s="2368"/>
      <c r="M41" s="2369">
        <v>0</v>
      </c>
      <c r="N41" s="2367"/>
      <c r="O41" s="2368"/>
      <c r="P41" s="2369">
        <v>0</v>
      </c>
      <c r="Q41" s="2367"/>
      <c r="R41" s="2394"/>
      <c r="S41" s="2366">
        <v>0</v>
      </c>
      <c r="T41" s="2367"/>
      <c r="U41" s="2368"/>
      <c r="V41" s="2369">
        <v>0</v>
      </c>
      <c r="W41" s="2367"/>
      <c r="X41" s="2368"/>
      <c r="Y41" s="2369">
        <v>0</v>
      </c>
      <c r="Z41" s="2367"/>
      <c r="AA41" s="2368"/>
      <c r="AB41" s="2369">
        <v>0</v>
      </c>
      <c r="AC41" s="2367"/>
      <c r="AD41" s="2394"/>
      <c r="AE41" s="2366">
        <v>0</v>
      </c>
      <c r="AF41" s="2367"/>
      <c r="AG41" s="2394"/>
      <c r="AH41" s="2366">
        <v>0</v>
      </c>
      <c r="AI41" s="2367"/>
      <c r="AJ41" s="2368"/>
      <c r="AK41" s="2369">
        <v>0</v>
      </c>
      <c r="AL41" s="2367"/>
      <c r="AM41" s="2368"/>
      <c r="AN41" s="2369">
        <v>0</v>
      </c>
      <c r="AO41" s="2367"/>
      <c r="AP41" s="2368"/>
      <c r="AQ41" s="2369">
        <v>0</v>
      </c>
      <c r="AR41" s="2367"/>
      <c r="AS41" s="2394"/>
      <c r="AT41" s="2366">
        <v>0</v>
      </c>
      <c r="AU41" s="2367"/>
      <c r="AV41" s="2368"/>
      <c r="AW41" s="2369">
        <v>0</v>
      </c>
      <c r="AX41" s="2367"/>
      <c r="AY41" s="2368"/>
      <c r="AZ41" s="2369">
        <v>0</v>
      </c>
      <c r="BA41" s="2367"/>
      <c r="BB41" s="2368"/>
      <c r="BC41" s="2369">
        <v>0</v>
      </c>
      <c r="BD41" s="2367"/>
      <c r="BE41" s="2394"/>
      <c r="BF41" s="2366">
        <v>0</v>
      </c>
      <c r="BG41" s="2367"/>
      <c r="BH41" s="2394"/>
    </row>
    <row r="42" spans="2:60" ht="30" customHeight="1" x14ac:dyDescent="0.35">
      <c r="B42" s="365" t="s">
        <v>297</v>
      </c>
      <c r="C42" s="366"/>
      <c r="D42" s="367"/>
      <c r="E42" s="367"/>
      <c r="F42" s="256"/>
      <c r="G42" s="2366">
        <v>0</v>
      </c>
      <c r="H42" s="2367"/>
      <c r="I42" s="2368"/>
      <c r="J42" s="2369">
        <v>0</v>
      </c>
      <c r="K42" s="2367"/>
      <c r="L42" s="2368"/>
      <c r="M42" s="2369">
        <v>10</v>
      </c>
      <c r="N42" s="2367"/>
      <c r="O42" s="2368"/>
      <c r="P42" s="2369">
        <v>2</v>
      </c>
      <c r="Q42" s="2367"/>
      <c r="R42" s="2394"/>
      <c r="S42" s="2366">
        <v>0</v>
      </c>
      <c r="T42" s="2367"/>
      <c r="U42" s="2368"/>
      <c r="V42" s="2369">
        <v>0</v>
      </c>
      <c r="W42" s="2367"/>
      <c r="X42" s="2368"/>
      <c r="Y42" s="2369">
        <v>0</v>
      </c>
      <c r="Z42" s="2367"/>
      <c r="AA42" s="2368"/>
      <c r="AB42" s="2369">
        <v>0</v>
      </c>
      <c r="AC42" s="2367"/>
      <c r="AD42" s="2394"/>
      <c r="AE42" s="2369">
        <v>0</v>
      </c>
      <c r="AF42" s="2367"/>
      <c r="AG42" s="2394"/>
      <c r="AH42" s="2366">
        <v>0</v>
      </c>
      <c r="AI42" s="2367"/>
      <c r="AJ42" s="2368"/>
      <c r="AK42" s="2369">
        <v>0</v>
      </c>
      <c r="AL42" s="2367"/>
      <c r="AM42" s="2368"/>
      <c r="AN42" s="2369">
        <v>0</v>
      </c>
      <c r="AO42" s="2367"/>
      <c r="AP42" s="2368"/>
      <c r="AQ42" s="2369">
        <v>0</v>
      </c>
      <c r="AR42" s="2367"/>
      <c r="AS42" s="2394"/>
      <c r="AT42" s="2366">
        <v>0</v>
      </c>
      <c r="AU42" s="2367"/>
      <c r="AV42" s="2368"/>
      <c r="AW42" s="2369">
        <v>0</v>
      </c>
      <c r="AX42" s="2367"/>
      <c r="AY42" s="2368"/>
      <c r="AZ42" s="2369">
        <v>0</v>
      </c>
      <c r="BA42" s="2367"/>
      <c r="BB42" s="2368"/>
      <c r="BC42" s="2369">
        <v>0</v>
      </c>
      <c r="BD42" s="2367"/>
      <c r="BE42" s="2394"/>
      <c r="BF42" s="2369">
        <v>0</v>
      </c>
      <c r="BG42" s="2367"/>
      <c r="BH42" s="2394"/>
    </row>
    <row r="43" spans="2:60" ht="30" customHeight="1" thickBot="1" x14ac:dyDescent="0.4">
      <c r="B43" s="368" t="s">
        <v>388</v>
      </c>
      <c r="C43" s="369"/>
      <c r="D43" s="370"/>
      <c r="E43" s="370"/>
      <c r="F43" s="371"/>
      <c r="G43" s="2374">
        <v>0</v>
      </c>
      <c r="H43" s="2375"/>
      <c r="I43" s="2376"/>
      <c r="J43" s="2377">
        <v>0</v>
      </c>
      <c r="K43" s="2375"/>
      <c r="L43" s="2376"/>
      <c r="M43" s="2377">
        <v>0</v>
      </c>
      <c r="N43" s="2375"/>
      <c r="O43" s="2376"/>
      <c r="P43" s="2377">
        <v>13</v>
      </c>
      <c r="Q43" s="2375"/>
      <c r="R43" s="2450"/>
      <c r="S43" s="2374">
        <v>0</v>
      </c>
      <c r="T43" s="2375"/>
      <c r="U43" s="2376"/>
      <c r="V43" s="2377">
        <v>0</v>
      </c>
      <c r="W43" s="2375"/>
      <c r="X43" s="2376"/>
      <c r="Y43" s="2377">
        <v>0</v>
      </c>
      <c r="Z43" s="2375"/>
      <c r="AA43" s="2376"/>
      <c r="AB43" s="2377">
        <v>0</v>
      </c>
      <c r="AC43" s="2375"/>
      <c r="AD43" s="2450"/>
      <c r="AE43" s="2374">
        <v>0</v>
      </c>
      <c r="AF43" s="2375"/>
      <c r="AG43" s="2450"/>
      <c r="AH43" s="2374">
        <v>0</v>
      </c>
      <c r="AI43" s="2375"/>
      <c r="AJ43" s="2376"/>
      <c r="AK43" s="2377">
        <v>0</v>
      </c>
      <c r="AL43" s="2375"/>
      <c r="AM43" s="2376"/>
      <c r="AN43" s="2377">
        <v>0</v>
      </c>
      <c r="AO43" s="2375"/>
      <c r="AP43" s="2376"/>
      <c r="AQ43" s="2377">
        <v>0</v>
      </c>
      <c r="AR43" s="2375"/>
      <c r="AS43" s="2450"/>
      <c r="AT43" s="2374">
        <v>0</v>
      </c>
      <c r="AU43" s="2375"/>
      <c r="AV43" s="2376"/>
      <c r="AW43" s="2377">
        <v>0</v>
      </c>
      <c r="AX43" s="2375"/>
      <c r="AY43" s="2376"/>
      <c r="AZ43" s="2377">
        <v>0</v>
      </c>
      <c r="BA43" s="2375"/>
      <c r="BB43" s="2376"/>
      <c r="BC43" s="2377">
        <v>0</v>
      </c>
      <c r="BD43" s="2375"/>
      <c r="BE43" s="2450"/>
      <c r="BF43" s="2374">
        <v>0</v>
      </c>
      <c r="BG43" s="2375"/>
      <c r="BH43" s="2450"/>
    </row>
    <row r="44" spans="2:60" ht="30" customHeight="1" thickTop="1" thickBot="1" x14ac:dyDescent="0.4">
      <c r="B44" s="2451" t="s">
        <v>16</v>
      </c>
      <c r="C44" s="2452"/>
      <c r="D44" s="2452"/>
      <c r="E44" s="2452"/>
      <c r="F44" s="2453"/>
      <c r="G44" s="2454">
        <f>SUM(G40:I43)</f>
        <v>15</v>
      </c>
      <c r="H44" s="2455"/>
      <c r="I44" s="2456"/>
      <c r="J44" s="2457">
        <f t="shared" ref="J44" si="6">SUM(J40:L43)</f>
        <v>7</v>
      </c>
      <c r="K44" s="2455"/>
      <c r="L44" s="2456"/>
      <c r="M44" s="2457">
        <f t="shared" ref="M44" si="7">SUM(M40:O43)</f>
        <v>10</v>
      </c>
      <c r="N44" s="2455"/>
      <c r="O44" s="2456"/>
      <c r="P44" s="2458">
        <f t="shared" ref="P44" si="8">SUM(P40:R43)</f>
        <v>15</v>
      </c>
      <c r="Q44" s="2458"/>
      <c r="R44" s="2459"/>
      <c r="S44" s="2454">
        <f t="shared" ref="S44" si="9">SUM(S40:U43)</f>
        <v>0</v>
      </c>
      <c r="T44" s="2455"/>
      <c r="U44" s="2456"/>
      <c r="V44" s="2457">
        <f t="shared" ref="V44" si="10">SUM(V40:X43)</f>
        <v>0</v>
      </c>
      <c r="W44" s="2455"/>
      <c r="X44" s="2456"/>
      <c r="Y44" s="2457">
        <f t="shared" ref="Y44" si="11">SUM(Y40:AA43)</f>
        <v>0</v>
      </c>
      <c r="Z44" s="2455"/>
      <c r="AA44" s="2456"/>
      <c r="AB44" s="2458">
        <f t="shared" ref="AB44" si="12">SUM(AB40:AD43)</f>
        <v>0</v>
      </c>
      <c r="AC44" s="2458"/>
      <c r="AD44" s="2459"/>
      <c r="AE44" s="2460">
        <f t="shared" ref="AE44" si="13">SUM(AE40:AG43)</f>
        <v>0</v>
      </c>
      <c r="AF44" s="2458"/>
      <c r="AG44" s="2459"/>
      <c r="AH44" s="2460">
        <f t="shared" ref="AH44" si="14">SUM(AH40:AJ43)</f>
        <v>0</v>
      </c>
      <c r="AI44" s="2458"/>
      <c r="AJ44" s="2459"/>
      <c r="AK44" s="2454">
        <f t="shared" ref="AK44" si="15">SUM(AK40:AM43)</f>
        <v>0</v>
      </c>
      <c r="AL44" s="2455"/>
      <c r="AM44" s="2456"/>
      <c r="AN44" s="2457">
        <f t="shared" ref="AN44" si="16">SUM(AN40:AP43)</f>
        <v>0</v>
      </c>
      <c r="AO44" s="2455"/>
      <c r="AP44" s="2456"/>
      <c r="AQ44" s="2458">
        <f t="shared" ref="AQ44" si="17">SUM(AQ40:AS43)</f>
        <v>0</v>
      </c>
      <c r="AR44" s="2458"/>
      <c r="AS44" s="2459"/>
      <c r="AT44" s="2454">
        <f t="shared" ref="AT44" si="18">SUM(AT40:AV43)</f>
        <v>0</v>
      </c>
      <c r="AU44" s="2455"/>
      <c r="AV44" s="2456"/>
      <c r="AW44" s="2457">
        <f t="shared" ref="AW44" si="19">SUM(AW40:AY43)</f>
        <v>0</v>
      </c>
      <c r="AX44" s="2455"/>
      <c r="AY44" s="2456"/>
      <c r="AZ44" s="2457">
        <f t="shared" ref="AZ44" si="20">SUM(AZ40:BB43)</f>
        <v>0</v>
      </c>
      <c r="BA44" s="2455"/>
      <c r="BB44" s="2456"/>
      <c r="BC44" s="2458">
        <f t="shared" ref="BC44" si="21">SUM(BC40:BE43)</f>
        <v>0</v>
      </c>
      <c r="BD44" s="2458"/>
      <c r="BE44" s="2459"/>
      <c r="BF44" s="2460">
        <f t="shared" ref="BF44" si="22">SUM(BF40:BH43)</f>
        <v>0</v>
      </c>
      <c r="BG44" s="2458"/>
      <c r="BH44" s="2461"/>
    </row>
    <row r="45" spans="2:60" ht="16.5" x14ac:dyDescent="0.35">
      <c r="B45" s="238" t="s">
        <v>940</v>
      </c>
      <c r="C45" s="158"/>
      <c r="D45" s="359"/>
      <c r="E45" s="238" t="s">
        <v>657</v>
      </c>
      <c r="G45" s="72"/>
      <c r="H45" s="72"/>
      <c r="I45" s="72"/>
      <c r="J45" s="72"/>
      <c r="K45" s="72"/>
      <c r="L45" s="72"/>
      <c r="M45" s="72"/>
      <c r="N45" s="72"/>
      <c r="O45" s="72"/>
      <c r="P45" s="72"/>
      <c r="Q45" s="72"/>
      <c r="R45" s="72"/>
      <c r="S45" s="72"/>
      <c r="T45" s="72"/>
      <c r="U45" s="72"/>
      <c r="V45" s="72"/>
      <c r="W45" s="72"/>
      <c r="X45" s="72"/>
    </row>
    <row r="46" spans="2:60" ht="30" customHeight="1" x14ac:dyDescent="0.35">
      <c r="C46" s="123"/>
    </row>
    <row r="47" spans="2:60" x14ac:dyDescent="0.35">
      <c r="B47" s="60" t="s">
        <v>913</v>
      </c>
      <c r="W47" s="60" t="s">
        <v>912</v>
      </c>
      <c r="X47" s="73"/>
      <c r="Y47" s="73"/>
      <c r="Z47" s="73"/>
      <c r="AA47" s="73"/>
      <c r="AB47" s="73"/>
      <c r="AC47" s="73"/>
      <c r="AD47" s="73"/>
      <c r="AE47" s="73"/>
      <c r="AF47" s="73"/>
      <c r="AG47" s="73"/>
      <c r="AH47" s="73"/>
      <c r="AI47" s="73"/>
      <c r="AJ47" s="73"/>
      <c r="AK47" s="73"/>
      <c r="AL47" s="73"/>
      <c r="AM47" s="73"/>
      <c r="AR47" s="60" t="s">
        <v>922</v>
      </c>
    </row>
    <row r="48" spans="2:60" ht="21.75" customHeight="1" x14ac:dyDescent="0.35">
      <c r="B48" s="60" t="s">
        <v>780</v>
      </c>
      <c r="F48" s="1581" t="str">
        <f>SchInfo!F38</f>
        <v>MELCHESIEDICK Q. BOLANIO/ March 17, 2023</v>
      </c>
      <c r="G48" s="1581"/>
      <c r="H48" s="1581"/>
      <c r="I48" s="1581"/>
      <c r="J48" s="1581"/>
      <c r="K48" s="1581"/>
      <c r="L48" s="1581"/>
      <c r="M48" s="1581"/>
      <c r="N48" s="1581"/>
      <c r="O48" s="1581"/>
      <c r="P48" s="1581"/>
      <c r="Q48" s="1581"/>
      <c r="R48" s="1581"/>
      <c r="W48" s="2462" t="str">
        <f>'Tables7-8'!AI5</f>
        <v>ELMA CEZARIE Y. ROMERO  /  May 17, 2023</v>
      </c>
      <c r="X48" s="1581"/>
      <c r="Y48" s="1581"/>
      <c r="Z48" s="1581"/>
      <c r="AA48" s="1581"/>
      <c r="AB48" s="1581"/>
      <c r="AC48" s="1581"/>
      <c r="AD48" s="1581"/>
      <c r="AE48" s="1581"/>
      <c r="AF48" s="1581"/>
      <c r="AG48" s="1581"/>
      <c r="AH48" s="1581"/>
      <c r="AI48" s="1581"/>
      <c r="AJ48" s="1581"/>
      <c r="AK48" s="1581"/>
      <c r="AL48" s="1581"/>
      <c r="AM48" s="1581"/>
      <c r="AR48" s="1582" t="str">
        <f>SchInfo!R38</f>
        <v>MICHAEL T. JAMIS   /  March 17, 2023</v>
      </c>
      <c r="AS48" s="1582"/>
      <c r="AT48" s="1582"/>
      <c r="AU48" s="1582"/>
      <c r="AV48" s="1582"/>
      <c r="AW48" s="1582"/>
      <c r="AX48" s="1582"/>
      <c r="AY48" s="1582"/>
      <c r="AZ48" s="1582"/>
      <c r="BA48" s="1582"/>
      <c r="BB48" s="1582"/>
      <c r="BC48" s="1582"/>
      <c r="BD48" s="1582"/>
      <c r="BE48" s="1582"/>
      <c r="BF48" s="1582"/>
      <c r="BG48" s="1582"/>
      <c r="BH48" s="1582"/>
    </row>
    <row r="49" spans="2:76" s="68" customFormat="1" ht="15.75" customHeight="1" x14ac:dyDescent="0.3">
      <c r="B49" s="210"/>
      <c r="F49" s="1452" t="s">
        <v>779</v>
      </c>
      <c r="G49" s="1452"/>
      <c r="H49" s="1452"/>
      <c r="I49" s="1452"/>
      <c r="J49" s="1452"/>
      <c r="K49" s="1452"/>
      <c r="L49" s="1452"/>
      <c r="M49" s="1452"/>
      <c r="N49" s="1452"/>
      <c r="O49" s="1452"/>
      <c r="P49" s="1452"/>
      <c r="Q49" s="1452"/>
      <c r="R49" s="1452"/>
      <c r="S49" s="64"/>
      <c r="T49" s="64"/>
      <c r="U49" s="64"/>
      <c r="V49" s="64"/>
      <c r="W49" s="1452" t="s">
        <v>779</v>
      </c>
      <c r="X49" s="1452"/>
      <c r="Y49" s="1452"/>
      <c r="Z49" s="1452"/>
      <c r="AA49" s="1452"/>
      <c r="AB49" s="1452"/>
      <c r="AC49" s="1452"/>
      <c r="AD49" s="1452"/>
      <c r="AE49" s="1452"/>
      <c r="AF49" s="1452"/>
      <c r="AG49" s="1452"/>
      <c r="AH49" s="1452"/>
      <c r="AI49" s="1452"/>
      <c r="AJ49" s="1452"/>
      <c r="AK49" s="1452"/>
      <c r="AL49" s="1452"/>
      <c r="AM49" s="1452"/>
      <c r="AN49" s="64"/>
      <c r="AO49" s="64"/>
      <c r="AP49" s="64"/>
      <c r="AQ49" s="64"/>
      <c r="AR49" s="1583"/>
      <c r="AS49" s="1583"/>
      <c r="AT49" s="1583"/>
      <c r="AU49" s="1583"/>
      <c r="AV49" s="1583"/>
      <c r="AW49" s="1583"/>
      <c r="AX49" s="1583"/>
      <c r="AY49" s="1583"/>
      <c r="AZ49" s="1583"/>
      <c r="BA49" s="1583"/>
      <c r="BB49" s="1583"/>
      <c r="BC49" s="1583"/>
      <c r="BD49" s="1583"/>
      <c r="BE49" s="1583"/>
      <c r="BF49" s="1583"/>
      <c r="BG49" s="1583"/>
      <c r="BH49" s="1583"/>
      <c r="BI49" s="209"/>
      <c r="BJ49" s="209"/>
      <c r="BK49" s="209"/>
      <c r="BL49" s="209"/>
      <c r="BM49" s="209"/>
      <c r="BN49" s="209"/>
      <c r="BO49" s="209"/>
      <c r="BP49" s="209"/>
      <c r="BQ49" s="209"/>
      <c r="BR49" s="209"/>
      <c r="BS49" s="209"/>
      <c r="BT49" s="209"/>
      <c r="BU49" s="209"/>
      <c r="BV49" s="209"/>
      <c r="BW49" s="209"/>
      <c r="BX49" s="209"/>
    </row>
    <row r="50" spans="2:76" ht="21.75" customHeight="1" x14ac:dyDescent="0.35">
      <c r="B50" s="60" t="s">
        <v>782</v>
      </c>
      <c r="F50" s="1581" t="str">
        <f>SchInfo!F40</f>
        <v>Principal IV</v>
      </c>
      <c r="G50" s="1581"/>
      <c r="H50" s="1581"/>
      <c r="I50" s="1581"/>
      <c r="J50" s="1581"/>
      <c r="K50" s="1581"/>
      <c r="L50" s="1581"/>
      <c r="M50" s="1581"/>
      <c r="N50" s="1581"/>
      <c r="O50" s="1581"/>
      <c r="P50" s="1581"/>
      <c r="Q50" s="1581"/>
      <c r="R50" s="1581"/>
      <c r="W50" s="60" t="s">
        <v>782</v>
      </c>
      <c r="AA50" s="1581" t="str">
        <f>'Tables7-8'!AM7</f>
        <v>Administrative Officer</v>
      </c>
      <c r="AB50" s="1581"/>
      <c r="AC50" s="1581"/>
      <c r="AD50" s="1581"/>
      <c r="AE50" s="1581"/>
      <c r="AF50" s="1581"/>
      <c r="AG50" s="1581"/>
      <c r="AH50" s="1581"/>
      <c r="AI50" s="1581"/>
      <c r="AJ50" s="1581"/>
      <c r="AK50" s="1581"/>
      <c r="AL50" s="1581"/>
      <c r="AM50" s="1581"/>
      <c r="AR50" s="1452" t="s">
        <v>779</v>
      </c>
      <c r="AS50" s="1452"/>
      <c r="AT50" s="1452"/>
      <c r="AU50" s="1452"/>
      <c r="AV50" s="1452"/>
      <c r="AW50" s="1452"/>
      <c r="AX50" s="1452"/>
      <c r="AY50" s="1452"/>
      <c r="AZ50" s="1452"/>
      <c r="BA50" s="1452"/>
      <c r="BB50" s="1452"/>
      <c r="BC50" s="1452"/>
      <c r="BD50" s="1452"/>
      <c r="BE50" s="1452"/>
      <c r="BF50" s="1452"/>
      <c r="BG50" s="1452"/>
      <c r="BH50" s="1452"/>
    </row>
  </sheetData>
  <sheetProtection algorithmName="SHA-512" hashValue="B4t50+fUkllxq9FBpcu2yikRSj6AZtNcl3GnhTJCYj/RppP8G5hxobTORBdBRMpIAO/5WR3/jr+tR2SXU7g/2g==" saltValue="3ES8lhCilvkWESHP7GWq5w==" spinCount="100000" sheet="1" objects="1" scenarios="1"/>
  <mergeCells count="279">
    <mergeCell ref="F50:R50"/>
    <mergeCell ref="AA50:AM50"/>
    <mergeCell ref="AR50:BH50"/>
    <mergeCell ref="BC44:BE44"/>
    <mergeCell ref="BF44:BH44"/>
    <mergeCell ref="F48:R48"/>
    <mergeCell ref="W48:AM48"/>
    <mergeCell ref="AR48:BH49"/>
    <mergeCell ref="F49:R49"/>
    <mergeCell ref="W49:AM49"/>
    <mergeCell ref="AK44:AM44"/>
    <mergeCell ref="AN44:AP44"/>
    <mergeCell ref="AQ44:AS44"/>
    <mergeCell ref="AT44:AV44"/>
    <mergeCell ref="AW44:AY44"/>
    <mergeCell ref="AZ44:BB44"/>
    <mergeCell ref="S44:U44"/>
    <mergeCell ref="V44:X44"/>
    <mergeCell ref="Y44:AA44"/>
    <mergeCell ref="AB44:AD44"/>
    <mergeCell ref="AE44:AG44"/>
    <mergeCell ref="AH44:AJ44"/>
    <mergeCell ref="BF43:BH43"/>
    <mergeCell ref="B44:F44"/>
    <mergeCell ref="G44:I44"/>
    <mergeCell ref="J44:L44"/>
    <mergeCell ref="M44:O44"/>
    <mergeCell ref="P44:R44"/>
    <mergeCell ref="AB43:AD43"/>
    <mergeCell ref="AE43:AG43"/>
    <mergeCell ref="AH43:AJ43"/>
    <mergeCell ref="AK43:AM43"/>
    <mergeCell ref="AN43:AP43"/>
    <mergeCell ref="AQ43:AS43"/>
    <mergeCell ref="BC43:BE43"/>
    <mergeCell ref="Y41:AA41"/>
    <mergeCell ref="AB41:AD41"/>
    <mergeCell ref="AE41:AG41"/>
    <mergeCell ref="AH41:AJ41"/>
    <mergeCell ref="AK41:AM41"/>
    <mergeCell ref="AZ42:BB42"/>
    <mergeCell ref="BC42:BE42"/>
    <mergeCell ref="BF42:BH42"/>
    <mergeCell ref="G43:I43"/>
    <mergeCell ref="J43:L43"/>
    <mergeCell ref="M43:O43"/>
    <mergeCell ref="P43:R43"/>
    <mergeCell ref="S43:U43"/>
    <mergeCell ref="V43:X43"/>
    <mergeCell ref="Y43:AA43"/>
    <mergeCell ref="AH42:AJ42"/>
    <mergeCell ref="AK42:AM42"/>
    <mergeCell ref="AN42:AP42"/>
    <mergeCell ref="AQ42:AS42"/>
    <mergeCell ref="AT42:AV42"/>
    <mergeCell ref="AW42:AY42"/>
    <mergeCell ref="AT43:AV43"/>
    <mergeCell ref="AW43:AY43"/>
    <mergeCell ref="AZ43:BB43"/>
    <mergeCell ref="G42:I42"/>
    <mergeCell ref="J42:L42"/>
    <mergeCell ref="M42:O42"/>
    <mergeCell ref="P42:R42"/>
    <mergeCell ref="S42:U42"/>
    <mergeCell ref="V42:X42"/>
    <mergeCell ref="Y42:AA42"/>
    <mergeCell ref="AB42:AD42"/>
    <mergeCell ref="AE42:AG42"/>
    <mergeCell ref="AT40:AV40"/>
    <mergeCell ref="AW40:AY40"/>
    <mergeCell ref="AZ40:BB40"/>
    <mergeCell ref="BC40:BE40"/>
    <mergeCell ref="BF40:BH40"/>
    <mergeCell ref="G41:I41"/>
    <mergeCell ref="J41:L41"/>
    <mergeCell ref="M41:O41"/>
    <mergeCell ref="P41:R41"/>
    <mergeCell ref="S41:U41"/>
    <mergeCell ref="AB40:AD40"/>
    <mergeCell ref="AE40:AG40"/>
    <mergeCell ref="AH40:AJ40"/>
    <mergeCell ref="AK40:AM40"/>
    <mergeCell ref="AN40:AP40"/>
    <mergeCell ref="AQ40:AS40"/>
    <mergeCell ref="BF41:BH41"/>
    <mergeCell ref="AN41:AP41"/>
    <mergeCell ref="AQ41:AS41"/>
    <mergeCell ref="AT41:AV41"/>
    <mergeCell ref="AW41:AY41"/>
    <mergeCell ref="AZ41:BB41"/>
    <mergeCell ref="BC41:BE41"/>
    <mergeCell ref="V41:X41"/>
    <mergeCell ref="G40:I40"/>
    <mergeCell ref="J40:L40"/>
    <mergeCell ref="M40:O40"/>
    <mergeCell ref="P40:R40"/>
    <mergeCell ref="S40:U40"/>
    <mergeCell ref="V40:X40"/>
    <mergeCell ref="Y40:AA40"/>
    <mergeCell ref="AB38:AD39"/>
    <mergeCell ref="AH38:AJ39"/>
    <mergeCell ref="J38:L39"/>
    <mergeCell ref="M38:O39"/>
    <mergeCell ref="P38:R39"/>
    <mergeCell ref="S38:U39"/>
    <mergeCell ref="V38:X39"/>
    <mergeCell ref="Y38:AA39"/>
    <mergeCell ref="BD27:BH27"/>
    <mergeCell ref="AE27:AI27"/>
    <mergeCell ref="B36:F39"/>
    <mergeCell ref="G36:AG36"/>
    <mergeCell ref="AH36:BH36"/>
    <mergeCell ref="G37:R37"/>
    <mergeCell ref="S37:AD37"/>
    <mergeCell ref="AE37:AG39"/>
    <mergeCell ref="AH37:AS37"/>
    <mergeCell ref="AT37:BE37"/>
    <mergeCell ref="BF37:BH39"/>
    <mergeCell ref="G38:I39"/>
    <mergeCell ref="AW38:AY39"/>
    <mergeCell ref="AZ38:BB39"/>
    <mergeCell ref="BC38:BE39"/>
    <mergeCell ref="AK38:AM39"/>
    <mergeCell ref="AN38:AP39"/>
    <mergeCell ref="AQ38:AS39"/>
    <mergeCell ref="AT38:AV39"/>
    <mergeCell ref="F34:AT34"/>
    <mergeCell ref="AT25:AX25"/>
    <mergeCell ref="AY25:BC25"/>
    <mergeCell ref="BD25:BH25"/>
    <mergeCell ref="AE25:AI25"/>
    <mergeCell ref="B28:J28"/>
    <mergeCell ref="K28:O28"/>
    <mergeCell ref="P28:T28"/>
    <mergeCell ref="U28:Y28"/>
    <mergeCell ref="Z28:AD28"/>
    <mergeCell ref="B27:J27"/>
    <mergeCell ref="K27:O27"/>
    <mergeCell ref="P27:T27"/>
    <mergeCell ref="U27:Y27"/>
    <mergeCell ref="Z27:AD27"/>
    <mergeCell ref="AE28:AI28"/>
    <mergeCell ref="AJ28:AN28"/>
    <mergeCell ref="AO28:AS28"/>
    <mergeCell ref="AT28:AX28"/>
    <mergeCell ref="AY28:BC28"/>
    <mergeCell ref="BD28:BH28"/>
    <mergeCell ref="AJ27:AN27"/>
    <mergeCell ref="AO27:AS27"/>
    <mergeCell ref="AT27:AX27"/>
    <mergeCell ref="AY27:BC27"/>
    <mergeCell ref="AJ23:AN23"/>
    <mergeCell ref="AO23:AS23"/>
    <mergeCell ref="AT23:AX23"/>
    <mergeCell ref="AY23:BC23"/>
    <mergeCell ref="BD23:BH23"/>
    <mergeCell ref="AE23:AI23"/>
    <mergeCell ref="B26:J26"/>
    <mergeCell ref="K26:O26"/>
    <mergeCell ref="P26:T26"/>
    <mergeCell ref="U26:Y26"/>
    <mergeCell ref="Z26:AD26"/>
    <mergeCell ref="B25:J25"/>
    <mergeCell ref="K25:O25"/>
    <mergeCell ref="P25:T25"/>
    <mergeCell ref="U25:Y25"/>
    <mergeCell ref="Z25:AD25"/>
    <mergeCell ref="AE26:AI26"/>
    <mergeCell ref="AJ26:AN26"/>
    <mergeCell ref="AO26:AS26"/>
    <mergeCell ref="AT26:AX26"/>
    <mergeCell ref="AY26:BC26"/>
    <mergeCell ref="BD26:BH26"/>
    <mergeCell ref="AJ25:AN25"/>
    <mergeCell ref="AO25:AS25"/>
    <mergeCell ref="AT22:AX22"/>
    <mergeCell ref="AY22:BC22"/>
    <mergeCell ref="BD22:BH22"/>
    <mergeCell ref="AJ21:AN21"/>
    <mergeCell ref="AO21:AS21"/>
    <mergeCell ref="AT21:AX21"/>
    <mergeCell ref="AY21:BC21"/>
    <mergeCell ref="BD21:BH21"/>
    <mergeCell ref="B24:J24"/>
    <mergeCell ref="K24:O24"/>
    <mergeCell ref="P24:T24"/>
    <mergeCell ref="U24:Y24"/>
    <mergeCell ref="Z24:AD24"/>
    <mergeCell ref="B23:J23"/>
    <mergeCell ref="K23:O23"/>
    <mergeCell ref="P23:T23"/>
    <mergeCell ref="U23:Y23"/>
    <mergeCell ref="Z23:AD23"/>
    <mergeCell ref="AE24:AI24"/>
    <mergeCell ref="AJ24:AN24"/>
    <mergeCell ref="AO24:AS24"/>
    <mergeCell ref="AT24:AX24"/>
    <mergeCell ref="AY24:BC24"/>
    <mergeCell ref="BD24:BH24"/>
    <mergeCell ref="B22:J22"/>
    <mergeCell ref="K22:O22"/>
    <mergeCell ref="P22:T22"/>
    <mergeCell ref="U22:Y22"/>
    <mergeCell ref="Z22:AD22"/>
    <mergeCell ref="AO19:AS20"/>
    <mergeCell ref="AT19:AX20"/>
    <mergeCell ref="AY19:BC20"/>
    <mergeCell ref="BD19:BH20"/>
    <mergeCell ref="B21:J21"/>
    <mergeCell ref="K21:O21"/>
    <mergeCell ref="P21:T21"/>
    <mergeCell ref="U21:Y21"/>
    <mergeCell ref="Z21:AD21"/>
    <mergeCell ref="AE21:AI21"/>
    <mergeCell ref="K19:O20"/>
    <mergeCell ref="P19:T20"/>
    <mergeCell ref="U19:Y20"/>
    <mergeCell ref="Z19:AD20"/>
    <mergeCell ref="AE19:AI20"/>
    <mergeCell ref="AJ19:AN20"/>
    <mergeCell ref="AE22:AI22"/>
    <mergeCell ref="AJ22:AN22"/>
    <mergeCell ref="AO22:AS22"/>
    <mergeCell ref="BA11:BD11"/>
    <mergeCell ref="BE11:BH11"/>
    <mergeCell ref="B17:J20"/>
    <mergeCell ref="K17:AN17"/>
    <mergeCell ref="AO17:BH17"/>
    <mergeCell ref="K18:T18"/>
    <mergeCell ref="U18:AD18"/>
    <mergeCell ref="AE18:AN18"/>
    <mergeCell ref="AO18:AX18"/>
    <mergeCell ref="AY18:BH18"/>
    <mergeCell ref="B11:L11"/>
    <mergeCell ref="M11:P11"/>
    <mergeCell ref="Q11:T11"/>
    <mergeCell ref="U11:X11"/>
    <mergeCell ref="AL11:AV11"/>
    <mergeCell ref="AW11:AZ11"/>
    <mergeCell ref="M10:P10"/>
    <mergeCell ref="Q10:T10"/>
    <mergeCell ref="U10:X10"/>
    <mergeCell ref="AW10:AZ10"/>
    <mergeCell ref="BA10:BD10"/>
    <mergeCell ref="BE10:BH10"/>
    <mergeCell ref="M9:P9"/>
    <mergeCell ref="Q9:T9"/>
    <mergeCell ref="U9:X9"/>
    <mergeCell ref="AW9:AZ9"/>
    <mergeCell ref="BA9:BD9"/>
    <mergeCell ref="BE9:BH9"/>
    <mergeCell ref="M8:P8"/>
    <mergeCell ref="Q8:T8"/>
    <mergeCell ref="U8:X8"/>
    <mergeCell ref="AW8:AZ8"/>
    <mergeCell ref="BA8:BD8"/>
    <mergeCell ref="BE8:BH8"/>
    <mergeCell ref="M7:P7"/>
    <mergeCell ref="Q7:T7"/>
    <mergeCell ref="U7:X7"/>
    <mergeCell ref="AW7:AZ7"/>
    <mergeCell ref="BA7:BD7"/>
    <mergeCell ref="BE7:BH7"/>
    <mergeCell ref="M6:P6"/>
    <mergeCell ref="Q6:T6"/>
    <mergeCell ref="U6:X6"/>
    <mergeCell ref="AW6:AZ6"/>
    <mergeCell ref="BA6:BD6"/>
    <mergeCell ref="BE6:BH6"/>
    <mergeCell ref="B4:L5"/>
    <mergeCell ref="M4:X4"/>
    <mergeCell ref="AL4:AV5"/>
    <mergeCell ref="AW4:BH4"/>
    <mergeCell ref="M5:P5"/>
    <mergeCell ref="Q5:T5"/>
    <mergeCell ref="U5:X5"/>
    <mergeCell ref="AW5:AZ5"/>
    <mergeCell ref="BA5:BD5"/>
    <mergeCell ref="BE5:BH5"/>
  </mergeCells>
  <dataValidations count="2">
    <dataValidation type="whole" allowBlank="1" showErrorMessage="1" errorTitle="GJHSP SY 2022-2023" error="Please enter valid number between 0-999." sqref="G40:BH43 M6:T10 AW6:BD10" xr:uid="{3D502ED2-CF31-435C-BE76-A9D6517FEA32}">
      <formula1>0</formula1>
      <formula2>999</formula2>
    </dataValidation>
    <dataValidation type="whole" allowBlank="1" showInputMessage="1" showErrorMessage="1" errorTitle="GJHSP SY 2022-2023" error="Please enter valid number between 0-999." sqref="K21:BH28" xr:uid="{54588201-FE86-486F-90FE-4AE22D0CFB09}">
      <formula1>0</formula1>
      <formula2>999</formula2>
    </dataValidation>
  </dataValidations>
  <printOptions horizontalCentered="1" verticalCentered="1"/>
  <pageMargins left="0.25" right="0.25" top="0.2" bottom="0.2" header="0" footer="0.1"/>
  <pageSetup paperSize="9" scale="46" orientation="landscape" r:id="rId1"/>
  <headerFooter alignWithMargins="0">
    <oddFooter>&amp;L&amp;10&amp;F &amp;A&amp;R&amp;10Page 14 of 63</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pageSetUpPr fitToPage="1"/>
  </sheetPr>
  <dimension ref="A1:AT42"/>
  <sheetViews>
    <sheetView showGridLines="0" topLeftCell="C1" zoomScaleNormal="100" workbookViewId="0">
      <selection activeCell="AK8" sqref="AK8:AM8"/>
    </sheetView>
  </sheetViews>
  <sheetFormatPr defaultColWidth="9" defaultRowHeight="15.5" x14ac:dyDescent="0.35"/>
  <cols>
    <col min="1" max="1" width="2.08203125" style="44" customWidth="1"/>
    <col min="2" max="45" width="3.58203125" style="44" customWidth="1"/>
    <col min="46" max="46" width="2.08203125" style="44" customWidth="1"/>
    <col min="47" max="83" width="4.58203125" style="44" customWidth="1"/>
    <col min="84" max="16384" width="9" style="44"/>
  </cols>
  <sheetData>
    <row r="1" spans="2:46" ht="12" customHeight="1" x14ac:dyDescent="0.35"/>
    <row r="2" spans="2:46" ht="17" thickBot="1" x14ac:dyDescent="0.4">
      <c r="B2" s="111" t="s">
        <v>12697</v>
      </c>
      <c r="C2" s="131"/>
      <c r="D2" s="131"/>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row>
    <row r="3" spans="2:46" s="72" customFormat="1" ht="15.75" customHeight="1" thickTop="1" x14ac:dyDescent="0.35">
      <c r="B3" s="1585" t="s">
        <v>130</v>
      </c>
      <c r="C3" s="1586"/>
      <c r="D3" s="1586"/>
      <c r="E3" s="1586"/>
      <c r="F3" s="1586"/>
      <c r="G3" s="1586"/>
      <c r="H3" s="1586"/>
      <c r="I3" s="1586"/>
      <c r="J3" s="1586"/>
      <c r="K3" s="1586"/>
      <c r="L3" s="1586"/>
      <c r="M3" s="1586"/>
      <c r="N3" s="1586"/>
      <c r="O3" s="2359"/>
      <c r="P3" s="2481" t="s">
        <v>594</v>
      </c>
      <c r="Q3" s="2482"/>
      <c r="R3" s="2482"/>
      <c r="S3" s="2482"/>
      <c r="T3" s="2482"/>
      <c r="U3" s="2482"/>
      <c r="V3" s="2482"/>
      <c r="W3" s="2482"/>
      <c r="X3" s="2482"/>
      <c r="Y3" s="2482"/>
      <c r="Z3" s="2482"/>
      <c r="AA3" s="2483"/>
      <c r="AB3" s="2481" t="s">
        <v>595</v>
      </c>
      <c r="AC3" s="2482"/>
      <c r="AD3" s="2482"/>
      <c r="AE3" s="2482"/>
      <c r="AF3" s="2482"/>
      <c r="AG3" s="2482"/>
      <c r="AH3" s="2482"/>
      <c r="AI3" s="2482"/>
      <c r="AJ3" s="2482"/>
      <c r="AK3" s="2482"/>
      <c r="AL3" s="2482"/>
      <c r="AM3" s="2484"/>
      <c r="AN3" s="2485" t="s">
        <v>362</v>
      </c>
      <c r="AO3" s="2042"/>
      <c r="AP3" s="2042"/>
      <c r="AQ3" s="2042"/>
      <c r="AR3" s="2042"/>
      <c r="AS3" s="2486"/>
    </row>
    <row r="4" spans="2:46" s="72" customFormat="1" ht="15.75" customHeight="1" x14ac:dyDescent="0.35">
      <c r="B4" s="1587"/>
      <c r="C4" s="1526"/>
      <c r="D4" s="1526"/>
      <c r="E4" s="1526"/>
      <c r="F4" s="1526"/>
      <c r="G4" s="1526"/>
      <c r="H4" s="1526"/>
      <c r="I4" s="1526"/>
      <c r="J4" s="1526"/>
      <c r="K4" s="1526"/>
      <c r="L4" s="1526"/>
      <c r="M4" s="1526"/>
      <c r="N4" s="1526"/>
      <c r="O4" s="1527"/>
      <c r="P4" s="2468" t="s">
        <v>87</v>
      </c>
      <c r="Q4" s="2469"/>
      <c r="R4" s="2469"/>
      <c r="S4" s="2469"/>
      <c r="T4" s="2469"/>
      <c r="U4" s="2470"/>
      <c r="V4" s="2468" t="s">
        <v>88</v>
      </c>
      <c r="W4" s="2469"/>
      <c r="X4" s="2469"/>
      <c r="Y4" s="2469"/>
      <c r="Z4" s="2469"/>
      <c r="AA4" s="2470"/>
      <c r="AB4" s="2468" t="s">
        <v>89</v>
      </c>
      <c r="AC4" s="2469"/>
      <c r="AD4" s="2469"/>
      <c r="AE4" s="2469"/>
      <c r="AF4" s="2469"/>
      <c r="AG4" s="2470"/>
      <c r="AH4" s="2468" t="s">
        <v>90</v>
      </c>
      <c r="AI4" s="2469"/>
      <c r="AJ4" s="2469"/>
      <c r="AK4" s="2469"/>
      <c r="AL4" s="2469"/>
      <c r="AM4" s="2471"/>
      <c r="AN4" s="1553"/>
      <c r="AO4" s="1554"/>
      <c r="AP4" s="1554"/>
      <c r="AQ4" s="1554"/>
      <c r="AR4" s="1554"/>
      <c r="AS4" s="2487"/>
    </row>
    <row r="5" spans="2:46" s="72" customFormat="1" ht="15.75" customHeight="1" x14ac:dyDescent="0.35">
      <c r="B5" s="1587"/>
      <c r="C5" s="1526"/>
      <c r="D5" s="1526"/>
      <c r="E5" s="1526"/>
      <c r="F5" s="1526"/>
      <c r="G5" s="1526"/>
      <c r="H5" s="1526"/>
      <c r="I5" s="1526"/>
      <c r="J5" s="1526"/>
      <c r="K5" s="1526"/>
      <c r="L5" s="1526"/>
      <c r="M5" s="1526"/>
      <c r="N5" s="1526"/>
      <c r="O5" s="1527"/>
      <c r="P5" s="1562"/>
      <c r="Q5" s="1515"/>
      <c r="R5" s="1515"/>
      <c r="S5" s="1515"/>
      <c r="T5" s="1515"/>
      <c r="U5" s="1516"/>
      <c r="V5" s="1562"/>
      <c r="W5" s="1515"/>
      <c r="X5" s="1515"/>
      <c r="Y5" s="1515"/>
      <c r="Z5" s="1515"/>
      <c r="AA5" s="1516"/>
      <c r="AB5" s="1562"/>
      <c r="AC5" s="1515"/>
      <c r="AD5" s="1515"/>
      <c r="AE5" s="1515"/>
      <c r="AF5" s="1515"/>
      <c r="AG5" s="1516"/>
      <c r="AH5" s="1562"/>
      <c r="AI5" s="1515"/>
      <c r="AJ5" s="1515"/>
      <c r="AK5" s="1515"/>
      <c r="AL5" s="1515"/>
      <c r="AM5" s="1564"/>
      <c r="AN5" s="1556"/>
      <c r="AO5" s="1557"/>
      <c r="AP5" s="1557"/>
      <c r="AQ5" s="1557"/>
      <c r="AR5" s="1557"/>
      <c r="AS5" s="2488"/>
    </row>
    <row r="6" spans="2:46" s="72" customFormat="1" ht="20.25" customHeight="1" thickBot="1" x14ac:dyDescent="0.4">
      <c r="B6" s="1588"/>
      <c r="C6" s="1589"/>
      <c r="D6" s="1589"/>
      <c r="E6" s="1589"/>
      <c r="F6" s="1589"/>
      <c r="G6" s="1589"/>
      <c r="H6" s="1589"/>
      <c r="I6" s="1589"/>
      <c r="J6" s="1589"/>
      <c r="K6" s="1589"/>
      <c r="L6" s="1589"/>
      <c r="M6" s="1589"/>
      <c r="N6" s="1589"/>
      <c r="O6" s="2360"/>
      <c r="P6" s="2472" t="s">
        <v>14</v>
      </c>
      <c r="Q6" s="2464"/>
      <c r="R6" s="2465"/>
      <c r="S6" s="2473" t="s">
        <v>15</v>
      </c>
      <c r="T6" s="2464"/>
      <c r="U6" s="2474"/>
      <c r="V6" s="2472" t="s">
        <v>14</v>
      </c>
      <c r="W6" s="2464"/>
      <c r="X6" s="2465"/>
      <c r="Y6" s="2473" t="s">
        <v>15</v>
      </c>
      <c r="Z6" s="2464"/>
      <c r="AA6" s="2474"/>
      <c r="AB6" s="2472" t="s">
        <v>14</v>
      </c>
      <c r="AC6" s="2464"/>
      <c r="AD6" s="2465"/>
      <c r="AE6" s="2473" t="s">
        <v>15</v>
      </c>
      <c r="AF6" s="2464"/>
      <c r="AG6" s="2474"/>
      <c r="AH6" s="2472" t="s">
        <v>14</v>
      </c>
      <c r="AI6" s="2464"/>
      <c r="AJ6" s="2465"/>
      <c r="AK6" s="2473" t="s">
        <v>15</v>
      </c>
      <c r="AL6" s="2464"/>
      <c r="AM6" s="2475"/>
      <c r="AN6" s="2463" t="s">
        <v>14</v>
      </c>
      <c r="AO6" s="2464"/>
      <c r="AP6" s="2465"/>
      <c r="AQ6" s="2464" t="s">
        <v>15</v>
      </c>
      <c r="AR6" s="2464"/>
      <c r="AS6" s="2466"/>
    </row>
    <row r="7" spans="2:46" s="72" customFormat="1" ht="25" customHeight="1" thickTop="1" x14ac:dyDescent="0.35">
      <c r="B7" s="2477" t="s">
        <v>654</v>
      </c>
      <c r="C7" s="2478"/>
      <c r="D7" s="2478"/>
      <c r="E7" s="2478"/>
      <c r="F7" s="2478"/>
      <c r="G7" s="2478"/>
      <c r="H7" s="2478"/>
      <c r="I7" s="2478"/>
      <c r="J7" s="2478"/>
      <c r="K7" s="2478"/>
      <c r="L7" s="2478"/>
      <c r="M7" s="2478"/>
      <c r="N7" s="2478"/>
      <c r="O7" s="2479"/>
      <c r="P7" s="2493"/>
      <c r="Q7" s="2494"/>
      <c r="R7" s="2494"/>
      <c r="S7" s="2494"/>
      <c r="T7" s="2494"/>
      <c r="U7" s="2494"/>
      <c r="V7" s="2494"/>
      <c r="W7" s="2494"/>
      <c r="X7" s="2494"/>
      <c r="Y7" s="2494"/>
      <c r="Z7" s="2494"/>
      <c r="AA7" s="2494"/>
      <c r="AB7" s="2494"/>
      <c r="AC7" s="2494"/>
      <c r="AD7" s="2494"/>
      <c r="AE7" s="2494"/>
      <c r="AF7" s="2494"/>
      <c r="AG7" s="2494"/>
      <c r="AH7" s="2494"/>
      <c r="AI7" s="2494"/>
      <c r="AJ7" s="2494"/>
      <c r="AK7" s="2494"/>
      <c r="AL7" s="2494"/>
      <c r="AM7" s="2494"/>
      <c r="AN7" s="2494"/>
      <c r="AO7" s="2494"/>
      <c r="AP7" s="2494"/>
      <c r="AQ7" s="2494"/>
      <c r="AR7" s="2494"/>
      <c r="AS7" s="2495"/>
    </row>
    <row r="8" spans="2:46" s="72" customFormat="1" ht="25" customHeight="1" x14ac:dyDescent="0.35">
      <c r="B8" s="390"/>
      <c r="C8" s="146" t="s">
        <v>109</v>
      </c>
      <c r="D8" s="107"/>
      <c r="E8" s="126"/>
      <c r="F8" s="126"/>
      <c r="G8" s="126"/>
      <c r="H8" s="126"/>
      <c r="I8" s="126"/>
      <c r="J8" s="126"/>
      <c r="K8" s="126"/>
      <c r="L8" s="126"/>
      <c r="M8" s="126"/>
      <c r="N8" s="126"/>
      <c r="O8" s="108"/>
      <c r="P8" s="1544">
        <v>0</v>
      </c>
      <c r="Q8" s="1545"/>
      <c r="R8" s="1545"/>
      <c r="S8" s="1547">
        <v>0</v>
      </c>
      <c r="T8" s="1545"/>
      <c r="U8" s="1548"/>
      <c r="V8" s="1544">
        <v>0</v>
      </c>
      <c r="W8" s="1545"/>
      <c r="X8" s="1545"/>
      <c r="Y8" s="1547">
        <v>1</v>
      </c>
      <c r="Z8" s="1545"/>
      <c r="AA8" s="1548"/>
      <c r="AB8" s="1544">
        <v>0</v>
      </c>
      <c r="AC8" s="1545"/>
      <c r="AD8" s="1545"/>
      <c r="AE8" s="1547">
        <v>1</v>
      </c>
      <c r="AF8" s="1545"/>
      <c r="AG8" s="1548"/>
      <c r="AH8" s="1544">
        <v>0</v>
      </c>
      <c r="AI8" s="1545"/>
      <c r="AJ8" s="1545"/>
      <c r="AK8" s="1547">
        <v>1</v>
      </c>
      <c r="AL8" s="1545"/>
      <c r="AM8" s="1548"/>
      <c r="AN8" s="1459">
        <f>SUM(P8,V8,AB8,AH8)</f>
        <v>0</v>
      </c>
      <c r="AO8" s="1457"/>
      <c r="AP8" s="1460"/>
      <c r="AQ8" s="1456">
        <f>SUM(S8,Y8,AE8,AK8)</f>
        <v>3</v>
      </c>
      <c r="AR8" s="1457"/>
      <c r="AS8" s="2467"/>
    </row>
    <row r="9" spans="2:46" s="72" customFormat="1" ht="25" customHeight="1" x14ac:dyDescent="0.35">
      <c r="B9" s="390"/>
      <c r="C9" s="146" t="s">
        <v>110</v>
      </c>
      <c r="D9" s="107"/>
      <c r="E9" s="126"/>
      <c r="F9" s="126"/>
      <c r="G9" s="126"/>
      <c r="H9" s="126"/>
      <c r="I9" s="126"/>
      <c r="J9" s="126"/>
      <c r="K9" s="126"/>
      <c r="L9" s="126"/>
      <c r="M9" s="126"/>
      <c r="N9" s="126"/>
      <c r="O9" s="108"/>
      <c r="P9" s="1544">
        <v>0</v>
      </c>
      <c r="Q9" s="1545"/>
      <c r="R9" s="1545"/>
      <c r="S9" s="1547">
        <v>0</v>
      </c>
      <c r="T9" s="1545"/>
      <c r="U9" s="1548"/>
      <c r="V9" s="1544">
        <v>0</v>
      </c>
      <c r="W9" s="1545"/>
      <c r="X9" s="1545"/>
      <c r="Y9" s="1547">
        <v>0</v>
      </c>
      <c r="Z9" s="1545"/>
      <c r="AA9" s="1548"/>
      <c r="AB9" s="1544">
        <v>0</v>
      </c>
      <c r="AC9" s="1545"/>
      <c r="AD9" s="1545"/>
      <c r="AE9" s="1547">
        <v>0</v>
      </c>
      <c r="AF9" s="1545"/>
      <c r="AG9" s="1548"/>
      <c r="AH9" s="1544">
        <v>0</v>
      </c>
      <c r="AI9" s="1545"/>
      <c r="AJ9" s="1545"/>
      <c r="AK9" s="1547">
        <v>0</v>
      </c>
      <c r="AL9" s="1545"/>
      <c r="AM9" s="1548"/>
      <c r="AN9" s="1459">
        <f t="shared" ref="AN9:AN16" si="0">SUM(P9,V9,AB9,AH9)</f>
        <v>0</v>
      </c>
      <c r="AO9" s="1457"/>
      <c r="AP9" s="1460"/>
      <c r="AQ9" s="1456">
        <f t="shared" ref="AQ9:AQ16" si="1">SUM(S9,Y9,AE9,AK9)</f>
        <v>0</v>
      </c>
      <c r="AR9" s="1457"/>
      <c r="AS9" s="2467"/>
    </row>
    <row r="10" spans="2:46" s="72" customFormat="1" ht="25" customHeight="1" x14ac:dyDescent="0.35">
      <c r="B10" s="390"/>
      <c r="C10" s="146" t="s">
        <v>111</v>
      </c>
      <c r="D10" s="126"/>
      <c r="E10" s="126"/>
      <c r="F10" s="126"/>
      <c r="G10" s="126"/>
      <c r="H10" s="126"/>
      <c r="I10" s="126"/>
      <c r="J10" s="126"/>
      <c r="K10" s="126"/>
      <c r="L10" s="126"/>
      <c r="M10" s="126"/>
      <c r="N10" s="126"/>
      <c r="O10" s="108"/>
      <c r="P10" s="1544">
        <v>0</v>
      </c>
      <c r="Q10" s="1545"/>
      <c r="R10" s="1545"/>
      <c r="S10" s="1547">
        <v>1</v>
      </c>
      <c r="T10" s="1545"/>
      <c r="U10" s="1548"/>
      <c r="V10" s="1544">
        <v>0</v>
      </c>
      <c r="W10" s="1545"/>
      <c r="X10" s="1545"/>
      <c r="Y10" s="1547">
        <v>1</v>
      </c>
      <c r="Z10" s="1545"/>
      <c r="AA10" s="1548"/>
      <c r="AB10" s="1544">
        <v>0</v>
      </c>
      <c r="AC10" s="1545"/>
      <c r="AD10" s="1545"/>
      <c r="AE10" s="1547">
        <v>1</v>
      </c>
      <c r="AF10" s="1545"/>
      <c r="AG10" s="1548"/>
      <c r="AH10" s="1544">
        <v>0</v>
      </c>
      <c r="AI10" s="1545"/>
      <c r="AJ10" s="1545"/>
      <c r="AK10" s="1547">
        <v>1</v>
      </c>
      <c r="AL10" s="1545"/>
      <c r="AM10" s="1548"/>
      <c r="AN10" s="1459">
        <f t="shared" si="0"/>
        <v>0</v>
      </c>
      <c r="AO10" s="1457"/>
      <c r="AP10" s="1460"/>
      <c r="AQ10" s="1456">
        <f t="shared" si="1"/>
        <v>4</v>
      </c>
      <c r="AR10" s="1457"/>
      <c r="AS10" s="2467"/>
    </row>
    <row r="11" spans="2:46" s="72" customFormat="1" ht="25" customHeight="1" x14ac:dyDescent="0.35">
      <c r="B11" s="390"/>
      <c r="C11" s="146" t="s">
        <v>112</v>
      </c>
      <c r="D11" s="126"/>
      <c r="E11" s="126"/>
      <c r="F11" s="126"/>
      <c r="G11" s="126"/>
      <c r="H11" s="126"/>
      <c r="I11" s="126"/>
      <c r="J11" s="126"/>
      <c r="K11" s="126"/>
      <c r="L11" s="126"/>
      <c r="M11" s="126"/>
      <c r="N11" s="126"/>
      <c r="O11" s="108"/>
      <c r="P11" s="1544">
        <v>0</v>
      </c>
      <c r="Q11" s="1545"/>
      <c r="R11" s="1545"/>
      <c r="S11" s="1547">
        <v>1</v>
      </c>
      <c r="T11" s="1545"/>
      <c r="U11" s="1548"/>
      <c r="V11" s="1544">
        <v>0</v>
      </c>
      <c r="W11" s="1545"/>
      <c r="X11" s="1545"/>
      <c r="Y11" s="1547">
        <v>1</v>
      </c>
      <c r="Z11" s="1545"/>
      <c r="AA11" s="1548"/>
      <c r="AB11" s="1544">
        <v>0</v>
      </c>
      <c r="AC11" s="1545"/>
      <c r="AD11" s="1545"/>
      <c r="AE11" s="1547">
        <v>1</v>
      </c>
      <c r="AF11" s="1545"/>
      <c r="AG11" s="1548"/>
      <c r="AH11" s="1544">
        <v>0</v>
      </c>
      <c r="AI11" s="1545"/>
      <c r="AJ11" s="1545"/>
      <c r="AK11" s="1547">
        <v>1</v>
      </c>
      <c r="AL11" s="1545"/>
      <c r="AM11" s="1548"/>
      <c r="AN11" s="1459">
        <f t="shared" si="0"/>
        <v>0</v>
      </c>
      <c r="AO11" s="1457"/>
      <c r="AP11" s="1460"/>
      <c r="AQ11" s="1456">
        <f t="shared" si="1"/>
        <v>4</v>
      </c>
      <c r="AR11" s="1457"/>
      <c r="AS11" s="2467"/>
    </row>
    <row r="12" spans="2:46" s="72" customFormat="1" ht="25" customHeight="1" x14ac:dyDescent="0.35">
      <c r="B12" s="390"/>
      <c r="C12" s="146" t="s">
        <v>162</v>
      </c>
      <c r="D12" s="107"/>
      <c r="E12" s="126"/>
      <c r="F12" s="126"/>
      <c r="G12" s="126"/>
      <c r="H12" s="126"/>
      <c r="I12" s="126"/>
      <c r="J12" s="126"/>
      <c r="K12" s="126"/>
      <c r="L12" s="126"/>
      <c r="M12" s="126"/>
      <c r="N12" s="126"/>
      <c r="O12" s="108"/>
      <c r="P12" s="1544">
        <v>0</v>
      </c>
      <c r="Q12" s="1545"/>
      <c r="R12" s="1545"/>
      <c r="S12" s="1547">
        <v>0</v>
      </c>
      <c r="T12" s="1545"/>
      <c r="U12" s="1548"/>
      <c r="V12" s="1544">
        <v>0</v>
      </c>
      <c r="W12" s="1545"/>
      <c r="X12" s="1545"/>
      <c r="Y12" s="1547">
        <v>0</v>
      </c>
      <c r="Z12" s="1545"/>
      <c r="AA12" s="1548"/>
      <c r="AB12" s="1544">
        <v>0</v>
      </c>
      <c r="AC12" s="1545"/>
      <c r="AD12" s="1545"/>
      <c r="AE12" s="1547">
        <v>0</v>
      </c>
      <c r="AF12" s="1545"/>
      <c r="AG12" s="1548"/>
      <c r="AH12" s="1544">
        <v>0</v>
      </c>
      <c r="AI12" s="1545"/>
      <c r="AJ12" s="1545"/>
      <c r="AK12" s="1547">
        <v>0</v>
      </c>
      <c r="AL12" s="1545"/>
      <c r="AM12" s="1548"/>
      <c r="AN12" s="1459">
        <f t="shared" si="0"/>
        <v>0</v>
      </c>
      <c r="AO12" s="1457"/>
      <c r="AP12" s="1460"/>
      <c r="AQ12" s="1456">
        <f t="shared" si="1"/>
        <v>0</v>
      </c>
      <c r="AR12" s="1457"/>
      <c r="AS12" s="2467"/>
    </row>
    <row r="13" spans="2:46" s="72" customFormat="1" ht="25" customHeight="1" x14ac:dyDescent="0.35">
      <c r="B13" s="390"/>
      <c r="C13" s="146" t="s">
        <v>113</v>
      </c>
      <c r="D13" s="126"/>
      <c r="E13" s="126"/>
      <c r="F13" s="126"/>
      <c r="G13" s="126"/>
      <c r="H13" s="126"/>
      <c r="I13" s="126"/>
      <c r="J13" s="126"/>
      <c r="K13" s="126"/>
      <c r="L13" s="126"/>
      <c r="M13" s="126"/>
      <c r="N13" s="126"/>
      <c r="O13" s="108"/>
      <c r="P13" s="1544">
        <v>0</v>
      </c>
      <c r="Q13" s="1545"/>
      <c r="R13" s="1545"/>
      <c r="S13" s="1547">
        <v>0</v>
      </c>
      <c r="T13" s="1545"/>
      <c r="U13" s="1548"/>
      <c r="V13" s="1544">
        <v>0</v>
      </c>
      <c r="W13" s="1545"/>
      <c r="X13" s="1545"/>
      <c r="Y13" s="1547">
        <v>0</v>
      </c>
      <c r="Z13" s="1545"/>
      <c r="AA13" s="1548"/>
      <c r="AB13" s="1544">
        <v>0</v>
      </c>
      <c r="AC13" s="1545"/>
      <c r="AD13" s="1545"/>
      <c r="AE13" s="1547">
        <v>0</v>
      </c>
      <c r="AF13" s="1545"/>
      <c r="AG13" s="1548"/>
      <c r="AH13" s="1544">
        <v>0</v>
      </c>
      <c r="AI13" s="1545"/>
      <c r="AJ13" s="1545"/>
      <c r="AK13" s="1547">
        <v>0</v>
      </c>
      <c r="AL13" s="1545"/>
      <c r="AM13" s="1548"/>
      <c r="AN13" s="1459">
        <f t="shared" si="0"/>
        <v>0</v>
      </c>
      <c r="AO13" s="1457"/>
      <c r="AP13" s="1460"/>
      <c r="AQ13" s="1456">
        <f t="shared" si="1"/>
        <v>0</v>
      </c>
      <c r="AR13" s="1457"/>
      <c r="AS13" s="2467"/>
      <c r="AT13" s="130"/>
    </row>
    <row r="14" spans="2:46" s="72" customFormat="1" ht="25" customHeight="1" x14ac:dyDescent="0.35">
      <c r="B14" s="390"/>
      <c r="C14" s="146" t="s">
        <v>114</v>
      </c>
      <c r="D14" s="126"/>
      <c r="E14" s="126"/>
      <c r="F14" s="126"/>
      <c r="G14" s="126"/>
      <c r="H14" s="126"/>
      <c r="I14" s="126"/>
      <c r="J14" s="126"/>
      <c r="K14" s="126"/>
      <c r="L14" s="126"/>
      <c r="M14" s="126"/>
      <c r="N14" s="126"/>
      <c r="O14" s="108"/>
      <c r="P14" s="1544">
        <v>0</v>
      </c>
      <c r="Q14" s="1545"/>
      <c r="R14" s="1545"/>
      <c r="S14" s="1547">
        <v>0</v>
      </c>
      <c r="T14" s="1545"/>
      <c r="U14" s="1548"/>
      <c r="V14" s="1544">
        <v>0</v>
      </c>
      <c r="W14" s="1545"/>
      <c r="X14" s="1545"/>
      <c r="Y14" s="1547">
        <v>0</v>
      </c>
      <c r="Z14" s="1545"/>
      <c r="AA14" s="1548"/>
      <c r="AB14" s="1544">
        <v>0</v>
      </c>
      <c r="AC14" s="1545"/>
      <c r="AD14" s="1545"/>
      <c r="AE14" s="1547">
        <v>0</v>
      </c>
      <c r="AF14" s="1545"/>
      <c r="AG14" s="1548"/>
      <c r="AH14" s="1544">
        <v>0</v>
      </c>
      <c r="AI14" s="1545"/>
      <c r="AJ14" s="1545"/>
      <c r="AK14" s="1547">
        <v>0</v>
      </c>
      <c r="AL14" s="1545"/>
      <c r="AM14" s="1548"/>
      <c r="AN14" s="1459">
        <f t="shared" si="0"/>
        <v>0</v>
      </c>
      <c r="AO14" s="1457"/>
      <c r="AP14" s="1460"/>
      <c r="AQ14" s="1456">
        <f t="shared" si="1"/>
        <v>0</v>
      </c>
      <c r="AR14" s="1457"/>
      <c r="AS14" s="2467"/>
    </row>
    <row r="15" spans="2:46" s="72" customFormat="1" ht="25" customHeight="1" x14ac:dyDescent="0.35">
      <c r="B15" s="390"/>
      <c r="C15" s="146" t="s">
        <v>163</v>
      </c>
      <c r="D15" s="126"/>
      <c r="E15" s="126"/>
      <c r="F15" s="126"/>
      <c r="G15" s="126"/>
      <c r="H15" s="126"/>
      <c r="I15" s="126"/>
      <c r="J15" s="126"/>
      <c r="K15" s="126"/>
      <c r="L15" s="126"/>
      <c r="M15" s="126"/>
      <c r="N15" s="126"/>
      <c r="O15" s="108"/>
      <c r="P15" s="1544">
        <v>0</v>
      </c>
      <c r="Q15" s="1545"/>
      <c r="R15" s="1545"/>
      <c r="S15" s="1547">
        <v>0</v>
      </c>
      <c r="T15" s="1545"/>
      <c r="U15" s="1548"/>
      <c r="V15" s="1544">
        <v>0</v>
      </c>
      <c r="W15" s="1545"/>
      <c r="X15" s="1545"/>
      <c r="Y15" s="1547">
        <v>0</v>
      </c>
      <c r="Z15" s="1545"/>
      <c r="AA15" s="1548"/>
      <c r="AB15" s="1544">
        <v>0</v>
      </c>
      <c r="AC15" s="1545"/>
      <c r="AD15" s="1545"/>
      <c r="AE15" s="1547">
        <v>0</v>
      </c>
      <c r="AF15" s="1545"/>
      <c r="AG15" s="1548"/>
      <c r="AH15" s="1544">
        <v>0</v>
      </c>
      <c r="AI15" s="1545"/>
      <c r="AJ15" s="1545"/>
      <c r="AK15" s="1547">
        <v>0</v>
      </c>
      <c r="AL15" s="1545"/>
      <c r="AM15" s="1548"/>
      <c r="AN15" s="1459">
        <f t="shared" si="0"/>
        <v>0</v>
      </c>
      <c r="AO15" s="1457"/>
      <c r="AP15" s="1460"/>
      <c r="AQ15" s="1456">
        <f t="shared" si="1"/>
        <v>0</v>
      </c>
      <c r="AR15" s="1457"/>
      <c r="AS15" s="2467"/>
      <c r="AT15" s="130"/>
    </row>
    <row r="16" spans="2:46" s="72" customFormat="1" ht="25" customHeight="1" x14ac:dyDescent="0.35">
      <c r="B16" s="390"/>
      <c r="C16" s="146" t="s">
        <v>164</v>
      </c>
      <c r="D16" s="126"/>
      <c r="E16" s="126"/>
      <c r="F16" s="126"/>
      <c r="G16" s="126"/>
      <c r="H16" s="126"/>
      <c r="I16" s="126"/>
      <c r="J16" s="126"/>
      <c r="K16" s="126"/>
      <c r="L16" s="126"/>
      <c r="M16" s="126"/>
      <c r="N16" s="126"/>
      <c r="O16" s="108"/>
      <c r="P16" s="1544">
        <v>0</v>
      </c>
      <c r="Q16" s="1545"/>
      <c r="R16" s="1545"/>
      <c r="S16" s="1547">
        <v>0</v>
      </c>
      <c r="T16" s="1545"/>
      <c r="U16" s="1548"/>
      <c r="V16" s="1544">
        <v>0</v>
      </c>
      <c r="W16" s="1545"/>
      <c r="X16" s="1545"/>
      <c r="Y16" s="1547">
        <v>0</v>
      </c>
      <c r="Z16" s="1545"/>
      <c r="AA16" s="1548"/>
      <c r="AB16" s="1544">
        <v>0</v>
      </c>
      <c r="AC16" s="1545"/>
      <c r="AD16" s="1545"/>
      <c r="AE16" s="1547">
        <v>0</v>
      </c>
      <c r="AF16" s="1545"/>
      <c r="AG16" s="1548"/>
      <c r="AH16" s="1544">
        <v>0</v>
      </c>
      <c r="AI16" s="1545"/>
      <c r="AJ16" s="1545"/>
      <c r="AK16" s="1547">
        <v>0</v>
      </c>
      <c r="AL16" s="1545"/>
      <c r="AM16" s="1548"/>
      <c r="AN16" s="1459">
        <f t="shared" si="0"/>
        <v>0</v>
      </c>
      <c r="AO16" s="1457"/>
      <c r="AP16" s="1460"/>
      <c r="AQ16" s="1456">
        <f t="shared" si="1"/>
        <v>0</v>
      </c>
      <c r="AR16" s="1457"/>
      <c r="AS16" s="2467"/>
    </row>
    <row r="17" spans="2:45" s="72" customFormat="1" ht="25" customHeight="1" x14ac:dyDescent="0.35">
      <c r="B17" s="2480" t="s">
        <v>655</v>
      </c>
      <c r="C17" s="1567"/>
      <c r="D17" s="1567"/>
      <c r="E17" s="1567"/>
      <c r="F17" s="1567"/>
      <c r="G17" s="1567"/>
      <c r="H17" s="1567"/>
      <c r="I17" s="1567"/>
      <c r="J17" s="1567"/>
      <c r="K17" s="1567"/>
      <c r="L17" s="1567"/>
      <c r="M17" s="1567"/>
      <c r="N17" s="1567"/>
      <c r="O17" s="1568"/>
      <c r="P17" s="1659"/>
      <c r="Q17" s="1660"/>
      <c r="R17" s="1660"/>
      <c r="S17" s="1660"/>
      <c r="T17" s="1660"/>
      <c r="U17" s="1660"/>
      <c r="V17" s="1660"/>
      <c r="W17" s="1660"/>
      <c r="X17" s="1660"/>
      <c r="Y17" s="1660"/>
      <c r="Z17" s="1660"/>
      <c r="AA17" s="1660"/>
      <c r="AB17" s="1660"/>
      <c r="AC17" s="1660"/>
      <c r="AD17" s="1660"/>
      <c r="AE17" s="1660"/>
      <c r="AF17" s="1660"/>
      <c r="AG17" s="1660"/>
      <c r="AH17" s="1660"/>
      <c r="AI17" s="1660"/>
      <c r="AJ17" s="1660"/>
      <c r="AK17" s="1660"/>
      <c r="AL17" s="1660"/>
      <c r="AM17" s="1660"/>
      <c r="AN17" s="1660"/>
      <c r="AO17" s="1660"/>
      <c r="AP17" s="1660"/>
      <c r="AQ17" s="1660"/>
      <c r="AR17" s="1660"/>
      <c r="AS17" s="2496"/>
    </row>
    <row r="18" spans="2:45" s="72" customFormat="1" ht="25" customHeight="1" x14ac:dyDescent="0.35">
      <c r="B18" s="390"/>
      <c r="C18" s="146" t="s">
        <v>165</v>
      </c>
      <c r="D18" s="107"/>
      <c r="E18" s="126"/>
      <c r="F18" s="126"/>
      <c r="G18" s="126"/>
      <c r="H18" s="126"/>
      <c r="I18" s="126"/>
      <c r="J18" s="126"/>
      <c r="K18" s="126"/>
      <c r="L18" s="126"/>
      <c r="M18" s="126"/>
      <c r="N18" s="126"/>
      <c r="O18" s="108"/>
      <c r="P18" s="1544">
        <v>1</v>
      </c>
      <c r="Q18" s="1545"/>
      <c r="R18" s="1545"/>
      <c r="S18" s="1547">
        <v>0</v>
      </c>
      <c r="T18" s="1545"/>
      <c r="U18" s="1548"/>
      <c r="V18" s="1544">
        <v>1</v>
      </c>
      <c r="W18" s="1545"/>
      <c r="X18" s="1545"/>
      <c r="Y18" s="1547">
        <v>0</v>
      </c>
      <c r="Z18" s="1545"/>
      <c r="AA18" s="1548"/>
      <c r="AB18" s="1544">
        <v>1</v>
      </c>
      <c r="AC18" s="1545"/>
      <c r="AD18" s="1545"/>
      <c r="AE18" s="1547">
        <v>0</v>
      </c>
      <c r="AF18" s="1545"/>
      <c r="AG18" s="1548"/>
      <c r="AH18" s="1544">
        <v>1</v>
      </c>
      <c r="AI18" s="1545"/>
      <c r="AJ18" s="1545"/>
      <c r="AK18" s="1547">
        <v>0</v>
      </c>
      <c r="AL18" s="1545"/>
      <c r="AM18" s="1548"/>
      <c r="AN18" s="1459">
        <f>SUM(P18,V18,AB18,AH18)</f>
        <v>4</v>
      </c>
      <c r="AO18" s="1457"/>
      <c r="AP18" s="1460"/>
      <c r="AQ18" s="1456">
        <f>SUM(S18,Y18,AE18,AK18)</f>
        <v>0</v>
      </c>
      <c r="AR18" s="1457"/>
      <c r="AS18" s="2467"/>
    </row>
    <row r="19" spans="2:45" s="72" customFormat="1" ht="25" customHeight="1" x14ac:dyDescent="0.35">
      <c r="B19" s="390"/>
      <c r="C19" s="146" t="s">
        <v>115</v>
      </c>
      <c r="D19" s="107"/>
      <c r="E19" s="126"/>
      <c r="F19" s="126"/>
      <c r="G19" s="126"/>
      <c r="H19" s="126"/>
      <c r="I19" s="126"/>
      <c r="J19" s="126"/>
      <c r="K19" s="126"/>
      <c r="L19" s="126"/>
      <c r="M19" s="126"/>
      <c r="N19" s="126"/>
      <c r="O19" s="108"/>
      <c r="P19" s="1544">
        <v>0</v>
      </c>
      <c r="Q19" s="1545"/>
      <c r="R19" s="1545"/>
      <c r="S19" s="1547">
        <v>0</v>
      </c>
      <c r="T19" s="1545"/>
      <c r="U19" s="1548"/>
      <c r="V19" s="1544">
        <v>0</v>
      </c>
      <c r="W19" s="1545"/>
      <c r="X19" s="1545"/>
      <c r="Y19" s="1547">
        <v>0</v>
      </c>
      <c r="Z19" s="1545"/>
      <c r="AA19" s="1548"/>
      <c r="AB19" s="1544">
        <v>0</v>
      </c>
      <c r="AC19" s="1545"/>
      <c r="AD19" s="1545"/>
      <c r="AE19" s="1547">
        <v>0</v>
      </c>
      <c r="AF19" s="1545"/>
      <c r="AG19" s="1548"/>
      <c r="AH19" s="1544">
        <v>0</v>
      </c>
      <c r="AI19" s="1545"/>
      <c r="AJ19" s="1545"/>
      <c r="AK19" s="1547">
        <v>0</v>
      </c>
      <c r="AL19" s="1545"/>
      <c r="AM19" s="1548"/>
      <c r="AN19" s="1459">
        <f t="shared" ref="AN19:AN21" si="2">SUM(P19,V19,AB19,AH19)</f>
        <v>0</v>
      </c>
      <c r="AO19" s="1457"/>
      <c r="AP19" s="1460"/>
      <c r="AQ19" s="1456">
        <f t="shared" ref="AQ19:AQ21" si="3">SUM(S19,Y19,AE19,AK19)</f>
        <v>0</v>
      </c>
      <c r="AR19" s="1457"/>
      <c r="AS19" s="2467"/>
    </row>
    <row r="20" spans="2:45" s="72" customFormat="1" ht="25" customHeight="1" x14ac:dyDescent="0.35">
      <c r="B20" s="390"/>
      <c r="C20" s="146" t="s">
        <v>148</v>
      </c>
      <c r="D20" s="107"/>
      <c r="E20" s="126"/>
      <c r="F20" s="126"/>
      <c r="G20" s="126"/>
      <c r="H20" s="126"/>
      <c r="I20" s="126"/>
      <c r="J20" s="126"/>
      <c r="K20" s="126"/>
      <c r="L20" s="126"/>
      <c r="M20" s="126"/>
      <c r="N20" s="126"/>
      <c r="O20" s="108"/>
      <c r="P20" s="1544">
        <v>0</v>
      </c>
      <c r="Q20" s="1545"/>
      <c r="R20" s="1545"/>
      <c r="S20" s="1547">
        <v>0</v>
      </c>
      <c r="T20" s="1545"/>
      <c r="U20" s="1548"/>
      <c r="V20" s="1544">
        <v>0</v>
      </c>
      <c r="W20" s="1545"/>
      <c r="X20" s="1545"/>
      <c r="Y20" s="1547">
        <v>0</v>
      </c>
      <c r="Z20" s="1545"/>
      <c r="AA20" s="1548"/>
      <c r="AB20" s="1544">
        <v>0</v>
      </c>
      <c r="AC20" s="1545"/>
      <c r="AD20" s="1545"/>
      <c r="AE20" s="1547">
        <v>0</v>
      </c>
      <c r="AF20" s="1545"/>
      <c r="AG20" s="1548"/>
      <c r="AH20" s="1544">
        <v>0</v>
      </c>
      <c r="AI20" s="1545"/>
      <c r="AJ20" s="1545"/>
      <c r="AK20" s="1547">
        <v>0</v>
      </c>
      <c r="AL20" s="1545"/>
      <c r="AM20" s="1548"/>
      <c r="AN20" s="1459">
        <f t="shared" si="2"/>
        <v>0</v>
      </c>
      <c r="AO20" s="1457"/>
      <c r="AP20" s="1460"/>
      <c r="AQ20" s="1456">
        <f t="shared" si="3"/>
        <v>0</v>
      </c>
      <c r="AR20" s="1457"/>
      <c r="AS20" s="2467"/>
    </row>
    <row r="21" spans="2:45" s="72" customFormat="1" ht="25" customHeight="1" x14ac:dyDescent="0.35">
      <c r="B21" s="390"/>
      <c r="C21" s="146" t="s">
        <v>166</v>
      </c>
      <c r="D21" s="126"/>
      <c r="E21" s="126"/>
      <c r="F21" s="126"/>
      <c r="G21" s="126"/>
      <c r="H21" s="126"/>
      <c r="I21" s="126"/>
      <c r="J21" s="126"/>
      <c r="K21" s="126"/>
      <c r="L21" s="126"/>
      <c r="M21" s="126"/>
      <c r="N21" s="126"/>
      <c r="O21" s="108"/>
      <c r="P21" s="1544">
        <v>0</v>
      </c>
      <c r="Q21" s="1545"/>
      <c r="R21" s="1545"/>
      <c r="S21" s="1547">
        <v>0</v>
      </c>
      <c r="T21" s="1545"/>
      <c r="U21" s="1548"/>
      <c r="V21" s="1544">
        <v>0</v>
      </c>
      <c r="W21" s="1545"/>
      <c r="X21" s="1545"/>
      <c r="Y21" s="1547">
        <v>0</v>
      </c>
      <c r="Z21" s="1545"/>
      <c r="AA21" s="1548"/>
      <c r="AB21" s="1544">
        <v>0</v>
      </c>
      <c r="AC21" s="1545"/>
      <c r="AD21" s="1545"/>
      <c r="AE21" s="1547">
        <v>0</v>
      </c>
      <c r="AF21" s="1545"/>
      <c r="AG21" s="1548"/>
      <c r="AH21" s="1544">
        <v>0</v>
      </c>
      <c r="AI21" s="1545"/>
      <c r="AJ21" s="1545"/>
      <c r="AK21" s="1547">
        <v>0</v>
      </c>
      <c r="AL21" s="1545"/>
      <c r="AM21" s="1548"/>
      <c r="AN21" s="1459">
        <f t="shared" si="2"/>
        <v>0</v>
      </c>
      <c r="AO21" s="1457"/>
      <c r="AP21" s="1460"/>
      <c r="AQ21" s="1456">
        <f t="shared" si="3"/>
        <v>0</v>
      </c>
      <c r="AR21" s="1457"/>
      <c r="AS21" s="2467"/>
    </row>
    <row r="22" spans="2:45" s="72" customFormat="1" ht="25" customHeight="1" x14ac:dyDescent="0.35">
      <c r="B22" s="2480" t="s">
        <v>656</v>
      </c>
      <c r="C22" s="1567"/>
      <c r="D22" s="1567"/>
      <c r="E22" s="1567"/>
      <c r="F22" s="1567"/>
      <c r="G22" s="1567"/>
      <c r="H22" s="1567"/>
      <c r="I22" s="1567"/>
      <c r="J22" s="1567"/>
      <c r="K22" s="1567"/>
      <c r="L22" s="1567"/>
      <c r="M22" s="1567"/>
      <c r="N22" s="1567"/>
      <c r="O22" s="1568"/>
      <c r="P22" s="1659"/>
      <c r="Q22" s="1660"/>
      <c r="R22" s="1660"/>
      <c r="S22" s="1660"/>
      <c r="T22" s="1660"/>
      <c r="U22" s="1660"/>
      <c r="V22" s="1660"/>
      <c r="W22" s="1660"/>
      <c r="X22" s="1660"/>
      <c r="Y22" s="1660"/>
      <c r="Z22" s="1660"/>
      <c r="AA22" s="1660"/>
      <c r="AB22" s="1660"/>
      <c r="AC22" s="1660"/>
      <c r="AD22" s="1660"/>
      <c r="AE22" s="1660"/>
      <c r="AF22" s="1660"/>
      <c r="AG22" s="1660"/>
      <c r="AH22" s="1660"/>
      <c r="AI22" s="1660"/>
      <c r="AJ22" s="1660"/>
      <c r="AK22" s="1660"/>
      <c r="AL22" s="1660"/>
      <c r="AM22" s="1660"/>
      <c r="AN22" s="1660"/>
      <c r="AO22" s="1660"/>
      <c r="AP22" s="1660"/>
      <c r="AQ22" s="1660"/>
      <c r="AR22" s="1660"/>
      <c r="AS22" s="2496"/>
    </row>
    <row r="23" spans="2:45" s="72" customFormat="1" ht="25" customHeight="1" x14ac:dyDescent="0.35">
      <c r="B23" s="390"/>
      <c r="C23" s="146" t="s">
        <v>167</v>
      </c>
      <c r="D23" s="107"/>
      <c r="E23" s="126"/>
      <c r="F23" s="126"/>
      <c r="G23" s="126"/>
      <c r="H23" s="126"/>
      <c r="I23" s="126"/>
      <c r="J23" s="126"/>
      <c r="K23" s="126"/>
      <c r="L23" s="126"/>
      <c r="M23" s="126"/>
      <c r="N23" s="126"/>
      <c r="O23" s="108"/>
      <c r="P23" s="1544">
        <v>1</v>
      </c>
      <c r="Q23" s="1545"/>
      <c r="R23" s="1545"/>
      <c r="S23" s="1547">
        <v>0</v>
      </c>
      <c r="T23" s="1545"/>
      <c r="U23" s="1548"/>
      <c r="V23" s="1544">
        <v>1</v>
      </c>
      <c r="W23" s="1545"/>
      <c r="X23" s="1545"/>
      <c r="Y23" s="1547">
        <v>0</v>
      </c>
      <c r="Z23" s="1545"/>
      <c r="AA23" s="1548"/>
      <c r="AB23" s="1544">
        <v>1</v>
      </c>
      <c r="AC23" s="1545"/>
      <c r="AD23" s="1545"/>
      <c r="AE23" s="1547">
        <v>0</v>
      </c>
      <c r="AF23" s="1545"/>
      <c r="AG23" s="1548"/>
      <c r="AH23" s="1544">
        <v>1</v>
      </c>
      <c r="AI23" s="1545"/>
      <c r="AJ23" s="1545"/>
      <c r="AK23" s="1547">
        <v>0</v>
      </c>
      <c r="AL23" s="1545"/>
      <c r="AM23" s="1548"/>
      <c r="AN23" s="1459">
        <f>SUM(P23,V23,AB23,AH23)</f>
        <v>4</v>
      </c>
      <c r="AO23" s="1457"/>
      <c r="AP23" s="1460"/>
      <c r="AQ23" s="1456">
        <f>SUM(S23,Y23,AE23,AK23)</f>
        <v>0</v>
      </c>
      <c r="AR23" s="1457"/>
      <c r="AS23" s="2467"/>
    </row>
    <row r="24" spans="2:45" s="72" customFormat="1" ht="25" customHeight="1" x14ac:dyDescent="0.35">
      <c r="B24" s="390"/>
      <c r="C24" s="146" t="s">
        <v>116</v>
      </c>
      <c r="D24" s="107"/>
      <c r="E24" s="126"/>
      <c r="F24" s="126"/>
      <c r="G24" s="126"/>
      <c r="H24" s="126"/>
      <c r="I24" s="126"/>
      <c r="J24" s="126"/>
      <c r="K24" s="126"/>
      <c r="L24" s="126"/>
      <c r="M24" s="126"/>
      <c r="N24" s="126"/>
      <c r="O24" s="108"/>
      <c r="P24" s="1544">
        <v>0</v>
      </c>
      <c r="Q24" s="1545"/>
      <c r="R24" s="1545"/>
      <c r="S24" s="1547">
        <v>0</v>
      </c>
      <c r="T24" s="1545"/>
      <c r="U24" s="1548"/>
      <c r="V24" s="1544">
        <v>1</v>
      </c>
      <c r="W24" s="1545"/>
      <c r="X24" s="1545"/>
      <c r="Y24" s="1547">
        <v>0</v>
      </c>
      <c r="Z24" s="1545"/>
      <c r="AA24" s="1548"/>
      <c r="AB24" s="1544">
        <v>1</v>
      </c>
      <c r="AC24" s="1545"/>
      <c r="AD24" s="1545"/>
      <c r="AE24" s="1547">
        <v>0</v>
      </c>
      <c r="AF24" s="1545"/>
      <c r="AG24" s="1548"/>
      <c r="AH24" s="1544">
        <v>1</v>
      </c>
      <c r="AI24" s="1545"/>
      <c r="AJ24" s="1545"/>
      <c r="AK24" s="1547">
        <v>0</v>
      </c>
      <c r="AL24" s="1545"/>
      <c r="AM24" s="1548"/>
      <c r="AN24" s="1459">
        <f t="shared" ref="AN24:AN30" si="4">SUM(P24,V24,AB24,AH24)</f>
        <v>3</v>
      </c>
      <c r="AO24" s="1457"/>
      <c r="AP24" s="1460"/>
      <c r="AQ24" s="1456">
        <f t="shared" ref="AQ24:AQ30" si="5">SUM(S24,Y24,AE24,AK24)</f>
        <v>0</v>
      </c>
      <c r="AR24" s="1457"/>
      <c r="AS24" s="2467"/>
    </row>
    <row r="25" spans="2:45" s="72" customFormat="1" ht="25" customHeight="1" x14ac:dyDescent="0.35">
      <c r="B25" s="390"/>
      <c r="C25" s="146" t="s">
        <v>117</v>
      </c>
      <c r="D25" s="126"/>
      <c r="E25" s="126"/>
      <c r="F25" s="126"/>
      <c r="G25" s="126"/>
      <c r="H25" s="126"/>
      <c r="I25" s="126"/>
      <c r="J25" s="126"/>
      <c r="K25" s="126"/>
      <c r="L25" s="126"/>
      <c r="M25" s="126"/>
      <c r="N25" s="126"/>
      <c r="O25" s="108"/>
      <c r="P25" s="1544">
        <v>0</v>
      </c>
      <c r="Q25" s="1545"/>
      <c r="R25" s="1545"/>
      <c r="S25" s="1547">
        <v>0</v>
      </c>
      <c r="T25" s="1545"/>
      <c r="U25" s="1548"/>
      <c r="V25" s="1544">
        <v>1</v>
      </c>
      <c r="W25" s="1545"/>
      <c r="X25" s="1545"/>
      <c r="Y25" s="1547">
        <v>0</v>
      </c>
      <c r="Z25" s="1545"/>
      <c r="AA25" s="1548"/>
      <c r="AB25" s="1544">
        <v>1</v>
      </c>
      <c r="AC25" s="1545"/>
      <c r="AD25" s="1545"/>
      <c r="AE25" s="1547">
        <v>0</v>
      </c>
      <c r="AF25" s="1545"/>
      <c r="AG25" s="1548"/>
      <c r="AH25" s="1544">
        <v>1</v>
      </c>
      <c r="AI25" s="1545"/>
      <c r="AJ25" s="1545"/>
      <c r="AK25" s="1547">
        <v>0</v>
      </c>
      <c r="AL25" s="1545"/>
      <c r="AM25" s="1548"/>
      <c r="AN25" s="1459">
        <f t="shared" si="4"/>
        <v>3</v>
      </c>
      <c r="AO25" s="1457"/>
      <c r="AP25" s="1460"/>
      <c r="AQ25" s="1456">
        <f t="shared" si="5"/>
        <v>0</v>
      </c>
      <c r="AR25" s="1457"/>
      <c r="AS25" s="2467"/>
    </row>
    <row r="26" spans="2:45" s="72" customFormat="1" ht="25" customHeight="1" x14ac:dyDescent="0.35">
      <c r="B26" s="390"/>
      <c r="C26" s="146" t="s">
        <v>592</v>
      </c>
      <c r="D26" s="126"/>
      <c r="E26" s="126"/>
      <c r="F26" s="126"/>
      <c r="G26" s="126"/>
      <c r="H26" s="126"/>
      <c r="I26" s="126"/>
      <c r="J26" s="126"/>
      <c r="K26" s="126"/>
      <c r="L26" s="126"/>
      <c r="M26" s="126"/>
      <c r="N26" s="126"/>
      <c r="O26" s="108"/>
      <c r="P26" s="1544">
        <v>0</v>
      </c>
      <c r="Q26" s="1545"/>
      <c r="R26" s="1545"/>
      <c r="S26" s="1547">
        <v>0</v>
      </c>
      <c r="T26" s="1545"/>
      <c r="U26" s="1548"/>
      <c r="V26" s="1544">
        <v>1</v>
      </c>
      <c r="W26" s="1545"/>
      <c r="X26" s="1545"/>
      <c r="Y26" s="1547">
        <v>0</v>
      </c>
      <c r="Z26" s="1545"/>
      <c r="AA26" s="1548"/>
      <c r="AB26" s="1544">
        <v>1</v>
      </c>
      <c r="AC26" s="1545"/>
      <c r="AD26" s="1545"/>
      <c r="AE26" s="1547">
        <v>0</v>
      </c>
      <c r="AF26" s="1545"/>
      <c r="AG26" s="1548"/>
      <c r="AH26" s="1544">
        <v>1</v>
      </c>
      <c r="AI26" s="1545"/>
      <c r="AJ26" s="1545"/>
      <c r="AK26" s="1547">
        <v>0</v>
      </c>
      <c r="AL26" s="1545"/>
      <c r="AM26" s="1548"/>
      <c r="AN26" s="1459">
        <f t="shared" si="4"/>
        <v>3</v>
      </c>
      <c r="AO26" s="1457"/>
      <c r="AP26" s="1460"/>
      <c r="AQ26" s="1456">
        <f t="shared" si="5"/>
        <v>0</v>
      </c>
      <c r="AR26" s="1457"/>
      <c r="AS26" s="2467"/>
    </row>
    <row r="27" spans="2:45" s="72" customFormat="1" ht="25" customHeight="1" x14ac:dyDescent="0.35">
      <c r="B27" s="390"/>
      <c r="C27" s="146" t="s">
        <v>118</v>
      </c>
      <c r="D27" s="107"/>
      <c r="E27" s="126"/>
      <c r="F27" s="126"/>
      <c r="G27" s="126"/>
      <c r="H27" s="126"/>
      <c r="I27" s="126"/>
      <c r="J27" s="126"/>
      <c r="K27" s="126"/>
      <c r="L27" s="126"/>
      <c r="M27" s="126"/>
      <c r="N27" s="126"/>
      <c r="O27" s="108"/>
      <c r="P27" s="1544">
        <v>0</v>
      </c>
      <c r="Q27" s="1545"/>
      <c r="R27" s="1545"/>
      <c r="S27" s="1547">
        <v>0</v>
      </c>
      <c r="T27" s="1545"/>
      <c r="U27" s="1548"/>
      <c r="V27" s="1544">
        <v>0</v>
      </c>
      <c r="W27" s="1545"/>
      <c r="X27" s="1545"/>
      <c r="Y27" s="1547">
        <v>0</v>
      </c>
      <c r="Z27" s="1545"/>
      <c r="AA27" s="1548"/>
      <c r="AB27" s="1544">
        <v>0</v>
      </c>
      <c r="AC27" s="1545"/>
      <c r="AD27" s="1545"/>
      <c r="AE27" s="1547">
        <v>0</v>
      </c>
      <c r="AF27" s="1545"/>
      <c r="AG27" s="1548"/>
      <c r="AH27" s="1544">
        <v>0</v>
      </c>
      <c r="AI27" s="1545"/>
      <c r="AJ27" s="1545"/>
      <c r="AK27" s="1547">
        <v>0</v>
      </c>
      <c r="AL27" s="1545"/>
      <c r="AM27" s="1548"/>
      <c r="AN27" s="1459">
        <f t="shared" si="4"/>
        <v>0</v>
      </c>
      <c r="AO27" s="1457"/>
      <c r="AP27" s="1460"/>
      <c r="AQ27" s="1456">
        <f t="shared" si="5"/>
        <v>0</v>
      </c>
      <c r="AR27" s="1457"/>
      <c r="AS27" s="2467"/>
    </row>
    <row r="28" spans="2:45" s="72" customFormat="1" ht="25" customHeight="1" x14ac:dyDescent="0.35">
      <c r="B28" s="390"/>
      <c r="C28" s="146" t="s">
        <v>119</v>
      </c>
      <c r="D28" s="126"/>
      <c r="E28" s="126"/>
      <c r="F28" s="126"/>
      <c r="G28" s="126"/>
      <c r="H28" s="126"/>
      <c r="I28" s="126"/>
      <c r="J28" s="126"/>
      <c r="K28" s="126"/>
      <c r="L28" s="126"/>
      <c r="M28" s="126"/>
      <c r="N28" s="126"/>
      <c r="O28" s="108"/>
      <c r="P28" s="1544">
        <v>0</v>
      </c>
      <c r="Q28" s="1545"/>
      <c r="R28" s="1545"/>
      <c r="S28" s="1547">
        <v>0</v>
      </c>
      <c r="T28" s="1545"/>
      <c r="U28" s="1548"/>
      <c r="V28" s="1544">
        <v>0</v>
      </c>
      <c r="W28" s="1545"/>
      <c r="X28" s="1545"/>
      <c r="Y28" s="1547">
        <v>0</v>
      </c>
      <c r="Z28" s="1545"/>
      <c r="AA28" s="1548"/>
      <c r="AB28" s="1544">
        <v>0</v>
      </c>
      <c r="AC28" s="1545"/>
      <c r="AD28" s="1545"/>
      <c r="AE28" s="1547">
        <v>0</v>
      </c>
      <c r="AF28" s="1545"/>
      <c r="AG28" s="1548"/>
      <c r="AH28" s="1544">
        <v>0</v>
      </c>
      <c r="AI28" s="1545"/>
      <c r="AJ28" s="1545"/>
      <c r="AK28" s="1547">
        <v>0</v>
      </c>
      <c r="AL28" s="1545"/>
      <c r="AM28" s="1548"/>
      <c r="AN28" s="1459">
        <f t="shared" si="4"/>
        <v>0</v>
      </c>
      <c r="AO28" s="1457"/>
      <c r="AP28" s="1460"/>
      <c r="AQ28" s="1456">
        <f t="shared" si="5"/>
        <v>0</v>
      </c>
      <c r="AR28" s="1457"/>
      <c r="AS28" s="2467"/>
    </row>
    <row r="29" spans="2:45" s="72" customFormat="1" ht="25" customHeight="1" x14ac:dyDescent="0.35">
      <c r="B29" s="390"/>
      <c r="C29" s="146" t="s">
        <v>168</v>
      </c>
      <c r="D29" s="126"/>
      <c r="E29" s="126"/>
      <c r="F29" s="126"/>
      <c r="G29" s="126"/>
      <c r="H29" s="126"/>
      <c r="I29" s="126"/>
      <c r="J29" s="126"/>
      <c r="K29" s="126"/>
      <c r="L29" s="126"/>
      <c r="M29" s="126"/>
      <c r="N29" s="126"/>
      <c r="O29" s="108"/>
      <c r="P29" s="1544">
        <v>0</v>
      </c>
      <c r="Q29" s="1545"/>
      <c r="R29" s="1545"/>
      <c r="S29" s="1547">
        <v>0</v>
      </c>
      <c r="T29" s="1545"/>
      <c r="U29" s="1548"/>
      <c r="V29" s="1544">
        <v>0</v>
      </c>
      <c r="W29" s="1545"/>
      <c r="X29" s="1545"/>
      <c r="Y29" s="1547">
        <v>0</v>
      </c>
      <c r="Z29" s="1545"/>
      <c r="AA29" s="1548"/>
      <c r="AB29" s="1544">
        <v>0</v>
      </c>
      <c r="AC29" s="1545"/>
      <c r="AD29" s="1545"/>
      <c r="AE29" s="1547">
        <v>0</v>
      </c>
      <c r="AF29" s="1545"/>
      <c r="AG29" s="1548"/>
      <c r="AH29" s="1544">
        <v>0</v>
      </c>
      <c r="AI29" s="1545"/>
      <c r="AJ29" s="1545"/>
      <c r="AK29" s="1547">
        <v>0</v>
      </c>
      <c r="AL29" s="1545"/>
      <c r="AM29" s="1548"/>
      <c r="AN29" s="1459">
        <f t="shared" si="4"/>
        <v>0</v>
      </c>
      <c r="AO29" s="1457"/>
      <c r="AP29" s="1460"/>
      <c r="AQ29" s="1456">
        <f t="shared" si="5"/>
        <v>0</v>
      </c>
      <c r="AR29" s="1457"/>
      <c r="AS29" s="2467"/>
    </row>
    <row r="30" spans="2:45" s="72" customFormat="1" ht="25" customHeight="1" x14ac:dyDescent="0.35">
      <c r="B30" s="390"/>
      <c r="C30" s="146" t="s">
        <v>169</v>
      </c>
      <c r="D30" s="107"/>
      <c r="E30" s="126"/>
      <c r="F30" s="126"/>
      <c r="G30" s="126"/>
      <c r="H30" s="126"/>
      <c r="I30" s="126"/>
      <c r="J30" s="126"/>
      <c r="K30" s="126"/>
      <c r="L30" s="126"/>
      <c r="M30" s="126"/>
      <c r="N30" s="126"/>
      <c r="O30" s="108"/>
      <c r="P30" s="1544">
        <v>0</v>
      </c>
      <c r="Q30" s="1545"/>
      <c r="R30" s="1545"/>
      <c r="S30" s="1547">
        <v>0</v>
      </c>
      <c r="T30" s="1545"/>
      <c r="U30" s="1548"/>
      <c r="V30" s="1544">
        <v>0</v>
      </c>
      <c r="W30" s="1545"/>
      <c r="X30" s="1545"/>
      <c r="Y30" s="1547">
        <v>1</v>
      </c>
      <c r="Z30" s="1545"/>
      <c r="AA30" s="1548"/>
      <c r="AB30" s="1544">
        <v>1</v>
      </c>
      <c r="AC30" s="1545"/>
      <c r="AD30" s="1545"/>
      <c r="AE30" s="1547">
        <v>0</v>
      </c>
      <c r="AF30" s="1545"/>
      <c r="AG30" s="1548"/>
      <c r="AH30" s="1544">
        <v>1</v>
      </c>
      <c r="AI30" s="1545"/>
      <c r="AJ30" s="1545"/>
      <c r="AK30" s="1547">
        <v>0</v>
      </c>
      <c r="AL30" s="1545"/>
      <c r="AM30" s="1548"/>
      <c r="AN30" s="1459">
        <f t="shared" si="4"/>
        <v>2</v>
      </c>
      <c r="AO30" s="1457"/>
      <c r="AP30" s="1460"/>
      <c r="AQ30" s="1456">
        <f t="shared" si="5"/>
        <v>1</v>
      </c>
      <c r="AR30" s="1457"/>
      <c r="AS30" s="2467"/>
    </row>
    <row r="31" spans="2:45" s="72" customFormat="1" ht="40.5" customHeight="1" x14ac:dyDescent="0.35">
      <c r="B31" s="2476" t="s">
        <v>446</v>
      </c>
      <c r="C31" s="1573"/>
      <c r="D31" s="1573"/>
      <c r="E31" s="1573"/>
      <c r="F31" s="1573"/>
      <c r="G31" s="1573"/>
      <c r="H31" s="1573"/>
      <c r="I31" s="1573"/>
      <c r="J31" s="1573"/>
      <c r="K31" s="1573"/>
      <c r="L31" s="1573"/>
      <c r="M31" s="1573"/>
      <c r="N31" s="1573"/>
      <c r="O31" s="1574"/>
      <c r="P31" s="1659"/>
      <c r="Q31" s="1660"/>
      <c r="R31" s="1660"/>
      <c r="S31" s="1660"/>
      <c r="T31" s="1660"/>
      <c r="U31" s="1660"/>
      <c r="V31" s="1660"/>
      <c r="W31" s="1660"/>
      <c r="X31" s="1660"/>
      <c r="Y31" s="1660"/>
      <c r="Z31" s="1660"/>
      <c r="AA31" s="1660"/>
      <c r="AB31" s="1660"/>
      <c r="AC31" s="1660"/>
      <c r="AD31" s="1660"/>
      <c r="AE31" s="1660"/>
      <c r="AF31" s="1660"/>
      <c r="AG31" s="1660"/>
      <c r="AH31" s="1660"/>
      <c r="AI31" s="1660"/>
      <c r="AJ31" s="1660"/>
      <c r="AK31" s="1660"/>
      <c r="AL31" s="1660"/>
      <c r="AM31" s="1660"/>
      <c r="AN31" s="1660"/>
      <c r="AO31" s="1660"/>
      <c r="AP31" s="1660"/>
      <c r="AQ31" s="1660"/>
      <c r="AR31" s="1660"/>
      <c r="AS31" s="2496"/>
    </row>
    <row r="32" spans="2:45" s="72" customFormat="1" ht="25" customHeight="1" x14ac:dyDescent="0.35">
      <c r="B32" s="390"/>
      <c r="C32" s="146" t="s">
        <v>593</v>
      </c>
      <c r="D32" s="107"/>
      <c r="E32" s="126"/>
      <c r="F32" s="126"/>
      <c r="G32" s="126"/>
      <c r="H32" s="126"/>
      <c r="I32" s="126"/>
      <c r="J32" s="126"/>
      <c r="K32" s="126"/>
      <c r="L32" s="126"/>
      <c r="M32" s="126"/>
      <c r="N32" s="126"/>
      <c r="O32" s="108"/>
      <c r="P32" s="2492">
        <v>0</v>
      </c>
      <c r="Q32" s="2490"/>
      <c r="R32" s="2490"/>
      <c r="S32" s="2489">
        <v>0</v>
      </c>
      <c r="T32" s="2490"/>
      <c r="U32" s="2491"/>
      <c r="V32" s="2492">
        <v>0</v>
      </c>
      <c r="W32" s="2490"/>
      <c r="X32" s="2490"/>
      <c r="Y32" s="2489">
        <v>0</v>
      </c>
      <c r="Z32" s="2490"/>
      <c r="AA32" s="2491"/>
      <c r="AB32" s="2492">
        <v>0</v>
      </c>
      <c r="AC32" s="2490"/>
      <c r="AD32" s="2490"/>
      <c r="AE32" s="2489">
        <v>0</v>
      </c>
      <c r="AF32" s="2490"/>
      <c r="AG32" s="2491"/>
      <c r="AH32" s="2492">
        <v>0</v>
      </c>
      <c r="AI32" s="2490"/>
      <c r="AJ32" s="2490"/>
      <c r="AK32" s="2489">
        <v>0</v>
      </c>
      <c r="AL32" s="2490"/>
      <c r="AM32" s="2491"/>
      <c r="AN32" s="1459">
        <f>SUM(P32,V32,AB32,AH32)</f>
        <v>0</v>
      </c>
      <c r="AO32" s="1457"/>
      <c r="AP32" s="1460"/>
      <c r="AQ32" s="1456">
        <f>SUM(S32,Y32,AE32,AK32)</f>
        <v>0</v>
      </c>
      <c r="AR32" s="1457"/>
      <c r="AS32" s="2467"/>
    </row>
    <row r="33" spans="1:46" s="72" customFormat="1" ht="25" customHeight="1" x14ac:dyDescent="0.35">
      <c r="B33" s="390"/>
      <c r="C33" s="146" t="s">
        <v>120</v>
      </c>
      <c r="D33" s="107"/>
      <c r="E33" s="126"/>
      <c r="F33" s="126"/>
      <c r="G33" s="126"/>
      <c r="H33" s="126"/>
      <c r="I33" s="126"/>
      <c r="J33" s="126"/>
      <c r="K33" s="126"/>
      <c r="L33" s="126"/>
      <c r="M33" s="126"/>
      <c r="N33" s="126"/>
      <c r="O33" s="108"/>
      <c r="P33" s="2492">
        <v>0</v>
      </c>
      <c r="Q33" s="2490"/>
      <c r="R33" s="2490"/>
      <c r="S33" s="2489">
        <v>0</v>
      </c>
      <c r="T33" s="2490"/>
      <c r="U33" s="2491"/>
      <c r="V33" s="2492">
        <v>0</v>
      </c>
      <c r="W33" s="2490"/>
      <c r="X33" s="2490"/>
      <c r="Y33" s="2489">
        <v>0</v>
      </c>
      <c r="Z33" s="2490"/>
      <c r="AA33" s="2491"/>
      <c r="AB33" s="2492">
        <v>0</v>
      </c>
      <c r="AC33" s="2490"/>
      <c r="AD33" s="2490"/>
      <c r="AE33" s="2489">
        <v>0</v>
      </c>
      <c r="AF33" s="2490"/>
      <c r="AG33" s="2491"/>
      <c r="AH33" s="2492">
        <v>0</v>
      </c>
      <c r="AI33" s="2490"/>
      <c r="AJ33" s="2490"/>
      <c r="AK33" s="2489">
        <v>0</v>
      </c>
      <c r="AL33" s="2490"/>
      <c r="AM33" s="2491"/>
      <c r="AN33" s="1459">
        <f t="shared" ref="AN33:AN35" si="6">SUM(P33,V33,AB33,AH33)</f>
        <v>0</v>
      </c>
      <c r="AO33" s="1457"/>
      <c r="AP33" s="1460"/>
      <c r="AQ33" s="1456">
        <f t="shared" ref="AQ33:AQ35" si="7">SUM(S33,Y33,AE33,AK33)</f>
        <v>0</v>
      </c>
      <c r="AR33" s="1457"/>
      <c r="AS33" s="2467"/>
    </row>
    <row r="34" spans="1:46" s="72" customFormat="1" ht="25" customHeight="1" x14ac:dyDescent="0.35">
      <c r="B34" s="390"/>
      <c r="C34" s="146" t="s">
        <v>170</v>
      </c>
      <c r="D34" s="107"/>
      <c r="E34" s="126"/>
      <c r="F34" s="126"/>
      <c r="G34" s="126"/>
      <c r="H34" s="126"/>
      <c r="I34" s="126"/>
      <c r="J34" s="126"/>
      <c r="K34" s="126"/>
      <c r="L34" s="126"/>
      <c r="M34" s="126"/>
      <c r="N34" s="126"/>
      <c r="O34" s="108"/>
      <c r="P34" s="2492">
        <v>0</v>
      </c>
      <c r="Q34" s="2490"/>
      <c r="R34" s="2490"/>
      <c r="S34" s="2489">
        <v>0</v>
      </c>
      <c r="T34" s="2490"/>
      <c r="U34" s="2491"/>
      <c r="V34" s="2492">
        <v>0</v>
      </c>
      <c r="W34" s="2490"/>
      <c r="X34" s="2490"/>
      <c r="Y34" s="2489">
        <v>0</v>
      </c>
      <c r="Z34" s="2490"/>
      <c r="AA34" s="2491"/>
      <c r="AB34" s="2492">
        <v>0</v>
      </c>
      <c r="AC34" s="2490"/>
      <c r="AD34" s="2490"/>
      <c r="AE34" s="2489">
        <v>0</v>
      </c>
      <c r="AF34" s="2490"/>
      <c r="AG34" s="2491"/>
      <c r="AH34" s="2492">
        <v>0</v>
      </c>
      <c r="AI34" s="2490"/>
      <c r="AJ34" s="2490"/>
      <c r="AK34" s="2489">
        <v>0</v>
      </c>
      <c r="AL34" s="2490"/>
      <c r="AM34" s="2491"/>
      <c r="AN34" s="1459">
        <f t="shared" si="6"/>
        <v>0</v>
      </c>
      <c r="AO34" s="1457"/>
      <c r="AP34" s="1460"/>
      <c r="AQ34" s="1456">
        <f t="shared" si="7"/>
        <v>0</v>
      </c>
      <c r="AR34" s="1457"/>
      <c r="AS34" s="2467"/>
    </row>
    <row r="35" spans="1:46" s="72" customFormat="1" ht="25" customHeight="1" thickBot="1" x14ac:dyDescent="0.4">
      <c r="B35" s="391"/>
      <c r="C35" s="392" t="s">
        <v>121</v>
      </c>
      <c r="D35" s="393"/>
      <c r="E35" s="393"/>
      <c r="F35" s="393"/>
      <c r="G35" s="393"/>
      <c r="H35" s="393"/>
      <c r="I35" s="393"/>
      <c r="J35" s="393"/>
      <c r="K35" s="393"/>
      <c r="L35" s="393"/>
      <c r="M35" s="393"/>
      <c r="N35" s="393"/>
      <c r="O35" s="394"/>
      <c r="P35" s="2500">
        <v>0</v>
      </c>
      <c r="Q35" s="2498"/>
      <c r="R35" s="2498"/>
      <c r="S35" s="2497">
        <v>0</v>
      </c>
      <c r="T35" s="2498"/>
      <c r="U35" s="2499"/>
      <c r="V35" s="2500">
        <v>0</v>
      </c>
      <c r="W35" s="2498"/>
      <c r="X35" s="2498"/>
      <c r="Y35" s="2497">
        <v>0</v>
      </c>
      <c r="Z35" s="2498"/>
      <c r="AA35" s="2499"/>
      <c r="AB35" s="2500">
        <v>0</v>
      </c>
      <c r="AC35" s="2498"/>
      <c r="AD35" s="2498"/>
      <c r="AE35" s="2497">
        <v>0</v>
      </c>
      <c r="AF35" s="2498"/>
      <c r="AG35" s="2499"/>
      <c r="AH35" s="2500">
        <v>0</v>
      </c>
      <c r="AI35" s="2498"/>
      <c r="AJ35" s="2498"/>
      <c r="AK35" s="2497">
        <v>0</v>
      </c>
      <c r="AL35" s="2498"/>
      <c r="AM35" s="2499"/>
      <c r="AN35" s="2501">
        <f t="shared" si="6"/>
        <v>0</v>
      </c>
      <c r="AO35" s="2502"/>
      <c r="AP35" s="2503"/>
      <c r="AQ35" s="2504">
        <f t="shared" si="7"/>
        <v>0</v>
      </c>
      <c r="AR35" s="2502"/>
      <c r="AS35" s="2505"/>
    </row>
    <row r="36" spans="1:46" ht="17" thickTop="1" x14ac:dyDescent="0.35">
      <c r="A36" s="110"/>
      <c r="B36" s="227" t="s">
        <v>171</v>
      </c>
      <c r="C36" s="158"/>
      <c r="E36" s="123" t="s">
        <v>136</v>
      </c>
    </row>
    <row r="37" spans="1:46" s="124" customFormat="1" ht="33.75" customHeight="1" x14ac:dyDescent="0.3">
      <c r="B37" s="123"/>
      <c r="D37" s="123"/>
      <c r="F37" s="123"/>
      <c r="H37" s="123"/>
      <c r="J37" s="123"/>
      <c r="L37" s="123"/>
      <c r="R37" s="123"/>
      <c r="T37" s="123"/>
      <c r="V37" s="123"/>
      <c r="X37" s="123"/>
      <c r="Z37" s="123"/>
      <c r="AB37" s="123"/>
      <c r="AE37" s="123"/>
      <c r="AF37" s="123"/>
      <c r="AG37" s="123"/>
      <c r="AI37" s="123"/>
      <c r="AK37" s="123"/>
      <c r="AM37" s="123"/>
      <c r="AO37" s="123"/>
      <c r="AQ37" s="123"/>
    </row>
    <row r="38" spans="1:46" s="73" customFormat="1" ht="14" x14ac:dyDescent="0.3">
      <c r="B38" s="74" t="s">
        <v>913</v>
      </c>
      <c r="R38" s="74" t="s">
        <v>912</v>
      </c>
      <c r="AG38" s="74" t="s">
        <v>922</v>
      </c>
    </row>
    <row r="39" spans="1:46" s="73" customFormat="1" ht="21.75" customHeight="1" x14ac:dyDescent="0.3">
      <c r="B39" s="74" t="s">
        <v>780</v>
      </c>
      <c r="F39" s="1482" t="str">
        <f>SchInfo!F38</f>
        <v>MELCHESIEDICK Q. BOLANIO/ March 17, 2023</v>
      </c>
      <c r="G39" s="1482"/>
      <c r="H39" s="1482"/>
      <c r="I39" s="1482"/>
      <c r="J39" s="1482"/>
      <c r="K39" s="1482"/>
      <c r="L39" s="1482"/>
      <c r="M39" s="1482"/>
      <c r="N39" s="1482"/>
      <c r="O39" s="1482"/>
      <c r="R39" s="1482" t="str">
        <f>'Tables7-8'!AI5</f>
        <v>ELMA CEZARIE Y. ROMERO  /  May 17, 2023</v>
      </c>
      <c r="S39" s="1482"/>
      <c r="T39" s="1482"/>
      <c r="U39" s="1482"/>
      <c r="V39" s="1482"/>
      <c r="W39" s="1482"/>
      <c r="X39" s="1482"/>
      <c r="Y39" s="1482"/>
      <c r="Z39" s="1482"/>
      <c r="AA39" s="1482"/>
      <c r="AB39" s="1482"/>
      <c r="AC39" s="1482"/>
      <c r="AD39" s="1482"/>
      <c r="AG39" s="1484" t="str">
        <f>SchInfo!R38</f>
        <v>MICHAEL T. JAMIS   /  March 17, 2023</v>
      </c>
      <c r="AH39" s="1484"/>
      <c r="AI39" s="1484"/>
      <c r="AJ39" s="1484"/>
      <c r="AK39" s="1484"/>
      <c r="AL39" s="1484"/>
      <c r="AM39" s="1484"/>
      <c r="AN39" s="1484"/>
      <c r="AO39" s="1484"/>
      <c r="AP39" s="1484"/>
      <c r="AQ39" s="1484"/>
      <c r="AR39" s="1484"/>
      <c r="AS39" s="1484"/>
    </row>
    <row r="40" spans="1:46" s="78" customFormat="1" ht="13.5" x14ac:dyDescent="0.35">
      <c r="B40" s="77"/>
      <c r="F40" s="1452" t="s">
        <v>779</v>
      </c>
      <c r="G40" s="1452"/>
      <c r="H40" s="1452"/>
      <c r="I40" s="1452"/>
      <c r="J40" s="1452"/>
      <c r="K40" s="1452"/>
      <c r="L40" s="1452"/>
      <c r="M40" s="1452"/>
      <c r="N40" s="1452"/>
      <c r="O40" s="1452"/>
      <c r="P40" s="77"/>
      <c r="Q40" s="77"/>
      <c r="R40" s="1452" t="s">
        <v>779</v>
      </c>
      <c r="S40" s="1452"/>
      <c r="T40" s="1452"/>
      <c r="U40" s="1452"/>
      <c r="V40" s="1452"/>
      <c r="W40" s="1452"/>
      <c r="X40" s="1452"/>
      <c r="Y40" s="1452"/>
      <c r="Z40" s="1452"/>
      <c r="AA40" s="1452"/>
      <c r="AB40" s="1452"/>
      <c r="AC40" s="1452"/>
      <c r="AD40" s="1452"/>
      <c r="AE40" s="228"/>
      <c r="AF40" s="228"/>
      <c r="AG40" s="1485"/>
      <c r="AH40" s="1485"/>
      <c r="AI40" s="1485"/>
      <c r="AJ40" s="1485"/>
      <c r="AK40" s="1485"/>
      <c r="AL40" s="1485"/>
      <c r="AM40" s="1485"/>
      <c r="AN40" s="1485"/>
      <c r="AO40" s="1485"/>
      <c r="AP40" s="1485"/>
      <c r="AQ40" s="1485"/>
      <c r="AR40" s="1485"/>
      <c r="AS40" s="1485"/>
      <c r="AT40" s="77"/>
    </row>
    <row r="41" spans="1:46" s="73" customFormat="1" ht="21.75" customHeight="1" x14ac:dyDescent="0.35">
      <c r="B41" s="74" t="s">
        <v>784</v>
      </c>
      <c r="F41" s="1482" t="str">
        <f>SchInfo!F40</f>
        <v>Principal IV</v>
      </c>
      <c r="G41" s="1482"/>
      <c r="H41" s="1482"/>
      <c r="I41" s="1482"/>
      <c r="J41" s="1482"/>
      <c r="K41" s="1482"/>
      <c r="L41" s="1482"/>
      <c r="M41" s="1482"/>
      <c r="N41" s="1482"/>
      <c r="O41" s="1482"/>
      <c r="Q41" s="44"/>
      <c r="R41" s="74" t="s">
        <v>784</v>
      </c>
      <c r="V41" s="1482" t="str">
        <f>'Tables7-8'!AM7</f>
        <v>Administrative Officer</v>
      </c>
      <c r="W41" s="1482"/>
      <c r="X41" s="1482"/>
      <c r="Y41" s="1482"/>
      <c r="Z41" s="1482"/>
      <c r="AA41" s="1482"/>
      <c r="AB41" s="1482"/>
      <c r="AC41" s="1482"/>
      <c r="AD41" s="1482"/>
      <c r="AE41" s="64"/>
      <c r="AF41" s="64"/>
      <c r="AG41" s="1452" t="s">
        <v>779</v>
      </c>
      <c r="AH41" s="1452"/>
      <c r="AI41" s="1452"/>
      <c r="AJ41" s="1452"/>
      <c r="AK41" s="1452"/>
      <c r="AL41" s="1452"/>
      <c r="AM41" s="1452"/>
      <c r="AN41" s="1452"/>
      <c r="AO41" s="1452"/>
      <c r="AP41" s="1452"/>
      <c r="AQ41" s="1452"/>
      <c r="AR41" s="1452"/>
      <c r="AS41" s="1452"/>
    </row>
    <row r="42" spans="1:46" x14ac:dyDescent="0.35">
      <c r="AE42" s="73"/>
      <c r="AF42" s="73"/>
      <c r="AG42" s="73"/>
      <c r="AH42" s="73"/>
      <c r="AI42" s="73"/>
      <c r="AJ42" s="73"/>
      <c r="AK42" s="73"/>
      <c r="AL42" s="73"/>
      <c r="AM42" s="73"/>
      <c r="AN42" s="73"/>
      <c r="AO42" s="73"/>
      <c r="AP42" s="73"/>
      <c r="AQ42" s="73"/>
      <c r="AR42" s="73"/>
      <c r="AS42" s="73"/>
    </row>
  </sheetData>
  <sheetProtection algorithmName="SHA-512" hashValue="wizaQQX3KJhzH3vFXgtVmpFdj7wJM2QKISX0a99L5R0rgzhim/y+7gfoLy84B6G0+Mq8pR6X6XxrNJVzStpLpA==" saltValue="G45nH3AxTMl2gJo75lpezw==" spinCount="100000" sheet="1" objects="1" scenarios="1"/>
  <mergeCells count="284">
    <mergeCell ref="R40:AD40"/>
    <mergeCell ref="AG41:AS41"/>
    <mergeCell ref="F39:O39"/>
    <mergeCell ref="F41:O41"/>
    <mergeCell ref="R39:AD39"/>
    <mergeCell ref="V41:AD41"/>
    <mergeCell ref="AG39:AS40"/>
    <mergeCell ref="P7:AS7"/>
    <mergeCell ref="P17:AS17"/>
    <mergeCell ref="P22:AS22"/>
    <mergeCell ref="P31:AS31"/>
    <mergeCell ref="AE35:AG35"/>
    <mergeCell ref="AH35:AJ35"/>
    <mergeCell ref="AK35:AM35"/>
    <mergeCell ref="AN35:AP35"/>
    <mergeCell ref="AQ35:AS35"/>
    <mergeCell ref="P35:R35"/>
    <mergeCell ref="S35:U35"/>
    <mergeCell ref="V35:X35"/>
    <mergeCell ref="Y35:AA35"/>
    <mergeCell ref="AB35:AD35"/>
    <mergeCell ref="AE34:AG34"/>
    <mergeCell ref="AH34:AJ34"/>
    <mergeCell ref="AK34:AM34"/>
    <mergeCell ref="AN34:AP34"/>
    <mergeCell ref="AQ34:AS34"/>
    <mergeCell ref="P34:R34"/>
    <mergeCell ref="S34:U34"/>
    <mergeCell ref="V34:X34"/>
    <mergeCell ref="Y34:AA34"/>
    <mergeCell ref="AB34:AD34"/>
    <mergeCell ref="AE33:AG33"/>
    <mergeCell ref="AH33:AJ33"/>
    <mergeCell ref="AK33:AM33"/>
    <mergeCell ref="AN33:AP33"/>
    <mergeCell ref="AQ33:AS33"/>
    <mergeCell ref="P33:R33"/>
    <mergeCell ref="S33:U33"/>
    <mergeCell ref="V33:X33"/>
    <mergeCell ref="Y33:AA33"/>
    <mergeCell ref="AB33:AD33"/>
    <mergeCell ref="AE32:AG32"/>
    <mergeCell ref="AH32:AJ32"/>
    <mergeCell ref="AK32:AM32"/>
    <mergeCell ref="AN32:AP32"/>
    <mergeCell ref="AQ32:AS32"/>
    <mergeCell ref="P32:R32"/>
    <mergeCell ref="S32:U32"/>
    <mergeCell ref="V32:X32"/>
    <mergeCell ref="Y32:AA32"/>
    <mergeCell ref="AB32:AD32"/>
    <mergeCell ref="AE30:AG30"/>
    <mergeCell ref="AH30:AJ30"/>
    <mergeCell ref="AK30:AM30"/>
    <mergeCell ref="AN30:AP30"/>
    <mergeCell ref="AQ30:AS30"/>
    <mergeCell ref="P30:R30"/>
    <mergeCell ref="S30:U30"/>
    <mergeCell ref="V30:X30"/>
    <mergeCell ref="Y30:AA30"/>
    <mergeCell ref="AB30:AD30"/>
    <mergeCell ref="AE29:AG29"/>
    <mergeCell ref="AH29:AJ29"/>
    <mergeCell ref="AK29:AM29"/>
    <mergeCell ref="AN29:AP29"/>
    <mergeCell ref="AQ29:AS29"/>
    <mergeCell ref="P29:R29"/>
    <mergeCell ref="S29:U29"/>
    <mergeCell ref="V29:X29"/>
    <mergeCell ref="Y29:AA29"/>
    <mergeCell ref="AB29:AD29"/>
    <mergeCell ref="AE28:AG28"/>
    <mergeCell ref="AH28:AJ28"/>
    <mergeCell ref="AK28:AM28"/>
    <mergeCell ref="AN28:AP28"/>
    <mergeCell ref="AQ28:AS28"/>
    <mergeCell ref="P28:R28"/>
    <mergeCell ref="S28:U28"/>
    <mergeCell ref="V28:X28"/>
    <mergeCell ref="Y28:AA28"/>
    <mergeCell ref="AB28:AD28"/>
    <mergeCell ref="AE27:AG27"/>
    <mergeCell ref="AH27:AJ27"/>
    <mergeCell ref="AK27:AM27"/>
    <mergeCell ref="AN27:AP27"/>
    <mergeCell ref="AQ27:AS27"/>
    <mergeCell ref="P27:R27"/>
    <mergeCell ref="S27:U27"/>
    <mergeCell ref="V27:X27"/>
    <mergeCell ref="Y27:AA27"/>
    <mergeCell ref="AB27:AD27"/>
    <mergeCell ref="AE26:AG26"/>
    <mergeCell ref="AH26:AJ26"/>
    <mergeCell ref="AK26:AM26"/>
    <mergeCell ref="AN26:AP26"/>
    <mergeCell ref="AQ26:AS26"/>
    <mergeCell ref="P26:R26"/>
    <mergeCell ref="S26:U26"/>
    <mergeCell ref="V26:X26"/>
    <mergeCell ref="Y26:AA26"/>
    <mergeCell ref="AB26:AD26"/>
    <mergeCell ref="AE25:AG25"/>
    <mergeCell ref="AH25:AJ25"/>
    <mergeCell ref="AK25:AM25"/>
    <mergeCell ref="AN25:AP25"/>
    <mergeCell ref="AQ25:AS25"/>
    <mergeCell ref="P25:R25"/>
    <mergeCell ref="S25:U25"/>
    <mergeCell ref="V25:X25"/>
    <mergeCell ref="Y25:AA25"/>
    <mergeCell ref="AB25:AD25"/>
    <mergeCell ref="AN23:AP23"/>
    <mergeCell ref="AQ23:AS23"/>
    <mergeCell ref="P23:R23"/>
    <mergeCell ref="S23:U23"/>
    <mergeCell ref="V23:X23"/>
    <mergeCell ref="Y23:AA23"/>
    <mergeCell ref="AB23:AD23"/>
    <mergeCell ref="AE24:AG24"/>
    <mergeCell ref="AH24:AJ24"/>
    <mergeCell ref="AK24:AM24"/>
    <mergeCell ref="AN24:AP24"/>
    <mergeCell ref="AQ24:AS24"/>
    <mergeCell ref="P24:R24"/>
    <mergeCell ref="S24:U24"/>
    <mergeCell ref="V24:X24"/>
    <mergeCell ref="Y24:AA24"/>
    <mergeCell ref="AB24:AD24"/>
    <mergeCell ref="AN20:AP20"/>
    <mergeCell ref="AQ20:AS20"/>
    <mergeCell ref="P20:R20"/>
    <mergeCell ref="S20:U20"/>
    <mergeCell ref="V20:X20"/>
    <mergeCell ref="Y20:AA20"/>
    <mergeCell ref="AB20:AD20"/>
    <mergeCell ref="AE21:AG21"/>
    <mergeCell ref="AH21:AJ21"/>
    <mergeCell ref="AK21:AM21"/>
    <mergeCell ref="AN21:AP21"/>
    <mergeCell ref="AQ21:AS21"/>
    <mergeCell ref="P21:R21"/>
    <mergeCell ref="S21:U21"/>
    <mergeCell ref="V21:X21"/>
    <mergeCell ref="Y21:AA21"/>
    <mergeCell ref="AB21:AD21"/>
    <mergeCell ref="AN18:AP18"/>
    <mergeCell ref="AQ18:AS18"/>
    <mergeCell ref="P18:R18"/>
    <mergeCell ref="S18:U18"/>
    <mergeCell ref="V18:X18"/>
    <mergeCell ref="Y18:AA18"/>
    <mergeCell ref="AB18:AD18"/>
    <mergeCell ref="AE19:AG19"/>
    <mergeCell ref="AH19:AJ19"/>
    <mergeCell ref="AK19:AM19"/>
    <mergeCell ref="AN19:AP19"/>
    <mergeCell ref="AQ19:AS19"/>
    <mergeCell ref="P19:R19"/>
    <mergeCell ref="S19:U19"/>
    <mergeCell ref="V19:X19"/>
    <mergeCell ref="Y19:AA19"/>
    <mergeCell ref="AB19:AD19"/>
    <mergeCell ref="AN15:AP15"/>
    <mergeCell ref="AQ15:AS15"/>
    <mergeCell ref="P15:R15"/>
    <mergeCell ref="S15:U15"/>
    <mergeCell ref="V15:X15"/>
    <mergeCell ref="Y15:AA15"/>
    <mergeCell ref="AB15:AD15"/>
    <mergeCell ref="AE16:AG16"/>
    <mergeCell ref="AH16:AJ16"/>
    <mergeCell ref="AK16:AM16"/>
    <mergeCell ref="AN16:AP16"/>
    <mergeCell ref="AQ16:AS16"/>
    <mergeCell ref="P16:R16"/>
    <mergeCell ref="S16:U16"/>
    <mergeCell ref="V16:X16"/>
    <mergeCell ref="Y16:AA16"/>
    <mergeCell ref="AB16:AD16"/>
    <mergeCell ref="AN13:AP13"/>
    <mergeCell ref="AQ13:AS13"/>
    <mergeCell ref="P13:R13"/>
    <mergeCell ref="S13:U13"/>
    <mergeCell ref="V13:X13"/>
    <mergeCell ref="Y13:AA13"/>
    <mergeCell ref="AB13:AD13"/>
    <mergeCell ref="AE14:AG14"/>
    <mergeCell ref="AH14:AJ14"/>
    <mergeCell ref="AK14:AM14"/>
    <mergeCell ref="AN14:AP14"/>
    <mergeCell ref="AQ14:AS14"/>
    <mergeCell ref="P14:R14"/>
    <mergeCell ref="S14:U14"/>
    <mergeCell ref="V14:X14"/>
    <mergeCell ref="Y14:AA14"/>
    <mergeCell ref="AB14:AD14"/>
    <mergeCell ref="B7:O7"/>
    <mergeCell ref="B17:O17"/>
    <mergeCell ref="B22:O22"/>
    <mergeCell ref="B3:O6"/>
    <mergeCell ref="P3:AA3"/>
    <mergeCell ref="AB3:AM3"/>
    <mergeCell ref="AN3:AS5"/>
    <mergeCell ref="AK8:AM8"/>
    <mergeCell ref="AN8:AP8"/>
    <mergeCell ref="AE8:AG8"/>
    <mergeCell ref="AH8:AJ8"/>
    <mergeCell ref="AE10:AG10"/>
    <mergeCell ref="AH10:AJ10"/>
    <mergeCell ref="AK10:AM10"/>
    <mergeCell ref="AN10:AP10"/>
    <mergeCell ref="AQ10:AS10"/>
    <mergeCell ref="P10:R10"/>
    <mergeCell ref="S10:U10"/>
    <mergeCell ref="V10:X10"/>
    <mergeCell ref="Y10:AA10"/>
    <mergeCell ref="AB10:AD10"/>
    <mergeCell ref="AE11:AG11"/>
    <mergeCell ref="AN11:AP11"/>
    <mergeCell ref="AQ11:AS11"/>
    <mergeCell ref="F40:O40"/>
    <mergeCell ref="Y8:AA8"/>
    <mergeCell ref="AB8:AD8"/>
    <mergeCell ref="AK6:AM6"/>
    <mergeCell ref="V6:X6"/>
    <mergeCell ref="Y6:AA6"/>
    <mergeCell ref="AB6:AD6"/>
    <mergeCell ref="AE6:AG6"/>
    <mergeCell ref="AH6:AJ6"/>
    <mergeCell ref="B31:O31"/>
    <mergeCell ref="AH11:AJ11"/>
    <mergeCell ref="AK11:AM11"/>
    <mergeCell ref="AE13:AG13"/>
    <mergeCell ref="AH13:AJ13"/>
    <mergeCell ref="AK13:AM13"/>
    <mergeCell ref="AE15:AG15"/>
    <mergeCell ref="AH15:AJ15"/>
    <mergeCell ref="AK15:AM15"/>
    <mergeCell ref="AE18:AG18"/>
    <mergeCell ref="AH18:AJ18"/>
    <mergeCell ref="AK18:AM18"/>
    <mergeCell ref="AE20:AG20"/>
    <mergeCell ref="AH20:AJ20"/>
    <mergeCell ref="AK20:AM20"/>
    <mergeCell ref="P4:U5"/>
    <mergeCell ref="V4:AA5"/>
    <mergeCell ref="AB4:AG5"/>
    <mergeCell ref="AH4:AM5"/>
    <mergeCell ref="P6:R6"/>
    <mergeCell ref="S6:U6"/>
    <mergeCell ref="P8:R8"/>
    <mergeCell ref="S8:U8"/>
    <mergeCell ref="AE23:AG23"/>
    <mergeCell ref="V8:X8"/>
    <mergeCell ref="S12:U12"/>
    <mergeCell ref="V12:X12"/>
    <mergeCell ref="Y12:AA12"/>
    <mergeCell ref="AB12:AD12"/>
    <mergeCell ref="AH23:AJ23"/>
    <mergeCell ref="AK23:AM23"/>
    <mergeCell ref="AN6:AP6"/>
    <mergeCell ref="AQ6:AS6"/>
    <mergeCell ref="P11:R11"/>
    <mergeCell ref="S11:U11"/>
    <mergeCell ref="V11:X11"/>
    <mergeCell ref="Y11:AA11"/>
    <mergeCell ref="AB11:AD11"/>
    <mergeCell ref="AE12:AG12"/>
    <mergeCell ref="AH12:AJ12"/>
    <mergeCell ref="AK12:AM12"/>
    <mergeCell ref="AN12:AP12"/>
    <mergeCell ref="AQ12:AS12"/>
    <mergeCell ref="P12:R12"/>
    <mergeCell ref="AQ8:AS8"/>
    <mergeCell ref="P9:R9"/>
    <mergeCell ref="S9:U9"/>
    <mergeCell ref="V9:X9"/>
    <mergeCell ref="Y9:AA9"/>
    <mergeCell ref="AB9:AD9"/>
    <mergeCell ref="AE9:AG9"/>
    <mergeCell ref="AH9:AJ9"/>
    <mergeCell ref="AK9:AM9"/>
    <mergeCell ref="AN9:AP9"/>
    <mergeCell ref="AQ9:AS9"/>
  </mergeCells>
  <dataValidations count="1">
    <dataValidation type="whole" allowBlank="1" showErrorMessage="1" errorTitle="GJHSP SY 2022-2023" error="Please enter valid number between 0-999." sqref="P8:AM16 P18:AM21 P23:AM30 P32:AM35" xr:uid="{4984D838-5FEB-4C35-BEA9-5C0B2BA1C294}">
      <formula1>0</formula1>
      <formula2>999</formula2>
    </dataValidation>
  </dataValidations>
  <printOptions horizontalCentered="1" verticalCentered="1"/>
  <pageMargins left="0.23622047244094491" right="0.23622047244094491" top="0.19685039370078741" bottom="0.19685039370078741" header="0" footer="0.11811023622047245"/>
  <pageSetup paperSize="14" scale="61" orientation="landscape" r:id="rId1"/>
  <headerFooter alignWithMargins="0">
    <oddFooter>&amp;L&amp;10&amp;F &amp;A&amp;R&amp;10Page 15 of 63</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3403D-78A5-46CA-B4EF-7EE61C2EAAD8}">
  <sheetPr codeName="Sheet24"/>
  <dimension ref="A1:BP34"/>
  <sheetViews>
    <sheetView showGridLines="0" topLeftCell="A6" zoomScaleNormal="100" workbookViewId="0">
      <selection activeCell="AI26" sqref="AI26:AW27"/>
    </sheetView>
  </sheetViews>
  <sheetFormatPr defaultColWidth="9" defaultRowHeight="15.5" x14ac:dyDescent="0.35"/>
  <cols>
    <col min="1" max="1" width="2.08203125" style="44" customWidth="1"/>
    <col min="2" max="49" width="3.58203125" style="44" customWidth="1"/>
    <col min="50" max="50" width="2.08203125" style="44" customWidth="1"/>
    <col min="51" max="52" width="3.58203125" style="44" customWidth="1"/>
    <col min="53" max="53" width="2.08203125" style="44" customWidth="1"/>
    <col min="54" max="62" width="3.58203125" style="44" customWidth="1"/>
    <col min="63" max="16384" width="9" style="44"/>
  </cols>
  <sheetData>
    <row r="1" spans="1:53" ht="12" customHeight="1" x14ac:dyDescent="0.35"/>
    <row r="2" spans="1:53" s="89" customFormat="1" x14ac:dyDescent="0.35">
      <c r="A2" s="44"/>
      <c r="B2" s="215" t="s">
        <v>1879</v>
      </c>
      <c r="C2" s="44"/>
      <c r="D2" s="44"/>
      <c r="E2" s="44"/>
      <c r="F2" s="44"/>
      <c r="G2" s="44"/>
      <c r="H2" s="44"/>
      <c r="I2" s="44"/>
      <c r="J2" s="44"/>
      <c r="K2" s="44"/>
      <c r="L2" s="44"/>
      <c r="M2" s="44"/>
      <c r="N2" s="44"/>
      <c r="O2" s="44"/>
      <c r="P2" s="44"/>
      <c r="Q2" s="44"/>
      <c r="R2" s="44"/>
      <c r="S2" s="44"/>
      <c r="T2" s="44"/>
      <c r="U2" s="44"/>
      <c r="V2" s="44"/>
      <c r="W2" s="44"/>
      <c r="X2" s="44"/>
      <c r="Y2" s="44"/>
      <c r="Z2" s="44"/>
      <c r="AA2" s="49"/>
      <c r="AB2" s="49"/>
      <c r="AC2" s="44"/>
      <c r="AD2" s="44"/>
      <c r="AE2" s="44"/>
      <c r="AF2" s="44"/>
      <c r="AG2" s="44"/>
      <c r="AH2" s="44"/>
      <c r="AI2" s="44"/>
      <c r="AJ2" s="44"/>
      <c r="AK2" s="44"/>
      <c r="AL2" s="44"/>
      <c r="AM2" s="44"/>
      <c r="AN2" s="44"/>
      <c r="AO2" s="44"/>
      <c r="AP2" s="416"/>
      <c r="AQ2" s="416"/>
    </row>
    <row r="3" spans="1:53" s="89" customFormat="1" ht="16" thickBot="1" x14ac:dyDescent="0.4">
      <c r="A3" s="44"/>
      <c r="B3" s="153" t="s">
        <v>12698</v>
      </c>
      <c r="C3" s="44"/>
      <c r="D3" s="44"/>
      <c r="E3" s="44"/>
      <c r="F3" s="44"/>
      <c r="G3" s="44"/>
      <c r="H3" s="44"/>
      <c r="I3" s="44"/>
      <c r="J3" s="44"/>
      <c r="K3" s="44"/>
      <c r="L3" s="44"/>
      <c r="M3" s="44"/>
      <c r="N3" s="44"/>
      <c r="O3" s="44"/>
      <c r="P3" s="44"/>
      <c r="Q3" s="44"/>
      <c r="R3" s="44"/>
      <c r="S3" s="44"/>
      <c r="T3" s="44"/>
      <c r="U3" s="44"/>
      <c r="V3" s="44"/>
      <c r="W3" s="44"/>
      <c r="X3" s="44"/>
      <c r="Y3" s="44"/>
      <c r="Z3" s="44"/>
      <c r="AA3" s="49"/>
      <c r="AB3" s="49"/>
      <c r="AC3" s="44"/>
      <c r="AD3" s="44"/>
      <c r="AE3" s="44"/>
      <c r="AF3" s="44"/>
      <c r="AG3" s="44"/>
      <c r="AH3" s="44"/>
      <c r="AI3" s="44"/>
      <c r="AJ3" s="44"/>
      <c r="AK3" s="44"/>
      <c r="AL3" s="44"/>
      <c r="AM3" s="44"/>
      <c r="AN3" s="44"/>
      <c r="AO3" s="44"/>
      <c r="AP3" s="416"/>
      <c r="AQ3" s="416"/>
    </row>
    <row r="4" spans="1:53" s="89" customFormat="1" ht="24.75" customHeight="1" thickTop="1" thickBot="1" x14ac:dyDescent="0.4">
      <c r="A4" s="80"/>
      <c r="B4" s="2302" t="s">
        <v>218</v>
      </c>
      <c r="C4" s="2303"/>
      <c r="D4" s="2303"/>
      <c r="E4" s="2303"/>
      <c r="F4" s="2303"/>
      <c r="G4" s="2303"/>
      <c r="H4" s="2303"/>
      <c r="I4" s="2303"/>
      <c r="J4" s="2303"/>
      <c r="K4" s="2303"/>
      <c r="L4" s="2303"/>
      <c r="M4" s="2303"/>
      <c r="N4" s="2303"/>
      <c r="O4" s="2304"/>
      <c r="P4" s="1904" t="s">
        <v>301</v>
      </c>
      <c r="Q4" s="1905"/>
      <c r="R4" s="1905"/>
      <c r="S4" s="1905"/>
      <c r="T4" s="1905"/>
      <c r="U4" s="1905"/>
      <c r="V4" s="1905"/>
      <c r="W4" s="1905"/>
      <c r="X4" s="1905"/>
      <c r="Y4" s="1905"/>
      <c r="Z4" s="1905"/>
      <c r="AA4" s="1905"/>
      <c r="AB4" s="1905"/>
      <c r="AC4" s="1905"/>
      <c r="AD4" s="1906"/>
      <c r="AE4" s="44"/>
      <c r="AF4" s="44"/>
      <c r="AG4" s="44"/>
      <c r="AH4" s="416"/>
      <c r="AI4" s="416"/>
    </row>
    <row r="5" spans="1:53" s="89" customFormat="1" ht="24.75" customHeight="1" thickBot="1" x14ac:dyDescent="0.4">
      <c r="A5" s="44"/>
      <c r="B5" s="2308"/>
      <c r="C5" s="1603"/>
      <c r="D5" s="1603"/>
      <c r="E5" s="1603"/>
      <c r="F5" s="1603"/>
      <c r="G5" s="1603"/>
      <c r="H5" s="1603"/>
      <c r="I5" s="1603"/>
      <c r="J5" s="1603"/>
      <c r="K5" s="1603"/>
      <c r="L5" s="1603"/>
      <c r="M5" s="1603"/>
      <c r="N5" s="1603"/>
      <c r="O5" s="1610"/>
      <c r="P5" s="1611" t="s">
        <v>14</v>
      </c>
      <c r="Q5" s="1603"/>
      <c r="R5" s="1603"/>
      <c r="S5" s="1603"/>
      <c r="T5" s="1604"/>
      <c r="U5" s="1605" t="s">
        <v>15</v>
      </c>
      <c r="V5" s="1603"/>
      <c r="W5" s="1603"/>
      <c r="X5" s="1603"/>
      <c r="Y5" s="1621"/>
      <c r="Z5" s="2530" t="s">
        <v>16</v>
      </c>
      <c r="AA5" s="2288"/>
      <c r="AB5" s="2288"/>
      <c r="AC5" s="2288"/>
      <c r="AD5" s="2531"/>
      <c r="AE5" s="44"/>
      <c r="AF5" s="44"/>
      <c r="AG5" s="44"/>
      <c r="AH5" s="416"/>
      <c r="AI5" s="416"/>
    </row>
    <row r="6" spans="1:53" s="89" customFormat="1" ht="30" customHeight="1" thickTop="1" x14ac:dyDescent="0.35">
      <c r="A6" s="44"/>
      <c r="B6" s="280"/>
      <c r="C6" s="427"/>
      <c r="D6" s="428" t="s">
        <v>980</v>
      </c>
      <c r="E6" s="429"/>
      <c r="F6" s="429"/>
      <c r="G6" s="429"/>
      <c r="H6" s="429"/>
      <c r="I6" s="429"/>
      <c r="J6" s="429"/>
      <c r="K6" s="429"/>
      <c r="L6" s="429"/>
      <c r="M6" s="429"/>
      <c r="N6" s="429"/>
      <c r="O6" s="429"/>
      <c r="P6" s="2506">
        <v>0</v>
      </c>
      <c r="Q6" s="2507"/>
      <c r="R6" s="2507"/>
      <c r="S6" s="2507"/>
      <c r="T6" s="2507"/>
      <c r="U6" s="2507">
        <v>0</v>
      </c>
      <c r="V6" s="2507"/>
      <c r="W6" s="2507"/>
      <c r="X6" s="2507"/>
      <c r="Y6" s="2508"/>
      <c r="Z6" s="2509">
        <f>SUM(P6:Y6)</f>
        <v>0</v>
      </c>
      <c r="AA6" s="2510"/>
      <c r="AB6" s="2510"/>
      <c r="AC6" s="2510"/>
      <c r="AD6" s="2511"/>
      <c r="AE6" s="44"/>
      <c r="AF6" s="44"/>
      <c r="AG6" s="44"/>
      <c r="AH6" s="44"/>
      <c r="AI6" s="44"/>
      <c r="AJ6" s="60" t="s">
        <v>912</v>
      </c>
      <c r="AK6" s="73"/>
      <c r="AL6" s="73"/>
      <c r="AM6" s="73"/>
      <c r="AN6" s="73"/>
      <c r="AO6" s="73"/>
      <c r="AP6" s="73"/>
      <c r="AQ6" s="73"/>
      <c r="AR6" s="73"/>
      <c r="AS6" s="73"/>
      <c r="AT6" s="73"/>
      <c r="AU6" s="73"/>
      <c r="AV6" s="73"/>
      <c r="AW6" s="73"/>
    </row>
    <row r="7" spans="1:53" s="89" customFormat="1" ht="30" customHeight="1" x14ac:dyDescent="0.35">
      <c r="A7" s="44"/>
      <c r="B7" s="348"/>
      <c r="C7" s="430"/>
      <c r="D7" s="431" t="s">
        <v>974</v>
      </c>
      <c r="E7" s="432"/>
      <c r="F7" s="432"/>
      <c r="G7" s="432"/>
      <c r="H7" s="432"/>
      <c r="I7" s="432"/>
      <c r="J7" s="432"/>
      <c r="K7" s="432"/>
      <c r="L7" s="432"/>
      <c r="M7" s="432"/>
      <c r="N7" s="432"/>
      <c r="O7" s="432"/>
      <c r="P7" s="2518">
        <v>0</v>
      </c>
      <c r="Q7" s="2519"/>
      <c r="R7" s="2519"/>
      <c r="S7" s="2519"/>
      <c r="T7" s="2519"/>
      <c r="U7" s="2519">
        <v>0</v>
      </c>
      <c r="V7" s="2519"/>
      <c r="W7" s="2519"/>
      <c r="X7" s="2519"/>
      <c r="Y7" s="2520"/>
      <c r="Z7" s="2521">
        <f t="shared" ref="Z7:Z11" si="0">SUM(P7:Y7)</f>
        <v>0</v>
      </c>
      <c r="AA7" s="2522"/>
      <c r="AB7" s="2522"/>
      <c r="AC7" s="2522"/>
      <c r="AD7" s="2523"/>
      <c r="AE7" s="44"/>
      <c r="AF7" s="44"/>
      <c r="AG7" s="44"/>
      <c r="AH7" s="44"/>
      <c r="AI7" s="44"/>
      <c r="AJ7" s="1581" t="str">
        <f>'Tables7-8'!AI5</f>
        <v>ELMA CEZARIE Y. ROMERO  /  May 17, 2023</v>
      </c>
      <c r="AK7" s="1581"/>
      <c r="AL7" s="1581"/>
      <c r="AM7" s="1581"/>
      <c r="AN7" s="1581"/>
      <c r="AO7" s="1581"/>
      <c r="AP7" s="1581"/>
      <c r="AQ7" s="1581"/>
      <c r="AR7" s="1581"/>
      <c r="AS7" s="1581"/>
      <c r="AT7" s="1581"/>
      <c r="AU7" s="1581"/>
      <c r="AV7" s="1581"/>
      <c r="AW7" s="1581"/>
    </row>
    <row r="8" spans="1:53" s="89" customFormat="1" ht="30" customHeight="1" x14ac:dyDescent="0.35">
      <c r="A8" s="44"/>
      <c r="B8" s="348"/>
      <c r="C8" s="430"/>
      <c r="D8" s="431" t="s">
        <v>975</v>
      </c>
      <c r="E8" s="432"/>
      <c r="F8" s="432"/>
      <c r="G8" s="432"/>
      <c r="H8" s="432"/>
      <c r="I8" s="432"/>
      <c r="J8" s="432"/>
      <c r="K8" s="432"/>
      <c r="L8" s="432"/>
      <c r="M8" s="432"/>
      <c r="N8" s="432"/>
      <c r="O8" s="432"/>
      <c r="P8" s="2518">
        <v>0</v>
      </c>
      <c r="Q8" s="2519"/>
      <c r="R8" s="2519"/>
      <c r="S8" s="2519"/>
      <c r="T8" s="2519"/>
      <c r="U8" s="2519">
        <v>0</v>
      </c>
      <c r="V8" s="2519"/>
      <c r="W8" s="2519"/>
      <c r="X8" s="2519"/>
      <c r="Y8" s="2520"/>
      <c r="Z8" s="2521">
        <f t="shared" si="0"/>
        <v>0</v>
      </c>
      <c r="AA8" s="2522"/>
      <c r="AB8" s="2522"/>
      <c r="AC8" s="2522"/>
      <c r="AD8" s="2523"/>
      <c r="AE8" s="44"/>
      <c r="AF8" s="44"/>
      <c r="AG8" s="44"/>
      <c r="AH8" s="44"/>
      <c r="AI8" s="44"/>
      <c r="AJ8" s="1452" t="s">
        <v>779</v>
      </c>
      <c r="AK8" s="1452"/>
      <c r="AL8" s="1452"/>
      <c r="AM8" s="1452"/>
      <c r="AN8" s="1452"/>
      <c r="AO8" s="1452"/>
      <c r="AP8" s="1452"/>
      <c r="AQ8" s="1452"/>
      <c r="AR8" s="1452"/>
      <c r="AS8" s="1452"/>
      <c r="AT8" s="1452"/>
      <c r="AU8" s="1452"/>
      <c r="AV8" s="1452"/>
      <c r="AW8" s="1452"/>
    </row>
    <row r="9" spans="1:53" s="89" customFormat="1" ht="30" customHeight="1" x14ac:dyDescent="0.35">
      <c r="A9" s="44"/>
      <c r="B9" s="348"/>
      <c r="C9" s="430"/>
      <c r="D9" s="431" t="s">
        <v>985</v>
      </c>
      <c r="E9" s="432"/>
      <c r="F9" s="432"/>
      <c r="G9" s="432"/>
      <c r="H9" s="432"/>
      <c r="I9" s="432"/>
      <c r="J9" s="432"/>
      <c r="K9" s="432"/>
      <c r="L9" s="432"/>
      <c r="M9" s="432"/>
      <c r="N9" s="432"/>
      <c r="O9" s="432"/>
      <c r="P9" s="2518">
        <v>0</v>
      </c>
      <c r="Q9" s="2519"/>
      <c r="R9" s="2519"/>
      <c r="S9" s="2519"/>
      <c r="T9" s="2519"/>
      <c r="U9" s="2519">
        <v>0</v>
      </c>
      <c r="V9" s="2519"/>
      <c r="W9" s="2519"/>
      <c r="X9" s="2519"/>
      <c r="Y9" s="2520"/>
      <c r="Z9" s="2521">
        <f t="shared" si="0"/>
        <v>0</v>
      </c>
      <c r="AA9" s="2522"/>
      <c r="AB9" s="2522"/>
      <c r="AC9" s="2522"/>
      <c r="AD9" s="2523"/>
      <c r="AE9" s="44"/>
      <c r="AF9" s="44"/>
      <c r="AG9" s="44"/>
      <c r="AH9" s="44"/>
      <c r="AI9" s="44"/>
      <c r="AJ9" s="60" t="s">
        <v>782</v>
      </c>
      <c r="AK9" s="44"/>
      <c r="AL9" s="44"/>
      <c r="AM9" s="44"/>
      <c r="AN9" s="1581" t="str">
        <f>'Tables7-8'!AM7</f>
        <v>Administrative Officer</v>
      </c>
      <c r="AO9" s="1581"/>
      <c r="AP9" s="1581"/>
      <c r="AQ9" s="1581"/>
      <c r="AR9" s="1581"/>
      <c r="AS9" s="1581"/>
      <c r="AT9" s="1581"/>
      <c r="AU9" s="1581"/>
      <c r="AV9" s="1581"/>
      <c r="AW9" s="1581"/>
    </row>
    <row r="10" spans="1:53" s="89" customFormat="1" ht="30" customHeight="1" x14ac:dyDescent="0.35">
      <c r="A10" s="44"/>
      <c r="B10" s="348"/>
      <c r="C10" s="430"/>
      <c r="D10" s="349" t="s">
        <v>976</v>
      </c>
      <c r="E10" s="432"/>
      <c r="F10" s="432"/>
      <c r="G10" s="432"/>
      <c r="H10" s="432"/>
      <c r="I10" s="432"/>
      <c r="J10" s="432"/>
      <c r="K10" s="432"/>
      <c r="L10" s="432"/>
      <c r="M10" s="432"/>
      <c r="N10" s="432"/>
      <c r="O10" s="432"/>
      <c r="P10" s="2518">
        <v>0</v>
      </c>
      <c r="Q10" s="2519"/>
      <c r="R10" s="2519"/>
      <c r="S10" s="2519"/>
      <c r="T10" s="2519"/>
      <c r="U10" s="2519">
        <v>0</v>
      </c>
      <c r="V10" s="2519"/>
      <c r="W10" s="2519"/>
      <c r="X10" s="2519"/>
      <c r="Y10" s="2520"/>
      <c r="Z10" s="2521">
        <f t="shared" si="0"/>
        <v>0</v>
      </c>
      <c r="AA10" s="2522"/>
      <c r="AB10" s="2522"/>
      <c r="AC10" s="2522"/>
      <c r="AD10" s="2523"/>
      <c r="AE10" s="44"/>
      <c r="AF10" s="44"/>
      <c r="AG10" s="44"/>
      <c r="AH10" s="44"/>
      <c r="AI10" s="44"/>
    </row>
    <row r="11" spans="1:53" s="89" customFormat="1" ht="30" customHeight="1" thickBot="1" x14ac:dyDescent="0.4">
      <c r="A11" s="44"/>
      <c r="B11" s="433"/>
      <c r="C11" s="434"/>
      <c r="D11" s="435" t="s">
        <v>973</v>
      </c>
      <c r="E11" s="436"/>
      <c r="F11" s="436"/>
      <c r="G11" s="436"/>
      <c r="H11" s="436"/>
      <c r="I11" s="436"/>
      <c r="J11" s="436"/>
      <c r="K11" s="436"/>
      <c r="L11" s="436"/>
      <c r="M11" s="436"/>
      <c r="N11" s="436"/>
      <c r="O11" s="436"/>
      <c r="P11" s="2512">
        <v>0</v>
      </c>
      <c r="Q11" s="2513"/>
      <c r="R11" s="2513"/>
      <c r="S11" s="2513"/>
      <c r="T11" s="2513"/>
      <c r="U11" s="2513">
        <v>0</v>
      </c>
      <c r="V11" s="2513"/>
      <c r="W11" s="2513"/>
      <c r="X11" s="2513"/>
      <c r="Y11" s="2514"/>
      <c r="Z11" s="2515">
        <f t="shared" si="0"/>
        <v>0</v>
      </c>
      <c r="AA11" s="2516"/>
      <c r="AB11" s="2516"/>
      <c r="AC11" s="2516"/>
      <c r="AD11" s="2517"/>
      <c r="AE11" s="44"/>
      <c r="AF11" s="44"/>
      <c r="AG11" s="44"/>
      <c r="AY11" s="416"/>
      <c r="AZ11" s="416"/>
    </row>
    <row r="12" spans="1:53" s="89" customFormat="1" ht="30" customHeight="1" thickTop="1" x14ac:dyDescent="0.35">
      <c r="A12" s="44"/>
      <c r="B12" s="72"/>
      <c r="C12" s="72"/>
      <c r="D12" s="72"/>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c r="AC12" s="415"/>
      <c r="AD12" s="415"/>
      <c r="AE12" s="44"/>
      <c r="AF12" s="44"/>
      <c r="AG12" s="44"/>
      <c r="AH12" s="44"/>
      <c r="AZ12" s="416"/>
      <c r="BA12" s="416"/>
    </row>
    <row r="13" spans="1:53" ht="30" customHeight="1" x14ac:dyDescent="0.35">
      <c r="C13" s="123"/>
      <c r="E13" s="123"/>
      <c r="G13" s="123"/>
      <c r="I13" s="123"/>
      <c r="K13" s="123"/>
      <c r="M13" s="123"/>
      <c r="O13" s="123"/>
      <c r="Q13" s="123"/>
      <c r="S13" s="123"/>
      <c r="U13" s="123"/>
      <c r="W13" s="123"/>
      <c r="AB13" s="123"/>
      <c r="AD13" s="123"/>
      <c r="AF13" s="123"/>
      <c r="AH13" s="123"/>
      <c r="AJ13" s="123"/>
      <c r="AL13" s="123"/>
      <c r="AN13" s="123"/>
      <c r="AP13" s="123"/>
      <c r="AR13" s="123"/>
      <c r="AT13" s="123"/>
      <c r="AV13" s="123"/>
      <c r="AW13" s="417"/>
    </row>
    <row r="14" spans="1:53" s="400" customFormat="1" ht="15" x14ac:dyDescent="0.35">
      <c r="B14" s="418" t="s">
        <v>12699</v>
      </c>
      <c r="C14" s="418"/>
      <c r="D14" s="418"/>
      <c r="E14" s="418"/>
      <c r="F14" s="418"/>
      <c r="G14" s="418"/>
      <c r="H14" s="418"/>
      <c r="I14" s="418"/>
      <c r="J14" s="418"/>
      <c r="K14" s="418"/>
      <c r="L14" s="418"/>
      <c r="AA14" s="418" t="s">
        <v>12703</v>
      </c>
      <c r="AB14" s="418"/>
      <c r="AC14" s="418"/>
      <c r="AD14" s="418"/>
      <c r="AE14" s="418"/>
      <c r="AF14" s="418"/>
      <c r="AG14" s="418"/>
      <c r="AH14" s="418"/>
      <c r="AI14" s="418"/>
      <c r="AJ14" s="418"/>
      <c r="AK14" s="418"/>
    </row>
    <row r="15" spans="1:53" s="402" customFormat="1" ht="16" thickBot="1" x14ac:dyDescent="0.4">
      <c r="B15" s="419" t="s">
        <v>1091</v>
      </c>
      <c r="AA15" s="419" t="s">
        <v>1091</v>
      </c>
    </row>
    <row r="16" spans="1:53" s="402" customFormat="1" ht="7.5" customHeight="1" thickTop="1" x14ac:dyDescent="0.35">
      <c r="B16" s="420"/>
      <c r="C16" s="421"/>
      <c r="D16" s="421"/>
      <c r="E16" s="421"/>
      <c r="F16" s="421"/>
      <c r="G16" s="421"/>
      <c r="H16" s="421"/>
      <c r="I16" s="421"/>
      <c r="J16" s="421"/>
      <c r="K16" s="421"/>
      <c r="L16" s="421"/>
      <c r="M16" s="422"/>
      <c r="N16" s="422"/>
      <c r="O16" s="422"/>
      <c r="P16" s="422"/>
      <c r="Q16" s="422"/>
      <c r="R16" s="422"/>
      <c r="S16" s="422"/>
      <c r="T16" s="422"/>
      <c r="U16" s="422"/>
      <c r="V16" s="422"/>
      <c r="W16" s="423"/>
      <c r="AA16" s="424"/>
      <c r="AB16" s="421"/>
      <c r="AC16" s="421"/>
      <c r="AD16" s="421"/>
      <c r="AE16" s="421"/>
      <c r="AF16" s="421"/>
      <c r="AG16" s="421"/>
      <c r="AH16" s="421"/>
      <c r="AI16" s="421"/>
      <c r="AJ16" s="421"/>
      <c r="AK16" s="421"/>
      <c r="AL16" s="421"/>
      <c r="AM16" s="422"/>
      <c r="AN16" s="422"/>
      <c r="AO16" s="422"/>
      <c r="AP16" s="422"/>
      <c r="AQ16" s="422"/>
      <c r="AR16" s="422"/>
      <c r="AS16" s="422"/>
      <c r="AT16" s="422"/>
      <c r="AU16" s="422"/>
      <c r="AV16" s="422"/>
      <c r="AW16" s="423"/>
    </row>
    <row r="17" spans="2:49" s="402" customFormat="1" ht="25.5" customHeight="1" x14ac:dyDescent="0.35">
      <c r="B17" s="410"/>
      <c r="D17" s="411" t="s">
        <v>150</v>
      </c>
      <c r="E17" s="402" t="s">
        <v>614</v>
      </c>
      <c r="N17" s="414"/>
      <c r="P17" s="440" t="b">
        <v>1</v>
      </c>
      <c r="Q17" s="402" t="s">
        <v>272</v>
      </c>
      <c r="R17" s="426"/>
      <c r="S17" s="426"/>
      <c r="T17" s="440">
        <v>0</v>
      </c>
      <c r="U17" s="402" t="s">
        <v>273</v>
      </c>
      <c r="W17" s="404"/>
      <c r="AA17" s="410"/>
      <c r="AC17" s="411" t="s">
        <v>150</v>
      </c>
      <c r="AD17" s="402" t="s">
        <v>746</v>
      </c>
      <c r="AP17" s="441" t="b">
        <v>1</v>
      </c>
      <c r="AQ17" s="402" t="s">
        <v>272</v>
      </c>
      <c r="AR17" s="426"/>
      <c r="AS17" s="426"/>
      <c r="AT17" s="441"/>
      <c r="AU17" s="402" t="s">
        <v>273</v>
      </c>
      <c r="AW17" s="404"/>
    </row>
    <row r="18" spans="2:49" s="402" customFormat="1" x14ac:dyDescent="0.35">
      <c r="B18" s="410"/>
      <c r="D18" s="411"/>
      <c r="E18" s="402" t="s">
        <v>618</v>
      </c>
      <c r="O18" s="414"/>
      <c r="T18" s="1413" t="str" cm="1">
        <f t="array" ref="T18">IF(AND(lac_session_yes=TRUE,ISBLANK(Q19:U20)),"Please specify.",IF(AND(lac_session_yes=FALSE,(Q19:U20&gt;0)),"Please check Yes if you have entries.",""))</f>
        <v/>
      </c>
      <c r="U18" s="403"/>
      <c r="W18" s="404"/>
      <c r="AA18" s="410"/>
      <c r="AC18" s="411"/>
      <c r="AD18" s="402" t="s">
        <v>619</v>
      </c>
      <c r="AN18" s="414"/>
      <c r="AR18" s="1413" t="str" cm="1">
        <f t="array" ref="AR18">IF(AND(action_research_yes=TRUE,ISBLANK(AM19:AQ22)),"Please specify.",IF(AND(action_research_yes=FALSE,(AM19:AQ22&gt;0)),"Please check Yes if you have entries.",""))</f>
        <v/>
      </c>
      <c r="AT18" s="403"/>
      <c r="AW18" s="404"/>
    </row>
    <row r="19" spans="2:49" s="402" customFormat="1" ht="25.5" customHeight="1" x14ac:dyDescent="0.35">
      <c r="B19" s="410"/>
      <c r="D19" s="411"/>
      <c r="F19" s="402" t="s">
        <v>565</v>
      </c>
      <c r="G19" s="402" t="s">
        <v>12700</v>
      </c>
      <c r="Q19" s="2524">
        <v>7</v>
      </c>
      <c r="R19" s="2525"/>
      <c r="S19" s="2525"/>
      <c r="T19" s="2525"/>
      <c r="U19" s="2525"/>
      <c r="W19" s="404"/>
      <c r="AA19" s="410"/>
      <c r="AC19" s="411"/>
      <c r="AE19" s="402" t="s">
        <v>565</v>
      </c>
      <c r="AF19" s="402" t="s">
        <v>12702</v>
      </c>
      <c r="AM19" s="2525">
        <v>2</v>
      </c>
      <c r="AN19" s="2525"/>
      <c r="AO19" s="2525"/>
      <c r="AP19" s="2525"/>
      <c r="AQ19" s="2525"/>
      <c r="AS19" s="403"/>
      <c r="AW19" s="404"/>
    </row>
    <row r="20" spans="2:49" s="402" customFormat="1" ht="25.5" customHeight="1" x14ac:dyDescent="0.35">
      <c r="B20" s="410"/>
      <c r="D20" s="411"/>
      <c r="F20" s="402" t="s">
        <v>566</v>
      </c>
      <c r="G20" s="402" t="s">
        <v>12701</v>
      </c>
      <c r="O20" s="414"/>
      <c r="Q20" s="2525">
        <v>10</v>
      </c>
      <c r="R20" s="2525"/>
      <c r="S20" s="2525"/>
      <c r="T20" s="2525"/>
      <c r="U20" s="2525"/>
      <c r="W20" s="404"/>
      <c r="AA20" s="410"/>
      <c r="AC20" s="411"/>
      <c r="AE20" s="402" t="s">
        <v>566</v>
      </c>
      <c r="AF20" s="402" t="s">
        <v>615</v>
      </c>
      <c r="AM20" s="2525">
        <v>7</v>
      </c>
      <c r="AN20" s="2525"/>
      <c r="AO20" s="2525"/>
      <c r="AP20" s="2525"/>
      <c r="AQ20" s="2525"/>
      <c r="AW20" s="404"/>
    </row>
    <row r="21" spans="2:49" s="402" customFormat="1" ht="13" customHeight="1" thickBot="1" x14ac:dyDescent="0.4">
      <c r="B21" s="406"/>
      <c r="C21" s="407"/>
      <c r="D21" s="407"/>
      <c r="E21" s="407"/>
      <c r="F21" s="407"/>
      <c r="G21" s="407"/>
      <c r="H21" s="407"/>
      <c r="I21" s="407"/>
      <c r="J21" s="407"/>
      <c r="K21" s="407"/>
      <c r="L21" s="407"/>
      <c r="M21" s="407"/>
      <c r="N21" s="408"/>
      <c r="O21" s="408"/>
      <c r="P21" s="408"/>
      <c r="Q21" s="408"/>
      <c r="R21" s="408"/>
      <c r="S21" s="408"/>
      <c r="T21" s="408"/>
      <c r="U21" s="408"/>
      <c r="V21" s="408"/>
      <c r="W21" s="409"/>
      <c r="AA21" s="410"/>
      <c r="AC21" s="411"/>
      <c r="AE21" s="2526" t="s">
        <v>616</v>
      </c>
      <c r="AF21" s="2526" t="s">
        <v>617</v>
      </c>
      <c r="AG21" s="2526"/>
      <c r="AH21" s="2526"/>
      <c r="AI21" s="2526"/>
      <c r="AM21" s="2529">
        <v>2</v>
      </c>
      <c r="AN21" s="2529"/>
      <c r="AO21" s="2529"/>
      <c r="AP21" s="2529"/>
      <c r="AQ21" s="2529"/>
      <c r="AS21" s="403"/>
      <c r="AW21" s="404"/>
    </row>
    <row r="22" spans="2:49" ht="13" customHeight="1" thickTop="1" x14ac:dyDescent="0.35">
      <c r="AA22" s="412"/>
      <c r="AB22" s="402"/>
      <c r="AC22" s="413"/>
      <c r="AD22" s="413"/>
      <c r="AE22" s="2526"/>
      <c r="AF22" s="2526"/>
      <c r="AG22" s="2526"/>
      <c r="AH22" s="2526"/>
      <c r="AI22" s="2526"/>
      <c r="AJ22" s="402"/>
      <c r="AK22" s="402"/>
      <c r="AL22" s="402"/>
      <c r="AM22" s="2525"/>
      <c r="AN22" s="2525"/>
      <c r="AO22" s="2525"/>
      <c r="AP22" s="2525"/>
      <c r="AQ22" s="2525"/>
      <c r="AR22" s="402"/>
      <c r="AS22" s="402"/>
      <c r="AT22" s="402"/>
      <c r="AU22" s="402"/>
      <c r="AV22" s="402"/>
      <c r="AW22" s="405"/>
    </row>
    <row r="23" spans="2:49" ht="7.5" customHeight="1" thickBot="1" x14ac:dyDescent="0.4">
      <c r="AA23" s="395"/>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7"/>
    </row>
    <row r="24" spans="2:49" ht="18" customHeight="1" thickTop="1" x14ac:dyDescent="0.35">
      <c r="B24" s="398"/>
      <c r="D24" s="398"/>
      <c r="F24" s="398"/>
      <c r="H24" s="398"/>
      <c r="J24" s="398"/>
      <c r="L24" s="398"/>
      <c r="N24" s="398"/>
      <c r="P24" s="398"/>
      <c r="Q24" s="399"/>
      <c r="R24" s="400"/>
      <c r="S24" s="400"/>
      <c r="T24" s="400"/>
      <c r="U24" s="400"/>
      <c r="V24" s="400"/>
      <c r="W24" s="400"/>
      <c r="X24" s="273"/>
      <c r="Y24" s="401"/>
      <c r="Z24" s="401"/>
      <c r="AA24" s="398"/>
      <c r="AC24" s="398"/>
      <c r="AE24" s="398"/>
      <c r="AG24" s="398"/>
      <c r="AI24" s="398"/>
      <c r="AK24" s="398"/>
      <c r="AM24" s="398"/>
      <c r="AO24" s="398"/>
      <c r="AP24" s="401"/>
      <c r="AQ24" s="401"/>
      <c r="AR24" s="401"/>
      <c r="AS24" s="401"/>
      <c r="AT24" s="401"/>
      <c r="AU24" s="401"/>
    </row>
    <row r="25" spans="2:49" x14ac:dyDescent="0.35">
      <c r="B25" s="60" t="s">
        <v>1241</v>
      </c>
      <c r="AI25" s="60" t="s">
        <v>906</v>
      </c>
    </row>
    <row r="26" spans="2:49" s="73" customFormat="1" ht="21.75" customHeight="1" x14ac:dyDescent="0.35">
      <c r="B26" s="1802" t="s">
        <v>12808</v>
      </c>
      <c r="C26" s="1803"/>
      <c r="D26" s="1803"/>
      <c r="E26" s="1803"/>
      <c r="F26" s="1803"/>
      <c r="G26" s="1803"/>
      <c r="H26" s="1803"/>
      <c r="I26" s="1803"/>
      <c r="J26" s="1803"/>
      <c r="K26" s="1803"/>
      <c r="L26" s="1803"/>
      <c r="M26" s="1803"/>
      <c r="N26" s="1803"/>
      <c r="O26" s="1803"/>
      <c r="P26" s="1803"/>
      <c r="Q26" s="1803"/>
      <c r="AI26" s="2527" t="s">
        <v>12810</v>
      </c>
      <c r="AJ26" s="2528"/>
      <c r="AK26" s="2528"/>
      <c r="AL26" s="2528"/>
      <c r="AM26" s="2528"/>
      <c r="AN26" s="2528"/>
      <c r="AO26" s="2528"/>
      <c r="AP26" s="2528"/>
      <c r="AQ26" s="2528"/>
      <c r="AR26" s="2528"/>
      <c r="AS26" s="2528"/>
      <c r="AT26" s="2528"/>
      <c r="AU26" s="2528"/>
      <c r="AV26" s="2528"/>
      <c r="AW26" s="2528"/>
    </row>
    <row r="27" spans="2:49" s="68" customFormat="1" ht="15.75" customHeight="1" x14ac:dyDescent="0.3">
      <c r="B27" s="1452" t="s">
        <v>779</v>
      </c>
      <c r="C27" s="1452"/>
      <c r="D27" s="1452"/>
      <c r="E27" s="1452"/>
      <c r="F27" s="1452"/>
      <c r="G27" s="1452"/>
      <c r="H27" s="1452"/>
      <c r="I27" s="1452"/>
      <c r="J27" s="1452"/>
      <c r="K27" s="1452"/>
      <c r="L27" s="1452"/>
      <c r="M27" s="1452"/>
      <c r="N27" s="1452"/>
      <c r="O27" s="1452"/>
      <c r="P27" s="1452"/>
      <c r="Q27" s="1452"/>
      <c r="R27" s="64"/>
      <c r="S27" s="64"/>
      <c r="T27" s="64"/>
      <c r="U27" s="64"/>
      <c r="V27" s="64"/>
      <c r="W27" s="64"/>
      <c r="X27" s="64"/>
      <c r="Y27" s="64"/>
      <c r="Z27" s="64"/>
      <c r="AA27" s="64"/>
      <c r="AB27" s="64"/>
      <c r="AC27" s="64"/>
      <c r="AD27" s="64"/>
      <c r="AE27" s="64"/>
      <c r="AF27" s="64"/>
      <c r="AG27" s="64"/>
      <c r="AH27" s="64"/>
      <c r="AI27" s="1759"/>
      <c r="AJ27" s="1759"/>
      <c r="AK27" s="1759"/>
      <c r="AL27" s="1759"/>
      <c r="AM27" s="1759"/>
      <c r="AN27" s="1759"/>
      <c r="AO27" s="1759"/>
      <c r="AP27" s="1759"/>
      <c r="AQ27" s="1759"/>
      <c r="AR27" s="1759"/>
      <c r="AS27" s="1759"/>
      <c r="AT27" s="1759"/>
      <c r="AU27" s="1759"/>
      <c r="AV27" s="1759"/>
      <c r="AW27" s="1759"/>
    </row>
    <row r="28" spans="2:49" ht="21.75" customHeight="1" x14ac:dyDescent="0.35">
      <c r="B28" s="60" t="s">
        <v>784</v>
      </c>
      <c r="F28" s="1802" t="s">
        <v>12805</v>
      </c>
      <c r="G28" s="1803"/>
      <c r="H28" s="1803"/>
      <c r="I28" s="1803"/>
      <c r="J28" s="1803"/>
      <c r="K28" s="1803"/>
      <c r="L28" s="1803"/>
      <c r="M28" s="1803"/>
      <c r="N28" s="1803"/>
      <c r="O28" s="1803"/>
      <c r="P28" s="1803"/>
      <c r="Q28" s="1803"/>
      <c r="AI28" s="1452" t="s">
        <v>779</v>
      </c>
      <c r="AJ28" s="1452"/>
      <c r="AK28" s="1452"/>
      <c r="AL28" s="1452"/>
      <c r="AM28" s="1452"/>
      <c r="AN28" s="1452"/>
      <c r="AO28" s="1452"/>
      <c r="AP28" s="1452"/>
      <c r="AQ28" s="1452"/>
      <c r="AR28" s="1452"/>
      <c r="AS28" s="1452"/>
      <c r="AT28" s="1452"/>
      <c r="AU28" s="1452"/>
      <c r="AV28" s="1452"/>
      <c r="AW28" s="1452"/>
    </row>
    <row r="29" spans="2:49" ht="21.75" customHeight="1" x14ac:dyDescent="0.35">
      <c r="B29" s="60"/>
      <c r="F29" s="132"/>
      <c r="G29" s="132"/>
      <c r="H29" s="132"/>
      <c r="I29" s="132"/>
      <c r="J29" s="132"/>
      <c r="K29" s="132"/>
      <c r="L29" s="132"/>
      <c r="M29" s="132"/>
      <c r="N29" s="132"/>
      <c r="O29" s="132"/>
      <c r="P29" s="132"/>
      <c r="AA29" s="220"/>
      <c r="AB29" s="220"/>
      <c r="AC29" s="220"/>
      <c r="AD29" s="220"/>
      <c r="AE29" s="220"/>
      <c r="AF29" s="220"/>
      <c r="AG29" s="220"/>
      <c r="AH29" s="220"/>
      <c r="AI29" s="220"/>
      <c r="AJ29" s="220"/>
      <c r="AK29" s="220"/>
      <c r="AL29" s="220"/>
      <c r="AM29" s="220"/>
      <c r="AN29" s="220"/>
      <c r="AO29" s="220"/>
      <c r="AP29" s="220"/>
      <c r="AQ29" s="220"/>
    </row>
    <row r="30" spans="2:49" ht="30" customHeight="1" x14ac:dyDescent="0.35">
      <c r="C30" s="123"/>
    </row>
    <row r="31" spans="2:49" x14ac:dyDescent="0.35">
      <c r="B31" s="60" t="s">
        <v>913</v>
      </c>
      <c r="T31" s="60"/>
      <c r="U31" s="73"/>
      <c r="V31" s="73"/>
      <c r="W31" s="73"/>
      <c r="X31" s="73"/>
      <c r="Y31" s="73"/>
      <c r="Z31" s="73"/>
      <c r="AA31" s="73"/>
      <c r="AB31" s="73"/>
      <c r="AC31" s="73"/>
      <c r="AD31" s="73"/>
      <c r="AE31" s="73"/>
      <c r="AF31" s="73"/>
      <c r="AG31" s="73"/>
      <c r="AH31" s="73"/>
      <c r="AJ31" s="60" t="s">
        <v>922</v>
      </c>
    </row>
    <row r="32" spans="2:49" ht="21.75" customHeight="1" x14ac:dyDescent="0.35">
      <c r="B32" s="60" t="s">
        <v>780</v>
      </c>
      <c r="F32" s="1581" t="str">
        <f>SchInfo!F38</f>
        <v>MELCHESIEDICK Q. BOLANIO/ March 17, 2023</v>
      </c>
      <c r="G32" s="1581"/>
      <c r="H32" s="1581"/>
      <c r="I32" s="1581"/>
      <c r="J32" s="1581"/>
      <c r="K32" s="1581"/>
      <c r="L32" s="1581"/>
      <c r="M32" s="1581"/>
      <c r="N32" s="1581"/>
      <c r="O32" s="1581"/>
      <c r="P32" s="1581"/>
      <c r="Q32" s="1581"/>
      <c r="AJ32" s="1582" t="str">
        <f>SchInfo!R38</f>
        <v>MICHAEL T. JAMIS   /  March 17, 2023</v>
      </c>
      <c r="AK32" s="1582"/>
      <c r="AL32" s="1582"/>
      <c r="AM32" s="1582"/>
      <c r="AN32" s="1582"/>
      <c r="AO32" s="1582"/>
      <c r="AP32" s="1582"/>
      <c r="AQ32" s="1582"/>
      <c r="AR32" s="1582"/>
      <c r="AS32" s="1582"/>
      <c r="AT32" s="1582"/>
      <c r="AU32" s="1582"/>
      <c r="AV32" s="1582"/>
      <c r="AW32" s="1582"/>
    </row>
    <row r="33" spans="2:68" s="68" customFormat="1" ht="15.75" customHeight="1" x14ac:dyDescent="0.3">
      <c r="B33" s="210"/>
      <c r="F33" s="1452" t="s">
        <v>779</v>
      </c>
      <c r="G33" s="1452"/>
      <c r="H33" s="1452"/>
      <c r="I33" s="1452"/>
      <c r="J33" s="1452"/>
      <c r="K33" s="1452"/>
      <c r="L33" s="1452"/>
      <c r="M33" s="1452"/>
      <c r="N33" s="1452"/>
      <c r="O33" s="1452"/>
      <c r="P33" s="1452"/>
      <c r="Q33" s="1452"/>
      <c r="R33" s="64"/>
      <c r="S33" s="64"/>
      <c r="T33" s="172"/>
      <c r="U33" s="172"/>
      <c r="V33" s="172"/>
      <c r="W33" s="172"/>
      <c r="X33" s="172"/>
      <c r="Y33" s="172"/>
      <c r="Z33" s="172"/>
      <c r="AA33" s="172"/>
      <c r="AB33" s="172"/>
      <c r="AC33" s="172"/>
      <c r="AD33" s="172"/>
      <c r="AE33" s="172"/>
      <c r="AF33" s="172"/>
      <c r="AG33" s="172"/>
      <c r="AH33" s="172"/>
      <c r="AI33" s="64"/>
      <c r="AJ33" s="1583"/>
      <c r="AK33" s="1583"/>
      <c r="AL33" s="1583"/>
      <c r="AM33" s="1583"/>
      <c r="AN33" s="1583"/>
      <c r="AO33" s="1583"/>
      <c r="AP33" s="1583"/>
      <c r="AQ33" s="1583"/>
      <c r="AR33" s="1583"/>
      <c r="AS33" s="1583"/>
      <c r="AT33" s="1583"/>
      <c r="AU33" s="1583"/>
      <c r="AV33" s="1583"/>
      <c r="AW33" s="1583"/>
      <c r="AX33" s="210"/>
      <c r="AY33" s="64"/>
      <c r="AZ33" s="209"/>
      <c r="BA33" s="209"/>
      <c r="BB33" s="209"/>
      <c r="BC33" s="209"/>
      <c r="BD33" s="209"/>
      <c r="BE33" s="209"/>
      <c r="BF33" s="209"/>
      <c r="BG33" s="209"/>
      <c r="BH33" s="209"/>
      <c r="BI33" s="209"/>
      <c r="BJ33" s="209"/>
      <c r="BK33" s="209"/>
      <c r="BL33" s="209"/>
      <c r="BM33" s="209"/>
      <c r="BN33" s="209"/>
      <c r="BO33" s="209"/>
      <c r="BP33" s="209"/>
    </row>
    <row r="34" spans="2:68" ht="21.75" customHeight="1" x14ac:dyDescent="0.35">
      <c r="B34" s="60" t="s">
        <v>782</v>
      </c>
      <c r="F34" s="1581" t="str">
        <f>SchInfo!F40</f>
        <v>Principal IV</v>
      </c>
      <c r="G34" s="1581"/>
      <c r="H34" s="1581"/>
      <c r="I34" s="1581"/>
      <c r="J34" s="1581"/>
      <c r="K34" s="1581"/>
      <c r="L34" s="1581"/>
      <c r="M34" s="1581"/>
      <c r="N34" s="1581"/>
      <c r="O34" s="1581"/>
      <c r="P34" s="1581"/>
      <c r="Q34" s="1581"/>
      <c r="T34" s="60"/>
      <c r="AJ34" s="1452" t="s">
        <v>779</v>
      </c>
      <c r="AK34" s="1452"/>
      <c r="AL34" s="1452"/>
      <c r="AM34" s="1452"/>
      <c r="AN34" s="1452"/>
      <c r="AO34" s="1452"/>
      <c r="AP34" s="1452"/>
      <c r="AQ34" s="1452"/>
      <c r="AR34" s="1452"/>
      <c r="AS34" s="1452"/>
      <c r="AT34" s="1452"/>
      <c r="AU34" s="1452"/>
      <c r="AV34" s="1452"/>
      <c r="AW34" s="1452"/>
    </row>
  </sheetData>
  <sheetProtection algorithmName="SHA-512" hashValue="B45Nmx6Y0N3w29lb+3ULv46K8Um9cNiPXQyJ8fYKibIyi3zZV6ulaeYWhb1KBbwOLyDtAE8EJTKycwJnYj0nug==" saltValue="I4A2g0zq3zoGom6/UETGpQ==" spinCount="100000" sheet="1" objects="1" scenarios="1" selectLockedCells="1"/>
  <mergeCells count="43">
    <mergeCell ref="B4:O5"/>
    <mergeCell ref="P4:AD4"/>
    <mergeCell ref="P5:T5"/>
    <mergeCell ref="U5:Y5"/>
    <mergeCell ref="Z5:AD5"/>
    <mergeCell ref="AJ34:AW34"/>
    <mergeCell ref="AJ32:AW33"/>
    <mergeCell ref="AM19:AQ19"/>
    <mergeCell ref="AM20:AQ20"/>
    <mergeCell ref="AM21:AQ22"/>
    <mergeCell ref="AI28:AW28"/>
    <mergeCell ref="AJ7:AW7"/>
    <mergeCell ref="AJ8:AW8"/>
    <mergeCell ref="AE21:AE22"/>
    <mergeCell ref="AF21:AI22"/>
    <mergeCell ref="AI26:AW27"/>
    <mergeCell ref="AN9:AW9"/>
    <mergeCell ref="F33:Q33"/>
    <mergeCell ref="F34:Q34"/>
    <mergeCell ref="B26:Q26"/>
    <mergeCell ref="B27:Q27"/>
    <mergeCell ref="F28:Q28"/>
    <mergeCell ref="U10:Y10"/>
    <mergeCell ref="Z10:AD10"/>
    <mergeCell ref="Q19:U19"/>
    <mergeCell ref="Q20:U20"/>
    <mergeCell ref="F32:Q32"/>
    <mergeCell ref="P6:T6"/>
    <mergeCell ref="U6:Y6"/>
    <mergeCell ref="Z6:AD6"/>
    <mergeCell ref="P11:T11"/>
    <mergeCell ref="U11:Y11"/>
    <mergeCell ref="Z11:AD11"/>
    <mergeCell ref="P7:T7"/>
    <mergeCell ref="U7:Y7"/>
    <mergeCell ref="Z7:AD7"/>
    <mergeCell ref="P8:T8"/>
    <mergeCell ref="U8:Y8"/>
    <mergeCell ref="Z8:AD8"/>
    <mergeCell ref="P9:T9"/>
    <mergeCell ref="U9:Y9"/>
    <mergeCell ref="Z9:AD9"/>
    <mergeCell ref="P10:T10"/>
  </mergeCells>
  <dataValidations count="2">
    <dataValidation type="whole" allowBlank="1" showErrorMessage="1" errorTitle="GJHSP SY 2022-2023" error="Please enter valid number between 0-999." sqref="P6:Y11" xr:uid="{9AE5C019-DF46-41CC-BEB9-2F7364E59797}">
      <formula1>0</formula1>
      <formula2>999</formula2>
    </dataValidation>
    <dataValidation type="whole" allowBlank="1" showInputMessage="1" showErrorMessage="1" errorTitle="GJHSP SY 2022-2023" error="Please enter valid number between 0-2,000." sqref="AM19:AQ22 Q19:U20" xr:uid="{ABFF1258-1293-49AD-9D33-00589178EB3A}">
      <formula1>0</formula1>
      <formula2>2000</formula2>
    </dataValidation>
  </dataValidations>
  <printOptions horizontalCentered="1" verticalCentered="1"/>
  <pageMargins left="0.23622047244094491" right="0.23622047244094491" top="0.19685039370078741" bottom="0.19685039370078741" header="0" footer="0.11811023622047245"/>
  <pageSetup paperSize="14" scale="70" orientation="landscape" r:id="rId1"/>
  <headerFooter alignWithMargins="0">
    <oddFooter>&amp;L&amp;10&amp;F &amp;A&amp;R&amp;10Page 16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6625" r:id="rId4" name="Check Box 1">
              <controlPr defaultSize="0" autoFill="0" autoLine="0" autoPict="0">
                <anchor moveWithCells="1">
                  <from>
                    <xdr:col>15</xdr:col>
                    <xdr:colOff>38100</xdr:colOff>
                    <xdr:row>16</xdr:row>
                    <xdr:rowOff>38100</xdr:rowOff>
                  </from>
                  <to>
                    <xdr:col>16</xdr:col>
                    <xdr:colOff>69850</xdr:colOff>
                    <xdr:row>16</xdr:row>
                    <xdr:rowOff>260350</xdr:rowOff>
                  </to>
                </anchor>
              </controlPr>
            </control>
          </mc:Choice>
        </mc:AlternateContent>
        <mc:AlternateContent xmlns:mc="http://schemas.openxmlformats.org/markup-compatibility/2006">
          <mc:Choice Requires="x14">
            <control shapeId="26626" r:id="rId5" name="Check Box 2">
              <controlPr defaultSize="0" autoFill="0" autoLine="0" autoPict="0">
                <anchor moveWithCells="1">
                  <from>
                    <xdr:col>19</xdr:col>
                    <xdr:colOff>25400</xdr:colOff>
                    <xdr:row>16</xdr:row>
                    <xdr:rowOff>31750</xdr:rowOff>
                  </from>
                  <to>
                    <xdr:col>20</xdr:col>
                    <xdr:colOff>50800</xdr:colOff>
                    <xdr:row>16</xdr:row>
                    <xdr:rowOff>254000</xdr:rowOff>
                  </to>
                </anchor>
              </controlPr>
            </control>
          </mc:Choice>
        </mc:AlternateContent>
        <mc:AlternateContent xmlns:mc="http://schemas.openxmlformats.org/markup-compatibility/2006">
          <mc:Choice Requires="x14">
            <control shapeId="26627" r:id="rId6" name="Check Box 3">
              <controlPr defaultSize="0" autoFill="0" autoLine="0" autoPict="0">
                <anchor moveWithCells="1">
                  <from>
                    <xdr:col>41</xdr:col>
                    <xdr:colOff>44450</xdr:colOff>
                    <xdr:row>16</xdr:row>
                    <xdr:rowOff>44450</xdr:rowOff>
                  </from>
                  <to>
                    <xdr:col>42</xdr:col>
                    <xdr:colOff>69850</xdr:colOff>
                    <xdr:row>16</xdr:row>
                    <xdr:rowOff>266700</xdr:rowOff>
                  </to>
                </anchor>
              </controlPr>
            </control>
          </mc:Choice>
        </mc:AlternateContent>
        <mc:AlternateContent xmlns:mc="http://schemas.openxmlformats.org/markup-compatibility/2006">
          <mc:Choice Requires="x14">
            <control shapeId="26628" r:id="rId7" name="Check Box 4">
              <controlPr defaultSize="0" autoFill="0" autoLine="0" autoPict="0">
                <anchor moveWithCells="1">
                  <from>
                    <xdr:col>45</xdr:col>
                    <xdr:colOff>0</xdr:colOff>
                    <xdr:row>16</xdr:row>
                    <xdr:rowOff>38100</xdr:rowOff>
                  </from>
                  <to>
                    <xdr:col>46</xdr:col>
                    <xdr:colOff>25400</xdr:colOff>
                    <xdr:row>16</xdr:row>
                    <xdr:rowOff>260350</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E61AB-CABE-4D00-87CD-47EF1A8CDA98}">
  <dimension ref="A1:CA45"/>
  <sheetViews>
    <sheetView showGridLines="0" topLeftCell="O32" zoomScaleNormal="100" workbookViewId="0">
      <selection activeCell="AQ31" sqref="AQ31"/>
    </sheetView>
  </sheetViews>
  <sheetFormatPr defaultColWidth="9" defaultRowHeight="15.5" x14ac:dyDescent="0.35"/>
  <cols>
    <col min="1" max="1" width="2.08203125" style="44" customWidth="1"/>
    <col min="2" max="57" width="3.58203125" style="44" customWidth="1"/>
    <col min="58" max="58" width="2.08203125" style="44" customWidth="1"/>
    <col min="59" max="73" width="3.58203125" style="44" customWidth="1"/>
    <col min="74" max="16384" width="9" style="44"/>
  </cols>
  <sheetData>
    <row r="1" spans="1:61" ht="12" customHeight="1" x14ac:dyDescent="0.35"/>
    <row r="2" spans="1:61" ht="15.75" customHeight="1" x14ac:dyDescent="0.35">
      <c r="B2" s="49" t="s">
        <v>1880</v>
      </c>
      <c r="C2" s="49"/>
      <c r="D2" s="49"/>
      <c r="E2" s="49"/>
      <c r="F2" s="49"/>
      <c r="G2" s="49"/>
      <c r="H2" s="49"/>
      <c r="I2" s="49"/>
      <c r="J2" s="49"/>
      <c r="K2" s="49"/>
      <c r="L2" s="49"/>
      <c r="M2" s="49"/>
      <c r="N2" s="49"/>
      <c r="O2" s="49"/>
      <c r="P2" s="49"/>
      <c r="Q2" s="49"/>
      <c r="R2" s="49"/>
      <c r="S2" s="49"/>
      <c r="T2" s="49"/>
      <c r="U2" s="49"/>
      <c r="V2" s="49"/>
      <c r="W2" s="49"/>
      <c r="X2" s="49"/>
      <c r="Y2" s="49"/>
      <c r="Z2" s="49"/>
      <c r="AA2" s="49"/>
      <c r="AB2" s="49"/>
    </row>
    <row r="3" spans="1:61" ht="15.75" customHeight="1" x14ac:dyDescent="0.35">
      <c r="B3" s="49" t="s">
        <v>12704</v>
      </c>
      <c r="C3" s="49"/>
      <c r="D3" s="49"/>
      <c r="E3" s="49"/>
      <c r="F3" s="49"/>
      <c r="G3" s="49"/>
      <c r="H3" s="49"/>
      <c r="I3" s="49"/>
      <c r="J3" s="49"/>
      <c r="K3" s="49"/>
      <c r="L3" s="49"/>
      <c r="M3" s="49"/>
      <c r="N3" s="49"/>
      <c r="O3" s="49"/>
      <c r="P3" s="49"/>
      <c r="Q3" s="49"/>
      <c r="R3" s="49"/>
      <c r="S3" s="49"/>
      <c r="T3" s="49"/>
      <c r="U3" s="49"/>
      <c r="V3" s="49"/>
      <c r="W3" s="49"/>
      <c r="X3" s="49"/>
      <c r="Y3" s="49"/>
      <c r="Z3" s="49"/>
      <c r="AA3" s="49"/>
      <c r="AB3" s="49"/>
    </row>
    <row r="4" spans="1:61" s="447" customFormat="1" ht="16" thickBot="1" x14ac:dyDescent="0.4">
      <c r="A4" s="442"/>
      <c r="B4" s="419" t="s">
        <v>1098</v>
      </c>
      <c r="C4" s="443"/>
      <c r="D4" s="444"/>
      <c r="E4" s="444"/>
      <c r="F4" s="444"/>
      <c r="G4" s="444"/>
      <c r="H4" s="444"/>
      <c r="I4" s="444"/>
      <c r="J4" s="444"/>
      <c r="K4" s="444"/>
      <c r="L4" s="444"/>
      <c r="M4" s="444"/>
      <c r="N4" s="444"/>
      <c r="O4" s="444"/>
      <c r="P4" s="444"/>
      <c r="Q4" s="444"/>
      <c r="R4" s="445"/>
      <c r="S4" s="445"/>
      <c r="T4" s="446"/>
      <c r="U4" s="446"/>
      <c r="V4" s="445"/>
      <c r="W4" s="445"/>
      <c r="X4" s="445"/>
    </row>
    <row r="5" spans="1:61" ht="31.5" customHeight="1" thickTop="1" thickBot="1" x14ac:dyDescent="0.4">
      <c r="B5" s="2302" t="s">
        <v>564</v>
      </c>
      <c r="C5" s="2303"/>
      <c r="D5" s="2303"/>
      <c r="E5" s="2303"/>
      <c r="F5" s="2304"/>
      <c r="G5" s="2552" t="s">
        <v>1484</v>
      </c>
      <c r="H5" s="2553"/>
      <c r="I5" s="2553"/>
      <c r="J5" s="2553"/>
      <c r="K5" s="2553"/>
      <c r="L5" s="2553"/>
      <c r="M5" s="2553"/>
      <c r="N5" s="2553"/>
      <c r="O5" s="2553"/>
      <c r="P5" s="2553"/>
      <c r="Q5" s="2553"/>
      <c r="R5" s="2553"/>
      <c r="S5" s="2553"/>
      <c r="T5" s="2553"/>
      <c r="U5" s="2554"/>
      <c r="V5" s="2159" t="s">
        <v>1485</v>
      </c>
      <c r="W5" s="2160"/>
      <c r="X5" s="2160"/>
      <c r="Y5" s="2160"/>
      <c r="Z5" s="2160"/>
      <c r="AA5" s="2160"/>
      <c r="AB5" s="2160"/>
      <c r="AC5" s="2160"/>
      <c r="AD5" s="2160"/>
      <c r="AE5" s="2160"/>
      <c r="AF5" s="2160"/>
      <c r="AG5" s="2160"/>
      <c r="AH5" s="2160"/>
      <c r="AI5" s="2160"/>
      <c r="AJ5" s="2555"/>
      <c r="AK5" s="85"/>
    </row>
    <row r="6" spans="1:61" ht="30" customHeight="1" thickBot="1" x14ac:dyDescent="0.4">
      <c r="B6" s="2308"/>
      <c r="C6" s="1603"/>
      <c r="D6" s="1603"/>
      <c r="E6" s="1603"/>
      <c r="F6" s="1610"/>
      <c r="G6" s="2559" t="s">
        <v>1513</v>
      </c>
      <c r="H6" s="1603"/>
      <c r="I6" s="1604"/>
      <c r="J6" s="2560" t="s">
        <v>1514</v>
      </c>
      <c r="K6" s="1603"/>
      <c r="L6" s="1603"/>
      <c r="M6" s="2560" t="s">
        <v>1515</v>
      </c>
      <c r="N6" s="1603"/>
      <c r="O6" s="1604"/>
      <c r="P6" s="2288" t="s">
        <v>1516</v>
      </c>
      <c r="Q6" s="1603"/>
      <c r="R6" s="1621"/>
      <c r="S6" s="2551" t="s">
        <v>16</v>
      </c>
      <c r="T6" s="1603"/>
      <c r="U6" s="1610"/>
      <c r="V6" s="2559" t="s">
        <v>1513</v>
      </c>
      <c r="W6" s="1603"/>
      <c r="X6" s="1604"/>
      <c r="Y6" s="2560" t="s">
        <v>1514</v>
      </c>
      <c r="Z6" s="1603"/>
      <c r="AA6" s="1603"/>
      <c r="AB6" s="2560" t="s">
        <v>1515</v>
      </c>
      <c r="AC6" s="1603"/>
      <c r="AD6" s="1604"/>
      <c r="AE6" s="2288" t="s">
        <v>1516</v>
      </c>
      <c r="AF6" s="1603"/>
      <c r="AG6" s="1621"/>
      <c r="AH6" s="2551" t="s">
        <v>16</v>
      </c>
      <c r="AI6" s="1603"/>
      <c r="AJ6" s="1606"/>
      <c r="AM6" s="376"/>
      <c r="AN6" s="376"/>
      <c r="AO6" s="376"/>
      <c r="AP6" s="376"/>
      <c r="AQ6" s="376"/>
      <c r="AR6" s="376"/>
      <c r="AS6" s="376"/>
      <c r="AT6" s="376"/>
      <c r="AU6" s="376"/>
      <c r="AV6" s="376"/>
      <c r="AW6" s="376"/>
      <c r="AX6" s="376"/>
      <c r="AY6" s="376"/>
      <c r="AZ6" s="376"/>
      <c r="BA6" s="376"/>
      <c r="BB6" s="376"/>
      <c r="BC6" s="376"/>
      <c r="BD6" s="376"/>
      <c r="BE6" s="376"/>
      <c r="BF6" s="376"/>
      <c r="BG6" s="376"/>
      <c r="BH6" s="376"/>
      <c r="BI6" s="376"/>
    </row>
    <row r="7" spans="1:61" ht="25" customHeight="1" thickTop="1" x14ac:dyDescent="0.35">
      <c r="B7" s="280"/>
      <c r="C7" s="72" t="s">
        <v>87</v>
      </c>
      <c r="D7" s="72"/>
      <c r="E7" s="72"/>
      <c r="F7" s="358"/>
      <c r="G7" s="2575">
        <v>3</v>
      </c>
      <c r="H7" s="2563"/>
      <c r="I7" s="2576"/>
      <c r="J7" s="2574">
        <v>3</v>
      </c>
      <c r="K7" s="2563"/>
      <c r="L7" s="2563"/>
      <c r="M7" s="2574">
        <v>5</v>
      </c>
      <c r="N7" s="2563"/>
      <c r="O7" s="2576"/>
      <c r="P7" s="2563">
        <v>3</v>
      </c>
      <c r="Q7" s="2563"/>
      <c r="R7" s="2564"/>
      <c r="S7" s="2565">
        <f>SUM(G7:R7)</f>
        <v>14</v>
      </c>
      <c r="T7" s="2317"/>
      <c r="U7" s="2318"/>
      <c r="V7" s="2575">
        <v>3</v>
      </c>
      <c r="W7" s="2563"/>
      <c r="X7" s="2576"/>
      <c r="Y7" s="2574">
        <v>3</v>
      </c>
      <c r="Z7" s="2563"/>
      <c r="AA7" s="2563"/>
      <c r="AB7" s="2574">
        <v>5</v>
      </c>
      <c r="AC7" s="2563"/>
      <c r="AD7" s="2576"/>
      <c r="AE7" s="2563">
        <v>3</v>
      </c>
      <c r="AF7" s="2563"/>
      <c r="AG7" s="2564"/>
      <c r="AH7" s="2565">
        <f>SUM(V7:AG7)</f>
        <v>14</v>
      </c>
      <c r="AI7" s="2317"/>
      <c r="AJ7" s="2566"/>
      <c r="AM7" s="376"/>
      <c r="AN7" s="376"/>
      <c r="AO7" s="376"/>
      <c r="AP7" s="376"/>
      <c r="AQ7" s="376"/>
      <c r="AR7" s="376"/>
      <c r="AS7" s="376"/>
      <c r="AT7" s="376"/>
      <c r="AU7" s="376"/>
      <c r="AV7" s="376"/>
      <c r="AW7" s="376"/>
      <c r="AX7" s="376"/>
      <c r="AY7" s="376"/>
      <c r="AZ7" s="376"/>
      <c r="BA7" s="376"/>
      <c r="BB7" s="376"/>
      <c r="BC7" s="376"/>
      <c r="BD7" s="376"/>
      <c r="BE7" s="376"/>
      <c r="BF7" s="376"/>
      <c r="BG7" s="376"/>
      <c r="BH7" s="376"/>
      <c r="BI7" s="376"/>
    </row>
    <row r="8" spans="1:61" ht="25" customHeight="1" x14ac:dyDescent="0.35">
      <c r="B8" s="348"/>
      <c r="C8" s="349" t="s">
        <v>88</v>
      </c>
      <c r="D8" s="349"/>
      <c r="E8" s="349"/>
      <c r="F8" s="350"/>
      <c r="G8" s="2577">
        <v>1</v>
      </c>
      <c r="H8" s="2567"/>
      <c r="I8" s="2578"/>
      <c r="J8" s="2581">
        <v>0</v>
      </c>
      <c r="K8" s="2567"/>
      <c r="L8" s="2567"/>
      <c r="M8" s="2581">
        <v>1</v>
      </c>
      <c r="N8" s="2567"/>
      <c r="O8" s="2578"/>
      <c r="P8" s="2567">
        <v>0</v>
      </c>
      <c r="Q8" s="2567"/>
      <c r="R8" s="2568"/>
      <c r="S8" s="2569">
        <f t="shared" ref="S8:S10" si="0">SUM(G8:R8)</f>
        <v>2</v>
      </c>
      <c r="T8" s="1457"/>
      <c r="U8" s="1458"/>
      <c r="V8" s="2577">
        <v>0</v>
      </c>
      <c r="W8" s="2567"/>
      <c r="X8" s="2578"/>
      <c r="Y8" s="2581">
        <v>0</v>
      </c>
      <c r="Z8" s="2567"/>
      <c r="AA8" s="2567"/>
      <c r="AB8" s="2581">
        <v>0</v>
      </c>
      <c r="AC8" s="2567"/>
      <c r="AD8" s="2578"/>
      <c r="AE8" s="2567">
        <v>0</v>
      </c>
      <c r="AF8" s="2567"/>
      <c r="AG8" s="2568"/>
      <c r="AH8" s="2569">
        <f t="shared" ref="AH8:AH10" si="1">SUM(V8:AG8)</f>
        <v>0</v>
      </c>
      <c r="AI8" s="1457"/>
      <c r="AJ8" s="2467"/>
      <c r="AM8" s="376"/>
      <c r="AN8" s="376"/>
      <c r="AO8" s="376"/>
      <c r="AP8" s="376"/>
      <c r="AQ8" s="376"/>
      <c r="AR8" s="376"/>
      <c r="AS8" s="376"/>
      <c r="AT8" s="376"/>
      <c r="AU8" s="376"/>
      <c r="AV8" s="376"/>
      <c r="AW8" s="376"/>
      <c r="AX8" s="376"/>
      <c r="AY8" s="376"/>
      <c r="AZ8" s="376"/>
      <c r="BA8" s="376"/>
      <c r="BB8" s="376"/>
      <c r="BC8" s="376"/>
      <c r="BD8" s="376"/>
      <c r="BE8" s="376"/>
      <c r="BF8" s="376"/>
      <c r="BG8" s="376"/>
      <c r="BH8" s="376"/>
      <c r="BI8" s="376"/>
    </row>
    <row r="9" spans="1:61" ht="25" customHeight="1" x14ac:dyDescent="0.35">
      <c r="B9" s="348"/>
      <c r="C9" s="349" t="s">
        <v>89</v>
      </c>
      <c r="D9" s="349"/>
      <c r="E9" s="349"/>
      <c r="F9" s="350"/>
      <c r="G9" s="2577">
        <v>2</v>
      </c>
      <c r="H9" s="2567"/>
      <c r="I9" s="2578"/>
      <c r="J9" s="2581">
        <v>2</v>
      </c>
      <c r="K9" s="2567"/>
      <c r="L9" s="2567"/>
      <c r="M9" s="2581">
        <v>2</v>
      </c>
      <c r="N9" s="2567"/>
      <c r="O9" s="2578"/>
      <c r="P9" s="2567">
        <v>2</v>
      </c>
      <c r="Q9" s="2567"/>
      <c r="R9" s="2568"/>
      <c r="S9" s="2569">
        <f t="shared" si="0"/>
        <v>8</v>
      </c>
      <c r="T9" s="1457"/>
      <c r="U9" s="1458"/>
      <c r="V9" s="2577">
        <v>3</v>
      </c>
      <c r="W9" s="2567"/>
      <c r="X9" s="2578"/>
      <c r="Y9" s="2581">
        <v>3</v>
      </c>
      <c r="Z9" s="2567"/>
      <c r="AA9" s="2567"/>
      <c r="AB9" s="2581">
        <v>3</v>
      </c>
      <c r="AC9" s="2567"/>
      <c r="AD9" s="2578"/>
      <c r="AE9" s="2567">
        <v>2</v>
      </c>
      <c r="AF9" s="2567"/>
      <c r="AG9" s="2568"/>
      <c r="AH9" s="2569">
        <f t="shared" si="1"/>
        <v>11</v>
      </c>
      <c r="AI9" s="1457"/>
      <c r="AJ9" s="2467"/>
      <c r="AL9" s="376"/>
      <c r="AM9" s="376"/>
      <c r="AN9" s="376"/>
      <c r="AO9" s="376"/>
      <c r="AP9" s="376"/>
      <c r="AQ9" s="376"/>
      <c r="AR9" s="376"/>
      <c r="AS9" s="376"/>
      <c r="AT9" s="376"/>
      <c r="AU9" s="376"/>
      <c r="AV9" s="376"/>
      <c r="AW9" s="376"/>
      <c r="AX9" s="376"/>
      <c r="AY9" s="376"/>
      <c r="AZ9" s="376"/>
      <c r="BA9" s="376"/>
      <c r="BB9" s="376"/>
      <c r="BC9" s="376"/>
      <c r="BD9" s="376"/>
      <c r="BE9" s="376"/>
      <c r="BF9" s="376"/>
      <c r="BG9" s="376"/>
      <c r="BH9" s="376"/>
      <c r="BI9" s="376"/>
    </row>
    <row r="10" spans="1:61" ht="25" customHeight="1" thickBot="1" x14ac:dyDescent="0.4">
      <c r="B10" s="448"/>
      <c r="C10" s="449" t="s">
        <v>90</v>
      </c>
      <c r="D10" s="449"/>
      <c r="E10" s="449"/>
      <c r="F10" s="450"/>
      <c r="G10" s="2579">
        <v>26</v>
      </c>
      <c r="H10" s="2570"/>
      <c r="I10" s="2580"/>
      <c r="J10" s="2582">
        <v>23</v>
      </c>
      <c r="K10" s="2570"/>
      <c r="L10" s="2570"/>
      <c r="M10" s="2582">
        <v>18</v>
      </c>
      <c r="N10" s="2570"/>
      <c r="O10" s="2580"/>
      <c r="P10" s="2570">
        <v>17</v>
      </c>
      <c r="Q10" s="2570"/>
      <c r="R10" s="2571"/>
      <c r="S10" s="2572">
        <f t="shared" si="0"/>
        <v>84</v>
      </c>
      <c r="T10" s="2329"/>
      <c r="U10" s="2330"/>
      <c r="V10" s="2579">
        <v>0</v>
      </c>
      <c r="W10" s="2570"/>
      <c r="X10" s="2580"/>
      <c r="Y10" s="2582">
        <v>0</v>
      </c>
      <c r="Z10" s="2570"/>
      <c r="AA10" s="2570"/>
      <c r="AB10" s="2582">
        <v>0</v>
      </c>
      <c r="AC10" s="2570"/>
      <c r="AD10" s="2580"/>
      <c r="AE10" s="2570">
        <v>0</v>
      </c>
      <c r="AF10" s="2570"/>
      <c r="AG10" s="2571"/>
      <c r="AH10" s="2572">
        <f t="shared" si="1"/>
        <v>0</v>
      </c>
      <c r="AI10" s="2329"/>
      <c r="AJ10" s="2573"/>
      <c r="AK10" s="49"/>
      <c r="AL10" s="357"/>
      <c r="AM10" s="451"/>
      <c r="AN10" s="451"/>
      <c r="AO10" s="451"/>
      <c r="AP10" s="451"/>
      <c r="AQ10" s="451"/>
      <c r="AR10" s="451"/>
      <c r="AS10" s="451"/>
      <c r="AT10" s="451"/>
      <c r="AU10" s="451"/>
      <c r="AV10" s="451"/>
      <c r="AW10" s="451"/>
      <c r="AX10" s="451"/>
      <c r="AY10" s="451"/>
      <c r="AZ10" s="451"/>
      <c r="BA10" s="451"/>
      <c r="BB10" s="451"/>
      <c r="BC10" s="451"/>
      <c r="BD10" s="451"/>
      <c r="BE10" s="451"/>
      <c r="BF10" s="451"/>
      <c r="BG10" s="451"/>
      <c r="BH10" s="451"/>
      <c r="BI10" s="451"/>
    </row>
    <row r="11" spans="1:61" s="49" customFormat="1" ht="25" customHeight="1" thickTop="1" thickBot="1" x14ac:dyDescent="0.35">
      <c r="B11" s="354"/>
      <c r="C11" s="355" t="s">
        <v>915</v>
      </c>
      <c r="D11" s="355"/>
      <c r="E11" s="355"/>
      <c r="F11" s="356"/>
      <c r="G11" s="2601">
        <f>SUM(G7:I10)</f>
        <v>32</v>
      </c>
      <c r="H11" s="2556"/>
      <c r="I11" s="2562"/>
      <c r="J11" s="2561">
        <f t="shared" ref="J11" si="2">SUM(J7:L10)</f>
        <v>28</v>
      </c>
      <c r="K11" s="2556"/>
      <c r="L11" s="2562"/>
      <c r="M11" s="2561">
        <f t="shared" ref="M11" si="3">SUM(M7:O10)</f>
        <v>26</v>
      </c>
      <c r="N11" s="2556"/>
      <c r="O11" s="2562"/>
      <c r="P11" s="2556">
        <f t="shared" ref="P11" si="4">SUM(P7:R10)</f>
        <v>22</v>
      </c>
      <c r="Q11" s="2556"/>
      <c r="R11" s="2556"/>
      <c r="S11" s="2557">
        <f t="shared" ref="S11" si="5">SUM(S7:U10)</f>
        <v>108</v>
      </c>
      <c r="T11" s="2556"/>
      <c r="U11" s="2562"/>
      <c r="V11" s="2601">
        <f t="shared" ref="V11" si="6">SUM(V7:X10)</f>
        <v>6</v>
      </c>
      <c r="W11" s="2556"/>
      <c r="X11" s="2562"/>
      <c r="Y11" s="2561">
        <f t="shared" ref="Y11" si="7">SUM(Y7:AA10)</f>
        <v>6</v>
      </c>
      <c r="Z11" s="2556"/>
      <c r="AA11" s="2562"/>
      <c r="AB11" s="2561">
        <f t="shared" ref="AB11" si="8">SUM(AB7:AD10)</f>
        <v>8</v>
      </c>
      <c r="AC11" s="2556"/>
      <c r="AD11" s="2562"/>
      <c r="AE11" s="2556">
        <f t="shared" ref="AE11" si="9">SUM(AE7:AG10)</f>
        <v>5</v>
      </c>
      <c r="AF11" s="2556"/>
      <c r="AG11" s="2556"/>
      <c r="AH11" s="2557">
        <f t="shared" ref="AH11" si="10">SUM(AH7:AJ10)</f>
        <v>25</v>
      </c>
      <c r="AI11" s="2556"/>
      <c r="AJ11" s="2558"/>
      <c r="AL11" s="8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row>
    <row r="12" spans="1:61" s="399" customFormat="1" ht="45.5" customHeight="1" thickTop="1" x14ac:dyDescent="0.3">
      <c r="A12" s="452"/>
      <c r="B12" s="453" t="s">
        <v>150</v>
      </c>
      <c r="C12" s="2593" t="s">
        <v>1486</v>
      </c>
      <c r="D12" s="2593"/>
      <c r="E12" s="2593"/>
      <c r="F12" s="2593"/>
      <c r="G12" s="2593"/>
      <c r="H12" s="2593"/>
      <c r="I12" s="2593"/>
      <c r="J12" s="2593"/>
      <c r="K12" s="2593"/>
      <c r="L12" s="2593"/>
      <c r="M12" s="2593"/>
      <c r="N12" s="2593"/>
      <c r="O12" s="2593"/>
      <c r="P12" s="2593"/>
      <c r="Q12" s="2593"/>
      <c r="R12" s="2593"/>
      <c r="S12" s="2593"/>
      <c r="T12" s="2593"/>
      <c r="U12" s="2593"/>
      <c r="V12" s="2593"/>
      <c r="W12" s="2593"/>
      <c r="X12" s="2593"/>
      <c r="Y12" s="2593"/>
      <c r="Z12" s="2593"/>
      <c r="AA12" s="2593"/>
      <c r="AB12" s="2593"/>
      <c r="AC12" s="2593"/>
      <c r="AD12" s="2593"/>
      <c r="AE12" s="2593"/>
      <c r="AF12" s="2593"/>
      <c r="AG12" s="2593"/>
      <c r="AH12" s="2593"/>
      <c r="AI12" s="2593"/>
      <c r="AJ12" s="2593"/>
      <c r="AK12" s="454"/>
      <c r="AL12" s="454"/>
      <c r="AM12" s="454"/>
      <c r="AN12" s="454"/>
    </row>
    <row r="13" spans="1:61" s="399" customFormat="1" ht="20" customHeight="1" x14ac:dyDescent="0.3">
      <c r="A13" s="452"/>
      <c r="B13" s="453" t="s">
        <v>151</v>
      </c>
      <c r="C13" s="2594" t="s">
        <v>1487</v>
      </c>
      <c r="D13" s="2594"/>
      <c r="E13" s="2594"/>
      <c r="F13" s="2594"/>
      <c r="G13" s="2594"/>
      <c r="H13" s="2594"/>
      <c r="I13" s="2594"/>
      <c r="J13" s="2594"/>
      <c r="K13" s="2594"/>
      <c r="L13" s="2594"/>
      <c r="M13" s="2594"/>
      <c r="N13" s="2594"/>
      <c r="O13" s="2594"/>
      <c r="P13" s="2594"/>
      <c r="Q13" s="2594"/>
      <c r="R13" s="2594"/>
      <c r="S13" s="2594"/>
      <c r="T13" s="2594"/>
      <c r="U13" s="2594"/>
      <c r="V13" s="2594"/>
      <c r="W13" s="2594"/>
      <c r="X13" s="2594"/>
      <c r="Y13" s="2594"/>
      <c r="Z13" s="2594"/>
      <c r="AA13" s="2594"/>
      <c r="AB13" s="2594"/>
      <c r="AC13" s="2594"/>
      <c r="AD13" s="2594"/>
      <c r="AE13" s="2594"/>
      <c r="AF13" s="2594"/>
      <c r="AG13" s="2594"/>
      <c r="AH13" s="2594"/>
      <c r="AI13" s="2594"/>
      <c r="AJ13" s="2594"/>
      <c r="AK13" s="454"/>
      <c r="AL13" s="454"/>
      <c r="AM13" s="454"/>
    </row>
    <row r="14" spans="1:61" s="399" customFormat="1" ht="20" customHeight="1" x14ac:dyDescent="0.3">
      <c r="A14" s="452"/>
      <c r="B14" s="453" t="s">
        <v>152</v>
      </c>
      <c r="C14" s="2594" t="s">
        <v>1832</v>
      </c>
      <c r="D14" s="2594"/>
      <c r="E14" s="2594"/>
      <c r="F14" s="2594"/>
      <c r="G14" s="2594"/>
      <c r="H14" s="2594"/>
      <c r="I14" s="2594"/>
      <c r="J14" s="2594"/>
      <c r="K14" s="2594"/>
      <c r="L14" s="2594"/>
      <c r="M14" s="2594"/>
      <c r="N14" s="2594"/>
      <c r="O14" s="2594"/>
      <c r="P14" s="2594"/>
      <c r="Q14" s="2594"/>
      <c r="R14" s="2594"/>
      <c r="S14" s="2594"/>
      <c r="T14" s="2594"/>
      <c r="U14" s="2594"/>
      <c r="V14" s="2594"/>
      <c r="W14" s="2594"/>
      <c r="X14" s="2594"/>
      <c r="Y14" s="2594"/>
      <c r="Z14" s="2594"/>
      <c r="AA14" s="2594"/>
      <c r="AB14" s="2594"/>
      <c r="AC14" s="2594"/>
      <c r="AD14" s="2594"/>
      <c r="AE14" s="2594"/>
      <c r="AF14" s="2594"/>
      <c r="AG14" s="2594"/>
      <c r="AH14" s="2594"/>
      <c r="AI14" s="2594"/>
      <c r="AJ14" s="2594"/>
      <c r="AK14" s="454"/>
      <c r="AL14" s="454"/>
      <c r="AM14" s="454"/>
    </row>
    <row r="15" spans="1:61" s="399" customFormat="1" ht="20" customHeight="1" x14ac:dyDescent="0.3">
      <c r="A15" s="452"/>
      <c r="B15" s="453" t="s">
        <v>155</v>
      </c>
      <c r="C15" s="2594" t="s">
        <v>1512</v>
      </c>
      <c r="D15" s="2594"/>
      <c r="E15" s="2594"/>
      <c r="F15" s="2594"/>
      <c r="G15" s="2594"/>
      <c r="H15" s="2594"/>
      <c r="I15" s="2594"/>
      <c r="J15" s="2594"/>
      <c r="K15" s="2594"/>
      <c r="L15" s="2594"/>
      <c r="M15" s="2594"/>
      <c r="N15" s="2594"/>
      <c r="O15" s="2594"/>
      <c r="P15" s="2594"/>
      <c r="Q15" s="2594"/>
      <c r="R15" s="2594"/>
      <c r="S15" s="2594"/>
      <c r="T15" s="2594"/>
      <c r="U15" s="2594"/>
      <c r="V15" s="2594"/>
      <c r="W15" s="2594"/>
      <c r="X15" s="2594"/>
      <c r="Y15" s="2594"/>
      <c r="Z15" s="2594"/>
      <c r="AA15" s="2594"/>
      <c r="AB15" s="2594"/>
      <c r="AC15" s="2594"/>
      <c r="AD15" s="2594"/>
      <c r="AE15" s="2594"/>
      <c r="AF15" s="2594"/>
      <c r="AG15" s="2594"/>
      <c r="AH15" s="2594"/>
      <c r="AI15" s="2594"/>
      <c r="AJ15" s="2594"/>
      <c r="AK15" s="454"/>
      <c r="AL15" s="454"/>
      <c r="AM15" s="454"/>
      <c r="AN15" s="454"/>
    </row>
    <row r="16" spans="1:61" s="399" customFormat="1" ht="30" customHeight="1" x14ac:dyDescent="0.3">
      <c r="A16" s="452"/>
      <c r="B16" s="453" t="s">
        <v>156</v>
      </c>
      <c r="C16" s="2594" t="s">
        <v>1517</v>
      </c>
      <c r="D16" s="2594"/>
      <c r="E16" s="2594"/>
      <c r="F16" s="2594"/>
      <c r="G16" s="2594"/>
      <c r="H16" s="2594"/>
      <c r="I16" s="2594"/>
      <c r="J16" s="2594"/>
      <c r="K16" s="2594"/>
      <c r="L16" s="2594"/>
      <c r="M16" s="2594"/>
      <c r="N16" s="2594"/>
      <c r="O16" s="2594"/>
      <c r="P16" s="2594"/>
      <c r="Q16" s="2594"/>
      <c r="R16" s="2594"/>
      <c r="S16" s="2594"/>
      <c r="T16" s="2594"/>
      <c r="U16" s="2594"/>
      <c r="V16" s="2594"/>
      <c r="W16" s="2594"/>
      <c r="X16" s="2594"/>
      <c r="Y16" s="2594"/>
      <c r="Z16" s="2594"/>
      <c r="AA16" s="2594"/>
      <c r="AB16" s="2594"/>
      <c r="AC16" s="2594"/>
      <c r="AD16" s="2594"/>
      <c r="AE16" s="2594"/>
      <c r="AF16" s="2594"/>
      <c r="AG16" s="2594"/>
      <c r="AH16" s="2594"/>
      <c r="AI16" s="2594"/>
      <c r="AJ16" s="2594"/>
      <c r="AK16" s="454"/>
      <c r="AL16" s="454"/>
      <c r="AM16" s="454"/>
      <c r="AN16" s="454"/>
    </row>
    <row r="17" spans="1:79" s="399" customFormat="1" ht="20" customHeight="1" x14ac:dyDescent="0.3">
      <c r="A17" s="452"/>
      <c r="B17" s="453" t="s">
        <v>157</v>
      </c>
      <c r="C17" s="2594" t="s">
        <v>1518</v>
      </c>
      <c r="D17" s="2594"/>
      <c r="E17" s="2594"/>
      <c r="F17" s="2594"/>
      <c r="G17" s="2594"/>
      <c r="H17" s="2594"/>
      <c r="I17" s="2594"/>
      <c r="J17" s="2594"/>
      <c r="K17" s="2594"/>
      <c r="L17" s="2594"/>
      <c r="M17" s="2594"/>
      <c r="N17" s="2594"/>
      <c r="O17" s="2594"/>
      <c r="P17" s="2594"/>
      <c r="Q17" s="2594"/>
      <c r="R17" s="2594"/>
      <c r="S17" s="2594"/>
      <c r="T17" s="2594"/>
      <c r="U17" s="2594"/>
      <c r="V17" s="2594"/>
      <c r="W17" s="2594"/>
      <c r="X17" s="2594"/>
      <c r="Y17" s="2594"/>
      <c r="Z17" s="2594"/>
      <c r="AA17" s="2594"/>
      <c r="AB17" s="2594"/>
      <c r="AC17" s="2594"/>
      <c r="AD17" s="2594"/>
      <c r="AE17" s="2594"/>
      <c r="AF17" s="2594"/>
      <c r="AG17" s="2594"/>
      <c r="AH17" s="2594"/>
      <c r="AI17" s="2594"/>
      <c r="AJ17" s="2594"/>
      <c r="AK17" s="454"/>
      <c r="AL17" s="454"/>
      <c r="AM17" s="454"/>
      <c r="AN17" s="454"/>
    </row>
    <row r="18" spans="1:79" s="399" customFormat="1" ht="73.25" customHeight="1" x14ac:dyDescent="0.3">
      <c r="A18" s="452"/>
      <c r="B18" s="453" t="s">
        <v>159</v>
      </c>
      <c r="C18" s="2593" t="s">
        <v>1929</v>
      </c>
      <c r="D18" s="2593"/>
      <c r="E18" s="2593"/>
      <c r="F18" s="2593"/>
      <c r="G18" s="2593"/>
      <c r="H18" s="2593"/>
      <c r="I18" s="2593"/>
      <c r="J18" s="2593"/>
      <c r="K18" s="2593"/>
      <c r="L18" s="2593"/>
      <c r="M18" s="2593"/>
      <c r="N18" s="2593"/>
      <c r="O18" s="2593"/>
      <c r="P18" s="2593"/>
      <c r="Q18" s="2593"/>
      <c r="R18" s="2593"/>
      <c r="S18" s="2593"/>
      <c r="T18" s="2593"/>
      <c r="U18" s="2593"/>
      <c r="V18" s="2593"/>
      <c r="W18" s="2593"/>
      <c r="X18" s="2593"/>
      <c r="Y18" s="2593"/>
      <c r="Z18" s="2593"/>
      <c r="AA18" s="2593"/>
      <c r="AB18" s="2593"/>
      <c r="AC18" s="2593"/>
      <c r="AD18" s="2593"/>
      <c r="AE18" s="2593"/>
      <c r="AF18" s="2593"/>
      <c r="AG18" s="2593"/>
      <c r="AH18" s="2593"/>
      <c r="AI18" s="2593"/>
      <c r="AJ18" s="2593"/>
      <c r="AK18" s="454"/>
      <c r="AL18" s="454"/>
      <c r="AM18" s="454"/>
      <c r="AN18" s="454"/>
    </row>
    <row r="19" spans="1:79" s="399" customFormat="1" ht="20" customHeight="1" x14ac:dyDescent="0.3">
      <c r="A19" s="452"/>
      <c r="B19" s="453" t="s">
        <v>153</v>
      </c>
      <c r="C19" s="2594" t="s">
        <v>1519</v>
      </c>
      <c r="D19" s="2594"/>
      <c r="E19" s="2594"/>
      <c r="F19" s="2594"/>
      <c r="G19" s="2594"/>
      <c r="H19" s="2594"/>
      <c r="I19" s="2594"/>
      <c r="J19" s="2594"/>
      <c r="K19" s="2594"/>
      <c r="L19" s="2594"/>
      <c r="M19" s="2594"/>
      <c r="N19" s="2594"/>
      <c r="O19" s="2594"/>
      <c r="P19" s="2594"/>
      <c r="Q19" s="2594"/>
      <c r="R19" s="2594"/>
      <c r="S19" s="2594"/>
      <c r="T19" s="2594"/>
      <c r="U19" s="2594"/>
      <c r="V19" s="2594"/>
      <c r="W19" s="2594"/>
      <c r="X19" s="2594"/>
      <c r="Y19" s="2594"/>
      <c r="Z19" s="2594"/>
      <c r="AA19" s="2594"/>
      <c r="AB19" s="2594"/>
      <c r="AC19" s="2594"/>
      <c r="AD19" s="2594"/>
      <c r="AE19" s="2594"/>
      <c r="AF19" s="2594"/>
      <c r="AG19" s="2594"/>
      <c r="AH19" s="2594"/>
      <c r="AI19" s="2594"/>
      <c r="AJ19" s="2594"/>
      <c r="AK19" s="454"/>
      <c r="AL19" s="454"/>
      <c r="AM19" s="454"/>
      <c r="AN19" s="454"/>
    </row>
    <row r="20" spans="1:79" s="447" customFormat="1" ht="30.5" customHeight="1" x14ac:dyDescent="0.3">
      <c r="A20" s="455"/>
      <c r="B20" s="456"/>
      <c r="C20" s="457"/>
      <c r="D20" s="458"/>
      <c r="E20" s="458"/>
      <c r="F20" s="458"/>
      <c r="G20" s="458"/>
      <c r="H20" s="458"/>
      <c r="I20" s="458"/>
      <c r="J20" s="458"/>
      <c r="K20" s="458"/>
      <c r="L20" s="458"/>
      <c r="M20" s="458"/>
      <c r="N20" s="458"/>
      <c r="O20" s="458"/>
      <c r="P20" s="458"/>
      <c r="Q20" s="458"/>
      <c r="R20" s="458"/>
      <c r="S20" s="458"/>
      <c r="T20" s="458"/>
      <c r="U20" s="458"/>
      <c r="V20" s="458"/>
      <c r="W20" s="458"/>
      <c r="X20" s="458"/>
      <c r="Y20" s="458"/>
      <c r="Z20" s="458"/>
      <c r="AA20" s="458"/>
      <c r="AB20" s="458"/>
      <c r="AC20" s="458"/>
      <c r="AD20" s="458"/>
      <c r="AE20" s="458"/>
      <c r="AF20" s="458"/>
      <c r="AG20" s="458"/>
      <c r="AH20" s="458"/>
      <c r="AI20" s="458"/>
      <c r="AJ20" s="458"/>
      <c r="AK20" s="458"/>
      <c r="AL20" s="458"/>
      <c r="AM20" s="458"/>
      <c r="AN20" s="458"/>
    </row>
    <row r="21" spans="1:79" s="399" customFormat="1" ht="16.5" customHeight="1" x14ac:dyDescent="0.3">
      <c r="B21" s="459" t="s">
        <v>12705</v>
      </c>
      <c r="C21" s="459"/>
      <c r="D21" s="459"/>
      <c r="E21" s="459"/>
      <c r="F21" s="459"/>
      <c r="G21" s="460"/>
      <c r="H21" s="460"/>
      <c r="I21" s="460"/>
      <c r="J21" s="460"/>
      <c r="K21" s="460"/>
      <c r="L21" s="460"/>
      <c r="M21" s="460"/>
      <c r="N21" s="460"/>
      <c r="O21" s="460"/>
      <c r="P21" s="460"/>
    </row>
    <row r="22" spans="1:79" s="399" customFormat="1" ht="16.5" customHeight="1" thickBot="1" x14ac:dyDescent="0.35">
      <c r="B22" s="461" t="s">
        <v>1091</v>
      </c>
      <c r="C22" s="459"/>
      <c r="D22" s="459"/>
      <c r="E22" s="459"/>
      <c r="F22" s="459"/>
      <c r="G22" s="460"/>
      <c r="H22" s="460"/>
      <c r="I22" s="460"/>
      <c r="J22" s="460"/>
      <c r="K22" s="460"/>
      <c r="L22" s="460"/>
      <c r="M22" s="460"/>
      <c r="N22" s="460"/>
      <c r="O22" s="460"/>
      <c r="P22" s="460"/>
    </row>
    <row r="23" spans="1:79" s="402" customFormat="1" ht="25" customHeight="1" thickTop="1" thickBot="1" x14ac:dyDescent="0.4">
      <c r="B23" s="424"/>
      <c r="C23" s="421" t="s">
        <v>1488</v>
      </c>
      <c r="D23" s="421"/>
      <c r="E23" s="422"/>
      <c r="F23" s="422"/>
      <c r="G23" s="422"/>
      <c r="H23" s="422"/>
      <c r="I23" s="422"/>
      <c r="J23" s="422"/>
      <c r="K23" s="422"/>
      <c r="L23" s="422"/>
      <c r="M23" s="462"/>
      <c r="N23" s="422"/>
      <c r="O23" s="462"/>
      <c r="P23" s="422"/>
      <c r="Q23" s="422"/>
      <c r="R23" s="422"/>
      <c r="S23" s="422"/>
      <c r="T23" s="422"/>
      <c r="U23" s="422"/>
      <c r="V23" s="422"/>
      <c r="W23" s="422"/>
      <c r="X23" s="422"/>
      <c r="Y23" s="422"/>
      <c r="Z23" s="422"/>
      <c r="AA23" s="422"/>
      <c r="AB23" s="422"/>
      <c r="AC23" s="422"/>
      <c r="AD23" s="422"/>
      <c r="AE23" s="422"/>
      <c r="AF23" s="422"/>
      <c r="AG23" s="421" t="s">
        <v>1912</v>
      </c>
      <c r="AH23" s="421"/>
      <c r="AI23" s="422"/>
      <c r="AJ23" s="422"/>
      <c r="AK23" s="422"/>
      <c r="AL23" s="422"/>
      <c r="AM23" s="422"/>
      <c r="AN23" s="422"/>
      <c r="AO23" s="422"/>
      <c r="AP23" s="422"/>
      <c r="AQ23" s="462"/>
      <c r="AR23" s="422"/>
      <c r="AS23" s="462"/>
      <c r="AT23" s="422"/>
      <c r="AU23" s="422"/>
      <c r="AV23" s="422"/>
      <c r="AW23" s="422"/>
      <c r="AX23" s="422"/>
      <c r="AY23" s="463"/>
      <c r="AZ23" s="422"/>
      <c r="BA23" s="422"/>
      <c r="BB23" s="422"/>
      <c r="BC23" s="422"/>
      <c r="BD23" s="422"/>
      <c r="BE23" s="423"/>
    </row>
    <row r="24" spans="1:79" s="402" customFormat="1" ht="25" customHeight="1" thickTop="1" thickBot="1" x14ac:dyDescent="0.4">
      <c r="B24" s="410"/>
      <c r="C24" s="2595" t="s">
        <v>1498</v>
      </c>
      <c r="D24" s="2596"/>
      <c r="E24" s="2596"/>
      <c r="F24" s="2596"/>
      <c r="G24" s="2596"/>
      <c r="H24" s="2596"/>
      <c r="I24" s="2597"/>
      <c r="J24" s="2590" t="s">
        <v>301</v>
      </c>
      <c r="K24" s="2591"/>
      <c r="L24" s="2591"/>
      <c r="M24" s="2591"/>
      <c r="N24" s="2591"/>
      <c r="O24" s="2591"/>
      <c r="P24" s="2591"/>
      <c r="Q24" s="2591"/>
      <c r="R24" s="2591"/>
      <c r="S24" s="2591"/>
      <c r="T24" s="2591"/>
      <c r="U24" s="2591"/>
      <c r="V24" s="2591"/>
      <c r="W24" s="2591"/>
      <c r="X24" s="2592"/>
      <c r="AG24" s="464"/>
      <c r="AH24" s="497" t="b">
        <v>0</v>
      </c>
      <c r="AI24" s="422" t="s">
        <v>1492</v>
      </c>
      <c r="AJ24" s="422"/>
      <c r="AK24" s="466"/>
      <c r="AL24" s="466"/>
      <c r="AM24" s="466"/>
      <c r="AN24" s="466"/>
      <c r="AO24" s="466"/>
      <c r="AP24" s="467"/>
      <c r="AQ24" s="497" t="b">
        <v>0</v>
      </c>
      <c r="AR24" s="422" t="s">
        <v>1493</v>
      </c>
      <c r="AS24" s="466"/>
      <c r="AT24" s="466"/>
      <c r="AU24" s="466"/>
      <c r="AV24" s="466"/>
      <c r="AW24" s="466"/>
      <c r="AX24" s="468"/>
      <c r="AY24" s="403"/>
      <c r="AZ24" s="403"/>
      <c r="BA24" s="403"/>
      <c r="BB24" s="403"/>
      <c r="BC24" s="403"/>
      <c r="BD24" s="403"/>
      <c r="BE24" s="469"/>
      <c r="BF24" s="403"/>
      <c r="BG24" s="403"/>
      <c r="BH24" s="403"/>
      <c r="BI24" s="403"/>
      <c r="BJ24" s="403"/>
      <c r="BK24" s="403"/>
      <c r="BL24" s="403"/>
      <c r="BM24" s="403"/>
      <c r="BN24" s="403"/>
      <c r="BO24" s="403"/>
    </row>
    <row r="25" spans="1:79" s="402" customFormat="1" ht="25" customHeight="1" thickBot="1" x14ac:dyDescent="0.4">
      <c r="B25" s="410"/>
      <c r="C25" s="2598"/>
      <c r="D25" s="2599"/>
      <c r="E25" s="2599"/>
      <c r="F25" s="2599"/>
      <c r="G25" s="2599"/>
      <c r="H25" s="2599"/>
      <c r="I25" s="2600"/>
      <c r="J25" s="2583" t="s">
        <v>14</v>
      </c>
      <c r="K25" s="2584"/>
      <c r="L25" s="2584"/>
      <c r="M25" s="2584"/>
      <c r="N25" s="2585"/>
      <c r="O25" s="2584" t="s">
        <v>15</v>
      </c>
      <c r="P25" s="2584"/>
      <c r="Q25" s="2584"/>
      <c r="R25" s="2584"/>
      <c r="S25" s="2586"/>
      <c r="T25" s="2587" t="s">
        <v>16</v>
      </c>
      <c r="U25" s="2588"/>
      <c r="V25" s="2588"/>
      <c r="W25" s="2588"/>
      <c r="X25" s="2589"/>
      <c r="AG25" s="470"/>
      <c r="AH25" s="498" t="b">
        <v>0</v>
      </c>
      <c r="AI25" s="408" t="s">
        <v>1494</v>
      </c>
      <c r="AJ25" s="408"/>
      <c r="AK25" s="471"/>
      <c r="AL25" s="471"/>
      <c r="AM25" s="471"/>
      <c r="AN25" s="471"/>
      <c r="AO25" s="471"/>
      <c r="AP25" s="472"/>
      <c r="AQ25" s="498" t="b">
        <v>0</v>
      </c>
      <c r="AR25" s="408" t="s">
        <v>1495</v>
      </c>
      <c r="AS25" s="471"/>
      <c r="AT25" s="471"/>
      <c r="AU25" s="471"/>
      <c r="AV25" s="471"/>
      <c r="AW25" s="471"/>
      <c r="AX25" s="473"/>
      <c r="AY25" s="403"/>
      <c r="AZ25" s="403"/>
      <c r="BA25" s="403"/>
      <c r="BB25" s="403"/>
      <c r="BC25" s="403"/>
      <c r="BD25" s="403"/>
      <c r="BE25" s="469"/>
      <c r="BF25" s="403"/>
      <c r="BG25" s="403"/>
      <c r="BH25" s="403"/>
      <c r="BI25" s="403"/>
      <c r="BJ25" s="403"/>
      <c r="BK25" s="403"/>
      <c r="BL25" s="403"/>
      <c r="BM25" s="403"/>
      <c r="BN25" s="403"/>
      <c r="BO25" s="403"/>
      <c r="BP25" s="403"/>
      <c r="BQ25" s="403"/>
      <c r="BR25" s="403"/>
      <c r="BS25" s="403"/>
      <c r="BT25" s="403"/>
      <c r="BU25" s="403"/>
      <c r="BV25" s="403"/>
      <c r="BW25" s="403"/>
      <c r="BX25" s="403"/>
      <c r="BY25" s="403"/>
      <c r="BZ25" s="403"/>
      <c r="CA25" s="403"/>
    </row>
    <row r="26" spans="1:79" s="403" customFormat="1" ht="25" customHeight="1" thickTop="1" x14ac:dyDescent="0.35">
      <c r="B26" s="474"/>
      <c r="C26" s="1400"/>
      <c r="D26" s="413"/>
      <c r="E26" s="413" t="s">
        <v>1489</v>
      </c>
      <c r="F26" s="413"/>
      <c r="G26" s="413"/>
      <c r="H26" s="413"/>
      <c r="I26" s="1401"/>
      <c r="J26" s="2540">
        <v>0</v>
      </c>
      <c r="K26" s="2538"/>
      <c r="L26" s="2538"/>
      <c r="M26" s="2538"/>
      <c r="N26" s="2541"/>
      <c r="O26" s="2537">
        <v>0</v>
      </c>
      <c r="P26" s="2538"/>
      <c r="Q26" s="2538"/>
      <c r="R26" s="2538"/>
      <c r="S26" s="2539"/>
      <c r="T26" s="2548">
        <f>SUM(J26:S26)</f>
        <v>0</v>
      </c>
      <c r="U26" s="2549"/>
      <c r="V26" s="2549"/>
      <c r="W26" s="2549"/>
      <c r="X26" s="2550"/>
      <c r="AG26" s="2593" t="s">
        <v>1499</v>
      </c>
      <c r="AH26" s="2593"/>
      <c r="AI26" s="2593"/>
      <c r="AJ26" s="2593"/>
      <c r="AK26" s="2593"/>
      <c r="AL26" s="2593"/>
      <c r="AM26" s="2593"/>
      <c r="AN26" s="2593"/>
      <c r="AO26" s="2593"/>
      <c r="AP26" s="2593"/>
      <c r="AQ26" s="2593"/>
      <c r="AR26" s="2593"/>
      <c r="AS26" s="2593"/>
      <c r="AT26" s="2593"/>
      <c r="AU26" s="2593"/>
      <c r="AV26" s="2593"/>
      <c r="AW26" s="2593"/>
      <c r="AX26" s="2593"/>
      <c r="AY26" s="454"/>
      <c r="AZ26" s="454"/>
      <c r="BA26" s="454"/>
      <c r="BB26" s="454"/>
      <c r="BC26" s="454"/>
      <c r="BD26" s="454"/>
      <c r="BE26" s="475"/>
      <c r="BF26" s="454"/>
      <c r="BG26" s="454"/>
      <c r="BH26" s="454"/>
      <c r="BI26" s="454"/>
      <c r="BJ26" s="454"/>
      <c r="BK26" s="454"/>
      <c r="BL26" s="454"/>
      <c r="BM26" s="454"/>
      <c r="BN26" s="454"/>
      <c r="BO26" s="454"/>
    </row>
    <row r="27" spans="1:79" s="403" customFormat="1" ht="25" customHeight="1" x14ac:dyDescent="0.35">
      <c r="B27" s="474"/>
      <c r="C27" s="1402"/>
      <c r="D27" s="1403"/>
      <c r="E27" s="1403" t="s">
        <v>1490</v>
      </c>
      <c r="F27" s="1403"/>
      <c r="G27" s="1403"/>
      <c r="H27" s="1403"/>
      <c r="I27" s="1404"/>
      <c r="J27" s="2535">
        <v>0</v>
      </c>
      <c r="K27" s="2533"/>
      <c r="L27" s="2533"/>
      <c r="M27" s="2533"/>
      <c r="N27" s="2536"/>
      <c r="O27" s="2532">
        <v>0</v>
      </c>
      <c r="P27" s="2533"/>
      <c r="Q27" s="2533"/>
      <c r="R27" s="2533"/>
      <c r="S27" s="2534"/>
      <c r="T27" s="2545">
        <f t="shared" ref="T27:T28" si="11">SUM(J27:S27)</f>
        <v>0</v>
      </c>
      <c r="U27" s="2546"/>
      <c r="V27" s="2546"/>
      <c r="W27" s="2546"/>
      <c r="X27" s="2547"/>
      <c r="AG27" s="2593"/>
      <c r="AH27" s="2593"/>
      <c r="AI27" s="2593"/>
      <c r="AJ27" s="2593"/>
      <c r="AK27" s="2593"/>
      <c r="AL27" s="2593"/>
      <c r="AM27" s="2593"/>
      <c r="AN27" s="2593"/>
      <c r="AO27" s="2593"/>
      <c r="AP27" s="2593"/>
      <c r="AQ27" s="2593"/>
      <c r="AR27" s="2593"/>
      <c r="AS27" s="2593"/>
      <c r="AT27" s="2593"/>
      <c r="AU27" s="2593"/>
      <c r="AV27" s="2593"/>
      <c r="AW27" s="2593"/>
      <c r="AX27" s="2593"/>
      <c r="BE27" s="469"/>
      <c r="BP27" s="454"/>
      <c r="BQ27" s="454"/>
      <c r="BR27" s="454"/>
      <c r="BS27" s="454"/>
      <c r="BT27" s="454"/>
      <c r="BU27" s="454"/>
      <c r="BV27" s="454"/>
      <c r="BW27" s="454"/>
      <c r="BX27" s="454"/>
      <c r="BY27" s="454"/>
      <c r="BZ27" s="454"/>
      <c r="CA27" s="454"/>
    </row>
    <row r="28" spans="1:79" s="403" customFormat="1" ht="25" customHeight="1" thickBot="1" x14ac:dyDescent="0.4">
      <c r="B28" s="474"/>
      <c r="C28" s="1405"/>
      <c r="D28" s="407"/>
      <c r="E28" s="407" t="s">
        <v>1491</v>
      </c>
      <c r="F28" s="407"/>
      <c r="G28" s="407"/>
      <c r="H28" s="407"/>
      <c r="I28" s="1406"/>
      <c r="J28" s="2613">
        <v>0</v>
      </c>
      <c r="K28" s="2614"/>
      <c r="L28" s="2614"/>
      <c r="M28" s="2614"/>
      <c r="N28" s="2615"/>
      <c r="O28" s="2616">
        <v>0</v>
      </c>
      <c r="P28" s="2614"/>
      <c r="Q28" s="2614"/>
      <c r="R28" s="2614"/>
      <c r="S28" s="2617"/>
      <c r="T28" s="2542">
        <f t="shared" si="11"/>
        <v>0</v>
      </c>
      <c r="U28" s="2543"/>
      <c r="V28" s="2543"/>
      <c r="W28" s="2543"/>
      <c r="X28" s="2544"/>
      <c r="AG28" s="413" t="s">
        <v>1520</v>
      </c>
      <c r="AH28" s="413"/>
      <c r="AI28" s="402"/>
      <c r="AJ28" s="402"/>
      <c r="AK28" s="402"/>
      <c r="AL28" s="402"/>
      <c r="AM28" s="402"/>
      <c r="AN28" s="402"/>
      <c r="AO28" s="402"/>
      <c r="AP28" s="402"/>
      <c r="AQ28" s="425"/>
      <c r="AR28" s="402"/>
      <c r="AS28" s="425"/>
      <c r="AT28" s="402"/>
      <c r="AU28" s="402"/>
      <c r="AV28" s="402"/>
      <c r="AW28" s="402"/>
      <c r="AX28" s="402"/>
      <c r="AY28" s="402"/>
      <c r="AZ28" s="402"/>
      <c r="BA28" s="402"/>
      <c r="BB28" s="402"/>
      <c r="BC28" s="402"/>
      <c r="BD28" s="402"/>
      <c r="BE28" s="404"/>
      <c r="BF28" s="402"/>
      <c r="BG28" s="476"/>
      <c r="BH28" s="402"/>
      <c r="BI28" s="402"/>
      <c r="BJ28" s="402"/>
      <c r="BK28" s="402"/>
      <c r="BL28" s="402"/>
      <c r="BM28" s="402"/>
      <c r="BN28" s="402"/>
      <c r="BO28" s="402"/>
    </row>
    <row r="29" spans="1:79" s="403" customFormat="1" ht="15" customHeight="1" thickTop="1" thickBot="1" x14ac:dyDescent="0.4">
      <c r="B29" s="474"/>
      <c r="C29" s="2609" t="s">
        <v>150</v>
      </c>
      <c r="D29" s="2611" t="s">
        <v>1500</v>
      </c>
      <c r="E29" s="2611"/>
      <c r="F29" s="2611"/>
      <c r="G29" s="2611"/>
      <c r="H29" s="2611"/>
      <c r="I29" s="2611"/>
      <c r="J29" s="2611"/>
      <c r="K29" s="2611"/>
      <c r="L29" s="2611"/>
      <c r="M29" s="2611"/>
      <c r="N29" s="2611"/>
      <c r="O29" s="2611"/>
      <c r="P29" s="2611"/>
      <c r="Q29" s="2611"/>
      <c r="R29" s="2611"/>
      <c r="S29" s="2611"/>
      <c r="T29" s="2611"/>
      <c r="U29" s="2611"/>
      <c r="V29" s="2611"/>
      <c r="W29" s="2611"/>
      <c r="X29" s="2611"/>
      <c r="AG29" s="419" t="s">
        <v>1913</v>
      </c>
      <c r="AH29" s="413"/>
      <c r="AI29" s="402"/>
      <c r="AJ29" s="402"/>
      <c r="AK29" s="402"/>
      <c r="AL29" s="402"/>
      <c r="AM29" s="402"/>
      <c r="AN29" s="402"/>
      <c r="AO29" s="402"/>
      <c r="AP29" s="402"/>
      <c r="AQ29" s="425"/>
      <c r="AR29" s="402"/>
      <c r="AS29" s="425"/>
      <c r="AT29" s="402"/>
      <c r="AU29" s="402"/>
      <c r="AV29" s="402"/>
      <c r="AW29" s="402"/>
      <c r="AX29" s="402"/>
      <c r="AY29" s="402"/>
      <c r="AZ29" s="402"/>
      <c r="BA29" s="402"/>
      <c r="BB29" s="402"/>
      <c r="BC29" s="402"/>
      <c r="BD29" s="402"/>
      <c r="BE29" s="404"/>
      <c r="BF29" s="402"/>
      <c r="BG29" s="476"/>
      <c r="BH29" s="402"/>
      <c r="BI29" s="402"/>
      <c r="BJ29" s="402"/>
      <c r="BK29" s="402"/>
      <c r="BL29" s="402"/>
      <c r="BM29" s="402"/>
      <c r="BN29" s="402"/>
      <c r="BO29" s="402"/>
    </row>
    <row r="30" spans="1:79" s="399" customFormat="1" ht="10" customHeight="1" thickTop="1" x14ac:dyDescent="0.35">
      <c r="B30" s="477"/>
      <c r="C30" s="2610"/>
      <c r="D30" s="2612"/>
      <c r="E30" s="2612"/>
      <c r="F30" s="2612"/>
      <c r="G30" s="2612"/>
      <c r="H30" s="2612"/>
      <c r="I30" s="2612"/>
      <c r="J30" s="2612"/>
      <c r="K30" s="2612"/>
      <c r="L30" s="2612"/>
      <c r="M30" s="2612"/>
      <c r="N30" s="2612"/>
      <c r="O30" s="2612"/>
      <c r="P30" s="2612"/>
      <c r="Q30" s="2612"/>
      <c r="R30" s="2612"/>
      <c r="S30" s="2612"/>
      <c r="T30" s="2612"/>
      <c r="U30" s="2612"/>
      <c r="V30" s="2612"/>
      <c r="W30" s="2612"/>
      <c r="X30" s="2612"/>
      <c r="Y30" s="454"/>
      <c r="Z30" s="454"/>
      <c r="AA30" s="454"/>
      <c r="AB30" s="454"/>
      <c r="AC30" s="454"/>
      <c r="AD30" s="454"/>
      <c r="AE30" s="454"/>
      <c r="AF30" s="454"/>
      <c r="AG30" s="478"/>
      <c r="AH30" s="479"/>
      <c r="AI30" s="480"/>
      <c r="AJ30" s="480"/>
      <c r="AK30" s="480"/>
      <c r="AL30" s="480"/>
      <c r="AM30" s="480"/>
      <c r="AN30" s="480"/>
      <c r="AO30" s="480"/>
      <c r="AP30" s="467"/>
      <c r="AQ30" s="465"/>
      <c r="AR30" s="480"/>
      <c r="AS30" s="480"/>
      <c r="AT30" s="480"/>
      <c r="AU30" s="480"/>
      <c r="AV30" s="480"/>
      <c r="AW30" s="480"/>
      <c r="AX30" s="480"/>
      <c r="AY30" s="480"/>
      <c r="AZ30" s="480"/>
      <c r="BA30" s="480"/>
      <c r="BB30" s="480"/>
      <c r="BC30" s="480"/>
      <c r="BD30" s="423"/>
      <c r="BE30" s="404"/>
      <c r="BF30" s="402"/>
      <c r="BG30" s="402"/>
      <c r="BH30" s="402"/>
      <c r="BI30" s="402"/>
      <c r="BJ30" s="402"/>
      <c r="BK30" s="402"/>
    </row>
    <row r="31" spans="1:79" s="399" customFormat="1" ht="25" customHeight="1" x14ac:dyDescent="0.35">
      <c r="B31" s="477"/>
      <c r="C31" s="2610"/>
      <c r="D31" s="2612"/>
      <c r="E31" s="2612"/>
      <c r="F31" s="2612"/>
      <c r="G31" s="2612"/>
      <c r="H31" s="2612"/>
      <c r="I31" s="2612"/>
      <c r="J31" s="2612"/>
      <c r="K31" s="2612"/>
      <c r="L31" s="2612"/>
      <c r="M31" s="2612"/>
      <c r="N31" s="2612"/>
      <c r="O31" s="2612"/>
      <c r="P31" s="2612"/>
      <c r="Q31" s="2612"/>
      <c r="R31" s="2612"/>
      <c r="S31" s="2612"/>
      <c r="T31" s="2612"/>
      <c r="U31" s="2612"/>
      <c r="V31" s="2612"/>
      <c r="W31" s="2612"/>
      <c r="X31" s="2612"/>
      <c r="Y31" s="454"/>
      <c r="Z31" s="454"/>
      <c r="AA31" s="454"/>
      <c r="AB31" s="454"/>
      <c r="AC31" s="454"/>
      <c r="AD31" s="454"/>
      <c r="AE31" s="454"/>
      <c r="AF31" s="454"/>
      <c r="AG31" s="481"/>
      <c r="AH31" s="499" t="b">
        <v>1</v>
      </c>
      <c r="AI31" s="2605" t="s">
        <v>937</v>
      </c>
      <c r="AJ31" s="2605"/>
      <c r="AK31" s="2605"/>
      <c r="AL31" s="2605"/>
      <c r="AM31" s="2605"/>
      <c r="AN31" s="2605"/>
      <c r="AO31" s="2605"/>
      <c r="AP31" s="403"/>
      <c r="AQ31" s="441" t="b">
        <v>1</v>
      </c>
      <c r="AR31" s="2604" t="s">
        <v>319</v>
      </c>
      <c r="AS31" s="2604"/>
      <c r="AT31" s="2604"/>
      <c r="AU31" s="2604"/>
      <c r="AV31" s="2604"/>
      <c r="AW31" s="2604"/>
      <c r="AX31" s="2604"/>
      <c r="AY31" s="2604"/>
      <c r="AZ31" s="2604"/>
      <c r="BA31" s="2604"/>
      <c r="BB31" s="2604"/>
      <c r="BC31" s="2604"/>
      <c r="BD31" s="404"/>
      <c r="BE31" s="404"/>
      <c r="BF31" s="402"/>
      <c r="BG31" s="402"/>
      <c r="BH31" s="402"/>
      <c r="BI31" s="402"/>
      <c r="BJ31" s="402"/>
      <c r="BK31" s="402"/>
    </row>
    <row r="32" spans="1:79" s="399" customFormat="1" ht="25" customHeight="1" x14ac:dyDescent="0.35">
      <c r="B32" s="477"/>
      <c r="C32" s="453" t="s">
        <v>151</v>
      </c>
      <c r="D32" s="2593" t="s">
        <v>1501</v>
      </c>
      <c r="E32" s="2593"/>
      <c r="F32" s="2593"/>
      <c r="G32" s="2593"/>
      <c r="H32" s="2593"/>
      <c r="I32" s="2593"/>
      <c r="J32" s="2593"/>
      <c r="K32" s="2593"/>
      <c r="L32" s="2593"/>
      <c r="M32" s="2593"/>
      <c r="N32" s="2593"/>
      <c r="O32" s="2593"/>
      <c r="P32" s="2593"/>
      <c r="Q32" s="2593"/>
      <c r="R32" s="2593"/>
      <c r="S32" s="2593"/>
      <c r="T32" s="2593"/>
      <c r="U32" s="2593"/>
      <c r="V32" s="2593"/>
      <c r="W32" s="2593"/>
      <c r="X32" s="2593"/>
      <c r="Y32" s="454"/>
      <c r="Z32" s="454"/>
      <c r="AA32" s="454"/>
      <c r="AB32" s="454"/>
      <c r="AC32" s="454"/>
      <c r="AD32" s="454"/>
      <c r="AE32" s="454"/>
      <c r="AF32" s="454"/>
      <c r="AG32" s="481"/>
      <c r="AH32" s="499" t="b">
        <v>1</v>
      </c>
      <c r="AI32" s="2604" t="s">
        <v>297</v>
      </c>
      <c r="AJ32" s="2604"/>
      <c r="AK32" s="2604"/>
      <c r="AL32" s="2604"/>
      <c r="AM32" s="2604"/>
      <c r="AN32" s="2604"/>
      <c r="AO32" s="2604"/>
      <c r="AP32" s="403"/>
      <c r="AQ32" s="441" t="b">
        <v>1</v>
      </c>
      <c r="AR32" s="2604" t="s">
        <v>1496</v>
      </c>
      <c r="AS32" s="2604"/>
      <c r="AT32" s="2604"/>
      <c r="AU32" s="2604"/>
      <c r="AV32" s="2604"/>
      <c r="AW32" s="2604"/>
      <c r="AX32" s="2604"/>
      <c r="AY32" s="2604"/>
      <c r="AZ32" s="2604"/>
      <c r="BA32" s="2604"/>
      <c r="BB32" s="2604"/>
      <c r="BC32" s="2604"/>
      <c r="BD32" s="404"/>
      <c r="BE32" s="404"/>
      <c r="BF32" s="402"/>
      <c r="BG32" s="402"/>
      <c r="BH32" s="402"/>
      <c r="BI32" s="402"/>
      <c r="BJ32" s="402"/>
      <c r="BK32" s="402"/>
    </row>
    <row r="33" spans="2:74" s="399" customFormat="1" ht="12.25" customHeight="1" x14ac:dyDescent="0.35">
      <c r="B33" s="477"/>
      <c r="C33" s="453"/>
      <c r="D33" s="2593"/>
      <c r="E33" s="2593"/>
      <c r="F33" s="2593"/>
      <c r="G33" s="2593"/>
      <c r="H33" s="2593"/>
      <c r="I33" s="2593"/>
      <c r="J33" s="2593"/>
      <c r="K33" s="2593"/>
      <c r="L33" s="2593"/>
      <c r="M33" s="2593"/>
      <c r="N33" s="2593"/>
      <c r="O33" s="2593"/>
      <c r="P33" s="2593"/>
      <c r="Q33" s="2593"/>
      <c r="R33" s="2593"/>
      <c r="S33" s="2593"/>
      <c r="T33" s="2593"/>
      <c r="U33" s="2593"/>
      <c r="V33" s="2593"/>
      <c r="W33" s="2593"/>
      <c r="X33" s="2593"/>
      <c r="Y33" s="454"/>
      <c r="Z33" s="454"/>
      <c r="AA33" s="454"/>
      <c r="AB33" s="454"/>
      <c r="AC33" s="454"/>
      <c r="AD33" s="454"/>
      <c r="AE33" s="454"/>
      <c r="AF33" s="454"/>
      <c r="AG33" s="481"/>
      <c r="AH33" s="2603" t="b">
        <v>1</v>
      </c>
      <c r="AI33" s="2604" t="s">
        <v>296</v>
      </c>
      <c r="AJ33" s="2604"/>
      <c r="AK33" s="2604"/>
      <c r="AL33" s="2604"/>
      <c r="AM33" s="2604"/>
      <c r="AN33" s="2604"/>
      <c r="AO33" s="2604"/>
      <c r="AP33" s="403"/>
      <c r="AQ33" s="2603" t="b">
        <v>1</v>
      </c>
      <c r="AR33" s="2604" t="s">
        <v>1497</v>
      </c>
      <c r="AS33" s="2604"/>
      <c r="AT33" s="2604"/>
      <c r="AU33" s="2604"/>
      <c r="AV33" s="2604"/>
      <c r="AW33" s="2604"/>
      <c r="AX33" s="2604"/>
      <c r="AY33" s="2604"/>
      <c r="AZ33" s="2604"/>
      <c r="BA33" s="2604"/>
      <c r="BB33" s="2604"/>
      <c r="BC33" s="2604"/>
      <c r="BD33" s="404"/>
      <c r="BE33" s="404"/>
      <c r="BF33" s="402"/>
      <c r="BG33" s="402"/>
      <c r="BH33" s="402"/>
      <c r="BI33" s="402"/>
      <c r="BJ33" s="402"/>
      <c r="BK33" s="402"/>
    </row>
    <row r="34" spans="2:74" s="399" customFormat="1" ht="12.25" customHeight="1" x14ac:dyDescent="0.3">
      <c r="B34" s="477"/>
      <c r="C34" s="453" t="s">
        <v>152</v>
      </c>
      <c r="D34" s="2594" t="s">
        <v>1502</v>
      </c>
      <c r="E34" s="2594"/>
      <c r="F34" s="2594"/>
      <c r="G34" s="2594"/>
      <c r="H34" s="2594"/>
      <c r="I34" s="2594"/>
      <c r="J34" s="2594"/>
      <c r="K34" s="2594"/>
      <c r="L34" s="2594"/>
      <c r="M34" s="2594"/>
      <c r="N34" s="2594"/>
      <c r="O34" s="2594"/>
      <c r="P34" s="2594"/>
      <c r="Q34" s="2594"/>
      <c r="R34" s="2594"/>
      <c r="S34" s="2594"/>
      <c r="T34" s="2594"/>
      <c r="U34" s="2594"/>
      <c r="V34" s="2594"/>
      <c r="W34" s="2594"/>
      <c r="X34" s="2594"/>
      <c r="Y34" s="454"/>
      <c r="Z34" s="454"/>
      <c r="AA34" s="454"/>
      <c r="AB34" s="454"/>
      <c r="AC34" s="454"/>
      <c r="AD34" s="454"/>
      <c r="AE34" s="454"/>
      <c r="AF34" s="454"/>
      <c r="AG34" s="481"/>
      <c r="AH34" s="2603"/>
      <c r="AI34" s="2604"/>
      <c r="AJ34" s="2604"/>
      <c r="AK34" s="2604"/>
      <c r="AL34" s="2604"/>
      <c r="AM34" s="2604"/>
      <c r="AN34" s="2604"/>
      <c r="AO34" s="2604"/>
      <c r="AQ34" s="2603"/>
      <c r="AR34" s="2604"/>
      <c r="AS34" s="2604"/>
      <c r="AT34" s="2604"/>
      <c r="AU34" s="2604"/>
      <c r="AV34" s="2604"/>
      <c r="AW34" s="2604"/>
      <c r="AX34" s="2604"/>
      <c r="AY34" s="2604"/>
      <c r="AZ34" s="2604"/>
      <c r="BA34" s="2604"/>
      <c r="BB34" s="2604"/>
      <c r="BC34" s="2604"/>
      <c r="BD34" s="482"/>
      <c r="BE34" s="483"/>
    </row>
    <row r="35" spans="2:74" s="399" customFormat="1" ht="12.25" customHeight="1" x14ac:dyDescent="0.35">
      <c r="B35" s="477"/>
      <c r="C35" s="453"/>
      <c r="D35" s="2594"/>
      <c r="E35" s="2594"/>
      <c r="F35" s="2594"/>
      <c r="G35" s="2594"/>
      <c r="H35" s="2594"/>
      <c r="I35" s="2594"/>
      <c r="J35" s="2594"/>
      <c r="K35" s="2594"/>
      <c r="L35" s="2594"/>
      <c r="M35" s="2594"/>
      <c r="N35" s="2594"/>
      <c r="O35" s="2594"/>
      <c r="P35" s="2594"/>
      <c r="Q35" s="2594"/>
      <c r="R35" s="2594"/>
      <c r="S35" s="2594"/>
      <c r="T35" s="2594"/>
      <c r="U35" s="2594"/>
      <c r="V35" s="2594"/>
      <c r="W35" s="2594"/>
      <c r="X35" s="2594"/>
      <c r="Y35" s="454"/>
      <c r="Z35" s="454"/>
      <c r="AA35" s="454"/>
      <c r="AB35" s="454"/>
      <c r="AC35" s="454"/>
      <c r="AD35" s="454"/>
      <c r="AE35" s="454"/>
      <c r="AF35" s="454"/>
      <c r="AG35" s="481"/>
      <c r="AH35" s="2603" t="b">
        <v>1</v>
      </c>
      <c r="AI35" s="2604" t="s">
        <v>298</v>
      </c>
      <c r="AJ35" s="2604"/>
      <c r="AK35" s="2604"/>
      <c r="AL35" s="2604"/>
      <c r="AM35" s="2604"/>
      <c r="AN35" s="2604"/>
      <c r="AO35" s="2604"/>
      <c r="AP35" s="484"/>
      <c r="AQ35" s="2603" t="b">
        <v>0</v>
      </c>
      <c r="AR35" s="2605" t="s">
        <v>1093</v>
      </c>
      <c r="AS35" s="2605"/>
      <c r="AT35" s="2605"/>
      <c r="AU35" s="2605"/>
      <c r="AV35" s="2606"/>
      <c r="AW35" s="2607"/>
      <c r="AX35" s="2607"/>
      <c r="AY35" s="2607"/>
      <c r="AZ35" s="2607"/>
      <c r="BA35" s="2607"/>
      <c r="BD35" s="482"/>
      <c r="BE35" s="483"/>
    </row>
    <row r="36" spans="2:74" s="399" customFormat="1" ht="12.25" customHeight="1" x14ac:dyDescent="0.35">
      <c r="B36" s="477"/>
      <c r="C36" s="453" t="s">
        <v>155</v>
      </c>
      <c r="D36" s="2593" t="s">
        <v>1503</v>
      </c>
      <c r="E36" s="2593"/>
      <c r="F36" s="2593"/>
      <c r="G36" s="2593"/>
      <c r="H36" s="2593"/>
      <c r="I36" s="2593"/>
      <c r="J36" s="2593"/>
      <c r="K36" s="2593"/>
      <c r="L36" s="2593"/>
      <c r="M36" s="2593"/>
      <c r="N36" s="2593"/>
      <c r="O36" s="2593"/>
      <c r="P36" s="2593"/>
      <c r="Q36" s="2593"/>
      <c r="R36" s="2593"/>
      <c r="S36" s="2593"/>
      <c r="T36" s="2593"/>
      <c r="U36" s="2593"/>
      <c r="V36" s="2593"/>
      <c r="W36" s="2593"/>
      <c r="X36" s="2593"/>
      <c r="Y36" s="454"/>
      <c r="Z36" s="454"/>
      <c r="AA36" s="454"/>
      <c r="AB36" s="454"/>
      <c r="AC36" s="454"/>
      <c r="AD36" s="454"/>
      <c r="AE36" s="454"/>
      <c r="AF36" s="454"/>
      <c r="AG36" s="481"/>
      <c r="AH36" s="2603"/>
      <c r="AI36" s="2604"/>
      <c r="AJ36" s="2604"/>
      <c r="AK36" s="2604"/>
      <c r="AL36" s="2604"/>
      <c r="AM36" s="2604"/>
      <c r="AN36" s="2604"/>
      <c r="AO36" s="2604"/>
      <c r="AP36" s="484"/>
      <c r="AQ36" s="2603"/>
      <c r="AR36" s="2605"/>
      <c r="AS36" s="2605"/>
      <c r="AT36" s="2605"/>
      <c r="AU36" s="2605"/>
      <c r="AV36" s="2608"/>
      <c r="AW36" s="2608"/>
      <c r="AX36" s="2608"/>
      <c r="AY36" s="2608"/>
      <c r="AZ36" s="2608"/>
      <c r="BA36" s="2608"/>
      <c r="BB36" s="485"/>
      <c r="BC36" s="486"/>
      <c r="BD36" s="487"/>
      <c r="BE36" s="483"/>
    </row>
    <row r="37" spans="2:74" s="399" customFormat="1" ht="12.25" customHeight="1" x14ac:dyDescent="0.35">
      <c r="B37" s="477"/>
      <c r="D37" s="2593"/>
      <c r="E37" s="2593"/>
      <c r="F37" s="2593"/>
      <c r="G37" s="2593"/>
      <c r="H37" s="2593"/>
      <c r="I37" s="2593"/>
      <c r="J37" s="2593"/>
      <c r="K37" s="2593"/>
      <c r="L37" s="2593"/>
      <c r="M37" s="2593"/>
      <c r="N37" s="2593"/>
      <c r="O37" s="2593"/>
      <c r="P37" s="2593"/>
      <c r="Q37" s="2593"/>
      <c r="R37" s="2593"/>
      <c r="S37" s="2593"/>
      <c r="T37" s="2593"/>
      <c r="U37" s="2593"/>
      <c r="V37" s="2593"/>
      <c r="W37" s="2593"/>
      <c r="X37" s="2593"/>
      <c r="Z37" s="454"/>
      <c r="AA37" s="454"/>
      <c r="AB37" s="454"/>
      <c r="AC37" s="454"/>
      <c r="AD37" s="454"/>
      <c r="AE37" s="454"/>
      <c r="AF37" s="454"/>
      <c r="AG37" s="481"/>
      <c r="AH37" s="2603" t="b">
        <v>1</v>
      </c>
      <c r="AI37" s="2604" t="s">
        <v>658</v>
      </c>
      <c r="AJ37" s="2604"/>
      <c r="AK37" s="2604"/>
      <c r="AL37" s="2604"/>
      <c r="AM37" s="2604"/>
      <c r="AN37" s="2604"/>
      <c r="AO37" s="2604"/>
      <c r="AP37" s="484"/>
      <c r="AQ37" s="488"/>
      <c r="AR37" s="486"/>
      <c r="AS37" s="486"/>
      <c r="AT37" s="486"/>
      <c r="AU37" s="486"/>
      <c r="AV37" s="500" t="str">
        <f>IF(AND(depedtv_supplemental_others=TRUE,ISBLANK(depedtv_supplemental_others_specify)), "Please specify.", IF(AND(depedtv_supplemental_others=FALSE,depedtv_supplemental_others_specify&gt;0),"Please check Others if you have entries.",""))</f>
        <v/>
      </c>
      <c r="AW37" s="486"/>
      <c r="AX37" s="486"/>
      <c r="AY37" s="486"/>
      <c r="AZ37" s="486"/>
      <c r="BA37" s="486"/>
      <c r="BB37" s="486"/>
      <c r="BC37" s="486"/>
      <c r="BD37" s="487"/>
      <c r="BE37" s="483"/>
    </row>
    <row r="38" spans="2:74" s="399" customFormat="1" ht="12.25" customHeight="1" x14ac:dyDescent="0.35">
      <c r="B38" s="477"/>
      <c r="C38" s="453" t="s">
        <v>156</v>
      </c>
      <c r="D38" s="2594" t="s">
        <v>1504</v>
      </c>
      <c r="E38" s="2594"/>
      <c r="F38" s="2594"/>
      <c r="G38" s="2594"/>
      <c r="H38" s="2594"/>
      <c r="I38" s="2594"/>
      <c r="J38" s="2594"/>
      <c r="K38" s="2594"/>
      <c r="L38" s="2594"/>
      <c r="M38" s="2594"/>
      <c r="N38" s="2594"/>
      <c r="O38" s="2594"/>
      <c r="P38" s="2594"/>
      <c r="Q38" s="2594"/>
      <c r="R38" s="2594"/>
      <c r="S38" s="2594"/>
      <c r="T38" s="2594"/>
      <c r="U38" s="2594"/>
      <c r="V38" s="2594"/>
      <c r="W38" s="2594"/>
      <c r="X38" s="2594"/>
      <c r="Y38" s="454"/>
      <c r="Z38" s="454"/>
      <c r="AA38" s="454"/>
      <c r="AB38" s="454"/>
      <c r="AC38" s="454"/>
      <c r="AD38" s="454"/>
      <c r="AE38" s="454"/>
      <c r="AF38" s="454"/>
      <c r="AG38" s="481"/>
      <c r="AH38" s="2603"/>
      <c r="AI38" s="2604"/>
      <c r="AJ38" s="2604"/>
      <c r="AK38" s="2604"/>
      <c r="AL38" s="2604"/>
      <c r="AM38" s="2604"/>
      <c r="AN38" s="2604"/>
      <c r="AO38" s="2604"/>
      <c r="AP38" s="484"/>
      <c r="AQ38" s="488"/>
      <c r="AR38" s="486"/>
      <c r="AS38" s="486"/>
      <c r="AT38" s="486"/>
      <c r="AU38" s="486"/>
      <c r="AV38" s="486"/>
      <c r="AW38" s="486"/>
      <c r="AX38" s="486"/>
      <c r="AY38" s="486"/>
      <c r="AZ38" s="486"/>
      <c r="BA38" s="486"/>
      <c r="BB38" s="486"/>
      <c r="BC38" s="486"/>
      <c r="BD38" s="487"/>
      <c r="BE38" s="483"/>
    </row>
    <row r="39" spans="2:74" s="399" customFormat="1" ht="12.25" customHeight="1" thickBot="1" x14ac:dyDescent="0.4">
      <c r="B39" s="477"/>
      <c r="C39" s="453"/>
      <c r="D39" s="2594"/>
      <c r="E39" s="2594"/>
      <c r="F39" s="2594"/>
      <c r="G39" s="2594"/>
      <c r="H39" s="2594"/>
      <c r="I39" s="2594"/>
      <c r="J39" s="2594"/>
      <c r="K39" s="2594"/>
      <c r="L39" s="2594"/>
      <c r="M39" s="2594"/>
      <c r="N39" s="2594"/>
      <c r="O39" s="2594"/>
      <c r="P39" s="2594"/>
      <c r="Q39" s="2594"/>
      <c r="R39" s="2594"/>
      <c r="S39" s="2594"/>
      <c r="T39" s="2594"/>
      <c r="U39" s="2594"/>
      <c r="V39" s="2594"/>
      <c r="W39" s="2594"/>
      <c r="X39" s="2594"/>
      <c r="Y39" s="454"/>
      <c r="Z39" s="454"/>
      <c r="AA39" s="454"/>
      <c r="AB39" s="454"/>
      <c r="AC39" s="454"/>
      <c r="AD39" s="454"/>
      <c r="AE39" s="454"/>
      <c r="AF39" s="454"/>
      <c r="AG39" s="489"/>
      <c r="AH39" s="490"/>
      <c r="AI39" s="491"/>
      <c r="AJ39" s="491"/>
      <c r="AK39" s="491"/>
      <c r="AL39" s="491"/>
      <c r="AM39" s="491"/>
      <c r="AN39" s="491"/>
      <c r="AO39" s="491"/>
      <c r="AP39" s="492"/>
      <c r="AQ39" s="490"/>
      <c r="AR39" s="493"/>
      <c r="AS39" s="493"/>
      <c r="AT39" s="493"/>
      <c r="AU39" s="493"/>
      <c r="AV39" s="493"/>
      <c r="AW39" s="493"/>
      <c r="AX39" s="493"/>
      <c r="AY39" s="493"/>
      <c r="AZ39" s="493"/>
      <c r="BA39" s="493"/>
      <c r="BB39" s="493"/>
      <c r="BC39" s="493"/>
      <c r="BD39" s="494"/>
      <c r="BE39" s="483"/>
    </row>
    <row r="40" spans="2:74" s="402" customFormat="1" ht="12.25" customHeight="1" thickTop="1" thickBot="1" x14ac:dyDescent="0.4">
      <c r="B40" s="406"/>
      <c r="C40" s="408"/>
      <c r="D40" s="2602"/>
      <c r="E40" s="2602"/>
      <c r="F40" s="2602"/>
      <c r="G40" s="2602"/>
      <c r="H40" s="2602"/>
      <c r="I40" s="2602"/>
      <c r="J40" s="2602"/>
      <c r="K40" s="2602"/>
      <c r="L40" s="2602"/>
      <c r="M40" s="2602"/>
      <c r="N40" s="2602"/>
      <c r="O40" s="2602"/>
      <c r="P40" s="2602"/>
      <c r="Q40" s="2602"/>
      <c r="R40" s="2602"/>
      <c r="S40" s="2602"/>
      <c r="T40" s="2602"/>
      <c r="U40" s="2602"/>
      <c r="V40" s="2602"/>
      <c r="W40" s="2602"/>
      <c r="X40" s="2602"/>
      <c r="Y40" s="408"/>
      <c r="Z40" s="408"/>
      <c r="AA40" s="408"/>
      <c r="AB40" s="408"/>
      <c r="AC40" s="408"/>
      <c r="AD40" s="408"/>
      <c r="AE40" s="408"/>
      <c r="AF40" s="408"/>
      <c r="AG40" s="408"/>
      <c r="AH40" s="408"/>
      <c r="AI40" s="408"/>
      <c r="AJ40" s="408"/>
      <c r="AK40" s="408"/>
      <c r="AL40" s="408"/>
      <c r="AM40" s="408"/>
      <c r="AN40" s="408"/>
      <c r="AO40" s="408"/>
      <c r="AP40" s="408"/>
      <c r="AQ40" s="408"/>
      <c r="AR40" s="408"/>
      <c r="AS40" s="408"/>
      <c r="AT40" s="408"/>
      <c r="AU40" s="408"/>
      <c r="AV40" s="408"/>
      <c r="AW40" s="408"/>
      <c r="AX40" s="408"/>
      <c r="AY40" s="408"/>
      <c r="AZ40" s="408"/>
      <c r="BA40" s="408"/>
      <c r="BB40" s="408"/>
      <c r="BC40" s="408"/>
      <c r="BD40" s="408"/>
      <c r="BE40" s="409"/>
    </row>
    <row r="41" spans="2:74" ht="30" customHeight="1" thickTop="1" x14ac:dyDescent="0.35">
      <c r="C41" s="123"/>
    </row>
    <row r="42" spans="2:74" x14ac:dyDescent="0.35">
      <c r="B42" s="60" t="s">
        <v>913</v>
      </c>
      <c r="V42" s="60" t="s">
        <v>1787</v>
      </c>
      <c r="W42" s="73"/>
      <c r="X42" s="73"/>
      <c r="Y42" s="73"/>
      <c r="Z42" s="73"/>
      <c r="AA42" s="73"/>
      <c r="AB42" s="73"/>
      <c r="AC42" s="73"/>
      <c r="AD42" s="73"/>
      <c r="AE42" s="73"/>
      <c r="AF42" s="73"/>
      <c r="AG42" s="73"/>
      <c r="AH42" s="73"/>
      <c r="AI42" s="73"/>
      <c r="AP42" s="60" t="s">
        <v>922</v>
      </c>
    </row>
    <row r="43" spans="2:74" ht="21.75" customHeight="1" x14ac:dyDescent="0.35">
      <c r="B43" s="60" t="s">
        <v>780</v>
      </c>
      <c r="F43" s="1581" t="str">
        <f>SchInfo!F38</f>
        <v>MELCHESIEDICK Q. BOLANIO/ March 17, 2023</v>
      </c>
      <c r="G43" s="1581"/>
      <c r="H43" s="1581"/>
      <c r="I43" s="1581"/>
      <c r="J43" s="1581"/>
      <c r="K43" s="1581"/>
      <c r="L43" s="1581"/>
      <c r="M43" s="1581"/>
      <c r="N43" s="1581"/>
      <c r="O43" s="1581"/>
      <c r="P43" s="1581"/>
      <c r="Q43" s="1581"/>
      <c r="V43" s="1758" t="s">
        <v>12808</v>
      </c>
      <c r="W43" s="1759"/>
      <c r="X43" s="1759"/>
      <c r="Y43" s="1759"/>
      <c r="Z43" s="1759"/>
      <c r="AA43" s="1759"/>
      <c r="AB43" s="1759"/>
      <c r="AC43" s="1759"/>
      <c r="AD43" s="1759"/>
      <c r="AE43" s="1759"/>
      <c r="AF43" s="1759"/>
      <c r="AG43" s="1759"/>
      <c r="AH43" s="1759"/>
      <c r="AI43" s="1759"/>
      <c r="AJ43" s="1759"/>
      <c r="AK43" s="1759"/>
      <c r="AP43" s="1582" t="str">
        <f>SchInfo!R38</f>
        <v>MICHAEL T. JAMIS   /  March 17, 2023</v>
      </c>
      <c r="AQ43" s="1582"/>
      <c r="AR43" s="1582"/>
      <c r="AS43" s="1582"/>
      <c r="AT43" s="1582"/>
      <c r="AU43" s="1582"/>
      <c r="AV43" s="1582"/>
      <c r="AW43" s="1582"/>
      <c r="AX43" s="1582"/>
      <c r="AY43" s="1582"/>
      <c r="AZ43" s="1582"/>
      <c r="BA43" s="1582"/>
      <c r="BB43" s="1582"/>
      <c r="BC43" s="1582"/>
      <c r="BD43" s="1582"/>
      <c r="BE43" s="1582"/>
    </row>
    <row r="44" spans="2:74" s="68" customFormat="1" ht="15.75" customHeight="1" x14ac:dyDescent="0.3">
      <c r="B44" s="210"/>
      <c r="F44" s="1452" t="s">
        <v>779</v>
      </c>
      <c r="G44" s="1452"/>
      <c r="H44" s="1452"/>
      <c r="I44" s="1452"/>
      <c r="J44" s="1452"/>
      <c r="K44" s="1452"/>
      <c r="L44" s="1452"/>
      <c r="M44" s="1452"/>
      <c r="N44" s="1452"/>
      <c r="O44" s="1452"/>
      <c r="P44" s="1452"/>
      <c r="Q44" s="1452"/>
      <c r="R44" s="64"/>
      <c r="S44" s="64"/>
      <c r="T44" s="64"/>
      <c r="U44" s="64"/>
      <c r="V44" s="1452" t="s">
        <v>779</v>
      </c>
      <c r="W44" s="1452"/>
      <c r="X44" s="1452"/>
      <c r="Y44" s="1452"/>
      <c r="Z44" s="1452"/>
      <c r="AA44" s="1452"/>
      <c r="AB44" s="1452"/>
      <c r="AC44" s="1452"/>
      <c r="AD44" s="1452"/>
      <c r="AE44" s="1452"/>
      <c r="AF44" s="1452"/>
      <c r="AG44" s="1452"/>
      <c r="AH44" s="1452"/>
      <c r="AI44" s="1452"/>
      <c r="AJ44" s="1452"/>
      <c r="AK44" s="1452"/>
      <c r="AL44" s="64"/>
      <c r="AM44" s="64"/>
      <c r="AN44" s="64"/>
      <c r="AO44" s="64"/>
      <c r="AP44" s="1583"/>
      <c r="AQ44" s="1583"/>
      <c r="AR44" s="1583"/>
      <c r="AS44" s="1583"/>
      <c r="AT44" s="1583"/>
      <c r="AU44" s="1583"/>
      <c r="AV44" s="1583"/>
      <c r="AW44" s="1583"/>
      <c r="AX44" s="1583"/>
      <c r="AY44" s="1583"/>
      <c r="AZ44" s="1583"/>
      <c r="BA44" s="1583"/>
      <c r="BB44" s="1583"/>
      <c r="BC44" s="1583"/>
      <c r="BD44" s="1583"/>
      <c r="BE44" s="1583"/>
      <c r="BF44" s="209"/>
      <c r="BG44" s="209"/>
      <c r="BH44" s="209"/>
      <c r="BI44" s="209"/>
      <c r="BJ44" s="209"/>
      <c r="BK44" s="209"/>
      <c r="BL44" s="209"/>
      <c r="BM44" s="209"/>
      <c r="BN44" s="209"/>
      <c r="BO44" s="209"/>
      <c r="BP44" s="209"/>
      <c r="BQ44" s="209"/>
      <c r="BR44" s="209"/>
      <c r="BS44" s="209"/>
      <c r="BT44" s="209"/>
      <c r="BU44" s="209"/>
      <c r="BV44" s="209"/>
    </row>
    <row r="45" spans="2:74" ht="21.75" customHeight="1" x14ac:dyDescent="0.35">
      <c r="B45" s="60" t="s">
        <v>782</v>
      </c>
      <c r="F45" s="1581" t="str">
        <f>SchInfo!F40</f>
        <v>Principal IV</v>
      </c>
      <c r="G45" s="1581"/>
      <c r="H45" s="1581"/>
      <c r="I45" s="1581"/>
      <c r="J45" s="1581"/>
      <c r="K45" s="1581"/>
      <c r="L45" s="1581"/>
      <c r="M45" s="1581"/>
      <c r="N45" s="1581"/>
      <c r="O45" s="1581"/>
      <c r="P45" s="1581"/>
      <c r="Q45" s="1581"/>
      <c r="V45" s="60" t="s">
        <v>782</v>
      </c>
      <c r="Z45" s="1758" t="s">
        <v>12805</v>
      </c>
      <c r="AA45" s="1759"/>
      <c r="AB45" s="1759"/>
      <c r="AC45" s="1759"/>
      <c r="AD45" s="1759"/>
      <c r="AE45" s="1759"/>
      <c r="AF45" s="1759"/>
      <c r="AG45" s="1759"/>
      <c r="AH45" s="1759"/>
      <c r="AI45" s="1759"/>
      <c r="AJ45" s="1759"/>
      <c r="AK45" s="1759"/>
      <c r="AP45" s="1452" t="s">
        <v>779</v>
      </c>
      <c r="AQ45" s="1452"/>
      <c r="AR45" s="1452"/>
      <c r="AS45" s="1452"/>
      <c r="AT45" s="1452"/>
      <c r="AU45" s="1452"/>
      <c r="AV45" s="1452"/>
      <c r="AW45" s="1452"/>
      <c r="AX45" s="1452"/>
      <c r="AY45" s="1452"/>
      <c r="AZ45" s="1452"/>
      <c r="BA45" s="1452"/>
      <c r="BB45" s="1452"/>
      <c r="BC45" s="1452"/>
      <c r="BD45" s="1452"/>
      <c r="BE45" s="1452"/>
    </row>
  </sheetData>
  <sheetProtection algorithmName="SHA-512" hashValue="vmUFjpSn3LilqoQxUgJAhXcrVgC2xT49P11a10gH38XC5HQfJzgD/Y6feOnGXlr4VDamqoJv5DUngwiDWyBlXg==" saltValue="99a97aeU2MWqa5aGMgXo8A==" spinCount="100000" sheet="1" objects="1" scenarios="1"/>
  <mergeCells count="115">
    <mergeCell ref="AH33:AH34"/>
    <mergeCell ref="AH35:AH36"/>
    <mergeCell ref="AH37:AH38"/>
    <mergeCell ref="AQ33:AQ34"/>
    <mergeCell ref="C18:AJ18"/>
    <mergeCell ref="AR33:BC34"/>
    <mergeCell ref="AR35:AU36"/>
    <mergeCell ref="AV35:BA36"/>
    <mergeCell ref="AI37:AO38"/>
    <mergeCell ref="C29:C31"/>
    <mergeCell ref="D29:X31"/>
    <mergeCell ref="AG26:AX27"/>
    <mergeCell ref="D32:X33"/>
    <mergeCell ref="D34:X35"/>
    <mergeCell ref="D36:X37"/>
    <mergeCell ref="AI33:AO34"/>
    <mergeCell ref="AI32:AO32"/>
    <mergeCell ref="AI31:AO31"/>
    <mergeCell ref="AI35:AO36"/>
    <mergeCell ref="AR31:BC31"/>
    <mergeCell ref="AR32:BC32"/>
    <mergeCell ref="AQ35:AQ36"/>
    <mergeCell ref="J28:N28"/>
    <mergeCell ref="O28:S28"/>
    <mergeCell ref="F43:Q43"/>
    <mergeCell ref="F45:Q45"/>
    <mergeCell ref="F44:Q44"/>
    <mergeCell ref="V43:AK43"/>
    <mergeCell ref="V44:AK44"/>
    <mergeCell ref="Z45:AK45"/>
    <mergeCell ref="AP43:BE44"/>
    <mergeCell ref="AP45:BE45"/>
    <mergeCell ref="D38:X40"/>
    <mergeCell ref="B5:F6"/>
    <mergeCell ref="G8:I8"/>
    <mergeCell ref="J8:L8"/>
    <mergeCell ref="G7:I7"/>
    <mergeCell ref="J7:L7"/>
    <mergeCell ref="J25:N25"/>
    <mergeCell ref="O25:S25"/>
    <mergeCell ref="T25:X25"/>
    <mergeCell ref="J24:X24"/>
    <mergeCell ref="C12:AJ12"/>
    <mergeCell ref="C13:AJ13"/>
    <mergeCell ref="C14:AJ14"/>
    <mergeCell ref="C15:AJ15"/>
    <mergeCell ref="C16:AJ16"/>
    <mergeCell ref="C24:I25"/>
    <mergeCell ref="C17:AJ17"/>
    <mergeCell ref="C19:AJ19"/>
    <mergeCell ref="P10:R10"/>
    <mergeCell ref="M7:O7"/>
    <mergeCell ref="S11:U11"/>
    <mergeCell ref="V11:X11"/>
    <mergeCell ref="G11:I11"/>
    <mergeCell ref="J11:L11"/>
    <mergeCell ref="J10:L10"/>
    <mergeCell ref="G10:I10"/>
    <mergeCell ref="G9:I9"/>
    <mergeCell ref="J9:L9"/>
    <mergeCell ref="AB7:AD7"/>
    <mergeCell ref="Y8:AA8"/>
    <mergeCell ref="AB8:AD8"/>
    <mergeCell ref="Y9:AA9"/>
    <mergeCell ref="AB9:AD9"/>
    <mergeCell ref="Y10:AA10"/>
    <mergeCell ref="AB10:AD10"/>
    <mergeCell ref="AE8:AG8"/>
    <mergeCell ref="AH8:AJ8"/>
    <mergeCell ref="AE9:AG9"/>
    <mergeCell ref="AH9:AJ9"/>
    <mergeCell ref="AE10:AG10"/>
    <mergeCell ref="AH10:AJ10"/>
    <mergeCell ref="Y7:AA7"/>
    <mergeCell ref="AE6:AG6"/>
    <mergeCell ref="M11:O11"/>
    <mergeCell ref="P11:R11"/>
    <mergeCell ref="S7:U7"/>
    <mergeCell ref="V7:X7"/>
    <mergeCell ref="S8:U8"/>
    <mergeCell ref="V8:X8"/>
    <mergeCell ref="S9:U9"/>
    <mergeCell ref="V9:X9"/>
    <mergeCell ref="S10:U10"/>
    <mergeCell ref="V10:X10"/>
    <mergeCell ref="P7:R7"/>
    <mergeCell ref="M8:O8"/>
    <mergeCell ref="P8:R8"/>
    <mergeCell ref="M9:O9"/>
    <mergeCell ref="P9:R9"/>
    <mergeCell ref="M10:O10"/>
    <mergeCell ref="O27:S27"/>
    <mergeCell ref="J27:N27"/>
    <mergeCell ref="O26:S26"/>
    <mergeCell ref="J26:N26"/>
    <mergeCell ref="T28:X28"/>
    <mergeCell ref="T27:X27"/>
    <mergeCell ref="T26:X26"/>
    <mergeCell ref="AH6:AJ6"/>
    <mergeCell ref="G5:U5"/>
    <mergeCell ref="V5:AJ5"/>
    <mergeCell ref="AE11:AG11"/>
    <mergeCell ref="AH11:AJ11"/>
    <mergeCell ref="G6:I6"/>
    <mergeCell ref="J6:L6"/>
    <mergeCell ref="M6:O6"/>
    <mergeCell ref="P6:R6"/>
    <mergeCell ref="S6:U6"/>
    <mergeCell ref="V6:X6"/>
    <mergeCell ref="Y6:AA6"/>
    <mergeCell ref="AB6:AD6"/>
    <mergeCell ref="Y11:AA11"/>
    <mergeCell ref="AB11:AD11"/>
    <mergeCell ref="AE7:AG7"/>
    <mergeCell ref="AH7:AJ7"/>
  </mergeCells>
  <dataValidations count="1">
    <dataValidation type="whole" allowBlank="1" showErrorMessage="1" errorTitle="GJHSP SY 2022-2023" error="Please enter valid number between 0-999." sqref="G7:R10 V7:AG10 J26:S28" xr:uid="{D4573767-2A0B-4A90-8873-7C326F0B7193}">
      <formula1>0</formula1>
      <formula2>999</formula2>
    </dataValidation>
  </dataValidations>
  <printOptions horizontalCentered="1" verticalCentered="1"/>
  <pageMargins left="0.23622047244094491" right="0.23622047244094491" top="0.19685039370078741" bottom="0.19685039370078741" header="0" footer="0.11811023622047245"/>
  <pageSetup paperSize="14" scale="55" orientation="landscape" r:id="rId1"/>
  <headerFooter alignWithMargins="0">
    <oddFooter>&amp;L&amp;10&amp;F &amp;A&amp;R&amp;10Page 17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58369" r:id="rId4" name="Check Box 1">
              <controlPr defaultSize="0" autoFill="0" autoLine="0" autoPict="0">
                <anchor moveWithCells="1">
                  <from>
                    <xdr:col>33</xdr:col>
                    <xdr:colOff>25400</xdr:colOff>
                    <xdr:row>23</xdr:row>
                    <xdr:rowOff>25400</xdr:rowOff>
                  </from>
                  <to>
                    <xdr:col>33</xdr:col>
                    <xdr:colOff>260350</xdr:colOff>
                    <xdr:row>23</xdr:row>
                    <xdr:rowOff>292100</xdr:rowOff>
                  </to>
                </anchor>
              </controlPr>
            </control>
          </mc:Choice>
        </mc:AlternateContent>
        <mc:AlternateContent xmlns:mc="http://schemas.openxmlformats.org/markup-compatibility/2006">
          <mc:Choice Requires="x14">
            <control shapeId="58370" r:id="rId5" name="Check Box 2">
              <controlPr defaultSize="0" autoFill="0" autoLine="0" autoPict="0">
                <anchor moveWithCells="1">
                  <from>
                    <xdr:col>33</xdr:col>
                    <xdr:colOff>25400</xdr:colOff>
                    <xdr:row>24</xdr:row>
                    <xdr:rowOff>25400</xdr:rowOff>
                  </from>
                  <to>
                    <xdr:col>33</xdr:col>
                    <xdr:colOff>260350</xdr:colOff>
                    <xdr:row>24</xdr:row>
                    <xdr:rowOff>292100</xdr:rowOff>
                  </to>
                </anchor>
              </controlPr>
            </control>
          </mc:Choice>
        </mc:AlternateContent>
        <mc:AlternateContent xmlns:mc="http://schemas.openxmlformats.org/markup-compatibility/2006">
          <mc:Choice Requires="x14">
            <control shapeId="58371" r:id="rId6" name="Check Box 3">
              <controlPr defaultSize="0" autoFill="0" autoLine="0" autoPict="0">
                <anchor moveWithCells="1">
                  <from>
                    <xdr:col>42</xdr:col>
                    <xdr:colOff>25400</xdr:colOff>
                    <xdr:row>23</xdr:row>
                    <xdr:rowOff>25400</xdr:rowOff>
                  </from>
                  <to>
                    <xdr:col>42</xdr:col>
                    <xdr:colOff>260350</xdr:colOff>
                    <xdr:row>23</xdr:row>
                    <xdr:rowOff>292100</xdr:rowOff>
                  </to>
                </anchor>
              </controlPr>
            </control>
          </mc:Choice>
        </mc:AlternateContent>
        <mc:AlternateContent xmlns:mc="http://schemas.openxmlformats.org/markup-compatibility/2006">
          <mc:Choice Requires="x14">
            <control shapeId="58372" r:id="rId7" name="Check Box 4">
              <controlPr defaultSize="0" autoFill="0" autoLine="0" autoPict="0">
                <anchor moveWithCells="1">
                  <from>
                    <xdr:col>42</xdr:col>
                    <xdr:colOff>25400</xdr:colOff>
                    <xdr:row>24</xdr:row>
                    <xdr:rowOff>25400</xdr:rowOff>
                  </from>
                  <to>
                    <xdr:col>42</xdr:col>
                    <xdr:colOff>260350</xdr:colOff>
                    <xdr:row>24</xdr:row>
                    <xdr:rowOff>292100</xdr:rowOff>
                  </to>
                </anchor>
              </controlPr>
            </control>
          </mc:Choice>
        </mc:AlternateContent>
        <mc:AlternateContent xmlns:mc="http://schemas.openxmlformats.org/markup-compatibility/2006">
          <mc:Choice Requires="x14">
            <control shapeId="58373" r:id="rId8" name="Check Box 5">
              <controlPr defaultSize="0" autoFill="0" autoLine="0" autoPict="0">
                <anchor moveWithCells="1">
                  <from>
                    <xdr:col>33</xdr:col>
                    <xdr:colOff>25400</xdr:colOff>
                    <xdr:row>30</xdr:row>
                    <xdr:rowOff>25400</xdr:rowOff>
                  </from>
                  <to>
                    <xdr:col>33</xdr:col>
                    <xdr:colOff>260350</xdr:colOff>
                    <xdr:row>30</xdr:row>
                    <xdr:rowOff>292100</xdr:rowOff>
                  </to>
                </anchor>
              </controlPr>
            </control>
          </mc:Choice>
        </mc:AlternateContent>
        <mc:AlternateContent xmlns:mc="http://schemas.openxmlformats.org/markup-compatibility/2006">
          <mc:Choice Requires="x14">
            <control shapeId="58374" r:id="rId9" name="Check Box 6">
              <controlPr defaultSize="0" autoFill="0" autoLine="0" autoPict="0">
                <anchor moveWithCells="1">
                  <from>
                    <xdr:col>33</xdr:col>
                    <xdr:colOff>25400</xdr:colOff>
                    <xdr:row>31</xdr:row>
                    <xdr:rowOff>25400</xdr:rowOff>
                  </from>
                  <to>
                    <xdr:col>33</xdr:col>
                    <xdr:colOff>260350</xdr:colOff>
                    <xdr:row>31</xdr:row>
                    <xdr:rowOff>292100</xdr:rowOff>
                  </to>
                </anchor>
              </controlPr>
            </control>
          </mc:Choice>
        </mc:AlternateContent>
        <mc:AlternateContent xmlns:mc="http://schemas.openxmlformats.org/markup-compatibility/2006">
          <mc:Choice Requires="x14">
            <control shapeId="58375" r:id="rId10" name="Check Box 7">
              <controlPr defaultSize="0" autoFill="0" autoLine="0" autoPict="0">
                <anchor moveWithCells="1">
                  <from>
                    <xdr:col>33</xdr:col>
                    <xdr:colOff>25400</xdr:colOff>
                    <xdr:row>32</xdr:row>
                    <xdr:rowOff>25400</xdr:rowOff>
                  </from>
                  <to>
                    <xdr:col>33</xdr:col>
                    <xdr:colOff>260350</xdr:colOff>
                    <xdr:row>33</xdr:row>
                    <xdr:rowOff>139700</xdr:rowOff>
                  </to>
                </anchor>
              </controlPr>
            </control>
          </mc:Choice>
        </mc:AlternateContent>
        <mc:AlternateContent xmlns:mc="http://schemas.openxmlformats.org/markup-compatibility/2006">
          <mc:Choice Requires="x14">
            <control shapeId="58376" r:id="rId11" name="Check Box 8">
              <controlPr defaultSize="0" autoFill="0" autoLine="0" autoPict="0">
                <anchor moveWithCells="1">
                  <from>
                    <xdr:col>33</xdr:col>
                    <xdr:colOff>25400</xdr:colOff>
                    <xdr:row>34</xdr:row>
                    <xdr:rowOff>25400</xdr:rowOff>
                  </from>
                  <to>
                    <xdr:col>33</xdr:col>
                    <xdr:colOff>260350</xdr:colOff>
                    <xdr:row>35</xdr:row>
                    <xdr:rowOff>139700</xdr:rowOff>
                  </to>
                </anchor>
              </controlPr>
            </control>
          </mc:Choice>
        </mc:AlternateContent>
        <mc:AlternateContent xmlns:mc="http://schemas.openxmlformats.org/markup-compatibility/2006">
          <mc:Choice Requires="x14">
            <control shapeId="58377" r:id="rId12" name="Check Box 9">
              <controlPr defaultSize="0" autoFill="0" autoLine="0" autoPict="0">
                <anchor moveWithCells="1">
                  <from>
                    <xdr:col>33</xdr:col>
                    <xdr:colOff>25400</xdr:colOff>
                    <xdr:row>36</xdr:row>
                    <xdr:rowOff>25400</xdr:rowOff>
                  </from>
                  <to>
                    <xdr:col>33</xdr:col>
                    <xdr:colOff>260350</xdr:colOff>
                    <xdr:row>37</xdr:row>
                    <xdr:rowOff>139700</xdr:rowOff>
                  </to>
                </anchor>
              </controlPr>
            </control>
          </mc:Choice>
        </mc:AlternateContent>
        <mc:AlternateContent xmlns:mc="http://schemas.openxmlformats.org/markup-compatibility/2006">
          <mc:Choice Requires="x14">
            <control shapeId="58378" r:id="rId13" name="Check Box 10">
              <controlPr defaultSize="0" autoFill="0" autoLine="0" autoPict="0">
                <anchor moveWithCells="1">
                  <from>
                    <xdr:col>42</xdr:col>
                    <xdr:colOff>25400</xdr:colOff>
                    <xdr:row>34</xdr:row>
                    <xdr:rowOff>25400</xdr:rowOff>
                  </from>
                  <to>
                    <xdr:col>42</xdr:col>
                    <xdr:colOff>260350</xdr:colOff>
                    <xdr:row>35</xdr:row>
                    <xdr:rowOff>139700</xdr:rowOff>
                  </to>
                </anchor>
              </controlPr>
            </control>
          </mc:Choice>
        </mc:AlternateContent>
        <mc:AlternateContent xmlns:mc="http://schemas.openxmlformats.org/markup-compatibility/2006">
          <mc:Choice Requires="x14">
            <control shapeId="58379" r:id="rId14" name="Check Box 11">
              <controlPr defaultSize="0" autoFill="0" autoLine="0" autoPict="0">
                <anchor moveWithCells="1">
                  <from>
                    <xdr:col>42</xdr:col>
                    <xdr:colOff>25400</xdr:colOff>
                    <xdr:row>32</xdr:row>
                    <xdr:rowOff>25400</xdr:rowOff>
                  </from>
                  <to>
                    <xdr:col>42</xdr:col>
                    <xdr:colOff>260350</xdr:colOff>
                    <xdr:row>33</xdr:row>
                    <xdr:rowOff>139700</xdr:rowOff>
                  </to>
                </anchor>
              </controlPr>
            </control>
          </mc:Choice>
        </mc:AlternateContent>
        <mc:AlternateContent xmlns:mc="http://schemas.openxmlformats.org/markup-compatibility/2006">
          <mc:Choice Requires="x14">
            <control shapeId="58380" r:id="rId15" name="Check Box 12">
              <controlPr defaultSize="0" autoFill="0" autoLine="0" autoPict="0">
                <anchor moveWithCells="1">
                  <from>
                    <xdr:col>42</xdr:col>
                    <xdr:colOff>25400</xdr:colOff>
                    <xdr:row>31</xdr:row>
                    <xdr:rowOff>25400</xdr:rowOff>
                  </from>
                  <to>
                    <xdr:col>42</xdr:col>
                    <xdr:colOff>260350</xdr:colOff>
                    <xdr:row>31</xdr:row>
                    <xdr:rowOff>292100</xdr:rowOff>
                  </to>
                </anchor>
              </controlPr>
            </control>
          </mc:Choice>
        </mc:AlternateContent>
        <mc:AlternateContent xmlns:mc="http://schemas.openxmlformats.org/markup-compatibility/2006">
          <mc:Choice Requires="x14">
            <control shapeId="58381" r:id="rId16" name="Check Box 13">
              <controlPr defaultSize="0" autoFill="0" autoLine="0" autoPict="0">
                <anchor moveWithCells="1">
                  <from>
                    <xdr:col>42</xdr:col>
                    <xdr:colOff>25400</xdr:colOff>
                    <xdr:row>30</xdr:row>
                    <xdr:rowOff>25400</xdr:rowOff>
                  </from>
                  <to>
                    <xdr:col>42</xdr:col>
                    <xdr:colOff>260350</xdr:colOff>
                    <xdr:row>30</xdr:row>
                    <xdr:rowOff>292100</xdr:rowOff>
                  </to>
                </anchor>
              </controlPr>
            </control>
          </mc:Choice>
        </mc:AlternateContent>
      </controls>
    </mc:Choice>
  </mc:AlternateConten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7"/>
  <dimension ref="B1:BA60"/>
  <sheetViews>
    <sheetView showGridLines="0" topLeftCell="A48" zoomScaleNormal="100" workbookViewId="0">
      <selection activeCell="Z52" sqref="Z52:AM52"/>
    </sheetView>
  </sheetViews>
  <sheetFormatPr defaultColWidth="9" defaultRowHeight="15.5" x14ac:dyDescent="0.35"/>
  <cols>
    <col min="1" max="1" width="2.08203125" style="501" customWidth="1"/>
    <col min="2" max="39" width="3.58203125" style="501" customWidth="1"/>
    <col min="40" max="40" width="2.08203125" style="501" customWidth="1"/>
    <col min="41" max="44" width="3.58203125" style="501" customWidth="1"/>
    <col min="45" max="45" width="2.08203125" style="501" customWidth="1"/>
    <col min="46" max="47" width="3.58203125" style="501" customWidth="1"/>
    <col min="48" max="16384" width="9" style="501"/>
  </cols>
  <sheetData>
    <row r="1" spans="2:53" ht="12" customHeight="1" x14ac:dyDescent="0.35"/>
    <row r="2" spans="2:53" x14ac:dyDescent="0.35">
      <c r="B2" s="502" t="s">
        <v>12706</v>
      </c>
      <c r="C2" s="502"/>
      <c r="D2" s="502"/>
      <c r="E2" s="502"/>
      <c r="F2" s="502"/>
      <c r="G2" s="502"/>
      <c r="H2" s="502"/>
      <c r="I2" s="502"/>
      <c r="J2" s="502"/>
      <c r="K2" s="502"/>
      <c r="L2" s="503"/>
      <c r="M2" s="503"/>
      <c r="N2" s="503"/>
      <c r="O2" s="503"/>
      <c r="P2" s="503"/>
      <c r="Q2" s="503"/>
      <c r="R2" s="503"/>
      <c r="S2" s="503"/>
      <c r="T2" s="503"/>
      <c r="U2" s="503"/>
      <c r="V2" s="504"/>
      <c r="W2" s="503"/>
      <c r="X2" s="503"/>
      <c r="Y2" s="503"/>
      <c r="Z2" s="503"/>
      <c r="AA2" s="503"/>
      <c r="AB2" s="503"/>
      <c r="AC2" s="503"/>
      <c r="AD2" s="503"/>
      <c r="AE2" s="503"/>
      <c r="AF2" s="503"/>
      <c r="AG2" s="503"/>
      <c r="AH2" s="503"/>
      <c r="AI2" s="503"/>
      <c r="AJ2" s="503"/>
      <c r="AK2" s="503"/>
      <c r="AL2" s="503"/>
      <c r="AM2" s="502"/>
    </row>
    <row r="3" spans="2:53" s="402" customFormat="1" ht="16" thickBot="1" x14ac:dyDescent="0.4">
      <c r="B3" s="419" t="s">
        <v>1091</v>
      </c>
      <c r="V3" s="419"/>
    </row>
    <row r="4" spans="2:53" ht="5.25" customHeight="1" thickTop="1" x14ac:dyDescent="0.35">
      <c r="B4" s="505"/>
      <c r="C4" s="506"/>
      <c r="D4" s="506"/>
      <c r="E4" s="506"/>
      <c r="F4" s="506"/>
      <c r="G4" s="506"/>
      <c r="H4" s="506"/>
      <c r="I4" s="506"/>
      <c r="J4" s="506"/>
      <c r="K4" s="506"/>
      <c r="L4" s="506"/>
      <c r="M4" s="495"/>
      <c r="N4" s="495"/>
      <c r="O4" s="495"/>
      <c r="P4" s="495"/>
      <c r="Q4" s="495"/>
      <c r="R4" s="495"/>
      <c r="S4" s="422"/>
      <c r="T4" s="507"/>
      <c r="U4" s="507"/>
      <c r="V4" s="507"/>
      <c r="W4" s="507"/>
      <c r="X4" s="507"/>
      <c r="Y4" s="507"/>
      <c r="Z4" s="495"/>
      <c r="AA4" s="495"/>
      <c r="AB4" s="495"/>
      <c r="AC4" s="495"/>
      <c r="AD4" s="495"/>
      <c r="AE4" s="495"/>
      <c r="AF4" s="495"/>
      <c r="AG4" s="495"/>
      <c r="AH4" s="495"/>
      <c r="AI4" s="495"/>
      <c r="AJ4" s="495"/>
      <c r="AK4" s="495"/>
      <c r="AL4" s="495"/>
      <c r="AM4" s="508"/>
      <c r="AN4" s="438"/>
      <c r="AX4" s="403"/>
      <c r="AY4" s="403"/>
      <c r="AZ4" s="403"/>
      <c r="BA4" s="403"/>
    </row>
    <row r="5" spans="2:53" s="509" customFormat="1" ht="20.5" x14ac:dyDescent="0.35">
      <c r="B5" s="510"/>
      <c r="D5" s="511" t="s">
        <v>150</v>
      </c>
      <c r="E5" s="512" t="s">
        <v>711</v>
      </c>
      <c r="H5" s="513"/>
      <c r="I5" s="513"/>
      <c r="J5" s="513"/>
      <c r="K5" s="513"/>
      <c r="L5" s="513"/>
      <c r="M5" s="513"/>
      <c r="N5" s="513"/>
      <c r="O5" s="513"/>
      <c r="P5" s="513"/>
      <c r="Q5" s="513"/>
      <c r="R5" s="438"/>
      <c r="T5" s="438"/>
      <c r="U5" s="402"/>
      <c r="V5" s="402"/>
      <c r="Y5" s="438"/>
      <c r="Z5" s="440" t="b">
        <v>1</v>
      </c>
      <c r="AA5" s="402" t="s">
        <v>65</v>
      </c>
      <c r="AB5" s="402"/>
      <c r="AC5" s="426"/>
      <c r="AD5" s="426"/>
      <c r="AE5" s="441"/>
      <c r="AF5" s="402" t="s">
        <v>11</v>
      </c>
      <c r="AG5" s="402"/>
      <c r="AI5" s="437"/>
      <c r="AJ5" s="402"/>
      <c r="AK5" s="402"/>
      <c r="AM5" s="514"/>
      <c r="AN5" s="438"/>
      <c r="AX5" s="402"/>
      <c r="AY5" s="402"/>
      <c r="AZ5" s="402"/>
      <c r="BA5" s="402"/>
    </row>
    <row r="6" spans="2:53" s="509" customFormat="1" ht="20.5" x14ac:dyDescent="0.35">
      <c r="B6" s="510"/>
      <c r="D6" s="511" t="s">
        <v>151</v>
      </c>
      <c r="E6" s="512" t="s">
        <v>713</v>
      </c>
      <c r="H6" s="513"/>
      <c r="I6" s="513"/>
      <c r="J6" s="513"/>
      <c r="K6" s="513"/>
      <c r="L6" s="513"/>
      <c r="M6" s="513"/>
      <c r="N6" s="513"/>
      <c r="O6" s="513"/>
      <c r="P6" s="513"/>
      <c r="Q6" s="513"/>
      <c r="T6" s="402"/>
      <c r="Y6" s="438"/>
      <c r="Z6" s="440" t="b">
        <v>1</v>
      </c>
      <c r="AA6" s="402" t="s">
        <v>65</v>
      </c>
      <c r="AB6" s="402"/>
      <c r="AC6" s="426"/>
      <c r="AD6" s="426"/>
      <c r="AE6" s="441"/>
      <c r="AF6" s="402" t="s">
        <v>11</v>
      </c>
      <c r="AG6" s="402"/>
      <c r="AH6" s="438"/>
      <c r="AI6" s="437"/>
      <c r="AJ6" s="402"/>
      <c r="AK6" s="402"/>
      <c r="AL6" s="438"/>
      <c r="AM6" s="514"/>
      <c r="AN6" s="438"/>
      <c r="AX6" s="402"/>
      <c r="AY6" s="402"/>
      <c r="AZ6" s="402"/>
      <c r="BA6" s="402"/>
    </row>
    <row r="7" spans="2:53" s="509" customFormat="1" ht="19.5" customHeight="1" x14ac:dyDescent="0.35">
      <c r="B7" s="515"/>
      <c r="D7" s="516"/>
      <c r="E7" s="517" t="s">
        <v>606</v>
      </c>
      <c r="F7" s="509" t="s">
        <v>1092</v>
      </c>
      <c r="K7" s="518"/>
      <c r="L7" s="402"/>
      <c r="O7" s="438"/>
      <c r="Q7" s="438"/>
      <c r="R7" s="438"/>
      <c r="S7" s="438"/>
      <c r="T7" s="438"/>
      <c r="U7" s="438"/>
      <c r="V7" s="438"/>
      <c r="W7" s="438"/>
      <c r="X7" s="402"/>
      <c r="Y7" s="402"/>
      <c r="Z7" s="2620">
        <v>3</v>
      </c>
      <c r="AA7" s="2620"/>
      <c r="AB7" s="2620"/>
      <c r="AC7" s="2620"/>
      <c r="AD7" s="2620"/>
      <c r="AE7" s="2620"/>
      <c r="AF7" s="2620"/>
      <c r="AG7" s="548" t="str">
        <f>IF(AND(sgp_ssgadviser_yes=TRUE,ISBLANK(sch_sgp_ssgadviser_yes_yrs_advisers)), "Please specify.", IF(AND(sgp_ssgadviser_yes=FALSE,sch_sgp_ssgadviser_yes_yrs_advisers&gt;0),"Please check Yes if you have entries.",""))</f>
        <v/>
      </c>
      <c r="AH7" s="402"/>
      <c r="AM7" s="519"/>
    </row>
    <row r="8" spans="2:53" s="509" customFormat="1" x14ac:dyDescent="0.35">
      <c r="B8" s="510"/>
      <c r="D8" s="511" t="s">
        <v>152</v>
      </c>
      <c r="E8" s="512" t="s">
        <v>661</v>
      </c>
      <c r="H8" s="520"/>
      <c r="I8" s="521"/>
      <c r="J8" s="521"/>
      <c r="K8" s="521"/>
      <c r="L8" s="521"/>
      <c r="M8" s="521"/>
      <c r="N8" s="521"/>
      <c r="O8" s="521"/>
      <c r="P8" s="521"/>
      <c r="Q8" s="521"/>
      <c r="R8" s="438"/>
      <c r="S8" s="402"/>
      <c r="T8" s="402"/>
      <c r="U8" s="402"/>
      <c r="V8" s="402"/>
      <c r="W8" s="402"/>
      <c r="X8" s="522"/>
      <c r="Y8" s="438"/>
      <c r="Z8" s="438"/>
      <c r="AA8" s="438"/>
      <c r="AB8" s="438"/>
      <c r="AC8" s="438"/>
      <c r="AD8" s="438"/>
      <c r="AE8" s="402"/>
      <c r="AF8" s="402"/>
      <c r="AG8" s="402"/>
      <c r="AH8" s="402"/>
      <c r="AI8" s="402"/>
      <c r="AJ8" s="402"/>
      <c r="AK8" s="402"/>
      <c r="AL8" s="402"/>
      <c r="AM8" s="404"/>
      <c r="AN8" s="402"/>
      <c r="AX8" s="402"/>
      <c r="AY8" s="402"/>
      <c r="AZ8" s="402"/>
      <c r="BA8" s="402"/>
    </row>
    <row r="9" spans="2:53" s="509" customFormat="1" ht="20.5" x14ac:dyDescent="0.35">
      <c r="B9" s="523"/>
      <c r="D9" s="516"/>
      <c r="E9" s="513"/>
      <c r="G9" s="441" t="b">
        <v>0</v>
      </c>
      <c r="H9" s="402" t="s">
        <v>298</v>
      </c>
      <c r="I9" s="402"/>
      <c r="J9" s="402"/>
      <c r="K9" s="437"/>
      <c r="L9" s="402"/>
      <c r="M9" s="402"/>
      <c r="N9" s="425"/>
      <c r="O9" s="402"/>
      <c r="P9" s="441" t="b">
        <v>0</v>
      </c>
      <c r="Q9" s="402" t="s">
        <v>297</v>
      </c>
      <c r="S9" s="402"/>
      <c r="T9" s="402"/>
      <c r="U9" s="402"/>
      <c r="V9" s="437"/>
      <c r="W9" s="402"/>
      <c r="X9" s="402"/>
      <c r="Y9" s="402"/>
      <c r="Z9" s="441" t="b">
        <v>1</v>
      </c>
      <c r="AA9" s="524" t="s">
        <v>1093</v>
      </c>
      <c r="AE9" s="2623" t="s">
        <v>12809</v>
      </c>
      <c r="AF9" s="2623"/>
      <c r="AG9" s="2623"/>
      <c r="AH9" s="2623"/>
      <c r="AI9" s="2623"/>
      <c r="AJ9" s="2623"/>
      <c r="AK9" s="2623"/>
      <c r="AL9" s="486"/>
      <c r="AM9" s="482"/>
      <c r="AS9" s="402"/>
      <c r="AT9" s="402"/>
      <c r="AU9" s="402"/>
      <c r="AV9" s="402"/>
    </row>
    <row r="10" spans="2:53" s="509" customFormat="1" ht="20.25" customHeight="1" x14ac:dyDescent="0.35">
      <c r="B10" s="523"/>
      <c r="D10" s="516"/>
      <c r="E10" s="513"/>
      <c r="G10" s="441" t="b">
        <v>0</v>
      </c>
      <c r="H10" s="402" t="s">
        <v>296</v>
      </c>
      <c r="I10" s="402"/>
      <c r="J10" s="402"/>
      <c r="K10" s="437"/>
      <c r="L10" s="402"/>
      <c r="M10" s="402"/>
      <c r="N10" s="425"/>
      <c r="O10" s="402"/>
      <c r="P10" s="441" t="b">
        <v>0</v>
      </c>
      <c r="Q10" s="402" t="s">
        <v>658</v>
      </c>
      <c r="S10" s="402"/>
      <c r="T10" s="402"/>
      <c r="U10" s="402"/>
      <c r="V10" s="437"/>
      <c r="W10" s="402"/>
      <c r="X10" s="402"/>
      <c r="Y10" s="402"/>
      <c r="Z10" s="402"/>
      <c r="AA10" s="402"/>
      <c r="AB10" s="402"/>
      <c r="AC10" s="438"/>
      <c r="AD10" s="402"/>
      <c r="AE10" s="548" t="str">
        <f>IF(AND(ssgadviser_subjhandle_others=TRUE,ISBLANK(sch_ssgadviser_subjhandle_others_specify)), "Please specify.", IF(AND(ssgadviser_subjhandle_others=FALSE,sch_ssgadviser_subjhandle_others_specify&gt;0),"Please check Others if you have entries.",""))</f>
        <v/>
      </c>
      <c r="AF10" s="402"/>
      <c r="AG10" s="438"/>
      <c r="AH10" s="402"/>
      <c r="AI10" s="402"/>
      <c r="AL10" s="402"/>
      <c r="AM10" s="404"/>
      <c r="AS10" s="402"/>
      <c r="AT10" s="402"/>
      <c r="AU10" s="402"/>
      <c r="AV10" s="402"/>
    </row>
    <row r="11" spans="2:53" s="509" customFormat="1" ht="19.5" customHeight="1" x14ac:dyDescent="0.35">
      <c r="B11" s="510"/>
      <c r="D11" s="511" t="s">
        <v>155</v>
      </c>
      <c r="E11" s="512" t="s">
        <v>662</v>
      </c>
      <c r="H11" s="513"/>
      <c r="I11" s="513"/>
      <c r="J11" s="513"/>
      <c r="K11" s="513"/>
      <c r="L11" s="513"/>
      <c r="M11" s="513"/>
      <c r="N11" s="513"/>
      <c r="O11" s="513"/>
      <c r="P11" s="513"/>
      <c r="Q11" s="513"/>
      <c r="R11" s="438"/>
      <c r="T11" s="438"/>
      <c r="U11" s="402"/>
      <c r="V11" s="402"/>
      <c r="Y11" s="438"/>
      <c r="Z11" s="402"/>
      <c r="AA11" s="438"/>
      <c r="AB11" s="402"/>
      <c r="AC11" s="402"/>
      <c r="AF11" s="438"/>
      <c r="AG11" s="402"/>
      <c r="AH11" s="438"/>
      <c r="AI11" s="438"/>
      <c r="AJ11" s="438"/>
      <c r="AK11" s="438"/>
      <c r="AL11" s="438"/>
      <c r="AM11" s="514"/>
      <c r="AN11" s="438"/>
      <c r="AX11" s="402"/>
      <c r="AY11" s="402"/>
      <c r="AZ11" s="402"/>
      <c r="BA11" s="402"/>
    </row>
    <row r="12" spans="2:53" s="509" customFormat="1" ht="20.5" x14ac:dyDescent="0.35">
      <c r="B12" s="523"/>
      <c r="D12" s="516"/>
      <c r="E12" s="513"/>
      <c r="G12" s="441" t="b">
        <v>0</v>
      </c>
      <c r="H12" s="402" t="s">
        <v>596</v>
      </c>
      <c r="I12" s="402"/>
      <c r="J12" s="402"/>
      <c r="K12" s="437"/>
      <c r="M12" s="402"/>
      <c r="N12" s="402"/>
      <c r="O12" s="402"/>
      <c r="P12" s="441" t="b">
        <v>0</v>
      </c>
      <c r="Q12" s="402" t="s">
        <v>659</v>
      </c>
      <c r="S12" s="437"/>
      <c r="T12" s="402"/>
      <c r="U12" s="402"/>
      <c r="V12" s="402"/>
      <c r="W12" s="402"/>
      <c r="X12" s="402"/>
      <c r="Y12" s="402"/>
      <c r="Z12" s="441" t="b">
        <v>0</v>
      </c>
      <c r="AA12" s="402" t="s">
        <v>600</v>
      </c>
      <c r="AD12" s="402"/>
      <c r="AE12" s="402"/>
      <c r="AF12" s="402"/>
      <c r="AG12" s="402"/>
      <c r="AH12" s="402"/>
      <c r="AI12" s="402"/>
      <c r="AL12" s="402"/>
      <c r="AM12" s="404"/>
      <c r="AS12" s="402"/>
      <c r="AT12" s="402"/>
      <c r="AU12" s="402"/>
      <c r="AV12" s="402"/>
    </row>
    <row r="13" spans="2:53" s="509" customFormat="1" ht="20.5" x14ac:dyDescent="0.35">
      <c r="B13" s="523"/>
      <c r="D13" s="516"/>
      <c r="E13" s="513"/>
      <c r="G13" s="441" t="b">
        <v>0</v>
      </c>
      <c r="H13" s="402" t="s">
        <v>597</v>
      </c>
      <c r="I13" s="402"/>
      <c r="J13" s="402"/>
      <c r="K13" s="437"/>
      <c r="M13" s="402"/>
      <c r="N13" s="402"/>
      <c r="O13" s="402"/>
      <c r="P13" s="441" t="b">
        <v>1</v>
      </c>
      <c r="Q13" s="402" t="s">
        <v>599</v>
      </c>
      <c r="S13" s="437"/>
      <c r="T13" s="402"/>
      <c r="U13" s="402"/>
      <c r="V13" s="402"/>
      <c r="W13" s="402"/>
      <c r="X13" s="402"/>
      <c r="Y13" s="402"/>
      <c r="Z13" s="438"/>
      <c r="AA13" s="402"/>
      <c r="AB13" s="402"/>
      <c r="AC13" s="402"/>
      <c r="AD13" s="402"/>
      <c r="AE13" s="402"/>
      <c r="AF13" s="402"/>
      <c r="AG13" s="438"/>
      <c r="AH13" s="402"/>
      <c r="AI13" s="402"/>
      <c r="AL13" s="402"/>
      <c r="AM13" s="404"/>
      <c r="AS13" s="402"/>
      <c r="AT13" s="402"/>
      <c r="AU13" s="402"/>
      <c r="AV13" s="402"/>
    </row>
    <row r="14" spans="2:53" s="509" customFormat="1" ht="20.5" x14ac:dyDescent="0.35">
      <c r="B14" s="510"/>
      <c r="D14" s="511" t="s">
        <v>156</v>
      </c>
      <c r="E14" s="512" t="s">
        <v>714</v>
      </c>
      <c r="H14" s="513"/>
      <c r="I14" s="513"/>
      <c r="J14" s="513"/>
      <c r="K14" s="513"/>
      <c r="L14" s="513"/>
      <c r="M14" s="513"/>
      <c r="N14" s="513"/>
      <c r="O14" s="513"/>
      <c r="P14" s="513"/>
      <c r="Q14" s="513"/>
      <c r="R14" s="438"/>
      <c r="T14" s="438"/>
      <c r="U14" s="402"/>
      <c r="V14" s="402"/>
      <c r="Y14" s="438"/>
      <c r="Z14" s="441" t="b">
        <v>0</v>
      </c>
      <c r="AA14" s="402" t="s">
        <v>65</v>
      </c>
      <c r="AB14" s="402"/>
      <c r="AC14" s="426"/>
      <c r="AD14" s="426"/>
      <c r="AE14" s="441"/>
      <c r="AF14" s="402" t="s">
        <v>11</v>
      </c>
      <c r="AG14" s="402"/>
      <c r="AH14" s="438"/>
      <c r="AI14" s="437"/>
      <c r="AJ14" s="402"/>
      <c r="AK14" s="402"/>
      <c r="AL14" s="438"/>
      <c r="AM14" s="514"/>
      <c r="AN14" s="438"/>
      <c r="AX14" s="402"/>
      <c r="AY14" s="402"/>
      <c r="AZ14" s="402"/>
      <c r="BA14" s="402"/>
    </row>
    <row r="15" spans="2:53" s="509" customFormat="1" ht="20.5" x14ac:dyDescent="0.35">
      <c r="B15" s="510"/>
      <c r="D15" s="511" t="s">
        <v>157</v>
      </c>
      <c r="E15" s="512" t="s">
        <v>712</v>
      </c>
      <c r="H15" s="513"/>
      <c r="I15" s="513"/>
      <c r="J15" s="513"/>
      <c r="K15" s="513"/>
      <c r="L15" s="513"/>
      <c r="M15" s="513"/>
      <c r="N15" s="513"/>
      <c r="O15" s="513"/>
      <c r="P15" s="513"/>
      <c r="Q15" s="513"/>
      <c r="R15" s="438"/>
      <c r="T15" s="438"/>
      <c r="U15" s="402"/>
      <c r="V15" s="402"/>
      <c r="Y15" s="402"/>
      <c r="Z15" s="441" t="b">
        <v>0</v>
      </c>
      <c r="AA15" s="402" t="s">
        <v>65</v>
      </c>
      <c r="AB15" s="402"/>
      <c r="AC15" s="426"/>
      <c r="AD15" s="426"/>
      <c r="AE15" s="441"/>
      <c r="AF15" s="402" t="s">
        <v>11</v>
      </c>
      <c r="AG15" s="402"/>
      <c r="AH15" s="438"/>
      <c r="AI15" s="437"/>
      <c r="AJ15" s="402"/>
      <c r="AK15" s="402"/>
      <c r="AL15" s="438"/>
      <c r="AM15" s="514"/>
      <c r="AN15" s="438"/>
      <c r="AX15" s="402"/>
      <c r="AY15" s="402"/>
      <c r="AZ15" s="402"/>
      <c r="BA15" s="402"/>
    </row>
    <row r="16" spans="2:53" s="509" customFormat="1" ht="20.5" x14ac:dyDescent="0.35">
      <c r="B16" s="510"/>
      <c r="D16" s="511" t="s">
        <v>159</v>
      </c>
      <c r="E16" s="512" t="s">
        <v>715</v>
      </c>
      <c r="H16" s="513"/>
      <c r="I16" s="513"/>
      <c r="J16" s="513"/>
      <c r="K16" s="513"/>
      <c r="L16" s="513"/>
      <c r="M16" s="513"/>
      <c r="N16" s="513"/>
      <c r="O16" s="513"/>
      <c r="P16" s="513"/>
      <c r="Q16" s="513"/>
      <c r="R16" s="438"/>
      <c r="T16" s="438"/>
      <c r="U16" s="402"/>
      <c r="V16" s="402"/>
      <c r="Y16" s="438"/>
      <c r="Z16" s="441" t="b">
        <v>0</v>
      </c>
      <c r="AA16" s="402" t="s">
        <v>65</v>
      </c>
      <c r="AB16" s="402"/>
      <c r="AC16" s="426"/>
      <c r="AD16" s="426"/>
      <c r="AE16" s="441"/>
      <c r="AF16" s="402" t="s">
        <v>11</v>
      </c>
      <c r="AG16" s="402"/>
      <c r="AH16" s="438"/>
      <c r="AI16" s="437"/>
      <c r="AJ16" s="402"/>
      <c r="AK16" s="402"/>
      <c r="AL16" s="438"/>
      <c r="AM16" s="514"/>
      <c r="AN16" s="438"/>
      <c r="AX16" s="402"/>
      <c r="AY16" s="402"/>
      <c r="AZ16" s="402"/>
      <c r="BA16" s="402"/>
    </row>
    <row r="17" spans="2:53" s="509" customFormat="1" ht="20.5" x14ac:dyDescent="0.35">
      <c r="B17" s="510"/>
      <c r="D17" s="511" t="s">
        <v>153</v>
      </c>
      <c r="E17" s="512" t="s">
        <v>716</v>
      </c>
      <c r="H17" s="513"/>
      <c r="I17" s="513"/>
      <c r="J17" s="513"/>
      <c r="K17" s="513"/>
      <c r="L17" s="513"/>
      <c r="M17" s="513"/>
      <c r="N17" s="513"/>
      <c r="O17" s="513"/>
      <c r="P17" s="513"/>
      <c r="Q17" s="513"/>
      <c r="R17" s="438"/>
      <c r="T17" s="438"/>
      <c r="U17" s="402"/>
      <c r="V17" s="402"/>
      <c r="Y17" s="438"/>
      <c r="Z17" s="441" t="b">
        <v>0</v>
      </c>
      <c r="AA17" s="402" t="s">
        <v>65</v>
      </c>
      <c r="AB17" s="402"/>
      <c r="AC17" s="426"/>
      <c r="AD17" s="426"/>
      <c r="AE17" s="441"/>
      <c r="AF17" s="402" t="s">
        <v>11</v>
      </c>
      <c r="AG17" s="402"/>
      <c r="AH17" s="438"/>
      <c r="AI17" s="437"/>
      <c r="AJ17" s="402"/>
      <c r="AK17" s="402"/>
      <c r="AL17" s="438"/>
      <c r="AM17" s="514"/>
      <c r="AN17" s="438"/>
      <c r="AX17" s="402"/>
      <c r="AY17" s="402"/>
      <c r="AZ17" s="402"/>
      <c r="BA17" s="402"/>
    </row>
    <row r="18" spans="2:53" s="509" customFormat="1" ht="20.5" x14ac:dyDescent="0.35">
      <c r="B18" s="510"/>
      <c r="D18" s="511" t="s">
        <v>154</v>
      </c>
      <c r="E18" s="512" t="s">
        <v>732</v>
      </c>
      <c r="H18" s="513"/>
      <c r="I18" s="513"/>
      <c r="J18" s="513"/>
      <c r="K18" s="513"/>
      <c r="L18" s="513"/>
      <c r="M18" s="513"/>
      <c r="N18" s="513"/>
      <c r="O18" s="513"/>
      <c r="P18" s="513"/>
      <c r="Q18" s="513"/>
      <c r="R18" s="438"/>
      <c r="T18" s="438"/>
      <c r="U18" s="402"/>
      <c r="V18" s="402"/>
      <c r="Y18" s="438"/>
      <c r="Z18" s="441" t="b">
        <v>0</v>
      </c>
      <c r="AA18" s="402" t="s">
        <v>65</v>
      </c>
      <c r="AB18" s="402"/>
      <c r="AC18" s="426"/>
      <c r="AD18" s="426"/>
      <c r="AE18" s="441"/>
      <c r="AF18" s="402" t="s">
        <v>11</v>
      </c>
      <c r="AG18" s="402"/>
      <c r="AI18" s="437"/>
      <c r="AJ18" s="402"/>
      <c r="AK18" s="402"/>
      <c r="AL18" s="438"/>
      <c r="AM18" s="514"/>
      <c r="AN18" s="438"/>
      <c r="AX18" s="402"/>
      <c r="AY18" s="402"/>
      <c r="AZ18" s="402"/>
      <c r="BA18" s="402"/>
    </row>
    <row r="19" spans="2:53" s="509" customFormat="1" ht="20.5" x14ac:dyDescent="0.35">
      <c r="B19" s="510"/>
      <c r="D19" s="511" t="s">
        <v>160</v>
      </c>
      <c r="E19" s="512" t="s">
        <v>664</v>
      </c>
      <c r="H19" s="513"/>
      <c r="I19" s="513"/>
      <c r="J19" s="513"/>
      <c r="K19" s="513"/>
      <c r="L19" s="513"/>
      <c r="M19" s="513"/>
      <c r="N19" s="513"/>
      <c r="O19" s="513"/>
      <c r="P19" s="513"/>
      <c r="Q19" s="513"/>
      <c r="R19" s="438"/>
      <c r="T19" s="438"/>
      <c r="W19" s="402"/>
      <c r="Z19" s="441" t="b">
        <v>0</v>
      </c>
      <c r="AA19" s="402" t="s">
        <v>65</v>
      </c>
      <c r="AB19" s="402"/>
      <c r="AC19" s="426"/>
      <c r="AD19" s="426"/>
      <c r="AE19" s="441"/>
      <c r="AF19" s="402" t="s">
        <v>11</v>
      </c>
      <c r="AG19" s="402"/>
      <c r="AH19" s="438"/>
      <c r="AI19" s="437"/>
      <c r="AJ19" s="402"/>
      <c r="AK19" s="402"/>
      <c r="AL19" s="438"/>
      <c r="AM19" s="514"/>
      <c r="AN19" s="438"/>
      <c r="AX19" s="402"/>
      <c r="AY19" s="402"/>
      <c r="AZ19" s="402"/>
      <c r="BA19" s="402"/>
    </row>
    <row r="20" spans="2:53" s="509" customFormat="1" ht="34.5" customHeight="1" x14ac:dyDescent="0.35">
      <c r="B20" s="510"/>
      <c r="D20" s="525" t="s">
        <v>158</v>
      </c>
      <c r="E20" s="2619" t="s">
        <v>663</v>
      </c>
      <c r="F20" s="2619"/>
      <c r="G20" s="2619"/>
      <c r="H20" s="2619"/>
      <c r="I20" s="2619"/>
      <c r="J20" s="2619"/>
      <c r="K20" s="2619"/>
      <c r="L20" s="2619"/>
      <c r="M20" s="2619"/>
      <c r="N20" s="2619"/>
      <c r="O20" s="2619"/>
      <c r="P20" s="2619"/>
      <c r="Q20" s="2619"/>
      <c r="R20" s="2619"/>
      <c r="S20" s="2619"/>
      <c r="T20" s="2619"/>
      <c r="U20" s="2619"/>
      <c r="V20" s="2619"/>
      <c r="W20" s="2619"/>
      <c r="X20" s="2619"/>
      <c r="Z20" s="2621">
        <v>2</v>
      </c>
      <c r="AA20" s="2622"/>
      <c r="AB20" s="2622"/>
      <c r="AC20" s="2622"/>
      <c r="AD20" s="2622"/>
      <c r="AE20" s="2622"/>
      <c r="AF20" s="2622"/>
      <c r="AG20" s="402"/>
      <c r="AH20" s="402"/>
      <c r="AI20" s="438"/>
      <c r="AJ20" s="438"/>
      <c r="AK20" s="438"/>
      <c r="AL20" s="438"/>
      <c r="AM20" s="514"/>
      <c r="AN20" s="438"/>
      <c r="AX20" s="402"/>
      <c r="AY20" s="402"/>
      <c r="AZ20" s="402"/>
      <c r="BA20" s="402"/>
    </row>
    <row r="21" spans="2:53" s="509" customFormat="1" ht="33" customHeight="1" x14ac:dyDescent="0.35">
      <c r="B21" s="510"/>
      <c r="D21" s="525" t="s">
        <v>660</v>
      </c>
      <c r="E21" s="2619" t="s">
        <v>717</v>
      </c>
      <c r="F21" s="2619"/>
      <c r="G21" s="2619"/>
      <c r="H21" s="2619"/>
      <c r="I21" s="2619"/>
      <c r="J21" s="2619"/>
      <c r="K21" s="2619"/>
      <c r="L21" s="2619"/>
      <c r="M21" s="2619"/>
      <c r="N21" s="2619"/>
      <c r="O21" s="2619"/>
      <c r="P21" s="2619"/>
      <c r="Q21" s="2619"/>
      <c r="R21" s="2619"/>
      <c r="S21" s="2619"/>
      <c r="T21" s="2619"/>
      <c r="U21" s="2619"/>
      <c r="V21" s="2619"/>
      <c r="W21" s="2619"/>
      <c r="X21" s="2619"/>
      <c r="Z21" s="441" t="b">
        <v>1</v>
      </c>
      <c r="AA21" s="402" t="s">
        <v>65</v>
      </c>
      <c r="AB21" s="402"/>
      <c r="AC21" s="426"/>
      <c r="AD21" s="426"/>
      <c r="AE21" s="441"/>
      <c r="AF21" s="402" t="s">
        <v>11</v>
      </c>
      <c r="AG21" s="402"/>
      <c r="AH21" s="402"/>
      <c r="AI21" s="438"/>
      <c r="AJ21" s="438"/>
      <c r="AK21" s="438"/>
      <c r="AL21" s="438"/>
      <c r="AM21" s="514"/>
      <c r="AN21" s="438"/>
      <c r="AX21" s="402"/>
      <c r="AY21" s="402"/>
      <c r="AZ21" s="402"/>
      <c r="BA21" s="402"/>
    </row>
    <row r="22" spans="2:53" ht="2.25" customHeight="1" x14ac:dyDescent="0.35">
      <c r="B22" s="526"/>
      <c r="C22" s="527"/>
      <c r="D22" s="402"/>
      <c r="E22" s="402"/>
      <c r="F22" s="402"/>
      <c r="G22" s="402"/>
      <c r="H22" s="402"/>
      <c r="I22" s="402"/>
      <c r="J22" s="402"/>
      <c r="K22" s="402"/>
      <c r="L22" s="402"/>
      <c r="M22" s="402"/>
      <c r="N22" s="438"/>
      <c r="O22" s="438"/>
      <c r="P22" s="438"/>
      <c r="Q22" s="438"/>
      <c r="R22" s="438"/>
      <c r="S22" s="402"/>
      <c r="T22" s="438"/>
      <c r="U22" s="438"/>
      <c r="V22" s="438"/>
      <c r="W22" s="438"/>
      <c r="X22" s="438"/>
      <c r="Y22" s="438"/>
      <c r="Z22" s="402"/>
      <c r="AA22" s="402"/>
      <c r="AB22" s="402"/>
      <c r="AC22" s="402"/>
      <c r="AD22" s="402"/>
      <c r="AE22" s="402"/>
      <c r="AF22" s="402"/>
      <c r="AG22" s="402"/>
      <c r="AH22" s="402"/>
      <c r="AI22" s="402"/>
      <c r="AJ22" s="402"/>
      <c r="AK22" s="402"/>
      <c r="AL22" s="402"/>
      <c r="AM22" s="404"/>
      <c r="AN22" s="402"/>
      <c r="AX22" s="403"/>
      <c r="AY22" s="403"/>
      <c r="AZ22" s="403"/>
      <c r="BA22" s="403"/>
    </row>
    <row r="23" spans="2:53" ht="7.5" customHeight="1" thickBot="1" x14ac:dyDescent="0.4">
      <c r="B23" s="528"/>
      <c r="C23" s="529"/>
      <c r="D23" s="408"/>
      <c r="E23" s="408"/>
      <c r="F23" s="408"/>
      <c r="G23" s="408"/>
      <c r="H23" s="408"/>
      <c r="I23" s="408"/>
      <c r="J23" s="408"/>
      <c r="K23" s="408"/>
      <c r="L23" s="408"/>
      <c r="M23" s="408"/>
      <c r="N23" s="496"/>
      <c r="O23" s="496"/>
      <c r="P23" s="496"/>
      <c r="Q23" s="496"/>
      <c r="R23" s="496"/>
      <c r="S23" s="408"/>
      <c r="T23" s="496"/>
      <c r="U23" s="496"/>
      <c r="V23" s="496"/>
      <c r="W23" s="496"/>
      <c r="X23" s="496"/>
      <c r="Y23" s="496"/>
      <c r="Z23" s="408"/>
      <c r="AA23" s="408"/>
      <c r="AB23" s="408"/>
      <c r="AC23" s="408"/>
      <c r="AD23" s="408"/>
      <c r="AE23" s="408"/>
      <c r="AF23" s="408"/>
      <c r="AG23" s="408"/>
      <c r="AH23" s="408"/>
      <c r="AI23" s="408"/>
      <c r="AJ23" s="408"/>
      <c r="AK23" s="408"/>
      <c r="AL23" s="408"/>
      <c r="AM23" s="409"/>
      <c r="AN23" s="402"/>
    </row>
    <row r="24" spans="2:53" s="403" customFormat="1" ht="27.75" customHeight="1" thickTop="1" x14ac:dyDescent="0.35">
      <c r="B24" s="530"/>
      <c r="C24" s="531"/>
      <c r="D24" s="531"/>
      <c r="E24" s="531"/>
      <c r="F24" s="531"/>
      <c r="G24" s="531"/>
      <c r="H24" s="402"/>
      <c r="I24" s="402"/>
      <c r="J24" s="402"/>
      <c r="K24" s="402"/>
      <c r="L24" s="522"/>
      <c r="M24" s="522"/>
      <c r="N24" s="522"/>
      <c r="O24" s="522"/>
      <c r="P24" s="402"/>
      <c r="Q24" s="522"/>
      <c r="R24" s="522"/>
      <c r="S24" s="522"/>
      <c r="T24" s="522"/>
      <c r="U24" s="402"/>
      <c r="V24" s="522"/>
      <c r="W24" s="522"/>
      <c r="X24" s="522"/>
      <c r="Y24" s="522"/>
    </row>
    <row r="25" spans="2:53" x14ac:dyDescent="0.35">
      <c r="B25" s="502" t="s">
        <v>12707</v>
      </c>
      <c r="C25" s="502"/>
      <c r="D25" s="502"/>
      <c r="E25" s="502"/>
      <c r="F25" s="502"/>
      <c r="G25" s="502"/>
      <c r="H25" s="502"/>
      <c r="I25" s="502"/>
      <c r="J25" s="502"/>
      <c r="K25" s="502"/>
      <c r="L25" s="503"/>
      <c r="M25" s="503"/>
      <c r="N25" s="503"/>
      <c r="O25" s="503"/>
      <c r="P25" s="503"/>
      <c r="Q25" s="503"/>
      <c r="R25" s="503"/>
      <c r="S25" s="503"/>
      <c r="T25" s="503"/>
      <c r="U25" s="503"/>
      <c r="V25" s="503"/>
      <c r="W25" s="503"/>
      <c r="X25" s="503"/>
      <c r="Y25" s="503"/>
      <c r="Z25" s="503"/>
      <c r="AA25" s="503"/>
      <c r="AB25" s="503"/>
      <c r="AC25" s="503"/>
      <c r="AD25" s="503"/>
      <c r="AE25" s="503"/>
      <c r="AF25" s="503"/>
      <c r="AG25" s="503"/>
      <c r="AH25" s="503"/>
      <c r="AI25" s="503"/>
      <c r="AJ25" s="503"/>
      <c r="AK25" s="503"/>
      <c r="AL25" s="503"/>
      <c r="AM25" s="502"/>
    </row>
    <row r="26" spans="2:53" s="402" customFormat="1" ht="15.75" customHeight="1" thickBot="1" x14ac:dyDescent="0.4">
      <c r="B26" s="419" t="s">
        <v>146</v>
      </c>
    </row>
    <row r="27" spans="2:53" ht="5.25" customHeight="1" thickTop="1" x14ac:dyDescent="0.35">
      <c r="B27" s="505"/>
      <c r="C27" s="506"/>
      <c r="D27" s="506"/>
      <c r="E27" s="506"/>
      <c r="F27" s="506"/>
      <c r="G27" s="506"/>
      <c r="H27" s="506"/>
      <c r="I27" s="506"/>
      <c r="J27" s="506"/>
      <c r="K27" s="506"/>
      <c r="L27" s="506"/>
      <c r="M27" s="495"/>
      <c r="N27" s="495"/>
      <c r="O27" s="495"/>
      <c r="P27" s="495"/>
      <c r="Q27" s="495"/>
      <c r="R27" s="495"/>
      <c r="S27" s="422"/>
      <c r="T27" s="507"/>
      <c r="U27" s="507"/>
      <c r="V27" s="507"/>
      <c r="W27" s="507"/>
      <c r="X27" s="507"/>
      <c r="Y27" s="507"/>
      <c r="Z27" s="495"/>
      <c r="AA27" s="495"/>
      <c r="AB27" s="495"/>
      <c r="AC27" s="495"/>
      <c r="AD27" s="495"/>
      <c r="AE27" s="495"/>
      <c r="AF27" s="495"/>
      <c r="AG27" s="495"/>
      <c r="AH27" s="495"/>
      <c r="AI27" s="495"/>
      <c r="AJ27" s="495"/>
      <c r="AK27" s="495"/>
      <c r="AL27" s="495"/>
      <c r="AM27" s="508"/>
      <c r="AN27" s="438"/>
      <c r="AX27" s="403"/>
      <c r="AY27" s="403"/>
      <c r="AZ27" s="403"/>
      <c r="BA27" s="403"/>
    </row>
    <row r="28" spans="2:53" s="509" customFormat="1" x14ac:dyDescent="0.35">
      <c r="B28" s="515"/>
      <c r="C28" s="513"/>
      <c r="D28" s="511" t="s">
        <v>150</v>
      </c>
      <c r="E28" s="520" t="s">
        <v>718</v>
      </c>
      <c r="F28" s="513"/>
      <c r="G28" s="513"/>
      <c r="H28" s="513"/>
      <c r="I28" s="513"/>
      <c r="J28" s="513"/>
      <c r="K28" s="513"/>
      <c r="L28" s="513"/>
      <c r="M28" s="438"/>
      <c r="O28" s="438"/>
      <c r="P28" s="402"/>
      <c r="Q28" s="402"/>
      <c r="S28" s="438"/>
      <c r="T28" s="402"/>
      <c r="U28" s="402"/>
      <c r="X28" s="438"/>
      <c r="Y28" s="402"/>
      <c r="Z28" s="402"/>
      <c r="AC28" s="402"/>
      <c r="AD28" s="441" t="b">
        <v>1</v>
      </c>
      <c r="AE28" s="402" t="s">
        <v>65</v>
      </c>
      <c r="AF28" s="402"/>
      <c r="AG28" s="426"/>
      <c r="AH28" s="426"/>
      <c r="AI28" s="441"/>
      <c r="AJ28" s="402" t="s">
        <v>11</v>
      </c>
      <c r="AK28" s="402"/>
      <c r="AL28" s="438"/>
      <c r="AM28" s="514"/>
      <c r="AN28" s="438"/>
      <c r="AX28" s="402"/>
      <c r="AY28" s="402"/>
      <c r="AZ28" s="402"/>
      <c r="BA28" s="402"/>
    </row>
    <row r="29" spans="2:53" s="509" customFormat="1" x14ac:dyDescent="0.35">
      <c r="B29" s="515"/>
      <c r="C29" s="513"/>
      <c r="D29" s="511" t="s">
        <v>151</v>
      </c>
      <c r="E29" s="520" t="s">
        <v>665</v>
      </c>
      <c r="F29" s="513"/>
      <c r="G29" s="513"/>
      <c r="H29" s="513"/>
      <c r="I29" s="513"/>
      <c r="J29" s="513"/>
      <c r="K29" s="513"/>
      <c r="L29" s="513"/>
      <c r="M29" s="438"/>
      <c r="O29" s="438"/>
      <c r="P29" s="402"/>
      <c r="Q29" s="402"/>
      <c r="T29" s="402"/>
      <c r="Z29" s="402"/>
      <c r="AA29" s="438"/>
      <c r="AB29" s="402"/>
      <c r="AC29" s="402"/>
      <c r="AD29" s="441" t="b">
        <v>0</v>
      </c>
      <c r="AE29" s="402" t="s">
        <v>65</v>
      </c>
      <c r="AF29" s="402"/>
      <c r="AG29" s="426"/>
      <c r="AH29" s="426"/>
      <c r="AI29" s="441"/>
      <c r="AJ29" s="402" t="s">
        <v>11</v>
      </c>
      <c r="AK29" s="402"/>
      <c r="AL29" s="438"/>
      <c r="AM29" s="514"/>
      <c r="AN29" s="438"/>
      <c r="AX29" s="402"/>
      <c r="AY29" s="402"/>
      <c r="AZ29" s="402"/>
      <c r="BA29" s="402"/>
    </row>
    <row r="30" spans="2:53" s="509" customFormat="1" ht="33.75" customHeight="1" x14ac:dyDescent="0.35">
      <c r="B30" s="515"/>
      <c r="C30" s="513"/>
      <c r="D30" s="525" t="s">
        <v>152</v>
      </c>
      <c r="E30" s="2619" t="s">
        <v>719</v>
      </c>
      <c r="F30" s="2619"/>
      <c r="G30" s="2619"/>
      <c r="H30" s="2619"/>
      <c r="I30" s="2619"/>
      <c r="J30" s="2619"/>
      <c r="K30" s="2619"/>
      <c r="L30" s="2619"/>
      <c r="M30" s="2619"/>
      <c r="N30" s="2619"/>
      <c r="O30" s="2619"/>
      <c r="P30" s="2619"/>
      <c r="Q30" s="2619"/>
      <c r="R30" s="2619"/>
      <c r="S30" s="2619"/>
      <c r="T30" s="2619"/>
      <c r="U30" s="2619"/>
      <c r="V30" s="2619"/>
      <c r="W30" s="2619"/>
      <c r="X30" s="2619"/>
      <c r="Y30" s="402"/>
      <c r="Z30" s="402"/>
      <c r="AA30" s="438"/>
      <c r="AB30" s="402"/>
      <c r="AC30" s="402"/>
      <c r="AD30" s="441" t="b">
        <v>1</v>
      </c>
      <c r="AE30" s="402" t="s">
        <v>65</v>
      </c>
      <c r="AF30" s="402"/>
      <c r="AG30" s="426"/>
      <c r="AH30" s="426"/>
      <c r="AI30" s="441"/>
      <c r="AJ30" s="402" t="s">
        <v>11</v>
      </c>
      <c r="AK30" s="402"/>
      <c r="AL30" s="402"/>
      <c r="AM30" s="514"/>
      <c r="AN30" s="438"/>
      <c r="AX30" s="402"/>
      <c r="AY30" s="402"/>
      <c r="AZ30" s="402"/>
      <c r="BA30" s="402"/>
    </row>
    <row r="31" spans="2:53" s="509" customFormat="1" ht="31.5" customHeight="1" x14ac:dyDescent="0.35">
      <c r="B31" s="515"/>
      <c r="C31" s="513"/>
      <c r="D31" s="525" t="s">
        <v>155</v>
      </c>
      <c r="E31" s="2618" t="s">
        <v>720</v>
      </c>
      <c r="F31" s="2618"/>
      <c r="G31" s="2618"/>
      <c r="H31" s="2618"/>
      <c r="I31" s="2618"/>
      <c r="J31" s="2618"/>
      <c r="K31" s="2618"/>
      <c r="L31" s="2618"/>
      <c r="M31" s="2618"/>
      <c r="N31" s="2618"/>
      <c r="O31" s="2618"/>
      <c r="P31" s="2618"/>
      <c r="Q31" s="2618"/>
      <c r="R31" s="2618"/>
      <c r="S31" s="2618"/>
      <c r="T31" s="2618"/>
      <c r="U31" s="2618"/>
      <c r="V31" s="2618"/>
      <c r="W31" s="2618"/>
      <c r="X31" s="2618"/>
      <c r="Y31" s="402"/>
      <c r="Z31" s="402"/>
      <c r="AA31" s="438"/>
      <c r="AB31" s="402"/>
      <c r="AC31" s="402"/>
      <c r="AD31" s="441" t="b">
        <v>1</v>
      </c>
      <c r="AE31" s="402" t="s">
        <v>65</v>
      </c>
      <c r="AF31" s="402"/>
      <c r="AG31" s="426"/>
      <c r="AH31" s="426"/>
      <c r="AI31" s="441"/>
      <c r="AJ31" s="402" t="s">
        <v>11</v>
      </c>
      <c r="AK31" s="402"/>
      <c r="AM31" s="519"/>
      <c r="AN31" s="438"/>
      <c r="AX31" s="402"/>
      <c r="AY31" s="402"/>
      <c r="AZ31" s="402"/>
      <c r="BA31" s="402"/>
    </row>
    <row r="32" spans="2:53" s="509" customFormat="1" ht="33.75" customHeight="1" x14ac:dyDescent="0.35">
      <c r="B32" s="515"/>
      <c r="C32" s="513"/>
      <c r="D32" s="525" t="s">
        <v>156</v>
      </c>
      <c r="E32" s="2619" t="s">
        <v>721</v>
      </c>
      <c r="F32" s="2619"/>
      <c r="G32" s="2619"/>
      <c r="H32" s="2619"/>
      <c r="I32" s="2619"/>
      <c r="J32" s="2619"/>
      <c r="K32" s="2619"/>
      <c r="L32" s="2619"/>
      <c r="M32" s="2619"/>
      <c r="N32" s="2619"/>
      <c r="O32" s="2619"/>
      <c r="P32" s="2619"/>
      <c r="Q32" s="2619"/>
      <c r="R32" s="2619"/>
      <c r="S32" s="2619"/>
      <c r="T32" s="2619"/>
      <c r="U32" s="2619"/>
      <c r="V32" s="2619"/>
      <c r="W32" s="2619"/>
      <c r="X32" s="2619"/>
      <c r="Y32" s="402"/>
      <c r="Z32" s="402"/>
      <c r="AA32" s="438"/>
      <c r="AB32" s="402"/>
      <c r="AC32" s="402"/>
      <c r="AD32" s="441" t="b">
        <v>1</v>
      </c>
      <c r="AE32" s="402" t="s">
        <v>65</v>
      </c>
      <c r="AF32" s="402"/>
      <c r="AG32" s="426"/>
      <c r="AH32" s="426"/>
      <c r="AI32" s="441"/>
      <c r="AJ32" s="402" t="s">
        <v>11</v>
      </c>
      <c r="AK32" s="402"/>
      <c r="AL32" s="402"/>
      <c r="AM32" s="514"/>
      <c r="AN32" s="438"/>
      <c r="AX32" s="402"/>
      <c r="AY32" s="402"/>
      <c r="AZ32" s="402"/>
      <c r="BA32" s="402"/>
    </row>
    <row r="33" spans="2:53" s="509" customFormat="1" x14ac:dyDescent="0.35">
      <c r="B33" s="515"/>
      <c r="C33" s="513"/>
      <c r="D33" s="511" t="s">
        <v>157</v>
      </c>
      <c r="E33" s="2618" t="s">
        <v>722</v>
      </c>
      <c r="F33" s="2618"/>
      <c r="G33" s="2618"/>
      <c r="H33" s="2618"/>
      <c r="I33" s="2618"/>
      <c r="J33" s="2618"/>
      <c r="K33" s="2618"/>
      <c r="L33" s="2618"/>
      <c r="M33" s="2618"/>
      <c r="N33" s="2618"/>
      <c r="O33" s="2618"/>
      <c r="P33" s="2618"/>
      <c r="Q33" s="2618"/>
      <c r="R33" s="2618"/>
      <c r="S33" s="2618"/>
      <c r="T33" s="2618"/>
      <c r="U33" s="2618"/>
      <c r="V33" s="2618"/>
      <c r="W33" s="2618"/>
      <c r="X33" s="2618"/>
      <c r="Y33" s="402"/>
      <c r="Z33" s="402"/>
      <c r="AA33" s="438"/>
      <c r="AB33" s="402"/>
      <c r="AC33" s="402"/>
      <c r="AD33" s="441" t="b">
        <v>1</v>
      </c>
      <c r="AE33" s="402" t="s">
        <v>65</v>
      </c>
      <c r="AF33" s="402"/>
      <c r="AG33" s="426"/>
      <c r="AH33" s="426"/>
      <c r="AI33" s="441"/>
      <c r="AJ33" s="402" t="s">
        <v>11</v>
      </c>
      <c r="AK33" s="402"/>
      <c r="AM33" s="519"/>
      <c r="AN33" s="438"/>
      <c r="AX33" s="402"/>
      <c r="AY33" s="402"/>
      <c r="AZ33" s="402"/>
      <c r="BA33" s="402"/>
    </row>
    <row r="34" spans="2:53" s="509" customFormat="1" ht="51" customHeight="1" x14ac:dyDescent="0.35">
      <c r="B34" s="515"/>
      <c r="C34" s="513"/>
      <c r="D34" s="525" t="s">
        <v>159</v>
      </c>
      <c r="E34" s="2619" t="s">
        <v>723</v>
      </c>
      <c r="F34" s="2619"/>
      <c r="G34" s="2619"/>
      <c r="H34" s="2619"/>
      <c r="I34" s="2619"/>
      <c r="J34" s="2619"/>
      <c r="K34" s="2619"/>
      <c r="L34" s="2619"/>
      <c r="M34" s="2619"/>
      <c r="N34" s="2619"/>
      <c r="O34" s="2619"/>
      <c r="P34" s="2619"/>
      <c r="Q34" s="2619"/>
      <c r="R34" s="2619"/>
      <c r="S34" s="2619"/>
      <c r="T34" s="2619"/>
      <c r="U34" s="2619"/>
      <c r="V34" s="2619"/>
      <c r="W34" s="2619"/>
      <c r="X34" s="2619"/>
      <c r="Y34" s="402"/>
      <c r="Z34" s="402"/>
      <c r="AA34" s="438"/>
      <c r="AB34" s="402"/>
      <c r="AC34" s="402"/>
      <c r="AD34" s="441" t="b">
        <v>1</v>
      </c>
      <c r="AE34" s="402" t="s">
        <v>65</v>
      </c>
      <c r="AF34" s="402"/>
      <c r="AG34" s="426"/>
      <c r="AH34" s="426"/>
      <c r="AI34" s="441"/>
      <c r="AJ34" s="402" t="s">
        <v>11</v>
      </c>
      <c r="AK34" s="402"/>
      <c r="AL34" s="402"/>
      <c r="AM34" s="514"/>
      <c r="AN34" s="438"/>
      <c r="AX34" s="402"/>
      <c r="AY34" s="402"/>
      <c r="AZ34" s="402"/>
      <c r="BA34" s="402"/>
    </row>
    <row r="35" spans="2:53" s="509" customFormat="1" ht="31.5" customHeight="1" x14ac:dyDescent="0.35">
      <c r="B35" s="515"/>
      <c r="C35" s="513"/>
      <c r="D35" s="525" t="s">
        <v>153</v>
      </c>
      <c r="E35" s="2618" t="s">
        <v>724</v>
      </c>
      <c r="F35" s="2618"/>
      <c r="G35" s="2618"/>
      <c r="H35" s="2618"/>
      <c r="I35" s="2618"/>
      <c r="J35" s="2618"/>
      <c r="K35" s="2618"/>
      <c r="L35" s="2618"/>
      <c r="M35" s="2618"/>
      <c r="N35" s="2618"/>
      <c r="O35" s="2618"/>
      <c r="P35" s="2618"/>
      <c r="Q35" s="2618"/>
      <c r="R35" s="2618"/>
      <c r="S35" s="2618"/>
      <c r="T35" s="2618"/>
      <c r="U35" s="2618"/>
      <c r="V35" s="2618"/>
      <c r="W35" s="2618"/>
      <c r="X35" s="2618"/>
      <c r="Y35" s="402"/>
      <c r="Z35" s="402"/>
      <c r="AA35" s="438"/>
      <c r="AB35" s="402"/>
      <c r="AC35" s="402"/>
      <c r="AD35" s="441" t="b">
        <v>0</v>
      </c>
      <c r="AE35" s="402" t="s">
        <v>65</v>
      </c>
      <c r="AF35" s="402"/>
      <c r="AG35" s="426"/>
      <c r="AH35" s="426"/>
      <c r="AI35" s="441"/>
      <c r="AJ35" s="402" t="s">
        <v>11</v>
      </c>
      <c r="AK35" s="402"/>
      <c r="AM35" s="519"/>
      <c r="AN35" s="438"/>
      <c r="AX35" s="402"/>
      <c r="AY35" s="402"/>
      <c r="AZ35" s="402"/>
      <c r="BA35" s="402"/>
    </row>
    <row r="36" spans="2:53" ht="7.5" customHeight="1" thickBot="1" x14ac:dyDescent="0.4">
      <c r="B36" s="532"/>
      <c r="C36" s="529"/>
      <c r="D36" s="408"/>
      <c r="E36" s="408"/>
      <c r="F36" s="408"/>
      <c r="G36" s="408"/>
      <c r="H36" s="408"/>
      <c r="I36" s="408"/>
      <c r="J36" s="408"/>
      <c r="K36" s="408"/>
      <c r="L36" s="408"/>
      <c r="M36" s="408"/>
      <c r="N36" s="496"/>
      <c r="O36" s="496"/>
      <c r="P36" s="496"/>
      <c r="Q36" s="496"/>
      <c r="R36" s="496"/>
      <c r="S36" s="408"/>
      <c r="T36" s="496"/>
      <c r="U36" s="496"/>
      <c r="V36" s="496"/>
      <c r="W36" s="496"/>
      <c r="X36" s="496"/>
      <c r="Y36" s="496"/>
      <c r="Z36" s="408"/>
      <c r="AA36" s="408"/>
      <c r="AB36" s="408"/>
      <c r="AC36" s="408"/>
      <c r="AD36" s="408"/>
      <c r="AE36" s="408"/>
      <c r="AF36" s="408"/>
      <c r="AG36" s="408"/>
      <c r="AH36" s="408"/>
      <c r="AI36" s="408"/>
      <c r="AJ36" s="408"/>
      <c r="AK36" s="408"/>
      <c r="AL36" s="408"/>
      <c r="AM36" s="409"/>
      <c r="AN36" s="402"/>
    </row>
    <row r="37" spans="2:53" s="403" customFormat="1" ht="27.75" customHeight="1" thickTop="1" x14ac:dyDescent="0.35">
      <c r="C37" s="531"/>
      <c r="D37" s="531"/>
      <c r="E37" s="531"/>
      <c r="F37" s="531"/>
      <c r="G37" s="531"/>
      <c r="H37" s="402"/>
      <c r="I37" s="402"/>
      <c r="J37" s="402"/>
      <c r="K37" s="402"/>
      <c r="L37" s="522"/>
      <c r="M37" s="522"/>
      <c r="N37" s="522"/>
      <c r="O37" s="522"/>
      <c r="P37" s="402"/>
      <c r="Q37" s="522"/>
      <c r="R37" s="522"/>
      <c r="S37" s="522"/>
      <c r="T37" s="522"/>
      <c r="U37" s="402"/>
      <c r="V37" s="522"/>
      <c r="W37" s="522"/>
      <c r="X37" s="522"/>
      <c r="Y37" s="522"/>
    </row>
    <row r="38" spans="2:53" x14ac:dyDescent="0.35">
      <c r="B38" s="502" t="s">
        <v>12708</v>
      </c>
    </row>
    <row r="39" spans="2:53" s="402" customFormat="1" ht="18.75" customHeight="1" thickBot="1" x14ac:dyDescent="0.4">
      <c r="B39" s="419" t="s">
        <v>1091</v>
      </c>
    </row>
    <row r="40" spans="2:53" ht="8.15" customHeight="1" thickTop="1" x14ac:dyDescent="0.35">
      <c r="B40" s="533"/>
      <c r="C40" s="534"/>
      <c r="D40" s="534"/>
      <c r="E40" s="534"/>
      <c r="F40" s="534"/>
      <c r="G40" s="534"/>
      <c r="H40" s="535"/>
      <c r="I40" s="535"/>
      <c r="J40" s="535"/>
      <c r="K40" s="535"/>
      <c r="L40" s="535"/>
      <c r="M40" s="535"/>
      <c r="N40" s="535"/>
      <c r="O40" s="535"/>
      <c r="P40" s="535"/>
      <c r="Q40" s="535"/>
      <c r="R40" s="535"/>
      <c r="S40" s="535"/>
      <c r="T40" s="535"/>
      <c r="U40" s="535"/>
      <c r="V40" s="535"/>
      <c r="W40" s="535"/>
      <c r="X40" s="535"/>
      <c r="Y40" s="422"/>
      <c r="Z40" s="535"/>
      <c r="AA40" s="535"/>
      <c r="AB40" s="535"/>
      <c r="AC40" s="535"/>
      <c r="AD40" s="495"/>
      <c r="AE40" s="535"/>
      <c r="AF40" s="535"/>
      <c r="AG40" s="535"/>
      <c r="AH40" s="535"/>
      <c r="AI40" s="535"/>
      <c r="AJ40" s="535"/>
      <c r="AK40" s="535"/>
      <c r="AL40" s="535"/>
      <c r="AM40" s="536"/>
    </row>
    <row r="41" spans="2:53" ht="20" x14ac:dyDescent="0.35">
      <c r="B41" s="537"/>
      <c r="C41" s="513"/>
      <c r="D41" s="511" t="s">
        <v>150</v>
      </c>
      <c r="E41" s="512" t="s">
        <v>725</v>
      </c>
      <c r="F41" s="513"/>
      <c r="G41" s="513"/>
      <c r="H41" s="513"/>
      <c r="I41" s="513"/>
      <c r="J41" s="513"/>
      <c r="K41" s="513"/>
      <c r="L41" s="513"/>
      <c r="M41" s="538"/>
      <c r="O41" s="538"/>
      <c r="S41" s="425"/>
      <c r="T41" s="402"/>
      <c r="W41" s="425"/>
      <c r="X41" s="402"/>
      <c r="Y41" s="402"/>
      <c r="Z41" s="441" t="b">
        <v>1</v>
      </c>
      <c r="AA41" s="402" t="s">
        <v>65</v>
      </c>
      <c r="AB41" s="402"/>
      <c r="AC41" s="426"/>
      <c r="AD41" s="426"/>
      <c r="AE41" s="439"/>
      <c r="AF41" s="402" t="s">
        <v>11</v>
      </c>
      <c r="AI41" s="538"/>
      <c r="AJ41" s="538"/>
      <c r="AK41" s="538"/>
      <c r="AL41" s="538"/>
      <c r="AM41" s="539"/>
      <c r="AN41" s="538"/>
      <c r="AX41" s="403"/>
      <c r="AY41" s="403"/>
      <c r="AZ41" s="403"/>
      <c r="BA41" s="403"/>
    </row>
    <row r="42" spans="2:53" ht="15.75" customHeight="1" x14ac:dyDescent="0.35">
      <c r="B42" s="540"/>
      <c r="C42" s="513"/>
      <c r="D42" s="513"/>
      <c r="E42" s="541" t="s">
        <v>1121</v>
      </c>
      <c r="F42" s="513"/>
      <c r="G42" s="513"/>
      <c r="H42" s="513"/>
      <c r="I42" s="513"/>
      <c r="J42" s="513"/>
      <c r="K42" s="513"/>
      <c r="L42" s="513"/>
      <c r="M42" s="538"/>
      <c r="O42" s="538"/>
      <c r="S42" s="425"/>
      <c r="T42" s="402"/>
      <c r="W42" s="425"/>
      <c r="X42" s="402"/>
      <c r="Y42" s="402"/>
      <c r="Z42" s="548" t="str">
        <f>IF(AND(cgp_sch_gc_yes=TRUE,ISBLANK(sch_cgp_gc_yrs_assigned)), "Please specify.", IF(AND(cgp_sch_gc_yes=FALSE,sch_cgp_gc_yrs_assigned&gt;0),"Please check Yes if you have entries.",""))</f>
        <v/>
      </c>
      <c r="AI42" s="538"/>
      <c r="AJ42" s="538"/>
      <c r="AK42" s="538"/>
      <c r="AL42" s="538"/>
      <c r="AM42" s="539"/>
      <c r="AN42" s="538"/>
      <c r="AX42" s="403"/>
      <c r="AY42" s="403"/>
      <c r="AZ42" s="403"/>
      <c r="BA42" s="403"/>
    </row>
    <row r="43" spans="2:53" ht="20.5" x14ac:dyDescent="0.45">
      <c r="B43" s="537"/>
      <c r="C43" s="513"/>
      <c r="D43" s="511" t="s">
        <v>151</v>
      </c>
      <c r="E43" s="512" t="s">
        <v>726</v>
      </c>
      <c r="F43" s="513"/>
      <c r="G43" s="513"/>
      <c r="H43" s="513"/>
      <c r="I43" s="513"/>
      <c r="J43" s="513"/>
      <c r="K43" s="513"/>
      <c r="L43" s="513"/>
      <c r="M43" s="538"/>
      <c r="O43" s="538"/>
      <c r="P43" s="402"/>
      <c r="Q43" s="402"/>
      <c r="S43" s="542"/>
      <c r="T43" s="538"/>
      <c r="U43" s="402"/>
      <c r="W43" s="542"/>
      <c r="X43" s="538"/>
      <c r="Y43" s="402"/>
      <c r="Z43" s="2622">
        <v>21</v>
      </c>
      <c r="AA43" s="2622"/>
      <c r="AB43" s="2622"/>
      <c r="AC43" s="2622"/>
      <c r="AD43" s="2622"/>
      <c r="AE43" s="2622"/>
      <c r="AF43" s="2622"/>
      <c r="AG43" s="402"/>
      <c r="AI43" s="538"/>
      <c r="AJ43" s="538"/>
      <c r="AK43" s="538"/>
      <c r="AL43" s="538"/>
      <c r="AM43" s="539"/>
      <c r="AN43" s="538"/>
      <c r="AX43" s="403"/>
      <c r="AY43" s="403"/>
      <c r="AZ43" s="403"/>
      <c r="BA43" s="403"/>
    </row>
    <row r="44" spans="2:53" ht="20" x14ac:dyDescent="0.35">
      <c r="B44" s="537"/>
      <c r="C44" s="513"/>
      <c r="D44" s="511" t="s">
        <v>152</v>
      </c>
      <c r="E44" s="512" t="s">
        <v>666</v>
      </c>
      <c r="F44" s="513"/>
      <c r="G44" s="513"/>
      <c r="H44" s="513"/>
      <c r="I44" s="513"/>
      <c r="J44" s="513"/>
      <c r="K44" s="513"/>
      <c r="L44" s="513"/>
      <c r="O44" s="402"/>
      <c r="S44" s="425"/>
      <c r="T44" s="402"/>
      <c r="U44" s="402"/>
      <c r="W44" s="425"/>
      <c r="X44" s="402"/>
      <c r="Y44" s="402"/>
      <c r="Z44" s="441" t="b">
        <v>1</v>
      </c>
      <c r="AA44" s="402" t="s">
        <v>65</v>
      </c>
      <c r="AB44" s="402"/>
      <c r="AC44" s="426"/>
      <c r="AD44" s="426"/>
      <c r="AE44" s="441"/>
      <c r="AF44" s="402" t="s">
        <v>11</v>
      </c>
      <c r="AG44" s="402"/>
      <c r="AI44" s="538"/>
      <c r="AJ44" s="538"/>
      <c r="AK44" s="538"/>
      <c r="AL44" s="538"/>
      <c r="AM44" s="539"/>
      <c r="AN44" s="538"/>
      <c r="AX44" s="403"/>
      <c r="AY44" s="403"/>
      <c r="AZ44" s="403"/>
      <c r="BA44" s="403"/>
    </row>
    <row r="45" spans="2:53" ht="20.5" x14ac:dyDescent="0.45">
      <c r="B45" s="537"/>
      <c r="C45" s="513"/>
      <c r="D45" s="511" t="s">
        <v>155</v>
      </c>
      <c r="E45" s="512" t="s">
        <v>727</v>
      </c>
      <c r="F45" s="513"/>
      <c r="G45" s="513"/>
      <c r="H45" s="513"/>
      <c r="I45" s="513"/>
      <c r="J45" s="513"/>
      <c r="K45" s="513"/>
      <c r="L45" s="513"/>
      <c r="M45" s="538"/>
      <c r="O45" s="538"/>
      <c r="P45" s="402"/>
      <c r="Q45" s="402"/>
      <c r="S45" s="542"/>
      <c r="T45" s="538"/>
      <c r="U45" s="402"/>
      <c r="W45" s="542"/>
      <c r="X45" s="538"/>
      <c r="Y45" s="402"/>
      <c r="Z45" s="2622">
        <v>21</v>
      </c>
      <c r="AA45" s="2622"/>
      <c r="AB45" s="2622"/>
      <c r="AC45" s="2622"/>
      <c r="AD45" s="2622"/>
      <c r="AE45" s="2622"/>
      <c r="AF45" s="2622"/>
      <c r="AG45" s="548" t="str">
        <f>IF(AND(cgp_guid_adv_yes=TRUE,ISBLANK(sch_cgp_guid_adv_yrs_assigned)), "Please specify.", IF(AND(cgp_guid_adv_yes=FALSE,sch_cgp_guid_adv_yrs_assigned&gt;0),"Please check Yes if you have entries.",""))</f>
        <v/>
      </c>
      <c r="AI45" s="538"/>
      <c r="AJ45" s="538"/>
      <c r="AK45" s="538"/>
      <c r="AL45" s="538"/>
      <c r="AM45" s="539"/>
      <c r="AN45" s="538"/>
      <c r="AX45" s="403"/>
      <c r="AY45" s="403"/>
      <c r="AZ45" s="403"/>
      <c r="BA45" s="403"/>
    </row>
    <row r="46" spans="2:53" ht="20" x14ac:dyDescent="0.35">
      <c r="B46" s="537"/>
      <c r="C46" s="513"/>
      <c r="D46" s="511" t="s">
        <v>156</v>
      </c>
      <c r="E46" s="512" t="s">
        <v>728</v>
      </c>
      <c r="F46" s="513"/>
      <c r="G46" s="513"/>
      <c r="H46" s="513"/>
      <c r="I46" s="513"/>
      <c r="J46" s="513"/>
      <c r="K46" s="513"/>
      <c r="L46" s="513"/>
      <c r="M46" s="538"/>
      <c r="O46" s="538"/>
      <c r="P46" s="402"/>
      <c r="Q46" s="402"/>
      <c r="S46" s="425"/>
      <c r="T46" s="402"/>
      <c r="W46" s="425"/>
      <c r="X46" s="402"/>
      <c r="Z46" s="441" t="b">
        <v>1</v>
      </c>
      <c r="AA46" s="402" t="s">
        <v>65</v>
      </c>
      <c r="AB46" s="402"/>
      <c r="AC46" s="426"/>
      <c r="AD46" s="426"/>
      <c r="AE46" s="441"/>
      <c r="AF46" s="402" t="s">
        <v>11</v>
      </c>
      <c r="AG46" s="402"/>
      <c r="AI46" s="538"/>
      <c r="AJ46" s="538"/>
      <c r="AK46" s="538"/>
      <c r="AL46" s="538"/>
      <c r="AM46" s="539"/>
      <c r="AN46" s="538"/>
      <c r="AX46" s="403"/>
      <c r="AY46" s="403"/>
      <c r="AZ46" s="403"/>
      <c r="BA46" s="403"/>
    </row>
    <row r="47" spans="2:53" ht="20" x14ac:dyDescent="0.35">
      <c r="B47" s="537"/>
      <c r="C47" s="513"/>
      <c r="D47" s="511" t="s">
        <v>157</v>
      </c>
      <c r="E47" s="512" t="s">
        <v>729</v>
      </c>
      <c r="F47" s="513"/>
      <c r="G47" s="513"/>
      <c r="H47" s="513"/>
      <c r="I47" s="513"/>
      <c r="J47" s="513"/>
      <c r="K47" s="513"/>
      <c r="L47" s="513"/>
      <c r="M47" s="538"/>
      <c r="O47" s="538"/>
      <c r="P47" s="402"/>
      <c r="Q47" s="402"/>
      <c r="S47" s="425"/>
      <c r="T47" s="402"/>
      <c r="W47" s="425"/>
      <c r="X47" s="402"/>
      <c r="Z47" s="441" t="b">
        <v>1</v>
      </c>
      <c r="AA47" s="402" t="s">
        <v>65</v>
      </c>
      <c r="AB47" s="402"/>
      <c r="AC47" s="426"/>
      <c r="AD47" s="426"/>
      <c r="AE47" s="441"/>
      <c r="AF47" s="402" t="s">
        <v>11</v>
      </c>
      <c r="AG47" s="402"/>
      <c r="AI47" s="538"/>
      <c r="AJ47" s="538"/>
      <c r="AK47" s="538"/>
      <c r="AL47" s="538"/>
      <c r="AM47" s="539"/>
      <c r="AN47" s="538"/>
      <c r="AX47" s="403"/>
      <c r="AY47" s="403"/>
      <c r="AZ47" s="403"/>
      <c r="BA47" s="403"/>
    </row>
    <row r="48" spans="2:53" ht="20" x14ac:dyDescent="0.35">
      <c r="B48" s="537"/>
      <c r="C48" s="513"/>
      <c r="D48" s="511" t="s">
        <v>159</v>
      </c>
      <c r="E48" s="512" t="s">
        <v>730</v>
      </c>
      <c r="F48" s="513"/>
      <c r="G48" s="513"/>
      <c r="H48" s="513"/>
      <c r="I48" s="513"/>
      <c r="J48" s="513"/>
      <c r="K48" s="513"/>
      <c r="L48" s="513"/>
      <c r="M48" s="538"/>
      <c r="O48" s="538"/>
      <c r="P48" s="402"/>
      <c r="Q48" s="402"/>
      <c r="S48" s="425"/>
      <c r="T48" s="402"/>
      <c r="W48" s="425"/>
      <c r="X48" s="402"/>
      <c r="Z48" s="441" t="b">
        <v>1</v>
      </c>
      <c r="AA48" s="402" t="s">
        <v>65</v>
      </c>
      <c r="AB48" s="402"/>
      <c r="AC48" s="426"/>
      <c r="AD48" s="426"/>
      <c r="AE48" s="441"/>
      <c r="AF48" s="402" t="s">
        <v>11</v>
      </c>
      <c r="AG48" s="402"/>
      <c r="AI48" s="538"/>
      <c r="AJ48" s="538"/>
      <c r="AK48" s="538"/>
      <c r="AL48" s="538"/>
      <c r="AM48" s="539"/>
      <c r="AN48" s="538"/>
      <c r="AX48" s="403"/>
      <c r="AY48" s="403"/>
      <c r="AZ48" s="403"/>
      <c r="BA48" s="403"/>
    </row>
    <row r="49" spans="2:39" ht="8.15" customHeight="1" thickBot="1" x14ac:dyDescent="0.4">
      <c r="B49" s="532"/>
      <c r="C49" s="543"/>
      <c r="D49" s="543"/>
      <c r="E49" s="543"/>
      <c r="F49" s="543"/>
      <c r="G49" s="543"/>
      <c r="H49" s="543"/>
      <c r="I49" s="543"/>
      <c r="J49" s="543"/>
      <c r="K49" s="543"/>
      <c r="L49" s="543"/>
      <c r="M49" s="543"/>
      <c r="N49" s="543"/>
      <c r="O49" s="543"/>
      <c r="P49" s="543"/>
      <c r="Q49" s="543"/>
      <c r="R49" s="543"/>
      <c r="S49" s="543"/>
      <c r="T49" s="543"/>
      <c r="U49" s="543"/>
      <c r="V49" s="543"/>
      <c r="W49" s="543"/>
      <c r="X49" s="543"/>
      <c r="Y49" s="408"/>
      <c r="Z49" s="543"/>
      <c r="AA49" s="543"/>
      <c r="AB49" s="543"/>
      <c r="AC49" s="543"/>
      <c r="AD49" s="543"/>
      <c r="AE49" s="543"/>
      <c r="AF49" s="543"/>
      <c r="AG49" s="543"/>
      <c r="AH49" s="543"/>
      <c r="AI49" s="543"/>
      <c r="AJ49" s="543"/>
      <c r="AK49" s="543"/>
      <c r="AL49" s="543"/>
      <c r="AM49" s="544"/>
    </row>
    <row r="50" spans="2:39" s="44" customFormat="1" ht="30.75" customHeight="1" thickTop="1" x14ac:dyDescent="0.35">
      <c r="C50" s="85"/>
      <c r="E50" s="85"/>
      <c r="G50" s="85"/>
      <c r="I50" s="85"/>
      <c r="K50" s="85"/>
      <c r="M50" s="85"/>
      <c r="O50" s="85"/>
      <c r="Q50" s="85"/>
      <c r="T50" s="85"/>
      <c r="V50" s="85"/>
      <c r="X50" s="85"/>
      <c r="Y50" s="85"/>
      <c r="AA50" s="85"/>
      <c r="AC50" s="85"/>
      <c r="AE50" s="85"/>
      <c r="AG50" s="85"/>
      <c r="AI50" s="85"/>
      <c r="AK50" s="85"/>
      <c r="AM50" s="85"/>
    </row>
    <row r="51" spans="2:39" s="73" customFormat="1" ht="14" x14ac:dyDescent="0.3">
      <c r="B51" s="74" t="s">
        <v>12</v>
      </c>
      <c r="Z51" s="74" t="s">
        <v>921</v>
      </c>
    </row>
    <row r="52" spans="2:39" s="73" customFormat="1" ht="21.75" customHeight="1" x14ac:dyDescent="0.3">
      <c r="B52" s="74" t="s">
        <v>811</v>
      </c>
      <c r="F52" s="1482" t="str">
        <f>SchInfo!F38</f>
        <v>MELCHESIEDICK Q. BOLANIO/ March 17, 2023</v>
      </c>
      <c r="G52" s="1482"/>
      <c r="H52" s="1482"/>
      <c r="I52" s="1482"/>
      <c r="J52" s="1482"/>
      <c r="K52" s="1482"/>
      <c r="L52" s="1482"/>
      <c r="M52" s="1482"/>
      <c r="N52" s="1482"/>
      <c r="O52" s="1482"/>
      <c r="P52" s="1482"/>
      <c r="Q52" s="1482"/>
      <c r="R52" s="545"/>
      <c r="S52" s="545"/>
      <c r="T52" s="545"/>
      <c r="U52" s="545"/>
      <c r="Z52" s="1453" t="s">
        <v>12833</v>
      </c>
      <c r="AA52" s="1453"/>
      <c r="AB52" s="1453"/>
      <c r="AC52" s="1453"/>
      <c r="AD52" s="1453"/>
      <c r="AE52" s="1453"/>
      <c r="AF52" s="1453"/>
      <c r="AG52" s="1453"/>
      <c r="AH52" s="1453"/>
      <c r="AI52" s="1453"/>
      <c r="AJ52" s="1453"/>
      <c r="AK52" s="1453"/>
      <c r="AL52" s="1453"/>
      <c r="AM52" s="1453"/>
    </row>
    <row r="53" spans="2:39" s="68" customFormat="1" ht="13.5" x14ac:dyDescent="0.3">
      <c r="B53" s="210"/>
      <c r="F53" s="1452" t="s">
        <v>779</v>
      </c>
      <c r="G53" s="1452"/>
      <c r="H53" s="1452"/>
      <c r="I53" s="1452"/>
      <c r="J53" s="1452"/>
      <c r="K53" s="1452"/>
      <c r="L53" s="1452"/>
      <c r="M53" s="1452"/>
      <c r="N53" s="1452"/>
      <c r="O53" s="1452"/>
      <c r="P53" s="1452"/>
      <c r="Q53" s="1452"/>
      <c r="R53" s="220"/>
      <c r="S53" s="220"/>
      <c r="T53" s="220"/>
      <c r="U53" s="220"/>
      <c r="V53" s="64"/>
      <c r="W53" s="64"/>
      <c r="X53" s="64"/>
      <c r="Y53" s="64"/>
      <c r="Z53" s="1452" t="s">
        <v>779</v>
      </c>
      <c r="AA53" s="1452"/>
      <c r="AB53" s="1452"/>
      <c r="AC53" s="1452"/>
      <c r="AD53" s="1452"/>
      <c r="AE53" s="1452"/>
      <c r="AF53" s="1452"/>
      <c r="AG53" s="1452"/>
      <c r="AH53" s="1452"/>
      <c r="AI53" s="1452"/>
      <c r="AJ53" s="1452"/>
      <c r="AK53" s="1452"/>
      <c r="AL53" s="1452"/>
      <c r="AM53" s="1452"/>
    </row>
    <row r="54" spans="2:39" s="73" customFormat="1" ht="21.75" customHeight="1" x14ac:dyDescent="0.3">
      <c r="B54" s="74" t="s">
        <v>784</v>
      </c>
      <c r="F54" s="1482" t="str">
        <f>SchInfo!F40</f>
        <v>Principal IV</v>
      </c>
      <c r="G54" s="1482"/>
      <c r="H54" s="1482"/>
      <c r="I54" s="1482"/>
      <c r="J54" s="1482"/>
      <c r="K54" s="1482"/>
      <c r="L54" s="1482"/>
      <c r="M54" s="1482"/>
      <c r="N54" s="1482"/>
      <c r="O54" s="1482"/>
      <c r="P54" s="1482"/>
      <c r="Q54" s="1482"/>
      <c r="R54" s="545"/>
      <c r="S54" s="545"/>
      <c r="T54" s="545"/>
      <c r="U54" s="545"/>
      <c r="Z54" s="74" t="s">
        <v>784</v>
      </c>
      <c r="AD54" s="1453" t="s">
        <v>12832</v>
      </c>
      <c r="AE54" s="1453"/>
      <c r="AF54" s="1453"/>
      <c r="AG54" s="1453"/>
      <c r="AH54" s="1453"/>
      <c r="AI54" s="1453"/>
      <c r="AJ54" s="1453"/>
      <c r="AK54" s="1453"/>
      <c r="AL54" s="1453"/>
      <c r="AM54" s="1453"/>
    </row>
    <row r="55" spans="2:39" s="124" customFormat="1" ht="30.75" customHeight="1" x14ac:dyDescent="0.35">
      <c r="B55" s="123"/>
      <c r="D55" s="123"/>
      <c r="F55" s="123"/>
      <c r="H55" s="123"/>
      <c r="J55" s="123"/>
      <c r="L55" s="123"/>
      <c r="N55" s="44"/>
      <c r="O55" s="85"/>
      <c r="P55" s="44"/>
      <c r="Q55" s="85"/>
      <c r="R55" s="44"/>
      <c r="S55" s="85"/>
      <c r="T55" s="44"/>
      <c r="U55" s="85"/>
      <c r="V55" s="44"/>
      <c r="W55" s="85"/>
      <c r="X55" s="44"/>
      <c r="Y55" s="85"/>
      <c r="Z55" s="44"/>
      <c r="AA55" s="85"/>
      <c r="AB55" s="123"/>
      <c r="AD55" s="123"/>
      <c r="AF55" s="123"/>
      <c r="AH55" s="123"/>
      <c r="AJ55" s="123"/>
      <c r="AK55" s="123"/>
      <c r="AM55" s="123"/>
    </row>
    <row r="56" spans="2:39" s="73" customFormat="1" ht="14" x14ac:dyDescent="0.3">
      <c r="N56" s="74" t="s">
        <v>922</v>
      </c>
    </row>
    <row r="57" spans="2:39" s="73" customFormat="1" ht="21.75" customHeight="1" x14ac:dyDescent="0.3">
      <c r="N57" s="1484" t="str">
        <f>SchInfo!R38</f>
        <v>MICHAEL T. JAMIS   /  March 17, 2023</v>
      </c>
      <c r="O57" s="1484"/>
      <c r="P57" s="1484"/>
      <c r="Q57" s="1484"/>
      <c r="R57" s="1484"/>
      <c r="S57" s="1484"/>
      <c r="T57" s="1484"/>
      <c r="U57" s="1484"/>
      <c r="V57" s="1484"/>
      <c r="W57" s="1484"/>
      <c r="X57" s="1484"/>
      <c r="Y57" s="1484"/>
      <c r="Z57" s="1484"/>
      <c r="AA57" s="1484"/>
      <c r="AB57" s="74"/>
      <c r="AC57" s="74"/>
    </row>
    <row r="58" spans="2:39" s="68" customFormat="1" ht="15" customHeight="1" x14ac:dyDescent="0.3">
      <c r="N58" s="1485"/>
      <c r="O58" s="1485"/>
      <c r="P58" s="1485"/>
      <c r="Q58" s="1485"/>
      <c r="R58" s="1485"/>
      <c r="S58" s="1485"/>
      <c r="T58" s="1485"/>
      <c r="U58" s="1485"/>
      <c r="V58" s="1485"/>
      <c r="W58" s="1485"/>
      <c r="X58" s="1485"/>
      <c r="Y58" s="1485"/>
      <c r="Z58" s="1485"/>
      <c r="AA58" s="1485"/>
      <c r="AB58" s="74"/>
      <c r="AC58" s="74"/>
    </row>
    <row r="59" spans="2:39" s="546" customFormat="1" x14ac:dyDescent="0.35">
      <c r="N59" s="1452" t="s">
        <v>779</v>
      </c>
      <c r="O59" s="1452"/>
      <c r="P59" s="1452"/>
      <c r="Q59" s="1452"/>
      <c r="R59" s="1452"/>
      <c r="S59" s="1452"/>
      <c r="T59" s="1452"/>
      <c r="U59" s="1452"/>
      <c r="V59" s="1452"/>
      <c r="W59" s="1452"/>
      <c r="X59" s="1452"/>
      <c r="Y59" s="1452"/>
      <c r="Z59" s="1452"/>
      <c r="AA59" s="1452"/>
      <c r="AB59" s="172"/>
      <c r="AC59" s="172"/>
    </row>
    <row r="60" spans="2:39" x14ac:dyDescent="0.35">
      <c r="B60" s="44"/>
      <c r="C60" s="85"/>
      <c r="D60" s="44"/>
      <c r="E60" s="85"/>
      <c r="F60" s="44"/>
      <c r="G60" s="85"/>
      <c r="H60" s="44"/>
      <c r="I60" s="85"/>
      <c r="J60" s="44"/>
      <c r="K60" s="85"/>
      <c r="L60" s="44"/>
      <c r="M60" s="85"/>
      <c r="N60" s="85"/>
      <c r="O60" s="44"/>
      <c r="P60" s="85"/>
      <c r="Z60" s="547"/>
      <c r="AA60" s="547"/>
      <c r="AB60" s="44"/>
      <c r="AC60" s="85"/>
      <c r="AD60" s="44"/>
      <c r="AE60" s="85"/>
      <c r="AF60" s="44"/>
      <c r="AG60" s="85"/>
      <c r="AH60" s="44"/>
      <c r="AI60" s="85"/>
      <c r="AJ60" s="44"/>
      <c r="AK60" s="85"/>
      <c r="AL60" s="44"/>
      <c r="AM60" s="85"/>
    </row>
  </sheetData>
  <sheetProtection algorithmName="SHA-512" hashValue="c5csDygyIVPfMvAr5FWZZgdghbUyU6qUSoU0elTAp/+qQQnS4KzwNp0AwF6/AkoYUL4AQ/Cnv4ywRA77IF+IgA==" saltValue="bXrFkhDBOW93uhbZvJ/gVA==" spinCount="100000" sheet="1" objects="1" scenarios="1"/>
  <mergeCells count="21">
    <mergeCell ref="Z7:AF7"/>
    <mergeCell ref="Z20:AF20"/>
    <mergeCell ref="Z43:AF43"/>
    <mergeCell ref="Z45:AF45"/>
    <mergeCell ref="AE9:AK9"/>
    <mergeCell ref="Z52:AM52"/>
    <mergeCell ref="Z53:AM53"/>
    <mergeCell ref="AD54:AM54"/>
    <mergeCell ref="N57:AA58"/>
    <mergeCell ref="N59:AA59"/>
    <mergeCell ref="F54:Q54"/>
    <mergeCell ref="E20:X20"/>
    <mergeCell ref="E21:X21"/>
    <mergeCell ref="E30:X30"/>
    <mergeCell ref="E31:X31"/>
    <mergeCell ref="E32:X32"/>
    <mergeCell ref="E33:X33"/>
    <mergeCell ref="E34:X34"/>
    <mergeCell ref="E35:X35"/>
    <mergeCell ref="F52:Q52"/>
    <mergeCell ref="F53:Q53"/>
  </mergeCells>
  <dataValidations count="2">
    <dataValidation type="whole" allowBlank="1" showInputMessage="1" showErrorMessage="1" errorTitle="GJHSP SY 2022-2023" error="Please enter valid number 0-2,000." sqref="Z20:AF20" xr:uid="{A272DD34-37B0-40BF-8F45-EB62BC3DCDAF}">
      <formula1>0</formula1>
      <formula2>2000</formula2>
    </dataValidation>
    <dataValidation type="whole" allowBlank="1" showInputMessage="1" showErrorMessage="1" errorTitle="GJHSP SY 2022-2023" error="Please enter valid number between 0-40." sqref="Z7:AF7 Z43:AF43 Z45:AF45" xr:uid="{A821889F-C9E8-4AE5-8B34-16CDF631B551}">
      <formula1>0</formula1>
      <formula2>40</formula2>
    </dataValidation>
  </dataValidations>
  <printOptions horizontalCentered="1" verticalCentered="1"/>
  <pageMargins left="0.23622047244094491" right="0.23622047244094491" top="0.19685039370078741" bottom="0.19685039370078741" header="0" footer="0.11811023622047245"/>
  <pageSetup paperSize="14" scale="65" orientation="portrait" r:id="rId1"/>
  <headerFooter alignWithMargins="0">
    <oddFooter>&amp;L&amp;10&amp;F &amp;A&amp;R&amp;10Page 18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8673" r:id="rId4" name="Check Box 1">
              <controlPr defaultSize="0" autoFill="0" autoLine="0" autoPict="0">
                <anchor moveWithCells="1">
                  <from>
                    <xdr:col>24</xdr:col>
                    <xdr:colOff>266700</xdr:colOff>
                    <xdr:row>39</xdr:row>
                    <xdr:rowOff>63500</xdr:rowOff>
                  </from>
                  <to>
                    <xdr:col>25</xdr:col>
                    <xdr:colOff>203200</xdr:colOff>
                    <xdr:row>41</xdr:row>
                    <xdr:rowOff>25400</xdr:rowOff>
                  </to>
                </anchor>
              </controlPr>
            </control>
          </mc:Choice>
        </mc:AlternateContent>
        <mc:AlternateContent xmlns:mc="http://schemas.openxmlformats.org/markup-compatibility/2006">
          <mc:Choice Requires="x14">
            <control shapeId="28674" r:id="rId5" name="Check Box 2">
              <controlPr defaultSize="0" autoFill="0" autoLine="0" autoPict="0">
                <anchor moveWithCells="1">
                  <from>
                    <xdr:col>30</xdr:col>
                    <xdr:colOff>0</xdr:colOff>
                    <xdr:row>39</xdr:row>
                    <xdr:rowOff>63500</xdr:rowOff>
                  </from>
                  <to>
                    <xdr:col>30</xdr:col>
                    <xdr:colOff>215900</xdr:colOff>
                    <xdr:row>41</xdr:row>
                    <xdr:rowOff>25400</xdr:rowOff>
                  </to>
                </anchor>
              </controlPr>
            </control>
          </mc:Choice>
        </mc:AlternateContent>
        <mc:AlternateContent xmlns:mc="http://schemas.openxmlformats.org/markup-compatibility/2006">
          <mc:Choice Requires="x14">
            <control shapeId="28675" r:id="rId6" name="Check Box 3">
              <controlPr defaultSize="0" autoFill="0" autoLine="0" autoPict="0">
                <anchor moveWithCells="1">
                  <from>
                    <xdr:col>24</xdr:col>
                    <xdr:colOff>266700</xdr:colOff>
                    <xdr:row>42</xdr:row>
                    <xdr:rowOff>222250</xdr:rowOff>
                  </from>
                  <to>
                    <xdr:col>25</xdr:col>
                    <xdr:colOff>203200</xdr:colOff>
                    <xdr:row>44</xdr:row>
                    <xdr:rowOff>25400</xdr:rowOff>
                  </to>
                </anchor>
              </controlPr>
            </control>
          </mc:Choice>
        </mc:AlternateContent>
        <mc:AlternateContent xmlns:mc="http://schemas.openxmlformats.org/markup-compatibility/2006">
          <mc:Choice Requires="x14">
            <control shapeId="28676" r:id="rId7" name="Check Box 4">
              <controlPr defaultSize="0" autoFill="0" autoLine="0" autoPict="0">
                <anchor moveWithCells="1">
                  <from>
                    <xdr:col>29</xdr:col>
                    <xdr:colOff>266700</xdr:colOff>
                    <xdr:row>42</xdr:row>
                    <xdr:rowOff>222250</xdr:rowOff>
                  </from>
                  <to>
                    <xdr:col>30</xdr:col>
                    <xdr:colOff>203200</xdr:colOff>
                    <xdr:row>44</xdr:row>
                    <xdr:rowOff>25400</xdr:rowOff>
                  </to>
                </anchor>
              </controlPr>
            </control>
          </mc:Choice>
        </mc:AlternateContent>
        <mc:AlternateContent xmlns:mc="http://schemas.openxmlformats.org/markup-compatibility/2006">
          <mc:Choice Requires="x14">
            <control shapeId="28677" r:id="rId8" name="Check Box 5">
              <controlPr defaultSize="0" autoFill="0" autoLine="0" autoPict="0">
                <anchor moveWithCells="1">
                  <from>
                    <xdr:col>25</xdr:col>
                    <xdr:colOff>0</xdr:colOff>
                    <xdr:row>44</xdr:row>
                    <xdr:rowOff>228600</xdr:rowOff>
                  </from>
                  <to>
                    <xdr:col>25</xdr:col>
                    <xdr:colOff>215900</xdr:colOff>
                    <xdr:row>46</xdr:row>
                    <xdr:rowOff>31750</xdr:rowOff>
                  </to>
                </anchor>
              </controlPr>
            </control>
          </mc:Choice>
        </mc:AlternateContent>
        <mc:AlternateContent xmlns:mc="http://schemas.openxmlformats.org/markup-compatibility/2006">
          <mc:Choice Requires="x14">
            <control shapeId="28678" r:id="rId9" name="Check Box 6">
              <controlPr defaultSize="0" autoFill="0" autoLine="0" autoPict="0">
                <anchor moveWithCells="1">
                  <from>
                    <xdr:col>30</xdr:col>
                    <xdr:colOff>0</xdr:colOff>
                    <xdr:row>44</xdr:row>
                    <xdr:rowOff>222250</xdr:rowOff>
                  </from>
                  <to>
                    <xdr:col>30</xdr:col>
                    <xdr:colOff>215900</xdr:colOff>
                    <xdr:row>46</xdr:row>
                    <xdr:rowOff>25400</xdr:rowOff>
                  </to>
                </anchor>
              </controlPr>
            </control>
          </mc:Choice>
        </mc:AlternateContent>
        <mc:AlternateContent xmlns:mc="http://schemas.openxmlformats.org/markup-compatibility/2006">
          <mc:Choice Requires="x14">
            <control shapeId="28679" r:id="rId10" name="Check Box 7">
              <controlPr defaultSize="0" autoFill="0" autoLine="0" autoPict="0">
                <anchor moveWithCells="1">
                  <from>
                    <xdr:col>25</xdr:col>
                    <xdr:colOff>0</xdr:colOff>
                    <xdr:row>45</xdr:row>
                    <xdr:rowOff>215900</xdr:rowOff>
                  </from>
                  <to>
                    <xdr:col>25</xdr:col>
                    <xdr:colOff>215900</xdr:colOff>
                    <xdr:row>47</xdr:row>
                    <xdr:rowOff>25400</xdr:rowOff>
                  </to>
                </anchor>
              </controlPr>
            </control>
          </mc:Choice>
        </mc:AlternateContent>
        <mc:AlternateContent xmlns:mc="http://schemas.openxmlformats.org/markup-compatibility/2006">
          <mc:Choice Requires="x14">
            <control shapeId="28680" r:id="rId11" name="Check Box 8">
              <controlPr defaultSize="0" autoFill="0" autoLine="0" autoPict="0">
                <anchor moveWithCells="1">
                  <from>
                    <xdr:col>29</xdr:col>
                    <xdr:colOff>266700</xdr:colOff>
                    <xdr:row>45</xdr:row>
                    <xdr:rowOff>222250</xdr:rowOff>
                  </from>
                  <to>
                    <xdr:col>30</xdr:col>
                    <xdr:colOff>203200</xdr:colOff>
                    <xdr:row>47</xdr:row>
                    <xdr:rowOff>31750</xdr:rowOff>
                  </to>
                </anchor>
              </controlPr>
            </control>
          </mc:Choice>
        </mc:AlternateContent>
        <mc:AlternateContent xmlns:mc="http://schemas.openxmlformats.org/markup-compatibility/2006">
          <mc:Choice Requires="x14">
            <control shapeId="28681" r:id="rId12" name="Check Box 9">
              <controlPr defaultSize="0" autoFill="0" autoLine="0" autoPict="0">
                <anchor moveWithCells="1">
                  <from>
                    <xdr:col>24</xdr:col>
                    <xdr:colOff>266700</xdr:colOff>
                    <xdr:row>46</xdr:row>
                    <xdr:rowOff>215900</xdr:rowOff>
                  </from>
                  <to>
                    <xdr:col>25</xdr:col>
                    <xdr:colOff>203200</xdr:colOff>
                    <xdr:row>48</xdr:row>
                    <xdr:rowOff>25400</xdr:rowOff>
                  </to>
                </anchor>
              </controlPr>
            </control>
          </mc:Choice>
        </mc:AlternateContent>
        <mc:AlternateContent xmlns:mc="http://schemas.openxmlformats.org/markup-compatibility/2006">
          <mc:Choice Requires="x14">
            <control shapeId="28682" r:id="rId13" name="Check Box 10">
              <controlPr defaultSize="0" autoFill="0" autoLine="0" autoPict="0">
                <anchor moveWithCells="1">
                  <from>
                    <xdr:col>30</xdr:col>
                    <xdr:colOff>0</xdr:colOff>
                    <xdr:row>46</xdr:row>
                    <xdr:rowOff>228600</xdr:rowOff>
                  </from>
                  <to>
                    <xdr:col>30</xdr:col>
                    <xdr:colOff>215900</xdr:colOff>
                    <xdr:row>48</xdr:row>
                    <xdr:rowOff>38100</xdr:rowOff>
                  </to>
                </anchor>
              </controlPr>
            </control>
          </mc:Choice>
        </mc:AlternateContent>
        <mc:AlternateContent xmlns:mc="http://schemas.openxmlformats.org/markup-compatibility/2006">
          <mc:Choice Requires="x14">
            <control shapeId="28683" r:id="rId14" name="Check Box 11">
              <controlPr defaultSize="0" autoFill="0" autoLine="0" autoPict="0">
                <anchor moveWithCells="1">
                  <from>
                    <xdr:col>24</xdr:col>
                    <xdr:colOff>266700</xdr:colOff>
                    <xdr:row>3</xdr:row>
                    <xdr:rowOff>44450</xdr:rowOff>
                  </from>
                  <to>
                    <xdr:col>26</xdr:col>
                    <xdr:colOff>38100</xdr:colOff>
                    <xdr:row>5</xdr:row>
                    <xdr:rowOff>38100</xdr:rowOff>
                  </to>
                </anchor>
              </controlPr>
            </control>
          </mc:Choice>
        </mc:AlternateContent>
        <mc:AlternateContent xmlns:mc="http://schemas.openxmlformats.org/markup-compatibility/2006">
          <mc:Choice Requires="x14">
            <control shapeId="28684" r:id="rId15" name="Check Box 12">
              <controlPr defaultSize="0" autoFill="0" autoLine="0" autoPict="0">
                <anchor moveWithCells="1">
                  <from>
                    <xdr:col>29</xdr:col>
                    <xdr:colOff>266700</xdr:colOff>
                    <xdr:row>3</xdr:row>
                    <xdr:rowOff>31750</xdr:rowOff>
                  </from>
                  <to>
                    <xdr:col>30</xdr:col>
                    <xdr:colOff>203200</xdr:colOff>
                    <xdr:row>5</xdr:row>
                    <xdr:rowOff>25400</xdr:rowOff>
                  </to>
                </anchor>
              </controlPr>
            </control>
          </mc:Choice>
        </mc:AlternateContent>
        <mc:AlternateContent xmlns:mc="http://schemas.openxmlformats.org/markup-compatibility/2006">
          <mc:Choice Requires="x14">
            <control shapeId="28685" r:id="rId16" name="Check Box 13">
              <controlPr defaultSize="0" autoFill="0" autoLine="0" autoPict="0">
                <anchor moveWithCells="1">
                  <from>
                    <xdr:col>24</xdr:col>
                    <xdr:colOff>266700</xdr:colOff>
                    <xdr:row>4</xdr:row>
                    <xdr:rowOff>222250</xdr:rowOff>
                  </from>
                  <to>
                    <xdr:col>25</xdr:col>
                    <xdr:colOff>203200</xdr:colOff>
                    <xdr:row>6</xdr:row>
                    <xdr:rowOff>25400</xdr:rowOff>
                  </to>
                </anchor>
              </controlPr>
            </control>
          </mc:Choice>
        </mc:AlternateContent>
        <mc:AlternateContent xmlns:mc="http://schemas.openxmlformats.org/markup-compatibility/2006">
          <mc:Choice Requires="x14">
            <control shapeId="28686" r:id="rId17" name="Check Box 14">
              <controlPr defaultSize="0" autoFill="0" autoLine="0" autoPict="0">
                <anchor moveWithCells="1">
                  <from>
                    <xdr:col>29</xdr:col>
                    <xdr:colOff>266700</xdr:colOff>
                    <xdr:row>4</xdr:row>
                    <xdr:rowOff>228600</xdr:rowOff>
                  </from>
                  <to>
                    <xdr:col>30</xdr:col>
                    <xdr:colOff>203200</xdr:colOff>
                    <xdr:row>6</xdr:row>
                    <xdr:rowOff>25400</xdr:rowOff>
                  </to>
                </anchor>
              </controlPr>
            </control>
          </mc:Choice>
        </mc:AlternateContent>
        <mc:AlternateContent xmlns:mc="http://schemas.openxmlformats.org/markup-compatibility/2006">
          <mc:Choice Requires="x14">
            <control shapeId="28687" r:id="rId18" name="Check Box 15">
              <controlPr defaultSize="0" autoFill="0" autoLine="0" autoPict="0">
                <anchor moveWithCells="1">
                  <from>
                    <xdr:col>6</xdr:col>
                    <xdr:colOff>12700</xdr:colOff>
                    <xdr:row>7</xdr:row>
                    <xdr:rowOff>165100</xdr:rowOff>
                  </from>
                  <to>
                    <xdr:col>6</xdr:col>
                    <xdr:colOff>222250</xdr:colOff>
                    <xdr:row>9</xdr:row>
                    <xdr:rowOff>25400</xdr:rowOff>
                  </to>
                </anchor>
              </controlPr>
            </control>
          </mc:Choice>
        </mc:AlternateContent>
        <mc:AlternateContent xmlns:mc="http://schemas.openxmlformats.org/markup-compatibility/2006">
          <mc:Choice Requires="x14">
            <control shapeId="28688" r:id="rId19" name="Check Box 16">
              <controlPr defaultSize="0" autoFill="0" autoLine="0" autoPict="0">
                <anchor moveWithCells="1">
                  <from>
                    <xdr:col>6</xdr:col>
                    <xdr:colOff>12700</xdr:colOff>
                    <xdr:row>8</xdr:row>
                    <xdr:rowOff>241300</xdr:rowOff>
                  </from>
                  <to>
                    <xdr:col>6</xdr:col>
                    <xdr:colOff>222250</xdr:colOff>
                    <xdr:row>10</xdr:row>
                    <xdr:rowOff>44450</xdr:rowOff>
                  </to>
                </anchor>
              </controlPr>
            </control>
          </mc:Choice>
        </mc:AlternateContent>
        <mc:AlternateContent xmlns:mc="http://schemas.openxmlformats.org/markup-compatibility/2006">
          <mc:Choice Requires="x14">
            <control shapeId="28689" r:id="rId20" name="Check Box 17">
              <controlPr defaultSize="0" autoFill="0" autoLine="0" autoPict="0">
                <anchor moveWithCells="1">
                  <from>
                    <xdr:col>15</xdr:col>
                    <xdr:colOff>25400</xdr:colOff>
                    <xdr:row>7</xdr:row>
                    <xdr:rowOff>165100</xdr:rowOff>
                  </from>
                  <to>
                    <xdr:col>15</xdr:col>
                    <xdr:colOff>228600</xdr:colOff>
                    <xdr:row>9</xdr:row>
                    <xdr:rowOff>25400</xdr:rowOff>
                  </to>
                </anchor>
              </controlPr>
            </control>
          </mc:Choice>
        </mc:AlternateContent>
        <mc:AlternateContent xmlns:mc="http://schemas.openxmlformats.org/markup-compatibility/2006">
          <mc:Choice Requires="x14">
            <control shapeId="28690" r:id="rId21" name="Check Box 18">
              <controlPr defaultSize="0" autoFill="0" autoLine="0" autoPict="0">
                <anchor moveWithCells="1">
                  <from>
                    <xdr:col>15</xdr:col>
                    <xdr:colOff>31750</xdr:colOff>
                    <xdr:row>8</xdr:row>
                    <xdr:rowOff>215900</xdr:rowOff>
                  </from>
                  <to>
                    <xdr:col>15</xdr:col>
                    <xdr:colOff>241300</xdr:colOff>
                    <xdr:row>10</xdr:row>
                    <xdr:rowOff>25400</xdr:rowOff>
                  </to>
                </anchor>
              </controlPr>
            </control>
          </mc:Choice>
        </mc:AlternateContent>
        <mc:AlternateContent xmlns:mc="http://schemas.openxmlformats.org/markup-compatibility/2006">
          <mc:Choice Requires="x14">
            <control shapeId="28691" r:id="rId22" name="Check Box 19">
              <controlPr defaultSize="0" autoFill="0" autoLine="0" autoPict="0">
                <anchor moveWithCells="1">
                  <from>
                    <xdr:col>5</xdr:col>
                    <xdr:colOff>266700</xdr:colOff>
                    <xdr:row>10</xdr:row>
                    <xdr:rowOff>215900</xdr:rowOff>
                  </from>
                  <to>
                    <xdr:col>6</xdr:col>
                    <xdr:colOff>203200</xdr:colOff>
                    <xdr:row>12</xdr:row>
                    <xdr:rowOff>25400</xdr:rowOff>
                  </to>
                </anchor>
              </controlPr>
            </control>
          </mc:Choice>
        </mc:AlternateContent>
        <mc:AlternateContent xmlns:mc="http://schemas.openxmlformats.org/markup-compatibility/2006">
          <mc:Choice Requires="x14">
            <control shapeId="28692" r:id="rId23" name="Check Box 20">
              <controlPr defaultSize="0" autoFill="0" autoLine="0" autoPict="0">
                <anchor moveWithCells="1">
                  <from>
                    <xdr:col>5</xdr:col>
                    <xdr:colOff>260350</xdr:colOff>
                    <xdr:row>11</xdr:row>
                    <xdr:rowOff>215900</xdr:rowOff>
                  </from>
                  <to>
                    <xdr:col>6</xdr:col>
                    <xdr:colOff>196850</xdr:colOff>
                    <xdr:row>13</xdr:row>
                    <xdr:rowOff>12700</xdr:rowOff>
                  </to>
                </anchor>
              </controlPr>
            </control>
          </mc:Choice>
        </mc:AlternateContent>
        <mc:AlternateContent xmlns:mc="http://schemas.openxmlformats.org/markup-compatibility/2006">
          <mc:Choice Requires="x14">
            <control shapeId="28693" r:id="rId24" name="Check Box 21">
              <controlPr defaultSize="0" autoFill="0" autoLine="0" autoPict="0">
                <anchor moveWithCells="1">
                  <from>
                    <xdr:col>14</xdr:col>
                    <xdr:colOff>266700</xdr:colOff>
                    <xdr:row>10</xdr:row>
                    <xdr:rowOff>222250</xdr:rowOff>
                  </from>
                  <to>
                    <xdr:col>15</xdr:col>
                    <xdr:colOff>203200</xdr:colOff>
                    <xdr:row>12</xdr:row>
                    <xdr:rowOff>31750</xdr:rowOff>
                  </to>
                </anchor>
              </controlPr>
            </control>
          </mc:Choice>
        </mc:AlternateContent>
        <mc:AlternateContent xmlns:mc="http://schemas.openxmlformats.org/markup-compatibility/2006">
          <mc:Choice Requires="x14">
            <control shapeId="28694" r:id="rId25" name="Check Box 22">
              <controlPr defaultSize="0" autoFill="0" autoLine="0" autoPict="0">
                <anchor moveWithCells="1">
                  <from>
                    <xdr:col>14</xdr:col>
                    <xdr:colOff>266700</xdr:colOff>
                    <xdr:row>11</xdr:row>
                    <xdr:rowOff>234950</xdr:rowOff>
                  </from>
                  <to>
                    <xdr:col>15</xdr:col>
                    <xdr:colOff>203200</xdr:colOff>
                    <xdr:row>13</xdr:row>
                    <xdr:rowOff>31750</xdr:rowOff>
                  </to>
                </anchor>
              </controlPr>
            </control>
          </mc:Choice>
        </mc:AlternateContent>
        <mc:AlternateContent xmlns:mc="http://schemas.openxmlformats.org/markup-compatibility/2006">
          <mc:Choice Requires="x14">
            <control shapeId="28695" r:id="rId26" name="Check Box 23">
              <controlPr defaultSize="0" autoFill="0" autoLine="0" autoPict="0">
                <anchor moveWithCells="1">
                  <from>
                    <xdr:col>24</xdr:col>
                    <xdr:colOff>266700</xdr:colOff>
                    <xdr:row>10</xdr:row>
                    <xdr:rowOff>203200</xdr:rowOff>
                  </from>
                  <to>
                    <xdr:col>25</xdr:col>
                    <xdr:colOff>203200</xdr:colOff>
                    <xdr:row>12</xdr:row>
                    <xdr:rowOff>12700</xdr:rowOff>
                  </to>
                </anchor>
              </controlPr>
            </control>
          </mc:Choice>
        </mc:AlternateContent>
        <mc:AlternateContent xmlns:mc="http://schemas.openxmlformats.org/markup-compatibility/2006">
          <mc:Choice Requires="x14">
            <control shapeId="28696" r:id="rId27" name="Check Box 24">
              <controlPr defaultSize="0" autoFill="0" autoLine="0" autoPict="0">
                <anchor moveWithCells="1">
                  <from>
                    <xdr:col>24</xdr:col>
                    <xdr:colOff>266700</xdr:colOff>
                    <xdr:row>12</xdr:row>
                    <xdr:rowOff>222250</xdr:rowOff>
                  </from>
                  <to>
                    <xdr:col>25</xdr:col>
                    <xdr:colOff>203200</xdr:colOff>
                    <xdr:row>14</xdr:row>
                    <xdr:rowOff>25400</xdr:rowOff>
                  </to>
                </anchor>
              </controlPr>
            </control>
          </mc:Choice>
        </mc:AlternateContent>
        <mc:AlternateContent xmlns:mc="http://schemas.openxmlformats.org/markup-compatibility/2006">
          <mc:Choice Requires="x14">
            <control shapeId="28697" r:id="rId28" name="Check Box 25">
              <controlPr defaultSize="0" autoFill="0" autoLine="0" autoPict="0">
                <anchor moveWithCells="1">
                  <from>
                    <xdr:col>29</xdr:col>
                    <xdr:colOff>266700</xdr:colOff>
                    <xdr:row>12</xdr:row>
                    <xdr:rowOff>222250</xdr:rowOff>
                  </from>
                  <to>
                    <xdr:col>30</xdr:col>
                    <xdr:colOff>203200</xdr:colOff>
                    <xdr:row>14</xdr:row>
                    <xdr:rowOff>25400</xdr:rowOff>
                  </to>
                </anchor>
              </controlPr>
            </control>
          </mc:Choice>
        </mc:AlternateContent>
        <mc:AlternateContent xmlns:mc="http://schemas.openxmlformats.org/markup-compatibility/2006">
          <mc:Choice Requires="x14">
            <control shapeId="28698" r:id="rId29" name="Check Box 26">
              <controlPr defaultSize="0" autoFill="0" autoLine="0" autoPict="0">
                <anchor moveWithCells="1">
                  <from>
                    <xdr:col>24</xdr:col>
                    <xdr:colOff>266700</xdr:colOff>
                    <xdr:row>13</xdr:row>
                    <xdr:rowOff>222250</xdr:rowOff>
                  </from>
                  <to>
                    <xdr:col>25</xdr:col>
                    <xdr:colOff>203200</xdr:colOff>
                    <xdr:row>15</xdr:row>
                    <xdr:rowOff>25400</xdr:rowOff>
                  </to>
                </anchor>
              </controlPr>
            </control>
          </mc:Choice>
        </mc:AlternateContent>
        <mc:AlternateContent xmlns:mc="http://schemas.openxmlformats.org/markup-compatibility/2006">
          <mc:Choice Requires="x14">
            <control shapeId="28699" r:id="rId30" name="Check Box 27">
              <controlPr defaultSize="0" autoFill="0" autoLine="0" autoPict="0">
                <anchor moveWithCells="1">
                  <from>
                    <xdr:col>29</xdr:col>
                    <xdr:colOff>266700</xdr:colOff>
                    <xdr:row>13</xdr:row>
                    <xdr:rowOff>228600</xdr:rowOff>
                  </from>
                  <to>
                    <xdr:col>30</xdr:col>
                    <xdr:colOff>203200</xdr:colOff>
                    <xdr:row>15</xdr:row>
                    <xdr:rowOff>25400</xdr:rowOff>
                  </to>
                </anchor>
              </controlPr>
            </control>
          </mc:Choice>
        </mc:AlternateContent>
        <mc:AlternateContent xmlns:mc="http://schemas.openxmlformats.org/markup-compatibility/2006">
          <mc:Choice Requires="x14">
            <control shapeId="28700" r:id="rId31" name="Check Box 28">
              <controlPr defaultSize="0" autoFill="0" autoLine="0" autoPict="0">
                <anchor moveWithCells="1">
                  <from>
                    <xdr:col>24</xdr:col>
                    <xdr:colOff>266700</xdr:colOff>
                    <xdr:row>14</xdr:row>
                    <xdr:rowOff>228600</xdr:rowOff>
                  </from>
                  <to>
                    <xdr:col>25</xdr:col>
                    <xdr:colOff>203200</xdr:colOff>
                    <xdr:row>16</xdr:row>
                    <xdr:rowOff>25400</xdr:rowOff>
                  </to>
                </anchor>
              </controlPr>
            </control>
          </mc:Choice>
        </mc:AlternateContent>
        <mc:AlternateContent xmlns:mc="http://schemas.openxmlformats.org/markup-compatibility/2006">
          <mc:Choice Requires="x14">
            <control shapeId="28701" r:id="rId32" name="Check Box 29">
              <controlPr defaultSize="0" autoFill="0" autoLine="0" autoPict="0">
                <anchor moveWithCells="1">
                  <from>
                    <xdr:col>29</xdr:col>
                    <xdr:colOff>266700</xdr:colOff>
                    <xdr:row>14</xdr:row>
                    <xdr:rowOff>228600</xdr:rowOff>
                  </from>
                  <to>
                    <xdr:col>30</xdr:col>
                    <xdr:colOff>203200</xdr:colOff>
                    <xdr:row>16</xdr:row>
                    <xdr:rowOff>25400</xdr:rowOff>
                  </to>
                </anchor>
              </controlPr>
            </control>
          </mc:Choice>
        </mc:AlternateContent>
        <mc:AlternateContent xmlns:mc="http://schemas.openxmlformats.org/markup-compatibility/2006">
          <mc:Choice Requires="x14">
            <control shapeId="28702" r:id="rId33" name="Check Box 30">
              <controlPr defaultSize="0" autoFill="0" autoLine="0" autoPict="0">
                <anchor moveWithCells="1">
                  <from>
                    <xdr:col>25</xdr:col>
                    <xdr:colOff>0</xdr:colOff>
                    <xdr:row>15</xdr:row>
                    <xdr:rowOff>222250</xdr:rowOff>
                  </from>
                  <to>
                    <xdr:col>25</xdr:col>
                    <xdr:colOff>215900</xdr:colOff>
                    <xdr:row>17</xdr:row>
                    <xdr:rowOff>25400</xdr:rowOff>
                  </to>
                </anchor>
              </controlPr>
            </control>
          </mc:Choice>
        </mc:AlternateContent>
        <mc:AlternateContent xmlns:mc="http://schemas.openxmlformats.org/markup-compatibility/2006">
          <mc:Choice Requires="x14">
            <control shapeId="28703" r:id="rId34" name="Check Box 31">
              <controlPr defaultSize="0" autoFill="0" autoLine="0" autoPict="0">
                <anchor moveWithCells="1">
                  <from>
                    <xdr:col>30</xdr:col>
                    <xdr:colOff>0</xdr:colOff>
                    <xdr:row>15</xdr:row>
                    <xdr:rowOff>222250</xdr:rowOff>
                  </from>
                  <to>
                    <xdr:col>30</xdr:col>
                    <xdr:colOff>215900</xdr:colOff>
                    <xdr:row>17</xdr:row>
                    <xdr:rowOff>25400</xdr:rowOff>
                  </to>
                </anchor>
              </controlPr>
            </control>
          </mc:Choice>
        </mc:AlternateContent>
        <mc:AlternateContent xmlns:mc="http://schemas.openxmlformats.org/markup-compatibility/2006">
          <mc:Choice Requires="x14">
            <control shapeId="28704" r:id="rId35" name="Check Box 32">
              <controlPr defaultSize="0" autoFill="0" autoLine="0" autoPict="0">
                <anchor moveWithCells="1">
                  <from>
                    <xdr:col>24</xdr:col>
                    <xdr:colOff>266700</xdr:colOff>
                    <xdr:row>16</xdr:row>
                    <xdr:rowOff>228600</xdr:rowOff>
                  </from>
                  <to>
                    <xdr:col>25</xdr:col>
                    <xdr:colOff>203200</xdr:colOff>
                    <xdr:row>18</xdr:row>
                    <xdr:rowOff>25400</xdr:rowOff>
                  </to>
                </anchor>
              </controlPr>
            </control>
          </mc:Choice>
        </mc:AlternateContent>
        <mc:AlternateContent xmlns:mc="http://schemas.openxmlformats.org/markup-compatibility/2006">
          <mc:Choice Requires="x14">
            <control shapeId="28705" r:id="rId36" name="Check Box 33">
              <controlPr defaultSize="0" autoFill="0" autoLine="0" autoPict="0">
                <anchor moveWithCells="1">
                  <from>
                    <xdr:col>29</xdr:col>
                    <xdr:colOff>266700</xdr:colOff>
                    <xdr:row>16</xdr:row>
                    <xdr:rowOff>222250</xdr:rowOff>
                  </from>
                  <to>
                    <xdr:col>30</xdr:col>
                    <xdr:colOff>203200</xdr:colOff>
                    <xdr:row>18</xdr:row>
                    <xdr:rowOff>25400</xdr:rowOff>
                  </to>
                </anchor>
              </controlPr>
            </control>
          </mc:Choice>
        </mc:AlternateContent>
        <mc:AlternateContent xmlns:mc="http://schemas.openxmlformats.org/markup-compatibility/2006">
          <mc:Choice Requires="x14">
            <control shapeId="28706" r:id="rId37" name="Check Box 34">
              <controlPr defaultSize="0" autoFill="0" autoLine="0" autoPict="0">
                <anchor moveWithCells="1">
                  <from>
                    <xdr:col>24</xdr:col>
                    <xdr:colOff>266700</xdr:colOff>
                    <xdr:row>17</xdr:row>
                    <xdr:rowOff>215900</xdr:rowOff>
                  </from>
                  <to>
                    <xdr:col>25</xdr:col>
                    <xdr:colOff>203200</xdr:colOff>
                    <xdr:row>19</xdr:row>
                    <xdr:rowOff>12700</xdr:rowOff>
                  </to>
                </anchor>
              </controlPr>
            </control>
          </mc:Choice>
        </mc:AlternateContent>
        <mc:AlternateContent xmlns:mc="http://schemas.openxmlformats.org/markup-compatibility/2006">
          <mc:Choice Requires="x14">
            <control shapeId="28707" r:id="rId38" name="Check Box 35">
              <controlPr defaultSize="0" autoFill="0" autoLine="0" autoPict="0">
                <anchor moveWithCells="1">
                  <from>
                    <xdr:col>29</xdr:col>
                    <xdr:colOff>266700</xdr:colOff>
                    <xdr:row>17</xdr:row>
                    <xdr:rowOff>228600</xdr:rowOff>
                  </from>
                  <to>
                    <xdr:col>30</xdr:col>
                    <xdr:colOff>203200</xdr:colOff>
                    <xdr:row>19</xdr:row>
                    <xdr:rowOff>25400</xdr:rowOff>
                  </to>
                </anchor>
              </controlPr>
            </control>
          </mc:Choice>
        </mc:AlternateContent>
        <mc:AlternateContent xmlns:mc="http://schemas.openxmlformats.org/markup-compatibility/2006">
          <mc:Choice Requires="x14">
            <control shapeId="28708" r:id="rId39" name="Check Box 36">
              <controlPr defaultSize="0" autoFill="0" autoLine="0" autoPict="0">
                <anchor moveWithCells="1">
                  <from>
                    <xdr:col>24</xdr:col>
                    <xdr:colOff>266700</xdr:colOff>
                    <xdr:row>20</xdr:row>
                    <xdr:rowOff>38100</xdr:rowOff>
                  </from>
                  <to>
                    <xdr:col>25</xdr:col>
                    <xdr:colOff>203200</xdr:colOff>
                    <xdr:row>20</xdr:row>
                    <xdr:rowOff>355600</xdr:rowOff>
                  </to>
                </anchor>
              </controlPr>
            </control>
          </mc:Choice>
        </mc:AlternateContent>
        <mc:AlternateContent xmlns:mc="http://schemas.openxmlformats.org/markup-compatibility/2006">
          <mc:Choice Requires="x14">
            <control shapeId="28709" r:id="rId40" name="Check Box 37">
              <controlPr defaultSize="0" autoFill="0" autoLine="0" autoPict="0">
                <anchor moveWithCells="1">
                  <from>
                    <xdr:col>29</xdr:col>
                    <xdr:colOff>266700</xdr:colOff>
                    <xdr:row>20</xdr:row>
                    <xdr:rowOff>44450</xdr:rowOff>
                  </from>
                  <to>
                    <xdr:col>30</xdr:col>
                    <xdr:colOff>203200</xdr:colOff>
                    <xdr:row>20</xdr:row>
                    <xdr:rowOff>368300</xdr:rowOff>
                  </to>
                </anchor>
              </controlPr>
            </control>
          </mc:Choice>
        </mc:AlternateContent>
        <mc:AlternateContent xmlns:mc="http://schemas.openxmlformats.org/markup-compatibility/2006">
          <mc:Choice Requires="x14">
            <control shapeId="28710" r:id="rId41" name="Check Box 38">
              <controlPr defaultSize="0" autoFill="0" autoLine="0" autoPict="0">
                <anchor moveWithCells="1">
                  <from>
                    <xdr:col>28</xdr:col>
                    <xdr:colOff>260350</xdr:colOff>
                    <xdr:row>26</xdr:row>
                    <xdr:rowOff>38100</xdr:rowOff>
                  </from>
                  <to>
                    <xdr:col>29</xdr:col>
                    <xdr:colOff>196850</xdr:colOff>
                    <xdr:row>28</xdr:row>
                    <xdr:rowOff>101600</xdr:rowOff>
                  </to>
                </anchor>
              </controlPr>
            </control>
          </mc:Choice>
        </mc:AlternateContent>
        <mc:AlternateContent xmlns:mc="http://schemas.openxmlformats.org/markup-compatibility/2006">
          <mc:Choice Requires="x14">
            <control shapeId="28711" r:id="rId42" name="Check Box 39">
              <controlPr defaultSize="0" autoFill="0" autoLine="0" autoPict="0">
                <anchor moveWithCells="1">
                  <from>
                    <xdr:col>33</xdr:col>
                    <xdr:colOff>266700</xdr:colOff>
                    <xdr:row>26</xdr:row>
                    <xdr:rowOff>38100</xdr:rowOff>
                  </from>
                  <to>
                    <xdr:col>34</xdr:col>
                    <xdr:colOff>203200</xdr:colOff>
                    <xdr:row>28</xdr:row>
                    <xdr:rowOff>101600</xdr:rowOff>
                  </to>
                </anchor>
              </controlPr>
            </control>
          </mc:Choice>
        </mc:AlternateContent>
        <mc:AlternateContent xmlns:mc="http://schemas.openxmlformats.org/markup-compatibility/2006">
          <mc:Choice Requires="x14">
            <control shapeId="28712" r:id="rId43" name="Check Box 40">
              <controlPr defaultSize="0" autoFill="0" autoLine="0" autoPict="0">
                <anchor moveWithCells="1">
                  <from>
                    <xdr:col>28</xdr:col>
                    <xdr:colOff>266700</xdr:colOff>
                    <xdr:row>27</xdr:row>
                    <xdr:rowOff>228600</xdr:rowOff>
                  </from>
                  <to>
                    <xdr:col>29</xdr:col>
                    <xdr:colOff>203200</xdr:colOff>
                    <xdr:row>29</xdr:row>
                    <xdr:rowOff>127000</xdr:rowOff>
                  </to>
                </anchor>
              </controlPr>
            </control>
          </mc:Choice>
        </mc:AlternateContent>
        <mc:AlternateContent xmlns:mc="http://schemas.openxmlformats.org/markup-compatibility/2006">
          <mc:Choice Requires="x14">
            <control shapeId="28713" r:id="rId44" name="Check Box 41">
              <controlPr defaultSize="0" autoFill="0" autoLine="0" autoPict="0">
                <anchor moveWithCells="1">
                  <from>
                    <xdr:col>33</xdr:col>
                    <xdr:colOff>266700</xdr:colOff>
                    <xdr:row>27</xdr:row>
                    <xdr:rowOff>234950</xdr:rowOff>
                  </from>
                  <to>
                    <xdr:col>34</xdr:col>
                    <xdr:colOff>203200</xdr:colOff>
                    <xdr:row>29</xdr:row>
                    <xdr:rowOff>127000</xdr:rowOff>
                  </to>
                </anchor>
              </controlPr>
            </control>
          </mc:Choice>
        </mc:AlternateContent>
        <mc:AlternateContent xmlns:mc="http://schemas.openxmlformats.org/markup-compatibility/2006">
          <mc:Choice Requires="x14">
            <control shapeId="28714" r:id="rId45" name="Check Box 42">
              <controlPr defaultSize="0" autoFill="0" autoLine="0" autoPict="0">
                <anchor moveWithCells="1">
                  <from>
                    <xdr:col>28</xdr:col>
                    <xdr:colOff>266700</xdr:colOff>
                    <xdr:row>29</xdr:row>
                    <xdr:rowOff>44450</xdr:rowOff>
                  </from>
                  <to>
                    <xdr:col>29</xdr:col>
                    <xdr:colOff>203200</xdr:colOff>
                    <xdr:row>29</xdr:row>
                    <xdr:rowOff>368300</xdr:rowOff>
                  </to>
                </anchor>
              </controlPr>
            </control>
          </mc:Choice>
        </mc:AlternateContent>
        <mc:AlternateContent xmlns:mc="http://schemas.openxmlformats.org/markup-compatibility/2006">
          <mc:Choice Requires="x14">
            <control shapeId="28715" r:id="rId46" name="Check Box 43">
              <controlPr defaultSize="0" autoFill="0" autoLine="0" autoPict="0">
                <anchor moveWithCells="1">
                  <from>
                    <xdr:col>33</xdr:col>
                    <xdr:colOff>266700</xdr:colOff>
                    <xdr:row>29</xdr:row>
                    <xdr:rowOff>44450</xdr:rowOff>
                  </from>
                  <to>
                    <xdr:col>34</xdr:col>
                    <xdr:colOff>203200</xdr:colOff>
                    <xdr:row>29</xdr:row>
                    <xdr:rowOff>368300</xdr:rowOff>
                  </to>
                </anchor>
              </controlPr>
            </control>
          </mc:Choice>
        </mc:AlternateContent>
        <mc:AlternateContent xmlns:mc="http://schemas.openxmlformats.org/markup-compatibility/2006">
          <mc:Choice Requires="x14">
            <control shapeId="28716" r:id="rId47" name="Check Box 44">
              <controlPr defaultSize="0" autoFill="0" autoLine="0" autoPict="0">
                <anchor moveWithCells="1">
                  <from>
                    <xdr:col>28</xdr:col>
                    <xdr:colOff>266700</xdr:colOff>
                    <xdr:row>30</xdr:row>
                    <xdr:rowOff>44450</xdr:rowOff>
                  </from>
                  <to>
                    <xdr:col>29</xdr:col>
                    <xdr:colOff>203200</xdr:colOff>
                    <xdr:row>30</xdr:row>
                    <xdr:rowOff>368300</xdr:rowOff>
                  </to>
                </anchor>
              </controlPr>
            </control>
          </mc:Choice>
        </mc:AlternateContent>
        <mc:AlternateContent xmlns:mc="http://schemas.openxmlformats.org/markup-compatibility/2006">
          <mc:Choice Requires="x14">
            <control shapeId="28717" r:id="rId48" name="Check Box 45">
              <controlPr defaultSize="0" autoFill="0" autoLine="0" autoPict="0">
                <anchor moveWithCells="1">
                  <from>
                    <xdr:col>33</xdr:col>
                    <xdr:colOff>266700</xdr:colOff>
                    <xdr:row>30</xdr:row>
                    <xdr:rowOff>44450</xdr:rowOff>
                  </from>
                  <to>
                    <xdr:col>34</xdr:col>
                    <xdr:colOff>203200</xdr:colOff>
                    <xdr:row>30</xdr:row>
                    <xdr:rowOff>368300</xdr:rowOff>
                  </to>
                </anchor>
              </controlPr>
            </control>
          </mc:Choice>
        </mc:AlternateContent>
        <mc:AlternateContent xmlns:mc="http://schemas.openxmlformats.org/markup-compatibility/2006">
          <mc:Choice Requires="x14">
            <control shapeId="28718" r:id="rId49" name="Check Box 46">
              <controlPr defaultSize="0" autoFill="0" autoLine="0" autoPict="0">
                <anchor moveWithCells="1">
                  <from>
                    <xdr:col>28</xdr:col>
                    <xdr:colOff>266700</xdr:colOff>
                    <xdr:row>31</xdr:row>
                    <xdr:rowOff>50800</xdr:rowOff>
                  </from>
                  <to>
                    <xdr:col>29</xdr:col>
                    <xdr:colOff>203200</xdr:colOff>
                    <xdr:row>31</xdr:row>
                    <xdr:rowOff>368300</xdr:rowOff>
                  </to>
                </anchor>
              </controlPr>
            </control>
          </mc:Choice>
        </mc:AlternateContent>
        <mc:AlternateContent xmlns:mc="http://schemas.openxmlformats.org/markup-compatibility/2006">
          <mc:Choice Requires="x14">
            <control shapeId="28719" r:id="rId50" name="Check Box 47">
              <controlPr defaultSize="0" autoFill="0" autoLine="0" autoPict="0">
                <anchor moveWithCells="1">
                  <from>
                    <xdr:col>33</xdr:col>
                    <xdr:colOff>266700</xdr:colOff>
                    <xdr:row>31</xdr:row>
                    <xdr:rowOff>50800</xdr:rowOff>
                  </from>
                  <to>
                    <xdr:col>34</xdr:col>
                    <xdr:colOff>203200</xdr:colOff>
                    <xdr:row>31</xdr:row>
                    <xdr:rowOff>368300</xdr:rowOff>
                  </to>
                </anchor>
              </controlPr>
            </control>
          </mc:Choice>
        </mc:AlternateContent>
        <mc:AlternateContent xmlns:mc="http://schemas.openxmlformats.org/markup-compatibility/2006">
          <mc:Choice Requires="x14">
            <control shapeId="28720" r:id="rId51" name="Check Box 48">
              <controlPr defaultSize="0" autoFill="0" autoLine="0" autoPict="0">
                <anchor moveWithCells="1">
                  <from>
                    <xdr:col>28</xdr:col>
                    <xdr:colOff>266700</xdr:colOff>
                    <xdr:row>31</xdr:row>
                    <xdr:rowOff>387350</xdr:rowOff>
                  </from>
                  <to>
                    <xdr:col>29</xdr:col>
                    <xdr:colOff>203200</xdr:colOff>
                    <xdr:row>33</xdr:row>
                    <xdr:rowOff>82550</xdr:rowOff>
                  </to>
                </anchor>
              </controlPr>
            </control>
          </mc:Choice>
        </mc:AlternateContent>
        <mc:AlternateContent xmlns:mc="http://schemas.openxmlformats.org/markup-compatibility/2006">
          <mc:Choice Requires="x14">
            <control shapeId="28721" r:id="rId52" name="Check Box 49">
              <controlPr defaultSize="0" autoFill="0" autoLine="0" autoPict="0">
                <anchor moveWithCells="1">
                  <from>
                    <xdr:col>33</xdr:col>
                    <xdr:colOff>266700</xdr:colOff>
                    <xdr:row>31</xdr:row>
                    <xdr:rowOff>393700</xdr:rowOff>
                  </from>
                  <to>
                    <xdr:col>34</xdr:col>
                    <xdr:colOff>203200</xdr:colOff>
                    <xdr:row>33</xdr:row>
                    <xdr:rowOff>88900</xdr:rowOff>
                  </to>
                </anchor>
              </controlPr>
            </control>
          </mc:Choice>
        </mc:AlternateContent>
        <mc:AlternateContent xmlns:mc="http://schemas.openxmlformats.org/markup-compatibility/2006">
          <mc:Choice Requires="x14">
            <control shapeId="28722" r:id="rId53" name="Check Box 50">
              <controlPr defaultSize="0" autoFill="0" autoLine="0" autoPict="0">
                <anchor moveWithCells="1">
                  <from>
                    <xdr:col>29</xdr:col>
                    <xdr:colOff>0</xdr:colOff>
                    <xdr:row>33</xdr:row>
                    <xdr:rowOff>158750</xdr:rowOff>
                  </from>
                  <to>
                    <xdr:col>29</xdr:col>
                    <xdr:colOff>215900</xdr:colOff>
                    <xdr:row>33</xdr:row>
                    <xdr:rowOff>482600</xdr:rowOff>
                  </to>
                </anchor>
              </controlPr>
            </control>
          </mc:Choice>
        </mc:AlternateContent>
        <mc:AlternateContent xmlns:mc="http://schemas.openxmlformats.org/markup-compatibility/2006">
          <mc:Choice Requires="x14">
            <control shapeId="28723" r:id="rId54" name="Check Box 51">
              <controlPr defaultSize="0" autoFill="0" autoLine="0" autoPict="0">
                <anchor moveWithCells="1">
                  <from>
                    <xdr:col>33</xdr:col>
                    <xdr:colOff>266700</xdr:colOff>
                    <xdr:row>33</xdr:row>
                    <xdr:rowOff>152400</xdr:rowOff>
                  </from>
                  <to>
                    <xdr:col>34</xdr:col>
                    <xdr:colOff>203200</xdr:colOff>
                    <xdr:row>33</xdr:row>
                    <xdr:rowOff>469900</xdr:rowOff>
                  </to>
                </anchor>
              </controlPr>
            </control>
          </mc:Choice>
        </mc:AlternateContent>
        <mc:AlternateContent xmlns:mc="http://schemas.openxmlformats.org/markup-compatibility/2006">
          <mc:Choice Requires="x14">
            <control shapeId="28724" r:id="rId55" name="Check Box 52">
              <controlPr defaultSize="0" autoFill="0" autoLine="0" autoPict="0">
                <anchor moveWithCells="1">
                  <from>
                    <xdr:col>28</xdr:col>
                    <xdr:colOff>266700</xdr:colOff>
                    <xdr:row>34</xdr:row>
                    <xdr:rowOff>38100</xdr:rowOff>
                  </from>
                  <to>
                    <xdr:col>29</xdr:col>
                    <xdr:colOff>203200</xdr:colOff>
                    <xdr:row>34</xdr:row>
                    <xdr:rowOff>355600</xdr:rowOff>
                  </to>
                </anchor>
              </controlPr>
            </control>
          </mc:Choice>
        </mc:AlternateContent>
        <mc:AlternateContent xmlns:mc="http://schemas.openxmlformats.org/markup-compatibility/2006">
          <mc:Choice Requires="x14">
            <control shapeId="28725" r:id="rId56" name="Check Box 53">
              <controlPr defaultSize="0" autoFill="0" autoLine="0" autoPict="0">
                <anchor moveWithCells="1">
                  <from>
                    <xdr:col>33</xdr:col>
                    <xdr:colOff>266700</xdr:colOff>
                    <xdr:row>34</xdr:row>
                    <xdr:rowOff>31750</xdr:rowOff>
                  </from>
                  <to>
                    <xdr:col>34</xdr:col>
                    <xdr:colOff>203200</xdr:colOff>
                    <xdr:row>34</xdr:row>
                    <xdr:rowOff>349250</xdr:rowOff>
                  </to>
                </anchor>
              </controlPr>
            </control>
          </mc:Choice>
        </mc:AlternateContent>
        <mc:AlternateContent xmlns:mc="http://schemas.openxmlformats.org/markup-compatibility/2006">
          <mc:Choice Requires="x14">
            <control shapeId="28730" r:id="rId57" name="Check Box 58">
              <controlPr defaultSize="0" autoFill="0" autoLine="0" autoPict="0">
                <anchor moveWithCells="1">
                  <from>
                    <xdr:col>25</xdr:col>
                    <xdr:colOff>6350</xdr:colOff>
                    <xdr:row>7</xdr:row>
                    <xdr:rowOff>177800</xdr:rowOff>
                  </from>
                  <to>
                    <xdr:col>25</xdr:col>
                    <xdr:colOff>215900</xdr:colOff>
                    <xdr:row>9</xdr:row>
                    <xdr:rowOff>31750</xdr:rowOff>
                  </to>
                </anchor>
              </controlPr>
            </control>
          </mc:Choice>
        </mc:AlternateContent>
      </controls>
    </mc:Choice>
  </mc:AlternateConten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dimension ref="A1:CF42"/>
  <sheetViews>
    <sheetView showGridLines="0" topLeftCell="J28" zoomScaleNormal="100" workbookViewId="0">
      <selection activeCell="AO11" sqref="AO11:AS11"/>
    </sheetView>
  </sheetViews>
  <sheetFormatPr defaultColWidth="8" defaultRowHeight="14" x14ac:dyDescent="0.3"/>
  <cols>
    <col min="1" max="1" width="2.08203125" style="399" customWidth="1"/>
    <col min="2" max="50" width="3.58203125" style="399" customWidth="1"/>
    <col min="51" max="51" width="2.08203125" style="399" customWidth="1"/>
    <col min="52" max="57" width="4.1640625" style="399" customWidth="1"/>
    <col min="58" max="59" width="4.58203125" style="399" customWidth="1"/>
    <col min="60" max="16384" width="8" style="399"/>
  </cols>
  <sheetData>
    <row r="1" spans="1:50" ht="12" customHeight="1" x14ac:dyDescent="0.3"/>
    <row r="2" spans="1:50" ht="15.5" x14ac:dyDescent="0.35">
      <c r="A2" s="403"/>
      <c r="B2" s="49" t="s">
        <v>12709</v>
      </c>
      <c r="C2" s="49"/>
      <c r="D2" s="49"/>
      <c r="E2" s="49"/>
      <c r="F2" s="49"/>
      <c r="G2" s="49"/>
      <c r="H2" s="49"/>
      <c r="I2" s="49"/>
      <c r="J2" s="49"/>
      <c r="K2" s="49"/>
      <c r="L2" s="49"/>
      <c r="M2" s="49"/>
      <c r="N2" s="49"/>
      <c r="O2" s="49"/>
      <c r="P2" s="49"/>
      <c r="Q2" s="49"/>
      <c r="R2" s="49"/>
      <c r="S2" s="49"/>
      <c r="T2" s="49"/>
      <c r="U2" s="49"/>
      <c r="V2" s="49"/>
      <c r="W2" s="49"/>
      <c r="X2" s="49"/>
      <c r="Y2" s="49"/>
      <c r="Z2" s="560"/>
      <c r="AA2" s="560"/>
      <c r="AB2" s="560"/>
      <c r="AC2" s="560"/>
      <c r="AD2" s="97"/>
      <c r="AE2" s="97"/>
      <c r="AF2" s="97"/>
      <c r="AG2" s="97"/>
      <c r="AH2" s="560"/>
      <c r="AI2" s="560"/>
      <c r="AJ2" s="560"/>
      <c r="AK2" s="560"/>
      <c r="AL2" s="560"/>
    </row>
    <row r="3" spans="1:50" ht="16" thickBot="1" x14ac:dyDescent="0.4">
      <c r="A3" s="403"/>
      <c r="B3" s="419" t="s">
        <v>1098</v>
      </c>
      <c r="C3" s="49"/>
      <c r="D3" s="49"/>
      <c r="E3" s="49"/>
      <c r="F3" s="49"/>
      <c r="G3" s="49"/>
      <c r="H3" s="49"/>
      <c r="I3" s="49"/>
      <c r="J3" s="49"/>
      <c r="K3" s="49"/>
      <c r="L3" s="49"/>
      <c r="M3" s="49"/>
      <c r="N3" s="49"/>
      <c r="O3" s="49"/>
      <c r="P3" s="49"/>
      <c r="Q3" s="49"/>
      <c r="R3" s="560"/>
      <c r="S3" s="560"/>
      <c r="T3" s="97"/>
      <c r="U3" s="97"/>
      <c r="V3" s="560"/>
      <c r="W3" s="560"/>
      <c r="X3" s="560"/>
    </row>
    <row r="4" spans="1:50" ht="15.75" customHeight="1" thickTop="1" thickBot="1" x14ac:dyDescent="0.35">
      <c r="B4" s="2595" t="s">
        <v>138</v>
      </c>
      <c r="C4" s="2596"/>
      <c r="D4" s="2596"/>
      <c r="E4" s="2596"/>
      <c r="F4" s="2596"/>
      <c r="G4" s="2596"/>
      <c r="H4" s="2596"/>
      <c r="I4" s="2596"/>
      <c r="J4" s="2597"/>
      <c r="K4" s="2643" t="s">
        <v>458</v>
      </c>
      <c r="L4" s="2644"/>
      <c r="M4" s="2644"/>
      <c r="N4" s="2644"/>
      <c r="O4" s="2644"/>
      <c r="P4" s="2644"/>
      <c r="Q4" s="2644"/>
      <c r="R4" s="2644"/>
      <c r="S4" s="2644"/>
      <c r="T4" s="2644"/>
      <c r="U4" s="2644"/>
      <c r="V4" s="2644"/>
      <c r="W4" s="2644"/>
      <c r="X4" s="2644"/>
      <c r="Y4" s="2644"/>
      <c r="Z4" s="2644"/>
      <c r="AA4" s="2644"/>
      <c r="AB4" s="2644"/>
      <c r="AC4" s="2644"/>
      <c r="AD4" s="2644"/>
      <c r="AE4" s="2644"/>
      <c r="AF4" s="2644"/>
      <c r="AG4" s="2644"/>
      <c r="AH4" s="2644"/>
      <c r="AI4" s="2644"/>
      <c r="AJ4" s="2644"/>
      <c r="AK4" s="2644"/>
      <c r="AL4" s="2644"/>
      <c r="AM4" s="2644"/>
      <c r="AN4" s="2644"/>
      <c r="AO4" s="2644"/>
      <c r="AP4" s="2644"/>
      <c r="AQ4" s="2644"/>
      <c r="AR4" s="2644"/>
      <c r="AS4" s="2644"/>
      <c r="AT4" s="2644"/>
      <c r="AU4" s="2644"/>
      <c r="AV4" s="2644"/>
      <c r="AW4" s="2644"/>
      <c r="AX4" s="2645"/>
    </row>
    <row r="5" spans="1:50" ht="51" customHeight="1" thickBot="1" x14ac:dyDescent="0.35">
      <c r="B5" s="2598"/>
      <c r="C5" s="2599"/>
      <c r="D5" s="2599"/>
      <c r="E5" s="2599"/>
      <c r="F5" s="2599"/>
      <c r="G5" s="2599"/>
      <c r="H5" s="2599"/>
      <c r="I5" s="2599"/>
      <c r="J5" s="2600"/>
      <c r="K5" s="2559" t="s">
        <v>139</v>
      </c>
      <c r="L5" s="2288"/>
      <c r="M5" s="2288"/>
      <c r="N5" s="2288"/>
      <c r="O5" s="2646"/>
      <c r="P5" s="2560" t="s">
        <v>140</v>
      </c>
      <c r="Q5" s="2288"/>
      <c r="R5" s="2288"/>
      <c r="S5" s="2288"/>
      <c r="T5" s="2646"/>
      <c r="U5" s="2647" t="s">
        <v>17</v>
      </c>
      <c r="V5" s="2648"/>
      <c r="W5" s="2648"/>
      <c r="X5" s="2648"/>
      <c r="Y5" s="2649"/>
      <c r="Z5" s="2647" t="s">
        <v>59</v>
      </c>
      <c r="AA5" s="2648"/>
      <c r="AB5" s="2648"/>
      <c r="AC5" s="2648"/>
      <c r="AD5" s="2649"/>
      <c r="AE5" s="2560" t="s">
        <v>141</v>
      </c>
      <c r="AF5" s="2288"/>
      <c r="AG5" s="2288"/>
      <c r="AH5" s="2288"/>
      <c r="AI5" s="2646"/>
      <c r="AJ5" s="2560" t="s">
        <v>142</v>
      </c>
      <c r="AK5" s="2288"/>
      <c r="AL5" s="2288"/>
      <c r="AM5" s="2288"/>
      <c r="AN5" s="2646"/>
      <c r="AO5" s="2560" t="s">
        <v>18</v>
      </c>
      <c r="AP5" s="2288"/>
      <c r="AQ5" s="2288"/>
      <c r="AR5" s="2288"/>
      <c r="AS5" s="2650"/>
      <c r="AT5" s="2288" t="s">
        <v>16</v>
      </c>
      <c r="AU5" s="2288"/>
      <c r="AV5" s="2288"/>
      <c r="AW5" s="2288"/>
      <c r="AX5" s="2531"/>
    </row>
    <row r="6" spans="1:50" s="400" customFormat="1" ht="25" customHeight="1" thickTop="1" x14ac:dyDescent="0.35">
      <c r="B6" s="2640" t="s">
        <v>194</v>
      </c>
      <c r="C6" s="2641"/>
      <c r="D6" s="2641"/>
      <c r="E6" s="2641"/>
      <c r="F6" s="2641"/>
      <c r="G6" s="2641"/>
      <c r="H6" s="2641"/>
      <c r="I6" s="2641"/>
      <c r="J6" s="2642"/>
      <c r="K6" s="2627"/>
      <c r="L6" s="2628"/>
      <c r="M6" s="2628"/>
      <c r="N6" s="2628"/>
      <c r="O6" s="2628"/>
      <c r="P6" s="2628"/>
      <c r="Q6" s="2628"/>
      <c r="R6" s="2628"/>
      <c r="S6" s="2628"/>
      <c r="T6" s="2628"/>
      <c r="U6" s="2628"/>
      <c r="V6" s="2628"/>
      <c r="W6" s="2628"/>
      <c r="X6" s="2628"/>
      <c r="Y6" s="2628"/>
      <c r="Z6" s="2628"/>
      <c r="AA6" s="2628"/>
      <c r="AB6" s="2628"/>
      <c r="AC6" s="2628"/>
      <c r="AD6" s="2628"/>
      <c r="AE6" s="2628"/>
      <c r="AF6" s="2628"/>
      <c r="AG6" s="2628"/>
      <c r="AH6" s="2628"/>
      <c r="AI6" s="2628"/>
      <c r="AJ6" s="2628"/>
      <c r="AK6" s="2628"/>
      <c r="AL6" s="2628"/>
      <c r="AM6" s="2628"/>
      <c r="AN6" s="2628"/>
      <c r="AO6" s="2628"/>
      <c r="AP6" s="2628"/>
      <c r="AQ6" s="2628"/>
      <c r="AR6" s="2628"/>
      <c r="AS6" s="2628"/>
      <c r="AT6" s="2628"/>
      <c r="AU6" s="2628"/>
      <c r="AV6" s="2628"/>
      <c r="AW6" s="2628"/>
      <c r="AX6" s="2629"/>
    </row>
    <row r="7" spans="1:50" s="402" customFormat="1" ht="30" customHeight="1" x14ac:dyDescent="0.35">
      <c r="B7" s="553" t="s">
        <v>143</v>
      </c>
      <c r="C7" s="554"/>
      <c r="D7" s="554"/>
      <c r="E7" s="554"/>
      <c r="F7" s="554"/>
      <c r="G7" s="554"/>
      <c r="H7" s="554"/>
      <c r="I7" s="554"/>
      <c r="J7" s="555"/>
      <c r="K7" s="1464">
        <v>119</v>
      </c>
      <c r="L7" s="1462"/>
      <c r="M7" s="1462"/>
      <c r="N7" s="1462"/>
      <c r="O7" s="1465"/>
      <c r="P7" s="1461">
        <v>0</v>
      </c>
      <c r="Q7" s="1462"/>
      <c r="R7" s="1462"/>
      <c r="S7" s="1462"/>
      <c r="T7" s="1465"/>
      <c r="U7" s="1461">
        <v>0</v>
      </c>
      <c r="V7" s="1462"/>
      <c r="W7" s="1462"/>
      <c r="X7" s="1462"/>
      <c r="Y7" s="1465"/>
      <c r="Z7" s="1461">
        <v>0</v>
      </c>
      <c r="AA7" s="1462"/>
      <c r="AB7" s="1462"/>
      <c r="AC7" s="1462"/>
      <c r="AD7" s="1465"/>
      <c r="AE7" s="1461">
        <v>0</v>
      </c>
      <c r="AF7" s="1462"/>
      <c r="AG7" s="1462"/>
      <c r="AH7" s="1462"/>
      <c r="AI7" s="1465"/>
      <c r="AJ7" s="1461">
        <v>0</v>
      </c>
      <c r="AK7" s="1462"/>
      <c r="AL7" s="1462"/>
      <c r="AM7" s="1462"/>
      <c r="AN7" s="1465"/>
      <c r="AO7" s="1461">
        <v>0</v>
      </c>
      <c r="AP7" s="1462"/>
      <c r="AQ7" s="1462"/>
      <c r="AR7" s="1462"/>
      <c r="AS7" s="1463"/>
      <c r="AT7" s="1459">
        <f>SUM(K7:AS7)</f>
        <v>119</v>
      </c>
      <c r="AU7" s="1457"/>
      <c r="AV7" s="1457"/>
      <c r="AW7" s="1457"/>
      <c r="AX7" s="2467"/>
    </row>
    <row r="8" spans="1:50" s="402" customFormat="1" ht="30" customHeight="1" x14ac:dyDescent="0.35">
      <c r="B8" s="556" t="s">
        <v>1373</v>
      </c>
      <c r="C8" s="554"/>
      <c r="D8" s="554"/>
      <c r="E8" s="554"/>
      <c r="F8" s="554"/>
      <c r="G8" s="554"/>
      <c r="H8" s="554"/>
      <c r="I8" s="554"/>
      <c r="J8" s="555"/>
      <c r="K8" s="1464">
        <v>0</v>
      </c>
      <c r="L8" s="1462"/>
      <c r="M8" s="1462"/>
      <c r="N8" s="1462"/>
      <c r="O8" s="1465"/>
      <c r="P8" s="1461">
        <v>0</v>
      </c>
      <c r="Q8" s="1462"/>
      <c r="R8" s="1462"/>
      <c r="S8" s="1462"/>
      <c r="T8" s="1465"/>
      <c r="U8" s="1461">
        <v>0</v>
      </c>
      <c r="V8" s="1462"/>
      <c r="W8" s="1462"/>
      <c r="X8" s="1462"/>
      <c r="Y8" s="1465"/>
      <c r="Z8" s="1461">
        <v>0</v>
      </c>
      <c r="AA8" s="1462"/>
      <c r="AB8" s="1462"/>
      <c r="AC8" s="1462"/>
      <c r="AD8" s="1465"/>
      <c r="AE8" s="1461">
        <v>0</v>
      </c>
      <c r="AF8" s="1462"/>
      <c r="AG8" s="1462"/>
      <c r="AH8" s="1462"/>
      <c r="AI8" s="1465"/>
      <c r="AJ8" s="1461">
        <v>0</v>
      </c>
      <c r="AK8" s="1462"/>
      <c r="AL8" s="1462"/>
      <c r="AM8" s="1462"/>
      <c r="AN8" s="1465"/>
      <c r="AO8" s="1461">
        <v>0</v>
      </c>
      <c r="AP8" s="1462"/>
      <c r="AQ8" s="1462"/>
      <c r="AR8" s="1462"/>
      <c r="AS8" s="1463"/>
      <c r="AT8" s="1459">
        <f t="shared" ref="AT8:AT11" si="0">SUM(K8:AS8)</f>
        <v>0</v>
      </c>
      <c r="AU8" s="1457"/>
      <c r="AV8" s="1457"/>
      <c r="AW8" s="1457"/>
      <c r="AX8" s="2467"/>
    </row>
    <row r="9" spans="1:50" s="402" customFormat="1" ht="30" customHeight="1" x14ac:dyDescent="0.35">
      <c r="B9" s="556" t="s">
        <v>1374</v>
      </c>
      <c r="C9" s="554"/>
      <c r="D9" s="554"/>
      <c r="E9" s="554"/>
      <c r="F9" s="554"/>
      <c r="G9" s="554"/>
      <c r="H9" s="554"/>
      <c r="I9" s="554"/>
      <c r="J9" s="555"/>
      <c r="K9" s="1464">
        <v>0</v>
      </c>
      <c r="L9" s="1462"/>
      <c r="M9" s="1462"/>
      <c r="N9" s="1462"/>
      <c r="O9" s="1465"/>
      <c r="P9" s="1461">
        <v>56</v>
      </c>
      <c r="Q9" s="1462"/>
      <c r="R9" s="1462"/>
      <c r="S9" s="1462"/>
      <c r="T9" s="1465"/>
      <c r="U9" s="1461">
        <v>0</v>
      </c>
      <c r="V9" s="1462"/>
      <c r="W9" s="1462"/>
      <c r="X9" s="1462"/>
      <c r="Y9" s="1465"/>
      <c r="Z9" s="1461">
        <v>0</v>
      </c>
      <c r="AA9" s="1462"/>
      <c r="AB9" s="1462"/>
      <c r="AC9" s="1462"/>
      <c r="AD9" s="1465"/>
      <c r="AE9" s="1461">
        <v>0</v>
      </c>
      <c r="AF9" s="1462"/>
      <c r="AG9" s="1462"/>
      <c r="AH9" s="1462"/>
      <c r="AI9" s="1465"/>
      <c r="AJ9" s="1461">
        <v>0</v>
      </c>
      <c r="AK9" s="1462"/>
      <c r="AL9" s="1462"/>
      <c r="AM9" s="1462"/>
      <c r="AN9" s="1465"/>
      <c r="AO9" s="1461">
        <v>0</v>
      </c>
      <c r="AP9" s="1462"/>
      <c r="AQ9" s="1462"/>
      <c r="AR9" s="1462"/>
      <c r="AS9" s="1463"/>
      <c r="AT9" s="1459">
        <f t="shared" si="0"/>
        <v>56</v>
      </c>
      <c r="AU9" s="1457"/>
      <c r="AV9" s="1457"/>
      <c r="AW9" s="1457"/>
      <c r="AX9" s="2467"/>
    </row>
    <row r="10" spans="1:50" s="402" customFormat="1" ht="30" customHeight="1" x14ac:dyDescent="0.35">
      <c r="B10" s="556" t="s">
        <v>1375</v>
      </c>
      <c r="C10" s="554"/>
      <c r="D10" s="554"/>
      <c r="E10" s="554"/>
      <c r="F10" s="554"/>
      <c r="G10" s="554"/>
      <c r="H10" s="554"/>
      <c r="I10" s="554"/>
      <c r="J10" s="555"/>
      <c r="K10" s="1464">
        <v>0</v>
      </c>
      <c r="L10" s="1462"/>
      <c r="M10" s="1462"/>
      <c r="N10" s="1462"/>
      <c r="O10" s="1465"/>
      <c r="P10" s="1461">
        <v>0</v>
      </c>
      <c r="Q10" s="1462"/>
      <c r="R10" s="1462"/>
      <c r="S10" s="1462"/>
      <c r="T10" s="1465"/>
      <c r="U10" s="1461">
        <v>0</v>
      </c>
      <c r="V10" s="1462"/>
      <c r="W10" s="1462"/>
      <c r="X10" s="1462"/>
      <c r="Y10" s="1465"/>
      <c r="Z10" s="1461">
        <v>0</v>
      </c>
      <c r="AA10" s="1462"/>
      <c r="AB10" s="1462"/>
      <c r="AC10" s="1462"/>
      <c r="AD10" s="1465"/>
      <c r="AE10" s="1461">
        <v>0</v>
      </c>
      <c r="AF10" s="1462"/>
      <c r="AG10" s="1462"/>
      <c r="AH10" s="1462"/>
      <c r="AI10" s="1465"/>
      <c r="AJ10" s="1461">
        <v>0</v>
      </c>
      <c r="AK10" s="1462"/>
      <c r="AL10" s="1462"/>
      <c r="AM10" s="1462"/>
      <c r="AN10" s="1465"/>
      <c r="AO10" s="1461">
        <v>0</v>
      </c>
      <c r="AP10" s="1462"/>
      <c r="AQ10" s="1462"/>
      <c r="AR10" s="1462"/>
      <c r="AS10" s="1463"/>
      <c r="AT10" s="1459">
        <f t="shared" si="0"/>
        <v>0</v>
      </c>
      <c r="AU10" s="1457"/>
      <c r="AV10" s="1457"/>
      <c r="AW10" s="1457"/>
      <c r="AX10" s="2467"/>
    </row>
    <row r="11" spans="1:50" s="402" customFormat="1" ht="30" customHeight="1" x14ac:dyDescent="0.35">
      <c r="B11" s="553" t="s">
        <v>144</v>
      </c>
      <c r="C11" s="554"/>
      <c r="D11" s="554"/>
      <c r="E11" s="554"/>
      <c r="F11" s="554"/>
      <c r="G11" s="554"/>
      <c r="H11" s="554"/>
      <c r="I11" s="554"/>
      <c r="J11" s="555"/>
      <c r="K11" s="1464">
        <v>126</v>
      </c>
      <c r="L11" s="1462"/>
      <c r="M11" s="1462"/>
      <c r="N11" s="1462"/>
      <c r="O11" s="1465"/>
      <c r="P11" s="1461">
        <v>0</v>
      </c>
      <c r="Q11" s="1462"/>
      <c r="R11" s="1462"/>
      <c r="S11" s="1462"/>
      <c r="T11" s="1465"/>
      <c r="U11" s="1461">
        <v>0</v>
      </c>
      <c r="V11" s="1462"/>
      <c r="W11" s="1462"/>
      <c r="X11" s="1462"/>
      <c r="Y11" s="1465"/>
      <c r="Z11" s="1461">
        <v>0</v>
      </c>
      <c r="AA11" s="1462"/>
      <c r="AB11" s="1462"/>
      <c r="AC11" s="1462"/>
      <c r="AD11" s="1465"/>
      <c r="AE11" s="1461">
        <v>0</v>
      </c>
      <c r="AF11" s="1462"/>
      <c r="AG11" s="1462"/>
      <c r="AH11" s="1462"/>
      <c r="AI11" s="1465"/>
      <c r="AJ11" s="1461">
        <v>0</v>
      </c>
      <c r="AK11" s="1462"/>
      <c r="AL11" s="1462"/>
      <c r="AM11" s="1462"/>
      <c r="AN11" s="1465"/>
      <c r="AO11" s="1461">
        <v>0</v>
      </c>
      <c r="AP11" s="1462"/>
      <c r="AQ11" s="1462"/>
      <c r="AR11" s="1462"/>
      <c r="AS11" s="1463"/>
      <c r="AT11" s="1459">
        <f t="shared" si="0"/>
        <v>126</v>
      </c>
      <c r="AU11" s="1457"/>
      <c r="AV11" s="1457"/>
      <c r="AW11" s="1457"/>
      <c r="AX11" s="2467"/>
    </row>
    <row r="12" spans="1:50" s="400" customFormat="1" ht="25" customHeight="1" x14ac:dyDescent="0.35">
      <c r="B12" s="2624" t="s">
        <v>195</v>
      </c>
      <c r="C12" s="2625"/>
      <c r="D12" s="2625"/>
      <c r="E12" s="2625"/>
      <c r="F12" s="2625"/>
      <c r="G12" s="2625"/>
      <c r="H12" s="2625"/>
      <c r="I12" s="2625"/>
      <c r="J12" s="2626"/>
      <c r="K12" s="2630"/>
      <c r="L12" s="2631"/>
      <c r="M12" s="2631"/>
      <c r="N12" s="2631"/>
      <c r="O12" s="2631"/>
      <c r="P12" s="2631"/>
      <c r="Q12" s="2631"/>
      <c r="R12" s="2631"/>
      <c r="S12" s="2631"/>
      <c r="T12" s="2631"/>
      <c r="U12" s="2631"/>
      <c r="V12" s="2631"/>
      <c r="W12" s="2631"/>
      <c r="X12" s="2631"/>
      <c r="Y12" s="2631"/>
      <c r="Z12" s="2631"/>
      <c r="AA12" s="2631"/>
      <c r="AB12" s="2631"/>
      <c r="AC12" s="2631"/>
      <c r="AD12" s="2631"/>
      <c r="AE12" s="2631"/>
      <c r="AF12" s="2631"/>
      <c r="AG12" s="2631"/>
      <c r="AH12" s="2631"/>
      <c r="AI12" s="2631"/>
      <c r="AJ12" s="2631"/>
      <c r="AK12" s="2631"/>
      <c r="AL12" s="2631"/>
      <c r="AM12" s="2631"/>
      <c r="AN12" s="2631"/>
      <c r="AO12" s="2631"/>
      <c r="AP12" s="2631"/>
      <c r="AQ12" s="2631"/>
      <c r="AR12" s="2631"/>
      <c r="AS12" s="2631"/>
      <c r="AT12" s="2631"/>
      <c r="AU12" s="2631"/>
      <c r="AV12" s="2631"/>
      <c r="AW12" s="2631"/>
      <c r="AX12" s="2632"/>
    </row>
    <row r="13" spans="1:50" s="402" customFormat="1" ht="30" customHeight="1" x14ac:dyDescent="0.35">
      <c r="B13" s="553" t="s">
        <v>143</v>
      </c>
      <c r="C13" s="554"/>
      <c r="D13" s="554"/>
      <c r="E13" s="554"/>
      <c r="F13" s="554"/>
      <c r="G13" s="554"/>
      <c r="H13" s="554"/>
      <c r="I13" s="554"/>
      <c r="J13" s="555"/>
      <c r="K13" s="1464">
        <v>9</v>
      </c>
      <c r="L13" s="1462"/>
      <c r="M13" s="1462"/>
      <c r="N13" s="1462"/>
      <c r="O13" s="1465"/>
      <c r="P13" s="1461">
        <v>3</v>
      </c>
      <c r="Q13" s="1462"/>
      <c r="R13" s="1462"/>
      <c r="S13" s="1462"/>
      <c r="T13" s="1465"/>
      <c r="U13" s="1461">
        <v>0</v>
      </c>
      <c r="V13" s="1462"/>
      <c r="W13" s="1462"/>
      <c r="X13" s="1462"/>
      <c r="Y13" s="1465"/>
      <c r="Z13" s="1461">
        <v>0</v>
      </c>
      <c r="AA13" s="1462"/>
      <c r="AB13" s="1462"/>
      <c r="AC13" s="1462"/>
      <c r="AD13" s="1465"/>
      <c r="AE13" s="1461">
        <v>0</v>
      </c>
      <c r="AF13" s="1462"/>
      <c r="AG13" s="1462"/>
      <c r="AH13" s="1462"/>
      <c r="AI13" s="1465"/>
      <c r="AJ13" s="1461">
        <v>0</v>
      </c>
      <c r="AK13" s="1462"/>
      <c r="AL13" s="1462"/>
      <c r="AM13" s="1462"/>
      <c r="AN13" s="1465"/>
      <c r="AO13" s="1461">
        <v>0</v>
      </c>
      <c r="AP13" s="1462"/>
      <c r="AQ13" s="1462"/>
      <c r="AR13" s="1462"/>
      <c r="AS13" s="1463"/>
      <c r="AT13" s="1459">
        <f>SUM(K13:AS13)</f>
        <v>12</v>
      </c>
      <c r="AU13" s="1457"/>
      <c r="AV13" s="1457"/>
      <c r="AW13" s="1457"/>
      <c r="AX13" s="2467"/>
    </row>
    <row r="14" spans="1:50" s="402" customFormat="1" ht="30" customHeight="1" x14ac:dyDescent="0.35">
      <c r="B14" s="556" t="s">
        <v>1373</v>
      </c>
      <c r="C14" s="554"/>
      <c r="D14" s="554"/>
      <c r="E14" s="554"/>
      <c r="F14" s="554"/>
      <c r="G14" s="554"/>
      <c r="H14" s="554"/>
      <c r="I14" s="554"/>
      <c r="J14" s="555"/>
      <c r="K14" s="1464">
        <v>0</v>
      </c>
      <c r="L14" s="1462"/>
      <c r="M14" s="1462"/>
      <c r="N14" s="1462"/>
      <c r="O14" s="1465"/>
      <c r="P14" s="1461">
        <v>0</v>
      </c>
      <c r="Q14" s="1462"/>
      <c r="R14" s="1462"/>
      <c r="S14" s="1462"/>
      <c r="T14" s="1465"/>
      <c r="U14" s="1461">
        <v>0</v>
      </c>
      <c r="V14" s="1462"/>
      <c r="W14" s="1462"/>
      <c r="X14" s="1462"/>
      <c r="Y14" s="1465"/>
      <c r="Z14" s="1461">
        <v>0</v>
      </c>
      <c r="AA14" s="1462"/>
      <c r="AB14" s="1462"/>
      <c r="AC14" s="1462"/>
      <c r="AD14" s="1465"/>
      <c r="AE14" s="1461">
        <v>0</v>
      </c>
      <c r="AF14" s="1462"/>
      <c r="AG14" s="1462"/>
      <c r="AH14" s="1462"/>
      <c r="AI14" s="1465"/>
      <c r="AJ14" s="1461">
        <v>0</v>
      </c>
      <c r="AK14" s="1462"/>
      <c r="AL14" s="1462"/>
      <c r="AM14" s="1462"/>
      <c r="AN14" s="1465"/>
      <c r="AO14" s="1461">
        <v>0</v>
      </c>
      <c r="AP14" s="1462"/>
      <c r="AQ14" s="1462"/>
      <c r="AR14" s="1462"/>
      <c r="AS14" s="1463"/>
      <c r="AT14" s="1459">
        <f t="shared" ref="AT14:AT17" si="1">SUM(K14:AS14)</f>
        <v>0</v>
      </c>
      <c r="AU14" s="1457"/>
      <c r="AV14" s="1457"/>
      <c r="AW14" s="1457"/>
      <c r="AX14" s="2467"/>
    </row>
    <row r="15" spans="1:50" s="402" customFormat="1" ht="30" customHeight="1" x14ac:dyDescent="0.35">
      <c r="B15" s="556" t="s">
        <v>1374</v>
      </c>
      <c r="C15" s="554"/>
      <c r="D15" s="554"/>
      <c r="E15" s="554"/>
      <c r="F15" s="554"/>
      <c r="G15" s="554"/>
      <c r="H15" s="554"/>
      <c r="I15" s="554"/>
      <c r="J15" s="555"/>
      <c r="K15" s="1464">
        <v>0</v>
      </c>
      <c r="L15" s="1462"/>
      <c r="M15" s="1462"/>
      <c r="N15" s="1462"/>
      <c r="O15" s="1465"/>
      <c r="P15" s="1461">
        <v>0</v>
      </c>
      <c r="Q15" s="1462"/>
      <c r="R15" s="1462"/>
      <c r="S15" s="1462"/>
      <c r="T15" s="1465"/>
      <c r="U15" s="1461">
        <v>0</v>
      </c>
      <c r="V15" s="1462"/>
      <c r="W15" s="1462"/>
      <c r="X15" s="1462"/>
      <c r="Y15" s="1465"/>
      <c r="Z15" s="1461">
        <v>0</v>
      </c>
      <c r="AA15" s="1462"/>
      <c r="AB15" s="1462"/>
      <c r="AC15" s="1462"/>
      <c r="AD15" s="1465"/>
      <c r="AE15" s="1461">
        <v>0</v>
      </c>
      <c r="AF15" s="1462"/>
      <c r="AG15" s="1462"/>
      <c r="AH15" s="1462"/>
      <c r="AI15" s="1465"/>
      <c r="AJ15" s="1461">
        <v>0</v>
      </c>
      <c r="AK15" s="1462"/>
      <c r="AL15" s="1462"/>
      <c r="AM15" s="1462"/>
      <c r="AN15" s="1465"/>
      <c r="AO15" s="1461">
        <v>0</v>
      </c>
      <c r="AP15" s="1462"/>
      <c r="AQ15" s="1462"/>
      <c r="AR15" s="1462"/>
      <c r="AS15" s="1463"/>
      <c r="AT15" s="1459">
        <f t="shared" si="1"/>
        <v>0</v>
      </c>
      <c r="AU15" s="1457"/>
      <c r="AV15" s="1457"/>
      <c r="AW15" s="1457"/>
      <c r="AX15" s="2467"/>
    </row>
    <row r="16" spans="1:50" s="402" customFormat="1" ht="30" customHeight="1" x14ac:dyDescent="0.35">
      <c r="B16" s="556" t="s">
        <v>1375</v>
      </c>
      <c r="C16" s="554"/>
      <c r="D16" s="554"/>
      <c r="E16" s="554"/>
      <c r="F16" s="554"/>
      <c r="G16" s="554"/>
      <c r="H16" s="554"/>
      <c r="I16" s="554"/>
      <c r="J16" s="555"/>
      <c r="K16" s="1464">
        <v>0</v>
      </c>
      <c r="L16" s="1462"/>
      <c r="M16" s="1462"/>
      <c r="N16" s="1462"/>
      <c r="O16" s="1465"/>
      <c r="P16" s="1461">
        <v>0</v>
      </c>
      <c r="Q16" s="1462"/>
      <c r="R16" s="1462"/>
      <c r="S16" s="1462"/>
      <c r="T16" s="1465"/>
      <c r="U16" s="1461">
        <v>0</v>
      </c>
      <c r="V16" s="1462"/>
      <c r="W16" s="1462"/>
      <c r="X16" s="1462"/>
      <c r="Y16" s="1465"/>
      <c r="Z16" s="1461">
        <v>0</v>
      </c>
      <c r="AA16" s="1462"/>
      <c r="AB16" s="1462"/>
      <c r="AC16" s="1462"/>
      <c r="AD16" s="1465"/>
      <c r="AE16" s="1461">
        <v>0</v>
      </c>
      <c r="AF16" s="1462"/>
      <c r="AG16" s="1462"/>
      <c r="AH16" s="1462"/>
      <c r="AI16" s="1465"/>
      <c r="AJ16" s="1461">
        <v>0</v>
      </c>
      <c r="AK16" s="1462"/>
      <c r="AL16" s="1462"/>
      <c r="AM16" s="1462"/>
      <c r="AN16" s="1465"/>
      <c r="AO16" s="1461">
        <v>0</v>
      </c>
      <c r="AP16" s="1462"/>
      <c r="AQ16" s="1462"/>
      <c r="AR16" s="1462"/>
      <c r="AS16" s="1463"/>
      <c r="AT16" s="1459">
        <f t="shared" si="1"/>
        <v>0</v>
      </c>
      <c r="AU16" s="1457"/>
      <c r="AV16" s="1457"/>
      <c r="AW16" s="1457"/>
      <c r="AX16" s="2467"/>
    </row>
    <row r="17" spans="2:84" s="402" customFormat="1" ht="30" customHeight="1" thickBot="1" x14ac:dyDescent="0.4">
      <c r="B17" s="557" t="s">
        <v>144</v>
      </c>
      <c r="C17" s="558"/>
      <c r="D17" s="558"/>
      <c r="E17" s="558"/>
      <c r="F17" s="558"/>
      <c r="G17" s="558"/>
      <c r="H17" s="558"/>
      <c r="I17" s="558"/>
      <c r="J17" s="559"/>
      <c r="K17" s="2651">
        <v>0</v>
      </c>
      <c r="L17" s="2652"/>
      <c r="M17" s="2652"/>
      <c r="N17" s="2652"/>
      <c r="O17" s="2653"/>
      <c r="P17" s="2654">
        <v>0</v>
      </c>
      <c r="Q17" s="2652"/>
      <c r="R17" s="2652"/>
      <c r="S17" s="2652"/>
      <c r="T17" s="2653"/>
      <c r="U17" s="2654">
        <v>0</v>
      </c>
      <c r="V17" s="2652"/>
      <c r="W17" s="2652"/>
      <c r="X17" s="2652"/>
      <c r="Y17" s="2653"/>
      <c r="Z17" s="2654">
        <v>0</v>
      </c>
      <c r="AA17" s="2652"/>
      <c r="AB17" s="2652"/>
      <c r="AC17" s="2652"/>
      <c r="AD17" s="2653"/>
      <c r="AE17" s="2654">
        <v>0</v>
      </c>
      <c r="AF17" s="2652"/>
      <c r="AG17" s="2652"/>
      <c r="AH17" s="2652"/>
      <c r="AI17" s="2653"/>
      <c r="AJ17" s="2654">
        <v>0</v>
      </c>
      <c r="AK17" s="2652"/>
      <c r="AL17" s="2652"/>
      <c r="AM17" s="2652"/>
      <c r="AN17" s="2653"/>
      <c r="AO17" s="2654">
        <v>0</v>
      </c>
      <c r="AP17" s="2652"/>
      <c r="AQ17" s="2652"/>
      <c r="AR17" s="2652"/>
      <c r="AS17" s="2655"/>
      <c r="AT17" s="2656">
        <f t="shared" si="1"/>
        <v>0</v>
      </c>
      <c r="AU17" s="2657"/>
      <c r="AV17" s="2657"/>
      <c r="AW17" s="2657"/>
      <c r="AX17" s="2658"/>
    </row>
    <row r="18" spans="2:84" s="400" customFormat="1" ht="30" customHeight="1" thickTop="1" thickBot="1" x14ac:dyDescent="0.4">
      <c r="B18" s="549" t="s">
        <v>400</v>
      </c>
      <c r="C18" s="550"/>
      <c r="D18" s="550"/>
      <c r="E18" s="550"/>
      <c r="F18" s="550"/>
      <c r="G18" s="550"/>
      <c r="H18" s="550"/>
      <c r="I18" s="550"/>
      <c r="J18" s="551"/>
      <c r="K18" s="2325">
        <f>SUM(K13:O17,K7:O11)</f>
        <v>254</v>
      </c>
      <c r="L18" s="2326"/>
      <c r="M18" s="2326"/>
      <c r="N18" s="2326"/>
      <c r="O18" s="2327"/>
      <c r="P18" s="2661">
        <f t="shared" ref="P18" si="2">SUM(P13:T17,P7:T11)</f>
        <v>59</v>
      </c>
      <c r="Q18" s="2326"/>
      <c r="R18" s="2326"/>
      <c r="S18" s="2326"/>
      <c r="T18" s="2327"/>
      <c r="U18" s="2661">
        <f t="shared" ref="U18" si="3">SUM(U13:Y17,U7:Y11)</f>
        <v>0</v>
      </c>
      <c r="V18" s="2326"/>
      <c r="W18" s="2326"/>
      <c r="X18" s="2326"/>
      <c r="Y18" s="2327"/>
      <c r="Z18" s="2661">
        <f t="shared" ref="Z18" si="4">SUM(Z13:AD17,Z7:AD11)</f>
        <v>0</v>
      </c>
      <c r="AA18" s="2326"/>
      <c r="AB18" s="2326"/>
      <c r="AC18" s="2326"/>
      <c r="AD18" s="2327"/>
      <c r="AE18" s="2326">
        <f t="shared" ref="AE18" si="5">SUM(AE13:AI17,AE7:AI11)</f>
        <v>0</v>
      </c>
      <c r="AF18" s="2326"/>
      <c r="AG18" s="2326"/>
      <c r="AH18" s="2326"/>
      <c r="AI18" s="2327"/>
      <c r="AJ18" s="2326">
        <f t="shared" ref="AJ18" si="6">SUM(AJ13:AN17,AJ7:AN11)</f>
        <v>0</v>
      </c>
      <c r="AK18" s="2326"/>
      <c r="AL18" s="2326"/>
      <c r="AM18" s="2326"/>
      <c r="AN18" s="2327"/>
      <c r="AO18" s="2326">
        <f t="shared" ref="AO18" si="7">SUM(AO13:AS17,AO7:AS11)</f>
        <v>0</v>
      </c>
      <c r="AP18" s="2326"/>
      <c r="AQ18" s="2326"/>
      <c r="AR18" s="2326"/>
      <c r="AS18" s="2326"/>
      <c r="AT18" s="2337">
        <f t="shared" ref="AT18" si="8">SUM(AT13:AX17,AT7:AX11)</f>
        <v>313</v>
      </c>
      <c r="AU18" s="2326"/>
      <c r="AV18" s="2326"/>
      <c r="AW18" s="2326"/>
      <c r="AX18" s="2660"/>
      <c r="BN18" s="84"/>
      <c r="BO18" s="84"/>
      <c r="BP18" s="84"/>
      <c r="BQ18" s="84"/>
      <c r="BR18" s="84"/>
      <c r="BS18" s="84"/>
      <c r="BT18" s="84"/>
      <c r="BU18" s="84"/>
      <c r="BV18" s="84"/>
      <c r="BW18" s="84"/>
      <c r="BX18" s="84"/>
      <c r="BY18" s="84"/>
      <c r="BZ18" s="84"/>
      <c r="CA18" s="84"/>
      <c r="CB18" s="84"/>
      <c r="CC18" s="84"/>
      <c r="CD18" s="84"/>
      <c r="CE18" s="84"/>
      <c r="CF18" s="84"/>
    </row>
    <row r="19" spans="2:84" s="400" customFormat="1" ht="5.15" customHeight="1" thickTop="1" x14ac:dyDescent="0.35">
      <c r="B19" s="413"/>
      <c r="C19" s="413"/>
      <c r="D19" s="413"/>
      <c r="E19" s="429"/>
      <c r="F19" s="429"/>
      <c r="G19" s="429"/>
      <c r="H19" s="429"/>
      <c r="I19" s="429"/>
      <c r="J19" s="222"/>
      <c r="K19" s="429"/>
      <c r="L19" s="429"/>
      <c r="M19" s="429"/>
      <c r="N19" s="552"/>
      <c r="O19" s="552"/>
      <c r="P19" s="552"/>
      <c r="Q19" s="552"/>
      <c r="R19" s="552"/>
      <c r="S19" s="552"/>
      <c r="T19" s="552"/>
      <c r="U19" s="84"/>
      <c r="V19" s="84"/>
      <c r="W19" s="84"/>
      <c r="X19" s="84"/>
      <c r="AY19" s="84"/>
      <c r="AZ19" s="84"/>
      <c r="BA19" s="84"/>
      <c r="BB19" s="84"/>
      <c r="BC19" s="84"/>
      <c r="BD19" s="84"/>
      <c r="BE19" s="84"/>
      <c r="BF19" s="84"/>
      <c r="BG19" s="84"/>
      <c r="BH19" s="84"/>
      <c r="BI19" s="84"/>
      <c r="BJ19" s="84"/>
      <c r="BK19" s="84"/>
      <c r="BL19" s="84"/>
      <c r="BM19" s="84"/>
      <c r="BN19" s="84"/>
      <c r="BO19" s="84"/>
      <c r="BP19" s="84"/>
    </row>
    <row r="20" spans="2:84" s="87" customFormat="1" ht="15" customHeight="1" x14ac:dyDescent="0.3">
      <c r="B20" s="2636" t="s">
        <v>196</v>
      </c>
      <c r="C20" s="2636"/>
      <c r="D20" s="2636"/>
      <c r="E20" s="2636"/>
      <c r="F20" s="2636"/>
      <c r="G20" s="2636"/>
      <c r="H20" s="2636"/>
      <c r="I20" s="2636"/>
      <c r="J20" s="2636"/>
      <c r="K20" s="2636"/>
      <c r="L20" s="2636"/>
      <c r="M20" s="2636"/>
      <c r="N20" s="2636"/>
      <c r="O20" s="2636"/>
      <c r="P20" s="2636"/>
      <c r="Q20" s="2636"/>
      <c r="R20" s="2636"/>
      <c r="S20" s="2636"/>
      <c r="T20" s="2636"/>
      <c r="U20" s="2636"/>
      <c r="V20" s="2636"/>
      <c r="W20" s="2636"/>
      <c r="X20" s="2636"/>
      <c r="Y20" s="2636"/>
      <c r="Z20" s="2636"/>
      <c r="AA20" s="2636"/>
      <c r="AB20" s="2636"/>
      <c r="AC20" s="2636"/>
      <c r="AD20" s="2636"/>
      <c r="AE20" s="2636"/>
      <c r="AF20" s="2636"/>
      <c r="AG20" s="2636"/>
      <c r="AH20" s="2636"/>
      <c r="AI20" s="2636"/>
      <c r="AJ20" s="2636"/>
      <c r="AK20" s="2636"/>
      <c r="AL20" s="2636"/>
      <c r="AM20" s="2636"/>
      <c r="AN20" s="2636"/>
      <c r="AO20" s="2636"/>
      <c r="AP20" s="2636"/>
      <c r="AQ20" s="2636"/>
      <c r="AR20" s="2636"/>
      <c r="AS20" s="2636"/>
      <c r="AT20" s="2636"/>
      <c r="AU20" s="2636"/>
      <c r="AV20" s="2636"/>
      <c r="AW20" s="2636"/>
      <c r="AX20" s="2636"/>
    </row>
    <row r="21" spans="2:84" s="87" customFormat="1" ht="15" customHeight="1" x14ac:dyDescent="0.3">
      <c r="B21" s="2635" t="s">
        <v>229</v>
      </c>
      <c r="C21" s="2635"/>
      <c r="D21" s="2635"/>
      <c r="E21" s="2635"/>
      <c r="F21" s="2635"/>
      <c r="G21" s="2635"/>
      <c r="H21" s="2635"/>
      <c r="I21" s="2635"/>
      <c r="J21" s="2635"/>
      <c r="K21" s="2635"/>
      <c r="L21" s="2635"/>
      <c r="M21" s="2635"/>
      <c r="N21" s="2635"/>
      <c r="O21" s="2635"/>
      <c r="P21" s="2635"/>
      <c r="Q21" s="2635"/>
      <c r="R21" s="2635"/>
      <c r="S21" s="2635"/>
      <c r="T21" s="2635"/>
      <c r="U21" s="2635"/>
      <c r="V21" s="2635"/>
      <c r="W21" s="2635"/>
      <c r="X21" s="2635"/>
      <c r="Y21" s="2635"/>
      <c r="Z21" s="2635"/>
      <c r="AA21" s="2635"/>
      <c r="AB21" s="2635"/>
      <c r="AC21" s="2635"/>
      <c r="AD21" s="2635"/>
      <c r="AE21" s="2635"/>
      <c r="AF21" s="2635"/>
      <c r="AG21" s="2635"/>
      <c r="AH21" s="2635"/>
      <c r="AI21" s="2635"/>
      <c r="AJ21" s="2635"/>
      <c r="AK21" s="2635"/>
      <c r="AL21" s="2635"/>
      <c r="AM21" s="2635"/>
      <c r="AN21" s="2635"/>
      <c r="AO21" s="2635"/>
      <c r="AP21" s="2635"/>
      <c r="AQ21" s="2635"/>
      <c r="AR21" s="2635"/>
      <c r="AS21" s="2635"/>
      <c r="AT21" s="2635"/>
      <c r="AU21" s="2635"/>
      <c r="AV21" s="2635"/>
      <c r="AW21" s="2635"/>
      <c r="AX21" s="2635"/>
    </row>
    <row r="22" spans="2:84" s="87" customFormat="1" ht="15" customHeight="1" x14ac:dyDescent="0.3">
      <c r="B22" s="2639" t="s">
        <v>197</v>
      </c>
      <c r="C22" s="2639"/>
      <c r="D22" s="2639"/>
      <c r="E22" s="2639"/>
      <c r="F22" s="2639"/>
      <c r="G22" s="2639"/>
      <c r="H22" s="2639"/>
      <c r="I22" s="2639"/>
      <c r="J22" s="2639"/>
      <c r="K22" s="2639"/>
      <c r="L22" s="2639"/>
      <c r="M22" s="2639"/>
      <c r="N22" s="2639"/>
      <c r="O22" s="2639"/>
      <c r="P22" s="2639"/>
      <c r="Q22" s="2639"/>
      <c r="R22" s="2639"/>
      <c r="S22" s="2639"/>
      <c r="T22" s="2639"/>
      <c r="U22" s="2639"/>
      <c r="V22" s="2639"/>
      <c r="W22" s="2639"/>
      <c r="X22" s="2639"/>
      <c r="Y22" s="2639"/>
      <c r="Z22" s="2639"/>
      <c r="AA22" s="2639"/>
      <c r="AB22" s="2639"/>
      <c r="AC22" s="2639"/>
      <c r="AD22" s="2639"/>
      <c r="AE22" s="2639"/>
      <c r="AF22" s="2639"/>
      <c r="AG22" s="2639"/>
      <c r="AH22" s="2639"/>
      <c r="AI22" s="2639"/>
      <c r="AJ22" s="2639"/>
      <c r="AK22" s="2639"/>
      <c r="AL22" s="2639"/>
      <c r="AM22" s="2639"/>
      <c r="AN22" s="2639"/>
      <c r="AO22" s="2639"/>
      <c r="AP22" s="2639"/>
      <c r="AQ22" s="2639"/>
      <c r="AR22" s="2639"/>
      <c r="AS22" s="2639"/>
      <c r="AT22" s="2639"/>
      <c r="AU22" s="2639"/>
      <c r="AV22" s="2639"/>
      <c r="AW22" s="2639"/>
      <c r="AX22" s="2639"/>
    </row>
    <row r="23" spans="2:84" s="87" customFormat="1" ht="15" customHeight="1" x14ac:dyDescent="0.3">
      <c r="B23" s="2635" t="s">
        <v>198</v>
      </c>
      <c r="C23" s="2635"/>
      <c r="D23" s="2635"/>
      <c r="E23" s="2635"/>
      <c r="F23" s="2635"/>
      <c r="G23" s="2635"/>
      <c r="H23" s="2635"/>
      <c r="I23" s="2635"/>
      <c r="J23" s="2635"/>
      <c r="K23" s="2635"/>
      <c r="L23" s="2635"/>
      <c r="M23" s="2635"/>
      <c r="N23" s="2635"/>
      <c r="O23" s="2635"/>
      <c r="P23" s="2635"/>
      <c r="Q23" s="2635"/>
      <c r="R23" s="2635"/>
      <c r="S23" s="2635"/>
      <c r="T23" s="2635"/>
      <c r="U23" s="2635"/>
      <c r="V23" s="2635"/>
      <c r="W23" s="2635"/>
      <c r="X23" s="2635"/>
      <c r="Y23" s="2635"/>
      <c r="Z23" s="2635"/>
      <c r="AA23" s="2635"/>
      <c r="AB23" s="2635"/>
      <c r="AC23" s="2635"/>
      <c r="AD23" s="2635"/>
      <c r="AE23" s="2635"/>
      <c r="AF23" s="2635"/>
      <c r="AG23" s="2635"/>
      <c r="AH23" s="2635"/>
      <c r="AI23" s="2635"/>
      <c r="AJ23" s="2635"/>
      <c r="AK23" s="2635"/>
      <c r="AL23" s="2635"/>
      <c r="AM23" s="2635"/>
      <c r="AN23" s="2635"/>
      <c r="AO23" s="2635"/>
      <c r="AP23" s="2635"/>
      <c r="AQ23" s="2635"/>
      <c r="AR23" s="2635"/>
      <c r="AS23" s="2635"/>
      <c r="AT23" s="2635"/>
      <c r="AU23" s="2635"/>
      <c r="AV23" s="2635"/>
      <c r="AW23" s="2635"/>
      <c r="AX23" s="2635"/>
    </row>
    <row r="24" spans="2:84" s="87" customFormat="1" ht="15" customHeight="1" x14ac:dyDescent="0.3">
      <c r="B24" s="2635" t="s">
        <v>199</v>
      </c>
      <c r="C24" s="2635"/>
      <c r="D24" s="2635"/>
      <c r="E24" s="2635"/>
      <c r="F24" s="2635"/>
      <c r="G24" s="2635"/>
      <c r="H24" s="2635"/>
      <c r="I24" s="2635"/>
      <c r="J24" s="2635"/>
      <c r="K24" s="2635"/>
      <c r="L24" s="2635"/>
      <c r="M24" s="2635"/>
      <c r="N24" s="2635"/>
      <c r="O24" s="2635"/>
      <c r="P24" s="2635"/>
      <c r="Q24" s="2635"/>
      <c r="R24" s="2635"/>
      <c r="S24" s="2635"/>
      <c r="T24" s="2635"/>
      <c r="U24" s="2635"/>
      <c r="V24" s="2635"/>
      <c r="W24" s="2635"/>
      <c r="X24" s="2635"/>
      <c r="Y24" s="2635"/>
      <c r="Z24" s="2635"/>
      <c r="AA24" s="2635"/>
      <c r="AB24" s="2635"/>
      <c r="AC24" s="2635"/>
      <c r="AD24" s="2635"/>
      <c r="AE24" s="2635"/>
      <c r="AF24" s="2635"/>
      <c r="AG24" s="2635"/>
      <c r="AH24" s="2635"/>
      <c r="AI24" s="2635"/>
      <c r="AJ24" s="2635"/>
      <c r="AK24" s="2635"/>
      <c r="AL24" s="2635"/>
      <c r="AM24" s="2635"/>
      <c r="AN24" s="2635"/>
      <c r="AO24" s="2635"/>
      <c r="AP24" s="2635"/>
      <c r="AQ24" s="2635"/>
      <c r="AR24" s="2635"/>
      <c r="AS24" s="2635"/>
      <c r="AT24" s="2635"/>
      <c r="AU24" s="2635"/>
      <c r="AV24" s="2635"/>
      <c r="AW24" s="2635"/>
      <c r="AX24" s="2635"/>
    </row>
    <row r="25" spans="2:84" s="87" customFormat="1" x14ac:dyDescent="0.3">
      <c r="B25" s="2635" t="s">
        <v>920</v>
      </c>
      <c r="C25" s="2635"/>
      <c r="D25" s="2635"/>
      <c r="E25" s="2635"/>
      <c r="F25" s="2635"/>
      <c r="G25" s="2635"/>
      <c r="H25" s="2635"/>
      <c r="I25" s="2635"/>
      <c r="J25" s="2635"/>
      <c r="K25" s="2635"/>
      <c r="L25" s="2635"/>
      <c r="M25" s="2635"/>
      <c r="N25" s="2635"/>
      <c r="O25" s="2635"/>
      <c r="P25" s="2635"/>
      <c r="Q25" s="2635"/>
      <c r="R25" s="2635"/>
      <c r="S25" s="2635"/>
      <c r="T25" s="2635"/>
      <c r="U25" s="2635"/>
      <c r="V25" s="2635"/>
      <c r="W25" s="2635"/>
      <c r="X25" s="2635"/>
      <c r="Y25" s="2635"/>
      <c r="Z25" s="2635"/>
      <c r="AA25" s="2635"/>
      <c r="AB25" s="2635"/>
      <c r="AC25" s="2635"/>
      <c r="AD25" s="2635"/>
      <c r="AE25" s="2635"/>
      <c r="AF25" s="2635"/>
      <c r="AG25" s="2635"/>
      <c r="AH25" s="2635"/>
      <c r="AI25" s="2635"/>
      <c r="AJ25" s="2635"/>
      <c r="AK25" s="2635"/>
      <c r="AL25" s="2635"/>
      <c r="AM25" s="2635"/>
      <c r="AN25" s="2635"/>
      <c r="AO25" s="2635"/>
      <c r="AP25" s="2635"/>
      <c r="AQ25" s="2635"/>
      <c r="AR25" s="2635"/>
      <c r="AS25" s="2635"/>
      <c r="AT25" s="2635"/>
      <c r="AU25" s="2635"/>
      <c r="AV25" s="2635"/>
      <c r="AW25" s="2635"/>
      <c r="AX25" s="2635"/>
    </row>
    <row r="26" spans="2:84" s="87" customFormat="1" ht="15" customHeight="1" x14ac:dyDescent="0.3">
      <c r="B26" s="2638" t="s">
        <v>200</v>
      </c>
      <c r="C26" s="2638"/>
      <c r="D26" s="2638"/>
      <c r="E26" s="2638"/>
      <c r="F26" s="2638"/>
      <c r="G26" s="2638"/>
      <c r="H26" s="2638"/>
      <c r="I26" s="2638"/>
      <c r="J26" s="2638"/>
      <c r="K26" s="2638"/>
      <c r="L26" s="2638"/>
      <c r="M26" s="2638"/>
      <c r="N26" s="2638"/>
      <c r="O26" s="2638"/>
      <c r="P26" s="2638"/>
      <c r="Q26" s="2638"/>
      <c r="R26" s="2638"/>
      <c r="S26" s="2638"/>
      <c r="T26" s="2638"/>
      <c r="U26" s="2638"/>
      <c r="V26" s="2638"/>
      <c r="W26" s="2638"/>
      <c r="X26" s="2638"/>
      <c r="Y26" s="2638"/>
      <c r="Z26" s="2638"/>
      <c r="AA26" s="2638"/>
      <c r="AB26" s="2638"/>
      <c r="AC26" s="2638"/>
      <c r="AD26" s="2638"/>
      <c r="AE26" s="2638"/>
      <c r="AF26" s="2638"/>
      <c r="AG26" s="2638"/>
      <c r="AH26" s="2638"/>
      <c r="AI26" s="2638"/>
      <c r="AJ26" s="2638"/>
      <c r="AK26" s="2638"/>
      <c r="AL26" s="2638"/>
      <c r="AM26" s="2638"/>
      <c r="AN26" s="2638"/>
      <c r="AO26" s="2638"/>
      <c r="AP26" s="2638"/>
      <c r="AQ26" s="2638"/>
      <c r="AR26" s="2638"/>
      <c r="AS26" s="2638"/>
      <c r="AT26" s="2638"/>
      <c r="AU26" s="2638"/>
      <c r="AV26" s="2638"/>
      <c r="AW26" s="2638"/>
      <c r="AX26" s="2638"/>
    </row>
    <row r="27" spans="2:84" s="87" customFormat="1" ht="15" customHeight="1" x14ac:dyDescent="0.3">
      <c r="B27" s="2635" t="s">
        <v>223</v>
      </c>
      <c r="C27" s="2635"/>
      <c r="D27" s="2635"/>
      <c r="E27" s="2635"/>
      <c r="F27" s="2635"/>
      <c r="G27" s="2635"/>
      <c r="H27" s="2635"/>
      <c r="I27" s="2635"/>
      <c r="J27" s="2635"/>
      <c r="K27" s="2635"/>
      <c r="L27" s="2635"/>
      <c r="M27" s="2635"/>
      <c r="N27" s="2635"/>
      <c r="O27" s="2635"/>
      <c r="P27" s="2635"/>
      <c r="Q27" s="2635"/>
      <c r="R27" s="2635"/>
      <c r="S27" s="2635"/>
      <c r="T27" s="2635"/>
      <c r="U27" s="2635"/>
      <c r="V27" s="2635"/>
      <c r="W27" s="2635"/>
      <c r="X27" s="2635"/>
      <c r="Y27" s="2635"/>
      <c r="Z27" s="2635"/>
      <c r="AA27" s="2635"/>
      <c r="AB27" s="2635"/>
      <c r="AC27" s="2635"/>
      <c r="AD27" s="2635"/>
      <c r="AE27" s="2635"/>
      <c r="AF27" s="2635"/>
      <c r="AG27" s="2635"/>
      <c r="AH27" s="2635"/>
      <c r="AI27" s="2635"/>
      <c r="AJ27" s="2635"/>
      <c r="AK27" s="2635"/>
      <c r="AL27" s="2635"/>
      <c r="AM27" s="2635"/>
      <c r="AN27" s="2635"/>
      <c r="AO27" s="2635"/>
      <c r="AP27" s="2635"/>
      <c r="AQ27" s="2635"/>
      <c r="AR27" s="2635"/>
      <c r="AS27" s="2635"/>
      <c r="AT27" s="2635"/>
      <c r="AU27" s="2635"/>
      <c r="AV27" s="2635"/>
      <c r="AW27" s="2635"/>
      <c r="AX27" s="2635"/>
    </row>
    <row r="28" spans="2:84" s="87" customFormat="1" ht="15" customHeight="1" x14ac:dyDescent="0.3">
      <c r="B28" s="2636" t="s">
        <v>224</v>
      </c>
      <c r="C28" s="2636"/>
      <c r="D28" s="2636"/>
      <c r="E28" s="2636"/>
      <c r="F28" s="2636"/>
      <c r="G28" s="2636"/>
      <c r="H28" s="2636"/>
      <c r="I28" s="2636"/>
      <c r="J28" s="2636"/>
      <c r="K28" s="2636"/>
      <c r="L28" s="2636"/>
      <c r="M28" s="2636"/>
      <c r="N28" s="2636"/>
      <c r="O28" s="2636"/>
      <c r="P28" s="2636"/>
      <c r="Q28" s="2636"/>
      <c r="R28" s="2636"/>
      <c r="S28" s="2636"/>
      <c r="T28" s="2636"/>
      <c r="U28" s="2636"/>
      <c r="V28" s="2636"/>
      <c r="W28" s="2636"/>
      <c r="X28" s="2636"/>
      <c r="Y28" s="2636"/>
      <c r="Z28" s="2636"/>
      <c r="AA28" s="2636"/>
      <c r="AB28" s="2636"/>
      <c r="AC28" s="2636"/>
      <c r="AD28" s="2636"/>
      <c r="AE28" s="2636"/>
      <c r="AF28" s="2636"/>
      <c r="AG28" s="2636"/>
      <c r="AH28" s="2636"/>
      <c r="AI28" s="2636"/>
      <c r="AJ28" s="2636"/>
      <c r="AK28" s="2636"/>
      <c r="AL28" s="2636"/>
      <c r="AM28" s="2636"/>
      <c r="AN28" s="2636"/>
      <c r="AO28" s="2636"/>
      <c r="AP28" s="2636"/>
      <c r="AQ28" s="2636"/>
      <c r="AR28" s="2636"/>
      <c r="AS28" s="2636"/>
      <c r="AT28" s="2636"/>
      <c r="AU28" s="2636"/>
      <c r="AV28" s="2636"/>
      <c r="AW28" s="2636"/>
      <c r="AX28" s="2636"/>
    </row>
    <row r="29" spans="2:84" s="87" customFormat="1" ht="15" customHeight="1" x14ac:dyDescent="0.3">
      <c r="B29" s="2635" t="s">
        <v>201</v>
      </c>
      <c r="C29" s="2635"/>
      <c r="D29" s="2635"/>
      <c r="E29" s="2635"/>
      <c r="F29" s="2635"/>
      <c r="G29" s="2635"/>
      <c r="H29" s="2635"/>
      <c r="I29" s="2635"/>
      <c r="J29" s="2635"/>
      <c r="K29" s="2635"/>
      <c r="L29" s="2635"/>
      <c r="M29" s="2635"/>
      <c r="N29" s="2635"/>
      <c r="O29" s="2635"/>
      <c r="P29" s="2635"/>
      <c r="Q29" s="2635"/>
      <c r="R29" s="2635"/>
      <c r="S29" s="2635"/>
      <c r="T29" s="2635"/>
      <c r="U29" s="2635"/>
      <c r="V29" s="2635"/>
      <c r="W29" s="2635"/>
      <c r="X29" s="2635"/>
      <c r="Y29" s="2635"/>
      <c r="Z29" s="2635"/>
      <c r="AA29" s="2635"/>
      <c r="AB29" s="2635"/>
      <c r="AC29" s="2635"/>
      <c r="AD29" s="2635"/>
      <c r="AE29" s="2635"/>
      <c r="AF29" s="2635"/>
      <c r="AG29" s="2635"/>
      <c r="AH29" s="2635"/>
      <c r="AI29" s="2635"/>
      <c r="AJ29" s="2635"/>
      <c r="AK29" s="2635"/>
      <c r="AL29" s="2635"/>
      <c r="AM29" s="2635"/>
      <c r="AN29" s="2635"/>
      <c r="AO29" s="2635"/>
      <c r="AP29" s="2635"/>
      <c r="AQ29" s="2635"/>
      <c r="AR29" s="2635"/>
      <c r="AS29" s="2635"/>
      <c r="AT29" s="2635"/>
      <c r="AU29" s="2635"/>
      <c r="AV29" s="2635"/>
      <c r="AW29" s="2635"/>
      <c r="AX29" s="2635"/>
    </row>
    <row r="30" spans="2:84" s="87" customFormat="1" ht="15" customHeight="1" x14ac:dyDescent="0.3">
      <c r="B30" s="2635" t="s">
        <v>1376</v>
      </c>
      <c r="C30" s="2635"/>
      <c r="D30" s="2635"/>
      <c r="E30" s="2635"/>
      <c r="F30" s="2635"/>
      <c r="G30" s="2635"/>
      <c r="H30" s="2635"/>
      <c r="I30" s="2635"/>
      <c r="J30" s="2635"/>
      <c r="K30" s="2635"/>
      <c r="L30" s="2635"/>
      <c r="M30" s="2635"/>
      <c r="N30" s="2635"/>
      <c r="O30" s="2635"/>
      <c r="P30" s="2635"/>
      <c r="Q30" s="2635"/>
      <c r="R30" s="2635"/>
      <c r="S30" s="2635"/>
      <c r="T30" s="2635"/>
      <c r="U30" s="2635"/>
      <c r="V30" s="2635"/>
      <c r="W30" s="2635"/>
      <c r="X30" s="2635"/>
      <c r="Y30" s="2635"/>
      <c r="Z30" s="2635"/>
      <c r="AA30" s="2635"/>
      <c r="AB30" s="2635"/>
      <c r="AC30" s="2635"/>
      <c r="AD30" s="2635"/>
      <c r="AE30" s="2635"/>
      <c r="AF30" s="2635"/>
      <c r="AG30" s="2635"/>
      <c r="AH30" s="2635"/>
      <c r="AI30" s="2635"/>
      <c r="AJ30" s="2635"/>
      <c r="AK30" s="2635"/>
      <c r="AL30" s="2635"/>
      <c r="AM30" s="2635"/>
      <c r="AN30" s="2635"/>
      <c r="AO30" s="2635"/>
      <c r="AP30" s="2635"/>
      <c r="AQ30" s="2635"/>
      <c r="AR30" s="2635"/>
      <c r="AS30" s="2635"/>
      <c r="AT30" s="2635"/>
      <c r="AU30" s="2635"/>
      <c r="AV30" s="2635"/>
      <c r="AW30" s="2635"/>
      <c r="AX30" s="2635"/>
    </row>
    <row r="31" spans="2:84" s="87" customFormat="1" ht="15" customHeight="1" x14ac:dyDescent="0.3">
      <c r="B31" s="2635" t="s">
        <v>1377</v>
      </c>
      <c r="C31" s="2635"/>
      <c r="D31" s="2635"/>
      <c r="E31" s="2635"/>
      <c r="F31" s="2635"/>
      <c r="G31" s="2635"/>
      <c r="H31" s="2635"/>
      <c r="I31" s="2635"/>
      <c r="J31" s="2635"/>
      <c r="K31" s="2635"/>
      <c r="L31" s="2635"/>
      <c r="M31" s="2635"/>
      <c r="N31" s="2635"/>
      <c r="O31" s="2635"/>
      <c r="P31" s="2635"/>
      <c r="Q31" s="2635"/>
      <c r="R31" s="2635"/>
      <c r="S31" s="2635"/>
      <c r="T31" s="2635"/>
      <c r="U31" s="2635"/>
      <c r="V31" s="2635"/>
      <c r="W31" s="2635"/>
      <c r="X31" s="2635"/>
      <c r="Y31" s="2635"/>
      <c r="Z31" s="2635"/>
      <c r="AA31" s="2635"/>
      <c r="AB31" s="2635"/>
      <c r="AC31" s="2635"/>
      <c r="AD31" s="2635"/>
      <c r="AE31" s="2635"/>
      <c r="AF31" s="2635"/>
      <c r="AG31" s="2635"/>
      <c r="AH31" s="2635"/>
      <c r="AI31" s="2635"/>
      <c r="AJ31" s="2635"/>
      <c r="AK31" s="2635"/>
      <c r="AL31" s="2635"/>
      <c r="AM31" s="2635"/>
      <c r="AN31" s="2635"/>
      <c r="AO31" s="2635"/>
      <c r="AP31" s="2635"/>
      <c r="AQ31" s="2635"/>
      <c r="AR31" s="2635"/>
      <c r="AS31" s="2635"/>
      <c r="AT31" s="2635"/>
      <c r="AU31" s="2635"/>
      <c r="AV31" s="2635"/>
      <c r="AW31" s="2635"/>
      <c r="AX31" s="2635"/>
    </row>
    <row r="32" spans="2:84" s="87" customFormat="1" ht="15" customHeight="1" x14ac:dyDescent="0.3">
      <c r="B32" s="2635" t="s">
        <v>1378</v>
      </c>
      <c r="C32" s="2635"/>
      <c r="D32" s="2635"/>
      <c r="E32" s="2635"/>
      <c r="F32" s="2635"/>
      <c r="G32" s="2635"/>
      <c r="H32" s="2635"/>
      <c r="I32" s="2635"/>
      <c r="J32" s="2635"/>
      <c r="K32" s="2635"/>
      <c r="L32" s="2635"/>
      <c r="M32" s="2635"/>
      <c r="N32" s="2635"/>
      <c r="O32" s="2635"/>
      <c r="P32" s="2635"/>
      <c r="Q32" s="2635"/>
      <c r="R32" s="2635"/>
      <c r="S32" s="2635"/>
      <c r="T32" s="2635"/>
      <c r="U32" s="2635"/>
      <c r="V32" s="2635"/>
      <c r="W32" s="2635"/>
      <c r="X32" s="2635"/>
      <c r="Y32" s="2635"/>
      <c r="Z32" s="2635"/>
      <c r="AA32" s="2635"/>
      <c r="AB32" s="2635"/>
      <c r="AC32" s="2635"/>
      <c r="AD32" s="2635"/>
      <c r="AE32" s="2635"/>
      <c r="AF32" s="2635"/>
      <c r="AG32" s="2635"/>
      <c r="AH32" s="2635"/>
      <c r="AI32" s="2635"/>
      <c r="AJ32" s="2635"/>
      <c r="AK32" s="2635"/>
      <c r="AL32" s="2635"/>
      <c r="AM32" s="2635"/>
      <c r="AN32" s="2635"/>
      <c r="AO32" s="2635"/>
      <c r="AP32" s="2635"/>
      <c r="AQ32" s="2635"/>
      <c r="AR32" s="2635"/>
      <c r="AS32" s="2635"/>
      <c r="AT32" s="2635"/>
      <c r="AU32" s="2635"/>
      <c r="AV32" s="2635"/>
      <c r="AW32" s="2635"/>
      <c r="AX32" s="2635"/>
    </row>
    <row r="33" spans="2:67" s="87" customFormat="1" x14ac:dyDescent="0.3">
      <c r="B33" s="2635" t="s">
        <v>1379</v>
      </c>
      <c r="C33" s="2635"/>
      <c r="D33" s="2635"/>
      <c r="E33" s="2635"/>
      <c r="F33" s="2635"/>
      <c r="G33" s="2635"/>
      <c r="H33" s="2635"/>
      <c r="I33" s="2635"/>
      <c r="J33" s="2635"/>
      <c r="K33" s="2635"/>
      <c r="L33" s="2635"/>
      <c r="M33" s="2635"/>
      <c r="N33" s="2635"/>
      <c r="O33" s="2635"/>
      <c r="P33" s="2635"/>
      <c r="Q33" s="2635"/>
      <c r="R33" s="2635"/>
      <c r="S33" s="2635"/>
      <c r="T33" s="2635"/>
      <c r="U33" s="2635"/>
      <c r="V33" s="2635"/>
      <c r="W33" s="2635"/>
      <c r="X33" s="2635"/>
      <c r="Y33" s="2635"/>
      <c r="Z33" s="2635"/>
      <c r="AA33" s="2635"/>
      <c r="AB33" s="2635"/>
      <c r="AC33" s="2635"/>
      <c r="AD33" s="2635"/>
      <c r="AE33" s="2635"/>
      <c r="AF33" s="2635"/>
      <c r="AG33" s="2635"/>
      <c r="AH33" s="2635"/>
      <c r="AI33" s="2635"/>
      <c r="AJ33" s="2635"/>
      <c r="AK33" s="2635"/>
      <c r="AL33" s="2635"/>
      <c r="AM33" s="2635"/>
      <c r="AN33" s="2635"/>
      <c r="AO33" s="2635"/>
      <c r="AP33" s="2635"/>
      <c r="AQ33" s="2635"/>
      <c r="AR33" s="2635"/>
      <c r="AS33" s="2635"/>
      <c r="AT33" s="2635"/>
      <c r="AU33" s="2635"/>
      <c r="AV33" s="2635"/>
      <c r="AW33" s="2635"/>
      <c r="AX33" s="2635"/>
    </row>
    <row r="34" spans="2:67" s="87" customFormat="1" ht="15.5" x14ac:dyDescent="0.35">
      <c r="B34" s="2659" t="s">
        <v>1151</v>
      </c>
      <c r="C34" s="2659"/>
      <c r="D34" s="2659"/>
      <c r="E34" s="2659"/>
      <c r="F34" s="2659"/>
      <c r="G34" s="2659"/>
      <c r="H34" s="2659"/>
      <c r="I34" s="2659"/>
      <c r="J34" s="2659"/>
      <c r="K34" s="2659"/>
      <c r="L34" s="2659"/>
      <c r="M34" s="2659"/>
      <c r="N34" s="2659"/>
      <c r="O34" s="2659"/>
      <c r="P34" s="2659"/>
      <c r="Q34" s="2659"/>
      <c r="R34" s="2659"/>
      <c r="S34" s="2659"/>
      <c r="T34" s="2659"/>
      <c r="U34" s="2659"/>
      <c r="V34" s="2659"/>
      <c r="W34" s="2659"/>
      <c r="X34" s="2659"/>
      <c r="Y34" s="2659"/>
      <c r="Z34" s="2659"/>
      <c r="AA34" s="2659"/>
      <c r="AB34" s="2659"/>
      <c r="AC34" s="2659"/>
      <c r="AD34" s="2659"/>
      <c r="AE34" s="2659"/>
      <c r="AF34" s="2659"/>
      <c r="AG34" s="2659"/>
      <c r="AH34" s="2659"/>
      <c r="AI34" s="2659"/>
      <c r="AJ34" s="2659"/>
      <c r="AK34" s="2659"/>
      <c r="AL34" s="2659"/>
      <c r="AM34" s="2659"/>
      <c r="AN34" s="2659"/>
      <c r="AO34" s="2659"/>
      <c r="AP34" s="2659"/>
      <c r="AQ34" s="2659"/>
      <c r="AR34" s="2659"/>
      <c r="AS34" s="2659"/>
      <c r="AT34" s="2659"/>
      <c r="AU34" s="2659"/>
      <c r="AV34" s="2659"/>
      <c r="AW34" s="2659"/>
      <c r="AX34" s="2659"/>
    </row>
    <row r="35" spans="2:67" s="87" customFormat="1" ht="15" customHeight="1" x14ac:dyDescent="0.3">
      <c r="B35" s="2636" t="s">
        <v>225</v>
      </c>
      <c r="C35" s="2636"/>
      <c r="D35" s="2636"/>
      <c r="E35" s="2636"/>
      <c r="F35" s="2636"/>
      <c r="G35" s="2636"/>
      <c r="H35" s="2636"/>
      <c r="I35" s="2636"/>
      <c r="J35" s="2636"/>
      <c r="K35" s="2636"/>
      <c r="L35" s="2636"/>
      <c r="M35" s="2636"/>
      <c r="N35" s="2636"/>
      <c r="O35" s="2636"/>
      <c r="P35" s="2636"/>
      <c r="Q35" s="2636"/>
      <c r="R35" s="2636"/>
      <c r="S35" s="2636"/>
      <c r="T35" s="2636"/>
      <c r="U35" s="2636"/>
      <c r="V35" s="2636"/>
      <c r="W35" s="2636"/>
      <c r="X35" s="2636"/>
      <c r="Y35" s="2636"/>
      <c r="Z35" s="2636"/>
      <c r="AA35" s="2636"/>
      <c r="AB35" s="2636"/>
      <c r="AC35" s="2636"/>
      <c r="AD35" s="2636"/>
      <c r="AE35" s="2636"/>
      <c r="AF35" s="2636"/>
      <c r="AG35" s="2636"/>
      <c r="AH35" s="2636"/>
      <c r="AI35" s="2636"/>
      <c r="AJ35" s="2636"/>
      <c r="AK35" s="2636"/>
      <c r="AL35" s="2636"/>
      <c r="AM35" s="2636"/>
      <c r="AN35" s="2636"/>
      <c r="AO35" s="2636"/>
      <c r="AP35" s="2636"/>
      <c r="AQ35" s="2636"/>
      <c r="AR35" s="2636"/>
      <c r="AS35" s="2636"/>
      <c r="AT35" s="2636"/>
      <c r="AU35" s="2636"/>
      <c r="AV35" s="2636"/>
      <c r="AW35" s="2636"/>
      <c r="AX35" s="2636"/>
    </row>
    <row r="36" spans="2:67" s="87" customFormat="1" x14ac:dyDescent="0.3">
      <c r="B36" s="2637" t="s">
        <v>1384</v>
      </c>
      <c r="C36" s="2637"/>
      <c r="D36" s="2637"/>
      <c r="E36" s="2637"/>
      <c r="F36" s="2637"/>
      <c r="G36" s="2637"/>
      <c r="H36" s="2637"/>
      <c r="I36" s="2637"/>
      <c r="J36" s="2637"/>
      <c r="K36" s="2637"/>
      <c r="L36" s="2637"/>
      <c r="M36" s="2637"/>
      <c r="N36" s="2637"/>
      <c r="O36" s="2637"/>
      <c r="P36" s="2637"/>
      <c r="Q36" s="2637"/>
      <c r="R36" s="2637"/>
      <c r="S36" s="2637"/>
      <c r="T36" s="2637"/>
      <c r="U36" s="2637"/>
      <c r="V36" s="2637"/>
      <c r="W36" s="2637"/>
      <c r="X36" s="2637"/>
      <c r="Y36" s="2637"/>
      <c r="Z36" s="2637"/>
      <c r="AA36" s="2637"/>
      <c r="AB36" s="2637"/>
      <c r="AC36" s="2637"/>
      <c r="AD36" s="2637"/>
      <c r="AE36" s="2637"/>
      <c r="AF36" s="2637"/>
      <c r="AG36" s="2637"/>
      <c r="AH36" s="2637"/>
      <c r="AI36" s="2637"/>
      <c r="AJ36" s="2637"/>
      <c r="AK36" s="2637"/>
      <c r="AL36" s="2637"/>
      <c r="AM36" s="2637"/>
      <c r="AN36" s="2637"/>
      <c r="AO36" s="2637"/>
      <c r="AP36" s="2637"/>
      <c r="AQ36" s="2637"/>
      <c r="AR36" s="2637"/>
      <c r="AS36" s="2637"/>
      <c r="AT36" s="2637"/>
      <c r="AU36" s="2637"/>
      <c r="AV36" s="2637"/>
      <c r="AW36" s="2637"/>
      <c r="AX36" s="2637"/>
    </row>
    <row r="37" spans="2:67" s="124" customFormat="1" ht="30.75" customHeight="1" x14ac:dyDescent="0.3">
      <c r="AI37" s="123"/>
    </row>
    <row r="38" spans="2:67" s="44" customFormat="1" ht="15.5" x14ac:dyDescent="0.35">
      <c r="B38" s="60" t="s">
        <v>913</v>
      </c>
      <c r="S38" s="60" t="s">
        <v>907</v>
      </c>
      <c r="T38" s="73"/>
      <c r="U38" s="73"/>
      <c r="V38" s="73"/>
      <c r="W38" s="73"/>
      <c r="X38" s="73"/>
      <c r="Y38" s="73"/>
      <c r="Z38" s="73"/>
      <c r="AA38" s="73"/>
      <c r="AB38" s="73"/>
      <c r="AC38" s="73"/>
      <c r="AD38" s="73"/>
      <c r="AE38" s="73"/>
      <c r="AF38" s="73"/>
      <c r="AJ38" s="60" t="s">
        <v>922</v>
      </c>
    </row>
    <row r="39" spans="2:67" s="44" customFormat="1" ht="21.75" customHeight="1" x14ac:dyDescent="0.35">
      <c r="B39" s="60" t="s">
        <v>780</v>
      </c>
      <c r="F39" s="1581" t="str">
        <f>SchInfo!F38</f>
        <v>MELCHESIEDICK Q. BOLANIO/ March 17, 2023</v>
      </c>
      <c r="G39" s="1581"/>
      <c r="H39" s="1581"/>
      <c r="I39" s="1581"/>
      <c r="J39" s="1581"/>
      <c r="K39" s="1581"/>
      <c r="L39" s="1581"/>
      <c r="M39" s="1581"/>
      <c r="N39" s="1581"/>
      <c r="O39" s="1581"/>
      <c r="S39" s="2633" t="s">
        <v>12811</v>
      </c>
      <c r="T39" s="2633"/>
      <c r="U39" s="2633"/>
      <c r="V39" s="2633"/>
      <c r="W39" s="2633"/>
      <c r="X39" s="2633"/>
      <c r="Y39" s="2633"/>
      <c r="Z39" s="2633"/>
      <c r="AA39" s="2633"/>
      <c r="AB39" s="2633"/>
      <c r="AC39" s="2633"/>
      <c r="AD39" s="2633"/>
      <c r="AE39" s="2633"/>
      <c r="AF39" s="2633"/>
      <c r="AJ39" s="1582" t="str">
        <f>SchInfo!R38</f>
        <v>MICHAEL T. JAMIS   /  March 17, 2023</v>
      </c>
      <c r="AK39" s="1582"/>
      <c r="AL39" s="1582"/>
      <c r="AM39" s="1582"/>
      <c r="AN39" s="1582"/>
      <c r="AO39" s="1582"/>
      <c r="AP39" s="1582"/>
      <c r="AQ39" s="1582"/>
      <c r="AR39" s="1582"/>
      <c r="AS39" s="1582"/>
      <c r="AT39" s="1582"/>
      <c r="AU39" s="1582"/>
      <c r="AV39" s="1582"/>
      <c r="AW39" s="1582"/>
    </row>
    <row r="40" spans="2:67" s="68" customFormat="1" ht="15.5" x14ac:dyDescent="0.35">
      <c r="B40" s="210"/>
      <c r="F40" s="1452" t="s">
        <v>779</v>
      </c>
      <c r="G40" s="1452"/>
      <c r="H40" s="1452"/>
      <c r="I40" s="1452"/>
      <c r="J40" s="1452"/>
      <c r="K40" s="1452"/>
      <c r="L40" s="1452"/>
      <c r="M40" s="1452"/>
      <c r="N40" s="1452"/>
      <c r="O40" s="1452"/>
      <c r="P40" s="64"/>
      <c r="Q40" s="64"/>
      <c r="R40" s="64"/>
      <c r="S40" s="2634"/>
      <c r="T40" s="2634"/>
      <c r="U40" s="2634"/>
      <c r="V40" s="2634"/>
      <c r="W40" s="2634"/>
      <c r="X40" s="2634"/>
      <c r="Y40" s="2634"/>
      <c r="Z40" s="2634"/>
      <c r="AA40" s="2634"/>
      <c r="AB40" s="2634"/>
      <c r="AC40" s="2634"/>
      <c r="AD40" s="2634"/>
      <c r="AE40" s="2634"/>
      <c r="AF40" s="2634"/>
      <c r="AG40" s="44"/>
      <c r="AH40" s="44"/>
      <c r="AI40" s="44"/>
      <c r="AJ40" s="1583"/>
      <c r="AK40" s="1583"/>
      <c r="AL40" s="1583"/>
      <c r="AM40" s="1583"/>
      <c r="AN40" s="1583"/>
      <c r="AO40" s="1583"/>
      <c r="AP40" s="1583"/>
      <c r="AQ40" s="1583"/>
      <c r="AR40" s="1583"/>
      <c r="AS40" s="1583"/>
      <c r="AT40" s="1583"/>
      <c r="AU40" s="1583"/>
      <c r="AV40" s="1583"/>
      <c r="AW40" s="1583"/>
      <c r="AX40" s="64"/>
      <c r="AY40" s="209"/>
      <c r="AZ40" s="209"/>
      <c r="BA40" s="209"/>
      <c r="BB40" s="209"/>
      <c r="BC40" s="209"/>
      <c r="BD40" s="209"/>
      <c r="BE40" s="209"/>
      <c r="BF40" s="209"/>
      <c r="BG40" s="209"/>
      <c r="BH40" s="209"/>
      <c r="BI40" s="209"/>
      <c r="BJ40" s="209"/>
      <c r="BK40" s="209"/>
      <c r="BL40" s="209"/>
      <c r="BM40" s="209"/>
      <c r="BN40" s="209"/>
      <c r="BO40" s="209"/>
    </row>
    <row r="41" spans="2:67" s="44" customFormat="1" ht="21.75" customHeight="1" x14ac:dyDescent="0.35">
      <c r="B41" s="60" t="s">
        <v>782</v>
      </c>
      <c r="F41" s="1581" t="str">
        <f>SchInfo!F40</f>
        <v>Principal IV</v>
      </c>
      <c r="G41" s="1581"/>
      <c r="H41" s="1581"/>
      <c r="I41" s="1581"/>
      <c r="J41" s="1581"/>
      <c r="K41" s="1581"/>
      <c r="L41" s="1581"/>
      <c r="M41" s="1581"/>
      <c r="N41" s="1581"/>
      <c r="O41" s="1581"/>
      <c r="S41" s="1452" t="s">
        <v>779</v>
      </c>
      <c r="T41" s="1452"/>
      <c r="U41" s="1452"/>
      <c r="V41" s="1452"/>
      <c r="W41" s="1452"/>
      <c r="X41" s="1452"/>
      <c r="Y41" s="1452"/>
      <c r="Z41" s="1452"/>
      <c r="AA41" s="1452"/>
      <c r="AB41" s="1452"/>
      <c r="AC41" s="1452"/>
      <c r="AD41" s="1452"/>
      <c r="AE41" s="1452"/>
      <c r="AF41" s="1452"/>
      <c r="AG41" s="64"/>
      <c r="AH41" s="64"/>
      <c r="AI41" s="64"/>
      <c r="AJ41" s="1452" t="s">
        <v>779</v>
      </c>
      <c r="AK41" s="1452"/>
      <c r="AL41" s="1452"/>
      <c r="AM41" s="1452"/>
      <c r="AN41" s="1452"/>
      <c r="AO41" s="1452"/>
      <c r="AP41" s="1452"/>
      <c r="AQ41" s="1452"/>
      <c r="AR41" s="1452"/>
      <c r="AS41" s="1452"/>
      <c r="AT41" s="1452"/>
      <c r="AU41" s="1452"/>
      <c r="AV41" s="1452"/>
      <c r="AW41" s="1452"/>
    </row>
    <row r="42" spans="2:67" ht="15.5" x14ac:dyDescent="0.35">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row>
  </sheetData>
  <sheetProtection algorithmName="SHA-512" hashValue="h7I38OVyHpanZuGsnD/L1n3iJRNLMJpoZX5YD9WgPC5akiOenreLU/mwZG4AYEciJfJ8DkWqZ80vNu0RhMVdtw==" saltValue="0Yr8VG+aP1MEtvc+sSoDpA==" spinCount="100000" sheet="1" objects="1" scenarios="1"/>
  <mergeCells count="126">
    <mergeCell ref="B34:AX34"/>
    <mergeCell ref="AJ18:AN18"/>
    <mergeCell ref="AO18:AS18"/>
    <mergeCell ref="AT18:AX18"/>
    <mergeCell ref="K18:O18"/>
    <mergeCell ref="P18:T18"/>
    <mergeCell ref="U18:Y18"/>
    <mergeCell ref="Z18:AD18"/>
    <mergeCell ref="AE18:AI18"/>
    <mergeCell ref="B23:AX23"/>
    <mergeCell ref="B24:AX24"/>
    <mergeCell ref="B32:AX32"/>
    <mergeCell ref="P11:T11"/>
    <mergeCell ref="U11:Y11"/>
    <mergeCell ref="AJ16:AN16"/>
    <mergeCell ref="AO16:AS16"/>
    <mergeCell ref="AT16:AX16"/>
    <mergeCell ref="K17:O17"/>
    <mergeCell ref="P17:T17"/>
    <mergeCell ref="U17:Y17"/>
    <mergeCell ref="Z17:AD17"/>
    <mergeCell ref="AE17:AI17"/>
    <mergeCell ref="AJ17:AN17"/>
    <mergeCell ref="AO17:AS17"/>
    <mergeCell ref="AT17:AX17"/>
    <mergeCell ref="K16:O16"/>
    <mergeCell ref="P16:T16"/>
    <mergeCell ref="U16:Y16"/>
    <mergeCell ref="Z16:AD16"/>
    <mergeCell ref="AE16:AI16"/>
    <mergeCell ref="Z10:AD10"/>
    <mergeCell ref="AE10:AI10"/>
    <mergeCell ref="AT7:AX7"/>
    <mergeCell ref="K8:O8"/>
    <mergeCell ref="AJ13:AN13"/>
    <mergeCell ref="AO13:AS13"/>
    <mergeCell ref="AT13:AX13"/>
    <mergeCell ref="K14:O14"/>
    <mergeCell ref="P14:T14"/>
    <mergeCell ref="U14:Y14"/>
    <mergeCell ref="Z14:AD14"/>
    <mergeCell ref="AE14:AI14"/>
    <mergeCell ref="AJ14:AN14"/>
    <mergeCell ref="AO14:AS14"/>
    <mergeCell ref="AT14:AX14"/>
    <mergeCell ref="K13:O13"/>
    <mergeCell ref="P13:T13"/>
    <mergeCell ref="U13:Y13"/>
    <mergeCell ref="Z13:AD13"/>
    <mergeCell ref="AE13:AI13"/>
    <mergeCell ref="AJ10:AN10"/>
    <mergeCell ref="AO10:AS10"/>
    <mergeCell ref="AT10:AX10"/>
    <mergeCell ref="K11:O11"/>
    <mergeCell ref="U8:Y8"/>
    <mergeCell ref="Z8:AD8"/>
    <mergeCell ref="AE8:AI8"/>
    <mergeCell ref="AJ8:AN8"/>
    <mergeCell ref="AO8:AS8"/>
    <mergeCell ref="AT8:AX8"/>
    <mergeCell ref="K7:O7"/>
    <mergeCell ref="B6:J6"/>
    <mergeCell ref="B4:J5"/>
    <mergeCell ref="K4:AX4"/>
    <mergeCell ref="K5:O5"/>
    <mergeCell ref="P5:T5"/>
    <mergeCell ref="U5:Y5"/>
    <mergeCell ref="Z5:AD5"/>
    <mergeCell ref="AE5:AI5"/>
    <mergeCell ref="AJ5:AN5"/>
    <mergeCell ref="AO5:AS5"/>
    <mergeCell ref="AT5:AX5"/>
    <mergeCell ref="P7:T7"/>
    <mergeCell ref="U7:Y7"/>
    <mergeCell ref="Z7:AD7"/>
    <mergeCell ref="AE7:AI7"/>
    <mergeCell ref="AJ7:AN7"/>
    <mergeCell ref="AO7:AS7"/>
    <mergeCell ref="B12:J12"/>
    <mergeCell ref="K6:AX6"/>
    <mergeCell ref="K12:AX12"/>
    <mergeCell ref="S39:AF40"/>
    <mergeCell ref="AJ39:AW40"/>
    <mergeCell ref="F39:O39"/>
    <mergeCell ref="F40:O40"/>
    <mergeCell ref="S41:AF41"/>
    <mergeCell ref="B29:AX29"/>
    <mergeCell ref="B30:AX30"/>
    <mergeCell ref="B33:AX33"/>
    <mergeCell ref="B35:AX35"/>
    <mergeCell ref="B36:AX36"/>
    <mergeCell ref="B31:AX31"/>
    <mergeCell ref="AJ41:AW41"/>
    <mergeCell ref="F41:O41"/>
    <mergeCell ref="B25:AX25"/>
    <mergeCell ref="B26:AX26"/>
    <mergeCell ref="B27:AX27"/>
    <mergeCell ref="B28:AX28"/>
    <mergeCell ref="B20:AX20"/>
    <mergeCell ref="B21:AX21"/>
    <mergeCell ref="B22:AX22"/>
    <mergeCell ref="P8:T8"/>
    <mergeCell ref="AO9:AS9"/>
    <mergeCell ref="AJ9:AN9"/>
    <mergeCell ref="AE9:AI9"/>
    <mergeCell ref="Z9:AD9"/>
    <mergeCell ref="U9:Y9"/>
    <mergeCell ref="P9:T9"/>
    <mergeCell ref="K9:O9"/>
    <mergeCell ref="AT9:AX9"/>
    <mergeCell ref="AT15:AX15"/>
    <mergeCell ref="AO15:AS15"/>
    <mergeCell ref="AJ15:AN15"/>
    <mergeCell ref="AE15:AI15"/>
    <mergeCell ref="Z15:AD15"/>
    <mergeCell ref="U15:Y15"/>
    <mergeCell ref="P15:T15"/>
    <mergeCell ref="K15:O15"/>
    <mergeCell ref="Z11:AD11"/>
    <mergeCell ref="AE11:AI11"/>
    <mergeCell ref="AJ11:AN11"/>
    <mergeCell ref="AO11:AS11"/>
    <mergeCell ref="AT11:AX11"/>
    <mergeCell ref="K10:O10"/>
    <mergeCell ref="P10:T10"/>
    <mergeCell ref="U10:Y10"/>
  </mergeCells>
  <dataValidations count="1">
    <dataValidation type="whole" allowBlank="1" showErrorMessage="1" errorTitle="GJHSP SY 2022-2023" error="Please enter valid number between 0-15,000." sqref="K7:AS11 K13:AS17" xr:uid="{C6A22795-B993-4B44-8D0E-F281DB1AF896}">
      <formula1>0</formula1>
      <formula2>15000</formula2>
    </dataValidation>
  </dataValidations>
  <printOptions horizontalCentered="1" verticalCentered="1"/>
  <pageMargins left="0.23622047244094491" right="0.23622047244094491" top="0.19685039370078741" bottom="0.19685039370078741" header="0" footer="0.11811023622047245"/>
  <pageSetup paperSize="14" scale="65" orientation="landscape" r:id="rId1"/>
  <headerFooter alignWithMargins="0">
    <oddFooter>&amp;L&amp;10&amp;F &amp;A&amp;R&amp;10Page 19 of 63</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pageSetUpPr fitToPage="1"/>
  </sheetPr>
  <dimension ref="A1:CF35"/>
  <sheetViews>
    <sheetView showGridLines="0" topLeftCell="A15" zoomScaleNormal="100" workbookViewId="0">
      <selection activeCell="K7" sqref="K7:O7"/>
    </sheetView>
  </sheetViews>
  <sheetFormatPr defaultColWidth="9" defaultRowHeight="15.5" x14ac:dyDescent="0.35"/>
  <cols>
    <col min="1" max="1" width="2.08203125" style="98" customWidth="1"/>
    <col min="2" max="50" width="3.58203125" style="98" customWidth="1"/>
    <col min="51" max="51" width="2.08203125" style="98" customWidth="1"/>
    <col min="52" max="60" width="3.58203125" style="98" customWidth="1"/>
    <col min="61" max="65" width="4.58203125" style="98" customWidth="1"/>
    <col min="66" max="69" width="3.58203125" style="98" customWidth="1"/>
    <col min="70" max="16384" width="9" style="98"/>
  </cols>
  <sheetData>
    <row r="1" spans="1:50" ht="12" customHeight="1" x14ac:dyDescent="0.35"/>
    <row r="2" spans="1:50" s="399" customFormat="1" x14ac:dyDescent="0.35">
      <c r="A2" s="403"/>
      <c r="B2" s="49" t="s">
        <v>12710</v>
      </c>
      <c r="C2" s="49"/>
      <c r="D2" s="49"/>
      <c r="E2" s="49"/>
      <c r="F2" s="49"/>
      <c r="G2" s="49"/>
      <c r="H2" s="49"/>
      <c r="I2" s="49"/>
      <c r="J2" s="49"/>
      <c r="K2" s="49"/>
      <c r="L2" s="49"/>
      <c r="M2" s="49"/>
      <c r="N2" s="49"/>
      <c r="O2" s="49"/>
      <c r="P2" s="49"/>
      <c r="Q2" s="49"/>
      <c r="R2" s="49"/>
      <c r="S2" s="49"/>
      <c r="T2" s="49"/>
      <c r="U2" s="49"/>
      <c r="V2" s="49"/>
      <c r="W2" s="49"/>
      <c r="X2" s="49"/>
      <c r="Y2" s="49"/>
      <c r="Z2" s="560"/>
      <c r="AA2" s="560"/>
      <c r="AB2" s="560"/>
      <c r="AC2" s="560"/>
      <c r="AD2" s="97"/>
      <c r="AE2" s="97"/>
      <c r="AF2" s="97"/>
      <c r="AG2" s="97"/>
      <c r="AH2" s="560"/>
      <c r="AI2" s="560"/>
      <c r="AJ2" s="560"/>
      <c r="AK2" s="560"/>
      <c r="AL2" s="560"/>
    </row>
    <row r="3" spans="1:50" s="399" customFormat="1" ht="16" thickBot="1" x14ac:dyDescent="0.4">
      <c r="A3" s="403"/>
      <c r="B3" s="419" t="s">
        <v>1098</v>
      </c>
      <c r="C3" s="49"/>
      <c r="D3" s="49"/>
      <c r="E3" s="49"/>
      <c r="F3" s="49"/>
      <c r="G3" s="49"/>
      <c r="H3" s="49"/>
      <c r="I3" s="49"/>
      <c r="J3" s="49"/>
      <c r="K3" s="49"/>
      <c r="L3" s="49"/>
      <c r="M3" s="49"/>
      <c r="N3" s="49"/>
      <c r="O3" s="49"/>
      <c r="P3" s="49"/>
      <c r="Q3" s="49"/>
      <c r="R3" s="560"/>
      <c r="S3" s="560"/>
      <c r="T3" s="97"/>
      <c r="U3" s="97"/>
      <c r="V3" s="560"/>
      <c r="W3" s="560"/>
      <c r="X3" s="560"/>
    </row>
    <row r="4" spans="1:50" s="399" customFormat="1" ht="16" thickTop="1" thickBot="1" x14ac:dyDescent="0.35">
      <c r="B4" s="2595" t="s">
        <v>393</v>
      </c>
      <c r="C4" s="2596"/>
      <c r="D4" s="2596"/>
      <c r="E4" s="2596"/>
      <c r="F4" s="2596"/>
      <c r="G4" s="2596"/>
      <c r="H4" s="2596"/>
      <c r="I4" s="2596"/>
      <c r="J4" s="2597"/>
      <c r="K4" s="2643" t="s">
        <v>452</v>
      </c>
      <c r="L4" s="2644"/>
      <c r="M4" s="2644"/>
      <c r="N4" s="2644"/>
      <c r="O4" s="2644"/>
      <c r="P4" s="2644"/>
      <c r="Q4" s="2644"/>
      <c r="R4" s="2644"/>
      <c r="S4" s="2644"/>
      <c r="T4" s="2644"/>
      <c r="U4" s="2644"/>
      <c r="V4" s="2644"/>
      <c r="W4" s="2644"/>
      <c r="X4" s="2644"/>
      <c r="Y4" s="2644"/>
      <c r="Z4" s="2644"/>
      <c r="AA4" s="2644"/>
      <c r="AB4" s="2644"/>
      <c r="AC4" s="2644"/>
      <c r="AD4" s="2644"/>
      <c r="AE4" s="2644"/>
      <c r="AF4" s="2644"/>
      <c r="AG4" s="2644"/>
      <c r="AH4" s="2644"/>
      <c r="AI4" s="2644"/>
      <c r="AJ4" s="2644"/>
      <c r="AK4" s="2644"/>
      <c r="AL4" s="2644"/>
      <c r="AM4" s="2644"/>
      <c r="AN4" s="2644"/>
      <c r="AO4" s="2644"/>
      <c r="AP4" s="2644"/>
      <c r="AQ4" s="2644"/>
      <c r="AR4" s="2644"/>
      <c r="AS4" s="2644"/>
      <c r="AT4" s="2644"/>
      <c r="AU4" s="2644"/>
      <c r="AV4" s="2644"/>
      <c r="AW4" s="2644"/>
      <c r="AX4" s="2645"/>
    </row>
    <row r="5" spans="1:50" s="399" customFormat="1" ht="51" customHeight="1" thickBot="1" x14ac:dyDescent="0.35">
      <c r="B5" s="2598"/>
      <c r="C5" s="2599"/>
      <c r="D5" s="2599"/>
      <c r="E5" s="2599"/>
      <c r="F5" s="2599"/>
      <c r="G5" s="2599"/>
      <c r="H5" s="2599"/>
      <c r="I5" s="2599"/>
      <c r="J5" s="2600"/>
      <c r="K5" s="2559" t="s">
        <v>139</v>
      </c>
      <c r="L5" s="2288"/>
      <c r="M5" s="2288"/>
      <c r="N5" s="2288"/>
      <c r="O5" s="2646"/>
      <c r="P5" s="2560" t="s">
        <v>140</v>
      </c>
      <c r="Q5" s="2288"/>
      <c r="R5" s="2288"/>
      <c r="S5" s="2288"/>
      <c r="T5" s="2646"/>
      <c r="U5" s="2647" t="s">
        <v>17</v>
      </c>
      <c r="V5" s="2648"/>
      <c r="W5" s="2648"/>
      <c r="X5" s="2648"/>
      <c r="Y5" s="2649"/>
      <c r="Z5" s="2647" t="s">
        <v>59</v>
      </c>
      <c r="AA5" s="2648"/>
      <c r="AB5" s="2648"/>
      <c r="AC5" s="2648"/>
      <c r="AD5" s="2649"/>
      <c r="AE5" s="2560" t="s">
        <v>141</v>
      </c>
      <c r="AF5" s="2288"/>
      <c r="AG5" s="2288"/>
      <c r="AH5" s="2288"/>
      <c r="AI5" s="2646"/>
      <c r="AJ5" s="2560" t="s">
        <v>142</v>
      </c>
      <c r="AK5" s="2288"/>
      <c r="AL5" s="2288"/>
      <c r="AM5" s="2288"/>
      <c r="AN5" s="2646"/>
      <c r="AO5" s="2560" t="s">
        <v>18</v>
      </c>
      <c r="AP5" s="2288"/>
      <c r="AQ5" s="2288"/>
      <c r="AR5" s="2288"/>
      <c r="AS5" s="2650"/>
      <c r="AT5" s="2288" t="s">
        <v>16</v>
      </c>
      <c r="AU5" s="2288"/>
      <c r="AV5" s="2288"/>
      <c r="AW5" s="2288"/>
      <c r="AX5" s="2531"/>
    </row>
    <row r="6" spans="1:50" s="400" customFormat="1" ht="25" customHeight="1" thickTop="1" x14ac:dyDescent="0.35">
      <c r="B6" s="2640" t="s">
        <v>194</v>
      </c>
      <c r="C6" s="2641"/>
      <c r="D6" s="2641"/>
      <c r="E6" s="2641"/>
      <c r="F6" s="2641"/>
      <c r="G6" s="2641"/>
      <c r="H6" s="2641"/>
      <c r="I6" s="2641"/>
      <c r="J6" s="2642"/>
      <c r="K6" s="2627"/>
      <c r="L6" s="2628"/>
      <c r="M6" s="2628"/>
      <c r="N6" s="2628"/>
      <c r="O6" s="2628"/>
      <c r="P6" s="2628"/>
      <c r="Q6" s="2628"/>
      <c r="R6" s="2628"/>
      <c r="S6" s="2628"/>
      <c r="T6" s="2628"/>
      <c r="U6" s="2628"/>
      <c r="V6" s="2628"/>
      <c r="W6" s="2628"/>
      <c r="X6" s="2628"/>
      <c r="Y6" s="2628"/>
      <c r="Z6" s="2628"/>
      <c r="AA6" s="2628"/>
      <c r="AB6" s="2628"/>
      <c r="AC6" s="2628"/>
      <c r="AD6" s="2628"/>
      <c r="AE6" s="2628"/>
      <c r="AF6" s="2628"/>
      <c r="AG6" s="2628"/>
      <c r="AH6" s="2628"/>
      <c r="AI6" s="2628"/>
      <c r="AJ6" s="2628"/>
      <c r="AK6" s="2628"/>
      <c r="AL6" s="2628"/>
      <c r="AM6" s="2628"/>
      <c r="AN6" s="2628"/>
      <c r="AO6" s="2628"/>
      <c r="AP6" s="2628"/>
      <c r="AQ6" s="2628"/>
      <c r="AR6" s="2628"/>
      <c r="AS6" s="2628"/>
      <c r="AT6" s="2628"/>
      <c r="AU6" s="2628"/>
      <c r="AV6" s="2628"/>
      <c r="AW6" s="2628"/>
      <c r="AX6" s="2629"/>
    </row>
    <row r="7" spans="1:50" s="402" customFormat="1" ht="30" customHeight="1" x14ac:dyDescent="0.35">
      <c r="B7" s="566" t="s">
        <v>394</v>
      </c>
      <c r="C7" s="554"/>
      <c r="D7" s="554"/>
      <c r="E7" s="554"/>
      <c r="F7" s="554"/>
      <c r="G7" s="554"/>
      <c r="H7" s="554"/>
      <c r="I7" s="554"/>
      <c r="J7" s="555"/>
      <c r="K7" s="1464">
        <v>0</v>
      </c>
      <c r="L7" s="1462"/>
      <c r="M7" s="1462"/>
      <c r="N7" s="1462"/>
      <c r="O7" s="1465"/>
      <c r="P7" s="1461">
        <v>0</v>
      </c>
      <c r="Q7" s="1462"/>
      <c r="R7" s="1462"/>
      <c r="S7" s="1462"/>
      <c r="T7" s="1465"/>
      <c r="U7" s="1461">
        <v>0</v>
      </c>
      <c r="V7" s="1462"/>
      <c r="W7" s="1462"/>
      <c r="X7" s="1462"/>
      <c r="Y7" s="1465"/>
      <c r="Z7" s="1461">
        <v>35</v>
      </c>
      <c r="AA7" s="1462"/>
      <c r="AB7" s="1462"/>
      <c r="AC7" s="1462"/>
      <c r="AD7" s="1465"/>
      <c r="AE7" s="1461">
        <v>0</v>
      </c>
      <c r="AF7" s="1462"/>
      <c r="AG7" s="1462"/>
      <c r="AH7" s="1462"/>
      <c r="AI7" s="1465"/>
      <c r="AJ7" s="1461">
        <v>0</v>
      </c>
      <c r="AK7" s="1462"/>
      <c r="AL7" s="1462"/>
      <c r="AM7" s="1462"/>
      <c r="AN7" s="1465"/>
      <c r="AO7" s="1461">
        <v>0</v>
      </c>
      <c r="AP7" s="1462"/>
      <c r="AQ7" s="1462"/>
      <c r="AR7" s="1462"/>
      <c r="AS7" s="1463"/>
      <c r="AT7" s="2663">
        <f>SUM(K7:AS7)</f>
        <v>35</v>
      </c>
      <c r="AU7" s="2664"/>
      <c r="AV7" s="2664"/>
      <c r="AW7" s="2664"/>
      <c r="AX7" s="2665"/>
    </row>
    <row r="8" spans="1:50" s="402" customFormat="1" ht="30" customHeight="1" x14ac:dyDescent="0.35">
      <c r="B8" s="566" t="s">
        <v>395</v>
      </c>
      <c r="C8" s="554"/>
      <c r="D8" s="554"/>
      <c r="E8" s="554"/>
      <c r="F8" s="554"/>
      <c r="G8" s="554"/>
      <c r="H8" s="554"/>
      <c r="I8" s="554"/>
      <c r="J8" s="555"/>
      <c r="K8" s="1464">
        <v>16</v>
      </c>
      <c r="L8" s="1462"/>
      <c r="M8" s="1462"/>
      <c r="N8" s="1462"/>
      <c r="O8" s="1465"/>
      <c r="P8" s="1461">
        <v>0</v>
      </c>
      <c r="Q8" s="1462"/>
      <c r="R8" s="1462"/>
      <c r="S8" s="1462"/>
      <c r="T8" s="1465"/>
      <c r="U8" s="1461">
        <v>0</v>
      </c>
      <c r="V8" s="1462"/>
      <c r="W8" s="1462"/>
      <c r="X8" s="1462"/>
      <c r="Y8" s="1465"/>
      <c r="Z8" s="1461">
        <v>0</v>
      </c>
      <c r="AA8" s="1462"/>
      <c r="AB8" s="1462"/>
      <c r="AC8" s="1462"/>
      <c r="AD8" s="1465"/>
      <c r="AE8" s="1461">
        <v>0</v>
      </c>
      <c r="AF8" s="1462"/>
      <c r="AG8" s="1462"/>
      <c r="AH8" s="1462"/>
      <c r="AI8" s="1465"/>
      <c r="AJ8" s="1461">
        <v>0</v>
      </c>
      <c r="AK8" s="1462"/>
      <c r="AL8" s="1462"/>
      <c r="AM8" s="1462"/>
      <c r="AN8" s="1465"/>
      <c r="AO8" s="1461">
        <v>0</v>
      </c>
      <c r="AP8" s="1462"/>
      <c r="AQ8" s="1462"/>
      <c r="AR8" s="1462"/>
      <c r="AS8" s="1463"/>
      <c r="AT8" s="2663">
        <f t="shared" ref="AT8:AT13" si="0">SUM(K8:AS8)</f>
        <v>16</v>
      </c>
      <c r="AU8" s="2664"/>
      <c r="AV8" s="2664"/>
      <c r="AW8" s="2664"/>
      <c r="AX8" s="2665"/>
    </row>
    <row r="9" spans="1:50" s="402" customFormat="1" ht="30" customHeight="1" x14ac:dyDescent="0.35">
      <c r="B9" s="566" t="s">
        <v>396</v>
      </c>
      <c r="C9" s="554"/>
      <c r="D9" s="554"/>
      <c r="E9" s="554"/>
      <c r="F9" s="554"/>
      <c r="G9" s="554"/>
      <c r="H9" s="554"/>
      <c r="I9" s="554"/>
      <c r="J9" s="555"/>
      <c r="K9" s="1464">
        <v>1</v>
      </c>
      <c r="L9" s="1462"/>
      <c r="M9" s="1462"/>
      <c r="N9" s="1462"/>
      <c r="O9" s="1465"/>
      <c r="P9" s="1461">
        <v>0</v>
      </c>
      <c r="Q9" s="1462"/>
      <c r="R9" s="1462"/>
      <c r="S9" s="1462"/>
      <c r="T9" s="1465"/>
      <c r="U9" s="1461">
        <v>0</v>
      </c>
      <c r="V9" s="1462"/>
      <c r="W9" s="1462"/>
      <c r="X9" s="1462"/>
      <c r="Y9" s="1465"/>
      <c r="Z9" s="1461">
        <v>0</v>
      </c>
      <c r="AA9" s="1462"/>
      <c r="AB9" s="1462"/>
      <c r="AC9" s="1462"/>
      <c r="AD9" s="1465"/>
      <c r="AE9" s="1461">
        <v>0</v>
      </c>
      <c r="AF9" s="1462"/>
      <c r="AG9" s="1462"/>
      <c r="AH9" s="1462"/>
      <c r="AI9" s="1465"/>
      <c r="AJ9" s="1461">
        <v>0</v>
      </c>
      <c r="AK9" s="1462"/>
      <c r="AL9" s="1462"/>
      <c r="AM9" s="1462"/>
      <c r="AN9" s="1465"/>
      <c r="AO9" s="1461">
        <v>0</v>
      </c>
      <c r="AP9" s="1462"/>
      <c r="AQ9" s="1462"/>
      <c r="AR9" s="1462"/>
      <c r="AS9" s="1463"/>
      <c r="AT9" s="2663">
        <f t="shared" si="0"/>
        <v>1</v>
      </c>
      <c r="AU9" s="2664"/>
      <c r="AV9" s="2664"/>
      <c r="AW9" s="2664"/>
      <c r="AX9" s="2665"/>
    </row>
    <row r="10" spans="1:50" s="402" customFormat="1" ht="30" customHeight="1" x14ac:dyDescent="0.35">
      <c r="B10" s="566" t="s">
        <v>397</v>
      </c>
      <c r="C10" s="554"/>
      <c r="D10" s="554"/>
      <c r="E10" s="554"/>
      <c r="F10" s="554"/>
      <c r="G10" s="554"/>
      <c r="H10" s="554"/>
      <c r="I10" s="554"/>
      <c r="J10" s="555"/>
      <c r="K10" s="1464">
        <v>1</v>
      </c>
      <c r="L10" s="1462"/>
      <c r="M10" s="1462"/>
      <c r="N10" s="1462"/>
      <c r="O10" s="1465"/>
      <c r="P10" s="1461">
        <v>0</v>
      </c>
      <c r="Q10" s="1462"/>
      <c r="R10" s="1462"/>
      <c r="S10" s="1462"/>
      <c r="T10" s="1465"/>
      <c r="U10" s="1461">
        <v>0</v>
      </c>
      <c r="V10" s="1462"/>
      <c r="W10" s="1462"/>
      <c r="X10" s="1462"/>
      <c r="Y10" s="1465"/>
      <c r="Z10" s="1461">
        <v>0</v>
      </c>
      <c r="AA10" s="1462"/>
      <c r="AB10" s="1462"/>
      <c r="AC10" s="1462"/>
      <c r="AD10" s="1465"/>
      <c r="AE10" s="1461">
        <v>0</v>
      </c>
      <c r="AF10" s="1462"/>
      <c r="AG10" s="1462"/>
      <c r="AH10" s="1462"/>
      <c r="AI10" s="1465"/>
      <c r="AJ10" s="1461">
        <v>0</v>
      </c>
      <c r="AK10" s="1462"/>
      <c r="AL10" s="1462"/>
      <c r="AM10" s="1462"/>
      <c r="AN10" s="1465"/>
      <c r="AO10" s="1461">
        <v>0</v>
      </c>
      <c r="AP10" s="1462"/>
      <c r="AQ10" s="1462"/>
      <c r="AR10" s="1462"/>
      <c r="AS10" s="1463"/>
      <c r="AT10" s="2663">
        <f t="shared" si="0"/>
        <v>1</v>
      </c>
      <c r="AU10" s="2664"/>
      <c r="AV10" s="2664"/>
      <c r="AW10" s="2664"/>
      <c r="AX10" s="2665"/>
    </row>
    <row r="11" spans="1:50" s="402" customFormat="1" ht="30" customHeight="1" x14ac:dyDescent="0.35">
      <c r="B11" s="566" t="s">
        <v>398</v>
      </c>
      <c r="C11" s="554"/>
      <c r="D11" s="554"/>
      <c r="E11" s="554"/>
      <c r="F11" s="554"/>
      <c r="G11" s="554"/>
      <c r="H11" s="554"/>
      <c r="I11" s="554"/>
      <c r="J11" s="555"/>
      <c r="K11" s="1464">
        <v>16</v>
      </c>
      <c r="L11" s="1462"/>
      <c r="M11" s="1462"/>
      <c r="N11" s="1462"/>
      <c r="O11" s="1465"/>
      <c r="P11" s="1461">
        <v>0</v>
      </c>
      <c r="Q11" s="1462"/>
      <c r="R11" s="1462"/>
      <c r="S11" s="1462"/>
      <c r="T11" s="1465"/>
      <c r="U11" s="1461">
        <v>0</v>
      </c>
      <c r="V11" s="1462"/>
      <c r="W11" s="1462"/>
      <c r="X11" s="1462"/>
      <c r="Y11" s="1465"/>
      <c r="Z11" s="1461">
        <v>0</v>
      </c>
      <c r="AA11" s="1462"/>
      <c r="AB11" s="1462"/>
      <c r="AC11" s="1462"/>
      <c r="AD11" s="1465"/>
      <c r="AE11" s="1461">
        <v>0</v>
      </c>
      <c r="AF11" s="1462"/>
      <c r="AG11" s="1462"/>
      <c r="AH11" s="1462"/>
      <c r="AI11" s="1465"/>
      <c r="AJ11" s="1461">
        <v>0</v>
      </c>
      <c r="AK11" s="1462"/>
      <c r="AL11" s="1462"/>
      <c r="AM11" s="1462"/>
      <c r="AN11" s="1465"/>
      <c r="AO11" s="1461">
        <v>0</v>
      </c>
      <c r="AP11" s="1462"/>
      <c r="AQ11" s="1462"/>
      <c r="AR11" s="1462"/>
      <c r="AS11" s="1463"/>
      <c r="AT11" s="2663">
        <f t="shared" si="0"/>
        <v>16</v>
      </c>
      <c r="AU11" s="2664"/>
      <c r="AV11" s="2664"/>
      <c r="AW11" s="2664"/>
      <c r="AX11" s="2665"/>
    </row>
    <row r="12" spans="1:50" s="402" customFormat="1" ht="30" customHeight="1" x14ac:dyDescent="0.35">
      <c r="B12" s="566" t="s">
        <v>399</v>
      </c>
      <c r="C12" s="554"/>
      <c r="D12" s="554"/>
      <c r="E12" s="554"/>
      <c r="F12" s="554"/>
      <c r="G12" s="554"/>
      <c r="H12" s="554"/>
      <c r="I12" s="554"/>
      <c r="J12" s="555"/>
      <c r="K12" s="1464">
        <v>12</v>
      </c>
      <c r="L12" s="1462"/>
      <c r="M12" s="1462"/>
      <c r="N12" s="1462"/>
      <c r="O12" s="1465"/>
      <c r="P12" s="1461">
        <v>0</v>
      </c>
      <c r="Q12" s="1462"/>
      <c r="R12" s="1462"/>
      <c r="S12" s="1462"/>
      <c r="T12" s="1465"/>
      <c r="U12" s="1461">
        <v>0</v>
      </c>
      <c r="V12" s="1462"/>
      <c r="W12" s="1462"/>
      <c r="X12" s="1462"/>
      <c r="Y12" s="1465"/>
      <c r="Z12" s="1461">
        <v>0</v>
      </c>
      <c r="AA12" s="1462"/>
      <c r="AB12" s="1462"/>
      <c r="AC12" s="1462"/>
      <c r="AD12" s="1465"/>
      <c r="AE12" s="1461">
        <v>0</v>
      </c>
      <c r="AF12" s="1462"/>
      <c r="AG12" s="1462"/>
      <c r="AH12" s="1462"/>
      <c r="AI12" s="1465"/>
      <c r="AJ12" s="1461">
        <v>0</v>
      </c>
      <c r="AK12" s="1462"/>
      <c r="AL12" s="1462"/>
      <c r="AM12" s="1462"/>
      <c r="AN12" s="1465"/>
      <c r="AO12" s="1461">
        <v>0</v>
      </c>
      <c r="AP12" s="1462"/>
      <c r="AQ12" s="1462"/>
      <c r="AR12" s="1462"/>
      <c r="AS12" s="1463"/>
      <c r="AT12" s="2663">
        <f t="shared" si="0"/>
        <v>12</v>
      </c>
      <c r="AU12" s="2664"/>
      <c r="AV12" s="2664"/>
      <c r="AW12" s="2664"/>
      <c r="AX12" s="2665"/>
    </row>
    <row r="13" spans="1:50" s="402" customFormat="1" ht="30" customHeight="1" x14ac:dyDescent="0.35">
      <c r="B13" s="570" t="s">
        <v>1380</v>
      </c>
      <c r="C13" s="554"/>
      <c r="D13" s="554"/>
      <c r="E13" s="554"/>
      <c r="F13" s="554"/>
      <c r="G13" s="554"/>
      <c r="H13" s="554"/>
      <c r="I13" s="554"/>
      <c r="J13" s="555"/>
      <c r="K13" s="1464">
        <v>1</v>
      </c>
      <c r="L13" s="1462"/>
      <c r="M13" s="1462"/>
      <c r="N13" s="1462"/>
      <c r="O13" s="1465"/>
      <c r="P13" s="1461">
        <v>0</v>
      </c>
      <c r="Q13" s="1462"/>
      <c r="R13" s="1462"/>
      <c r="S13" s="1462"/>
      <c r="T13" s="1465"/>
      <c r="U13" s="1461">
        <v>0</v>
      </c>
      <c r="V13" s="1462"/>
      <c r="W13" s="1462"/>
      <c r="X13" s="1462"/>
      <c r="Y13" s="1465"/>
      <c r="Z13" s="1461">
        <v>0</v>
      </c>
      <c r="AA13" s="1462"/>
      <c r="AB13" s="1462"/>
      <c r="AC13" s="1462"/>
      <c r="AD13" s="1465"/>
      <c r="AE13" s="1461">
        <v>0</v>
      </c>
      <c r="AF13" s="1462"/>
      <c r="AG13" s="1462"/>
      <c r="AH13" s="1462"/>
      <c r="AI13" s="1465"/>
      <c r="AJ13" s="1461">
        <v>0</v>
      </c>
      <c r="AK13" s="1462"/>
      <c r="AL13" s="1462"/>
      <c r="AM13" s="1462"/>
      <c r="AN13" s="1465"/>
      <c r="AO13" s="1461">
        <v>0</v>
      </c>
      <c r="AP13" s="1462"/>
      <c r="AQ13" s="1462"/>
      <c r="AR13" s="1462"/>
      <c r="AS13" s="1463"/>
      <c r="AT13" s="2663">
        <f t="shared" si="0"/>
        <v>1</v>
      </c>
      <c r="AU13" s="2664"/>
      <c r="AV13" s="2664"/>
      <c r="AW13" s="2664"/>
      <c r="AX13" s="2665"/>
    </row>
    <row r="14" spans="1:50" s="400" customFormat="1" ht="25" customHeight="1" x14ac:dyDescent="0.35">
      <c r="B14" s="2624" t="s">
        <v>195</v>
      </c>
      <c r="C14" s="2625"/>
      <c r="D14" s="2625"/>
      <c r="E14" s="2625"/>
      <c r="F14" s="2625"/>
      <c r="G14" s="2625"/>
      <c r="H14" s="2625"/>
      <c r="I14" s="2625"/>
      <c r="J14" s="2626"/>
      <c r="K14" s="1503"/>
      <c r="L14" s="1504"/>
      <c r="M14" s="1504"/>
      <c r="N14" s="1504"/>
      <c r="O14" s="1504"/>
      <c r="P14" s="1504"/>
      <c r="Q14" s="1504"/>
      <c r="R14" s="1504"/>
      <c r="S14" s="1504"/>
      <c r="T14" s="1504"/>
      <c r="U14" s="1504"/>
      <c r="V14" s="1504"/>
      <c r="W14" s="1504"/>
      <c r="X14" s="1504"/>
      <c r="Y14" s="1504"/>
      <c r="Z14" s="1504"/>
      <c r="AA14" s="1504"/>
      <c r="AB14" s="1504"/>
      <c r="AC14" s="1504"/>
      <c r="AD14" s="1504"/>
      <c r="AE14" s="1504"/>
      <c r="AF14" s="1504"/>
      <c r="AG14" s="1504"/>
      <c r="AH14" s="1504"/>
      <c r="AI14" s="1504"/>
      <c r="AJ14" s="1504"/>
      <c r="AK14" s="1504"/>
      <c r="AL14" s="1504"/>
      <c r="AM14" s="1504"/>
      <c r="AN14" s="1504"/>
      <c r="AO14" s="1504"/>
      <c r="AP14" s="1504"/>
      <c r="AQ14" s="1504"/>
      <c r="AR14" s="1504"/>
      <c r="AS14" s="1504"/>
      <c r="AT14" s="1504"/>
      <c r="AU14" s="1504"/>
      <c r="AV14" s="1504"/>
      <c r="AW14" s="1504"/>
      <c r="AX14" s="2662"/>
    </row>
    <row r="15" spans="1:50" s="402" customFormat="1" ht="30" customHeight="1" x14ac:dyDescent="0.35">
      <c r="B15" s="566" t="s">
        <v>394</v>
      </c>
      <c r="C15" s="567"/>
      <c r="D15" s="554"/>
      <c r="E15" s="554"/>
      <c r="F15" s="554"/>
      <c r="G15" s="554"/>
      <c r="H15" s="554"/>
      <c r="I15" s="554"/>
      <c r="J15" s="555"/>
      <c r="K15" s="1464">
        <v>0</v>
      </c>
      <c r="L15" s="1462"/>
      <c r="M15" s="1462"/>
      <c r="N15" s="1462"/>
      <c r="O15" s="1465"/>
      <c r="P15" s="1461">
        <v>0</v>
      </c>
      <c r="Q15" s="1462"/>
      <c r="R15" s="1462"/>
      <c r="S15" s="1462"/>
      <c r="T15" s="1465"/>
      <c r="U15" s="1461">
        <v>0</v>
      </c>
      <c r="V15" s="1462"/>
      <c r="W15" s="1462"/>
      <c r="X15" s="1462"/>
      <c r="Y15" s="1465"/>
      <c r="Z15" s="1461">
        <v>0</v>
      </c>
      <c r="AA15" s="1462"/>
      <c r="AB15" s="1462"/>
      <c r="AC15" s="1462"/>
      <c r="AD15" s="1465"/>
      <c r="AE15" s="1461">
        <v>0</v>
      </c>
      <c r="AF15" s="1462"/>
      <c r="AG15" s="1462"/>
      <c r="AH15" s="1462"/>
      <c r="AI15" s="1465"/>
      <c r="AJ15" s="1461">
        <v>0</v>
      </c>
      <c r="AK15" s="1462"/>
      <c r="AL15" s="1462"/>
      <c r="AM15" s="1462"/>
      <c r="AN15" s="1465"/>
      <c r="AO15" s="1461">
        <v>0</v>
      </c>
      <c r="AP15" s="1462"/>
      <c r="AQ15" s="1462"/>
      <c r="AR15" s="1462"/>
      <c r="AS15" s="1463"/>
      <c r="AT15" s="2663">
        <f>SUM(K15:AS15)</f>
        <v>0</v>
      </c>
      <c r="AU15" s="2664"/>
      <c r="AV15" s="2664"/>
      <c r="AW15" s="2664"/>
      <c r="AX15" s="2665"/>
    </row>
    <row r="16" spans="1:50" s="402" customFormat="1" ht="30" customHeight="1" x14ac:dyDescent="0.35">
      <c r="B16" s="566" t="s">
        <v>395</v>
      </c>
      <c r="C16" s="567"/>
      <c r="D16" s="554"/>
      <c r="E16" s="554"/>
      <c r="F16" s="554"/>
      <c r="G16" s="554"/>
      <c r="H16" s="554"/>
      <c r="I16" s="554"/>
      <c r="J16" s="555"/>
      <c r="K16" s="1464">
        <v>0</v>
      </c>
      <c r="L16" s="1462"/>
      <c r="M16" s="1462"/>
      <c r="N16" s="1462"/>
      <c r="O16" s="1465"/>
      <c r="P16" s="1461">
        <v>0</v>
      </c>
      <c r="Q16" s="1462"/>
      <c r="R16" s="1462"/>
      <c r="S16" s="1462"/>
      <c r="T16" s="1465"/>
      <c r="U16" s="1461">
        <v>0</v>
      </c>
      <c r="V16" s="1462"/>
      <c r="W16" s="1462"/>
      <c r="X16" s="1462"/>
      <c r="Y16" s="1465"/>
      <c r="Z16" s="1461">
        <v>0</v>
      </c>
      <c r="AA16" s="1462"/>
      <c r="AB16" s="1462"/>
      <c r="AC16" s="1462"/>
      <c r="AD16" s="1465"/>
      <c r="AE16" s="1461">
        <v>0</v>
      </c>
      <c r="AF16" s="1462"/>
      <c r="AG16" s="1462"/>
      <c r="AH16" s="1462"/>
      <c r="AI16" s="1465"/>
      <c r="AJ16" s="1461">
        <v>0</v>
      </c>
      <c r="AK16" s="1462"/>
      <c r="AL16" s="1462"/>
      <c r="AM16" s="1462"/>
      <c r="AN16" s="1465"/>
      <c r="AO16" s="1461">
        <v>0</v>
      </c>
      <c r="AP16" s="1462"/>
      <c r="AQ16" s="1462"/>
      <c r="AR16" s="1462"/>
      <c r="AS16" s="1463"/>
      <c r="AT16" s="2663">
        <f t="shared" ref="AT16:AT20" si="1">SUM(K16:AS16)</f>
        <v>0</v>
      </c>
      <c r="AU16" s="2664"/>
      <c r="AV16" s="2664"/>
      <c r="AW16" s="2664"/>
      <c r="AX16" s="2665"/>
    </row>
    <row r="17" spans="2:84" s="402" customFormat="1" ht="30" customHeight="1" x14ac:dyDescent="0.35">
      <c r="B17" s="566" t="s">
        <v>396</v>
      </c>
      <c r="C17" s="567"/>
      <c r="D17" s="554"/>
      <c r="E17" s="554"/>
      <c r="F17" s="554"/>
      <c r="G17" s="554"/>
      <c r="H17" s="554"/>
      <c r="I17" s="554"/>
      <c r="J17" s="555"/>
      <c r="K17" s="1464">
        <v>0</v>
      </c>
      <c r="L17" s="1462"/>
      <c r="M17" s="1462"/>
      <c r="N17" s="1462"/>
      <c r="O17" s="1465"/>
      <c r="P17" s="1461">
        <v>22</v>
      </c>
      <c r="Q17" s="1462"/>
      <c r="R17" s="1462"/>
      <c r="S17" s="1462"/>
      <c r="T17" s="1465"/>
      <c r="U17" s="1461">
        <v>0</v>
      </c>
      <c r="V17" s="1462"/>
      <c r="W17" s="1462"/>
      <c r="X17" s="1462"/>
      <c r="Y17" s="1465"/>
      <c r="Z17" s="1461">
        <v>3</v>
      </c>
      <c r="AA17" s="1462"/>
      <c r="AB17" s="1462"/>
      <c r="AC17" s="1462"/>
      <c r="AD17" s="1465"/>
      <c r="AE17" s="1461">
        <v>0</v>
      </c>
      <c r="AF17" s="1462"/>
      <c r="AG17" s="1462"/>
      <c r="AH17" s="1462"/>
      <c r="AI17" s="1465"/>
      <c r="AJ17" s="1461">
        <v>0</v>
      </c>
      <c r="AK17" s="1462"/>
      <c r="AL17" s="1462"/>
      <c r="AM17" s="1462"/>
      <c r="AN17" s="1465"/>
      <c r="AO17" s="1461">
        <v>0</v>
      </c>
      <c r="AP17" s="1462"/>
      <c r="AQ17" s="1462"/>
      <c r="AR17" s="1462"/>
      <c r="AS17" s="1463"/>
      <c r="AT17" s="2663">
        <f t="shared" si="1"/>
        <v>25</v>
      </c>
      <c r="AU17" s="2664"/>
      <c r="AV17" s="2664"/>
      <c r="AW17" s="2664"/>
      <c r="AX17" s="2665"/>
    </row>
    <row r="18" spans="2:84" s="402" customFormat="1" ht="30" customHeight="1" x14ac:dyDescent="0.35">
      <c r="B18" s="566" t="s">
        <v>397</v>
      </c>
      <c r="C18" s="567"/>
      <c r="D18" s="554"/>
      <c r="E18" s="554"/>
      <c r="F18" s="554"/>
      <c r="G18" s="554"/>
      <c r="H18" s="554"/>
      <c r="I18" s="554"/>
      <c r="J18" s="555"/>
      <c r="K18" s="1464">
        <v>0</v>
      </c>
      <c r="L18" s="1462"/>
      <c r="M18" s="1462"/>
      <c r="N18" s="1462"/>
      <c r="O18" s="1465"/>
      <c r="P18" s="1461">
        <v>0</v>
      </c>
      <c r="Q18" s="1462"/>
      <c r="R18" s="1462"/>
      <c r="S18" s="1462"/>
      <c r="T18" s="1465"/>
      <c r="U18" s="1461">
        <v>0</v>
      </c>
      <c r="V18" s="1462"/>
      <c r="W18" s="1462"/>
      <c r="X18" s="1462"/>
      <c r="Y18" s="1465"/>
      <c r="Z18" s="1461">
        <v>0</v>
      </c>
      <c r="AA18" s="1462"/>
      <c r="AB18" s="1462"/>
      <c r="AC18" s="1462"/>
      <c r="AD18" s="1465"/>
      <c r="AE18" s="1461">
        <v>0</v>
      </c>
      <c r="AF18" s="1462"/>
      <c r="AG18" s="1462"/>
      <c r="AH18" s="1462"/>
      <c r="AI18" s="1465"/>
      <c r="AJ18" s="1461">
        <v>0</v>
      </c>
      <c r="AK18" s="1462"/>
      <c r="AL18" s="1462"/>
      <c r="AM18" s="1462"/>
      <c r="AN18" s="1465"/>
      <c r="AO18" s="1461">
        <v>0</v>
      </c>
      <c r="AP18" s="1462"/>
      <c r="AQ18" s="1462"/>
      <c r="AR18" s="1462"/>
      <c r="AS18" s="1463"/>
      <c r="AT18" s="2663">
        <f t="shared" si="1"/>
        <v>0</v>
      </c>
      <c r="AU18" s="2664"/>
      <c r="AV18" s="2664"/>
      <c r="AW18" s="2664"/>
      <c r="AX18" s="2665"/>
    </row>
    <row r="19" spans="2:84" s="402" customFormat="1" ht="30" customHeight="1" x14ac:dyDescent="0.35">
      <c r="B19" s="566" t="s">
        <v>398</v>
      </c>
      <c r="C19" s="567"/>
      <c r="D19" s="554"/>
      <c r="E19" s="554"/>
      <c r="F19" s="554"/>
      <c r="G19" s="554"/>
      <c r="H19" s="554"/>
      <c r="I19" s="554"/>
      <c r="J19" s="555"/>
      <c r="K19" s="1464">
        <v>3</v>
      </c>
      <c r="L19" s="1462"/>
      <c r="M19" s="1462"/>
      <c r="N19" s="1462"/>
      <c r="O19" s="1465"/>
      <c r="P19" s="1461">
        <v>0</v>
      </c>
      <c r="Q19" s="1462"/>
      <c r="R19" s="1462"/>
      <c r="S19" s="1462"/>
      <c r="T19" s="1465"/>
      <c r="U19" s="1461">
        <v>0</v>
      </c>
      <c r="V19" s="1462"/>
      <c r="W19" s="1462"/>
      <c r="X19" s="1462"/>
      <c r="Y19" s="1465"/>
      <c r="Z19" s="1461">
        <v>0</v>
      </c>
      <c r="AA19" s="1462"/>
      <c r="AB19" s="1462"/>
      <c r="AC19" s="1462"/>
      <c r="AD19" s="1465"/>
      <c r="AE19" s="1461">
        <v>0</v>
      </c>
      <c r="AF19" s="1462"/>
      <c r="AG19" s="1462"/>
      <c r="AH19" s="1462"/>
      <c r="AI19" s="1465"/>
      <c r="AJ19" s="1461">
        <v>0</v>
      </c>
      <c r="AK19" s="1462"/>
      <c r="AL19" s="1462"/>
      <c r="AM19" s="1462"/>
      <c r="AN19" s="1465"/>
      <c r="AO19" s="1461">
        <v>0</v>
      </c>
      <c r="AP19" s="1462"/>
      <c r="AQ19" s="1462"/>
      <c r="AR19" s="1462"/>
      <c r="AS19" s="1463"/>
      <c r="AT19" s="2663">
        <f t="shared" si="1"/>
        <v>3</v>
      </c>
      <c r="AU19" s="2664"/>
      <c r="AV19" s="2664"/>
      <c r="AW19" s="2664"/>
      <c r="AX19" s="2665"/>
    </row>
    <row r="20" spans="2:84" s="402" customFormat="1" ht="30" customHeight="1" thickBot="1" x14ac:dyDescent="0.4">
      <c r="B20" s="568" t="s">
        <v>399</v>
      </c>
      <c r="C20" s="569"/>
      <c r="D20" s="558"/>
      <c r="E20" s="558"/>
      <c r="F20" s="558"/>
      <c r="G20" s="558"/>
      <c r="H20" s="558"/>
      <c r="I20" s="558"/>
      <c r="J20" s="559"/>
      <c r="K20" s="1464">
        <v>0</v>
      </c>
      <c r="L20" s="1462"/>
      <c r="M20" s="1462"/>
      <c r="N20" s="1462"/>
      <c r="O20" s="1465"/>
      <c r="P20" s="1461">
        <v>2</v>
      </c>
      <c r="Q20" s="1462"/>
      <c r="R20" s="1462"/>
      <c r="S20" s="1462"/>
      <c r="T20" s="1465"/>
      <c r="U20" s="1461">
        <v>0</v>
      </c>
      <c r="V20" s="1462"/>
      <c r="W20" s="1462"/>
      <c r="X20" s="1462"/>
      <c r="Y20" s="1465"/>
      <c r="Z20" s="1461">
        <v>0</v>
      </c>
      <c r="AA20" s="1462"/>
      <c r="AB20" s="1462"/>
      <c r="AC20" s="1462"/>
      <c r="AD20" s="1465"/>
      <c r="AE20" s="1461">
        <v>0</v>
      </c>
      <c r="AF20" s="1462"/>
      <c r="AG20" s="1462"/>
      <c r="AH20" s="1462"/>
      <c r="AI20" s="1465"/>
      <c r="AJ20" s="1461">
        <v>0</v>
      </c>
      <c r="AK20" s="1462"/>
      <c r="AL20" s="1462"/>
      <c r="AM20" s="1462"/>
      <c r="AN20" s="1465"/>
      <c r="AO20" s="1461">
        <v>0</v>
      </c>
      <c r="AP20" s="1462"/>
      <c r="AQ20" s="1462"/>
      <c r="AR20" s="1462"/>
      <c r="AS20" s="1463"/>
      <c r="AT20" s="2663">
        <f t="shared" si="1"/>
        <v>2</v>
      </c>
      <c r="AU20" s="2664"/>
      <c r="AV20" s="2664"/>
      <c r="AW20" s="2664"/>
      <c r="AX20" s="2665"/>
    </row>
    <row r="21" spans="2:84" s="400" customFormat="1" ht="30" customHeight="1" thickTop="1" thickBot="1" x14ac:dyDescent="0.4">
      <c r="B21" s="549" t="s">
        <v>400</v>
      </c>
      <c r="C21" s="550"/>
      <c r="D21" s="550"/>
      <c r="E21" s="550"/>
      <c r="F21" s="550"/>
      <c r="G21" s="550"/>
      <c r="H21" s="550"/>
      <c r="I21" s="550"/>
      <c r="J21" s="551"/>
      <c r="K21" s="2325">
        <f>SUM(K15:O20,K7:O13)</f>
        <v>50</v>
      </c>
      <c r="L21" s="2326"/>
      <c r="M21" s="2326"/>
      <c r="N21" s="2326"/>
      <c r="O21" s="2327"/>
      <c r="P21" s="2661">
        <f t="shared" ref="P21" si="2">SUM(P15:T20,P7:T13)</f>
        <v>24</v>
      </c>
      <c r="Q21" s="2326"/>
      <c r="R21" s="2326"/>
      <c r="S21" s="2326"/>
      <c r="T21" s="2327"/>
      <c r="U21" s="2661">
        <f t="shared" ref="U21" si="3">SUM(U15:Y20,U7:Y13)</f>
        <v>0</v>
      </c>
      <c r="V21" s="2326"/>
      <c r="W21" s="2326"/>
      <c r="X21" s="2326"/>
      <c r="Y21" s="2327"/>
      <c r="Z21" s="2661">
        <f t="shared" ref="Z21" si="4">SUM(Z15:AD20,Z7:AD13)</f>
        <v>38</v>
      </c>
      <c r="AA21" s="2326"/>
      <c r="AB21" s="2326"/>
      <c r="AC21" s="2326"/>
      <c r="AD21" s="2327"/>
      <c r="AE21" s="2661">
        <f t="shared" ref="AE21" si="5">SUM(AE15:AI20,AE7:AI13)</f>
        <v>0</v>
      </c>
      <c r="AF21" s="2326"/>
      <c r="AG21" s="2326"/>
      <c r="AH21" s="2326"/>
      <c r="AI21" s="2327"/>
      <c r="AJ21" s="2661">
        <f t="shared" ref="AJ21" si="6">SUM(AJ15:AN20,AJ7:AN13)</f>
        <v>0</v>
      </c>
      <c r="AK21" s="2326"/>
      <c r="AL21" s="2326"/>
      <c r="AM21" s="2326"/>
      <c r="AN21" s="2327"/>
      <c r="AO21" s="2326">
        <f t="shared" ref="AO21" si="7">SUM(AO15:AS20,AO7:AS13)</f>
        <v>0</v>
      </c>
      <c r="AP21" s="2326"/>
      <c r="AQ21" s="2326"/>
      <c r="AR21" s="2326"/>
      <c r="AS21" s="2326"/>
      <c r="AT21" s="2337">
        <f t="shared" ref="AT21" si="8">SUM(AT15:AX20,AT7:AX13)</f>
        <v>112</v>
      </c>
      <c r="AU21" s="2326"/>
      <c r="AV21" s="2326"/>
      <c r="AW21" s="2326"/>
      <c r="AX21" s="2660"/>
      <c r="BN21" s="84"/>
      <c r="BO21" s="84"/>
      <c r="BP21" s="84"/>
      <c r="BQ21" s="84"/>
      <c r="BR21" s="84"/>
      <c r="BS21" s="84"/>
      <c r="BT21" s="84"/>
      <c r="BU21" s="84"/>
      <c r="BV21" s="84"/>
      <c r="BW21" s="84"/>
      <c r="BX21" s="84"/>
      <c r="BY21" s="84"/>
      <c r="BZ21" s="84"/>
      <c r="CA21" s="84"/>
      <c r="CB21" s="84"/>
      <c r="CC21" s="84"/>
      <c r="CD21" s="84"/>
      <c r="CE21" s="84"/>
      <c r="CF21" s="84"/>
    </row>
    <row r="22" spans="2:84" s="400" customFormat="1" ht="5.15" customHeight="1" thickTop="1" x14ac:dyDescent="0.35">
      <c r="B22" s="413"/>
      <c r="C22" s="413"/>
      <c r="D22" s="413"/>
      <c r="E22" s="429"/>
      <c r="F22" s="429"/>
      <c r="G22" s="429"/>
      <c r="H22" s="222"/>
      <c r="I22" s="429"/>
      <c r="J22" s="552"/>
      <c r="K22" s="552"/>
      <c r="L22" s="552"/>
      <c r="M22" s="552"/>
      <c r="N22" s="552"/>
      <c r="O22" s="552"/>
      <c r="P22" s="84"/>
      <c r="Q22" s="84"/>
      <c r="R22" s="84"/>
      <c r="AM22" s="84"/>
      <c r="AN22" s="84"/>
      <c r="AO22" s="84"/>
      <c r="AP22" s="84"/>
      <c r="AQ22" s="84"/>
      <c r="AR22" s="84"/>
      <c r="AS22" s="84"/>
      <c r="AT22" s="84"/>
      <c r="AU22" s="84"/>
      <c r="AV22" s="84"/>
      <c r="AW22" s="84"/>
      <c r="AX22" s="84"/>
      <c r="AY22" s="84"/>
      <c r="AZ22" s="84"/>
      <c r="BA22" s="84"/>
      <c r="BB22" s="84"/>
      <c r="BC22" s="84"/>
      <c r="BD22" s="84"/>
      <c r="BE22" s="84"/>
      <c r="BF22" s="84"/>
    </row>
    <row r="23" spans="2:84" s="87" customFormat="1" ht="15" customHeight="1" x14ac:dyDescent="0.3">
      <c r="B23" s="2636" t="s">
        <v>459</v>
      </c>
      <c r="C23" s="2636"/>
      <c r="D23" s="2636"/>
      <c r="E23" s="2636"/>
      <c r="F23" s="2636"/>
      <c r="G23" s="2636"/>
      <c r="H23" s="2636"/>
      <c r="I23" s="2636"/>
      <c r="J23" s="2636"/>
      <c r="K23" s="2636"/>
      <c r="L23" s="2636"/>
      <c r="M23" s="2636"/>
      <c r="N23" s="2636"/>
      <c r="O23" s="2636"/>
      <c r="P23" s="2636"/>
      <c r="Q23" s="2636"/>
      <c r="R23" s="2636"/>
      <c r="S23" s="2636"/>
      <c r="T23" s="2636"/>
      <c r="U23" s="2636"/>
      <c r="V23" s="2636"/>
      <c r="W23" s="2636"/>
      <c r="X23" s="2636"/>
      <c r="Y23" s="2636"/>
      <c r="Z23" s="2636"/>
      <c r="AA23" s="2636"/>
      <c r="AB23" s="2636"/>
      <c r="AC23" s="2636"/>
      <c r="AD23" s="2636"/>
      <c r="AE23" s="2636"/>
      <c r="AF23" s="2636"/>
      <c r="AG23" s="2636"/>
      <c r="AH23" s="2636"/>
      <c r="AI23" s="2636"/>
      <c r="AJ23" s="2636"/>
      <c r="AK23" s="2636"/>
      <c r="AL23" s="2636"/>
      <c r="AM23" s="2636"/>
      <c r="AN23" s="2636"/>
      <c r="AO23" s="2636"/>
      <c r="AP23" s="2636"/>
      <c r="AQ23" s="2636"/>
      <c r="AR23" s="2636"/>
      <c r="AS23" s="2636"/>
      <c r="AT23" s="2636"/>
      <c r="AU23" s="2636"/>
      <c r="AV23" s="2636"/>
      <c r="AW23" s="2636"/>
      <c r="AX23" s="2636"/>
      <c r="AY23" s="561"/>
      <c r="AZ23" s="561"/>
      <c r="BA23" s="561"/>
    </row>
    <row r="24" spans="2:84" s="87" customFormat="1" ht="15" customHeight="1" x14ac:dyDescent="0.3">
      <c r="C24" s="562" t="s">
        <v>150</v>
      </c>
      <c r="D24" s="2666" t="s">
        <v>460</v>
      </c>
      <c r="E24" s="2666"/>
      <c r="F24" s="2666"/>
      <c r="G24" s="2666"/>
      <c r="H24" s="2666"/>
      <c r="I24" s="2666"/>
      <c r="J24" s="2666"/>
      <c r="K24" s="2666"/>
      <c r="L24" s="2666"/>
      <c r="M24" s="2666"/>
      <c r="N24" s="2666"/>
      <c r="O24" s="2666"/>
      <c r="P24" s="2666"/>
      <c r="Q24" s="2666"/>
      <c r="R24" s="2666"/>
      <c r="S24" s="2666"/>
      <c r="T24" s="2666"/>
      <c r="U24" s="2666"/>
      <c r="V24" s="2666"/>
      <c r="W24" s="2666"/>
      <c r="X24" s="2666"/>
      <c r="Y24" s="2666"/>
      <c r="Z24" s="2666"/>
      <c r="AA24" s="2666"/>
      <c r="AB24" s="2666"/>
      <c r="AC24" s="2666"/>
      <c r="AD24" s="2666"/>
      <c r="AE24" s="2666"/>
      <c r="AF24" s="2666"/>
      <c r="AG24" s="2666"/>
      <c r="AH24" s="2666"/>
      <c r="AI24" s="2666"/>
      <c r="AJ24" s="2666"/>
      <c r="AK24" s="2666"/>
      <c r="AL24" s="2666"/>
      <c r="AM24" s="2666"/>
      <c r="AN24" s="2666"/>
      <c r="AO24" s="2666"/>
      <c r="AP24" s="2666"/>
      <c r="AQ24" s="2666"/>
      <c r="AR24" s="2666"/>
      <c r="AS24" s="2666"/>
      <c r="AT24" s="2666"/>
      <c r="AU24" s="2666"/>
      <c r="AV24" s="2666"/>
      <c r="AW24" s="2666"/>
      <c r="AX24" s="2666"/>
      <c r="AY24" s="563"/>
      <c r="AZ24" s="563"/>
      <c r="BA24" s="563"/>
    </row>
    <row r="25" spans="2:84" s="87" customFormat="1" ht="15" customHeight="1" x14ac:dyDescent="0.3">
      <c r="C25" s="562" t="s">
        <v>151</v>
      </c>
      <c r="D25" s="2666" t="s">
        <v>461</v>
      </c>
      <c r="E25" s="2666"/>
      <c r="F25" s="2666"/>
      <c r="G25" s="2666"/>
      <c r="H25" s="2666"/>
      <c r="I25" s="2666"/>
      <c r="J25" s="2666"/>
      <c r="K25" s="2666"/>
      <c r="L25" s="2666"/>
      <c r="M25" s="2666"/>
      <c r="N25" s="2666"/>
      <c r="O25" s="2666"/>
      <c r="P25" s="2666"/>
      <c r="Q25" s="2666"/>
      <c r="R25" s="2666"/>
      <c r="S25" s="2666"/>
      <c r="T25" s="2666"/>
      <c r="U25" s="2666"/>
      <c r="V25" s="2666"/>
      <c r="W25" s="2666"/>
      <c r="X25" s="2666"/>
      <c r="Y25" s="2666"/>
      <c r="Z25" s="2666"/>
      <c r="AA25" s="2666"/>
      <c r="AB25" s="2666"/>
      <c r="AC25" s="2666"/>
      <c r="AD25" s="2666"/>
      <c r="AE25" s="2666"/>
      <c r="AF25" s="2666"/>
      <c r="AG25" s="2666"/>
      <c r="AH25" s="2666"/>
      <c r="AI25" s="2666"/>
      <c r="AJ25" s="2666"/>
      <c r="AK25" s="2666"/>
      <c r="AL25" s="2666"/>
      <c r="AM25" s="2666"/>
      <c r="AN25" s="2666"/>
      <c r="AO25" s="2666"/>
      <c r="AP25" s="2666"/>
      <c r="AQ25" s="2666"/>
      <c r="AR25" s="2666"/>
      <c r="AS25" s="2666"/>
      <c r="AT25" s="2666"/>
      <c r="AU25" s="2666"/>
      <c r="AV25" s="2666"/>
      <c r="AW25" s="2666"/>
      <c r="AX25" s="2666"/>
      <c r="AY25" s="564"/>
      <c r="AZ25" s="564"/>
      <c r="BA25" s="564"/>
    </row>
    <row r="26" spans="2:84" s="87" customFormat="1" ht="15" customHeight="1" x14ac:dyDescent="0.3">
      <c r="C26" s="562" t="s">
        <v>152</v>
      </c>
      <c r="D26" s="2666" t="s">
        <v>462</v>
      </c>
      <c r="E26" s="2666"/>
      <c r="F26" s="2666"/>
      <c r="G26" s="2666"/>
      <c r="H26" s="2666"/>
      <c r="I26" s="2666"/>
      <c r="J26" s="2666"/>
      <c r="K26" s="2666"/>
      <c r="L26" s="2666"/>
      <c r="M26" s="2666"/>
      <c r="N26" s="2666"/>
      <c r="O26" s="2666"/>
      <c r="P26" s="2666"/>
      <c r="Q26" s="2666"/>
      <c r="R26" s="2666"/>
      <c r="S26" s="2666"/>
      <c r="T26" s="2666"/>
      <c r="U26" s="2666"/>
      <c r="V26" s="2666"/>
      <c r="W26" s="2666"/>
      <c r="X26" s="2666"/>
      <c r="Y26" s="2666"/>
      <c r="Z26" s="2666"/>
      <c r="AA26" s="2666"/>
      <c r="AB26" s="2666"/>
      <c r="AC26" s="2666"/>
      <c r="AD26" s="2666"/>
      <c r="AE26" s="2666"/>
      <c r="AF26" s="2666"/>
      <c r="AG26" s="2666"/>
      <c r="AH26" s="2666"/>
      <c r="AI26" s="2666"/>
      <c r="AJ26" s="2666"/>
      <c r="AK26" s="2666"/>
      <c r="AL26" s="2666"/>
      <c r="AM26" s="2666"/>
      <c r="AN26" s="2666"/>
      <c r="AO26" s="2666"/>
      <c r="AP26" s="2666"/>
      <c r="AQ26" s="2666"/>
      <c r="AR26" s="2666"/>
      <c r="AS26" s="2666"/>
      <c r="AT26" s="2666"/>
      <c r="AU26" s="2666"/>
      <c r="AV26" s="2666"/>
      <c r="AW26" s="2666"/>
      <c r="AX26" s="2666"/>
      <c r="AY26" s="563"/>
      <c r="AZ26" s="563"/>
      <c r="BA26" s="563"/>
    </row>
    <row r="27" spans="2:84" s="87" customFormat="1" ht="15" customHeight="1" x14ac:dyDescent="0.3">
      <c r="C27" s="562" t="s">
        <v>155</v>
      </c>
      <c r="D27" s="2666" t="s">
        <v>463</v>
      </c>
      <c r="E27" s="2666"/>
      <c r="F27" s="2666"/>
      <c r="G27" s="2666"/>
      <c r="H27" s="2666"/>
      <c r="I27" s="2666"/>
      <c r="J27" s="2666"/>
      <c r="K27" s="2666"/>
      <c r="L27" s="2666"/>
      <c r="M27" s="2666"/>
      <c r="N27" s="2666"/>
      <c r="O27" s="2666"/>
      <c r="P27" s="2666"/>
      <c r="Q27" s="2666"/>
      <c r="R27" s="2666"/>
      <c r="S27" s="2666"/>
      <c r="T27" s="2666"/>
      <c r="U27" s="2666"/>
      <c r="V27" s="2666"/>
      <c r="W27" s="2666"/>
      <c r="X27" s="2666"/>
      <c r="Y27" s="2666"/>
      <c r="Z27" s="2666"/>
      <c r="AA27" s="2666"/>
      <c r="AB27" s="2666"/>
      <c r="AC27" s="2666"/>
      <c r="AD27" s="2666"/>
      <c r="AE27" s="2666"/>
      <c r="AF27" s="2666"/>
      <c r="AG27" s="2666"/>
      <c r="AH27" s="2666"/>
      <c r="AI27" s="2666"/>
      <c r="AJ27" s="2666"/>
      <c r="AK27" s="2666"/>
      <c r="AL27" s="2666"/>
      <c r="AM27" s="2666"/>
      <c r="AN27" s="2666"/>
      <c r="AO27" s="2666"/>
      <c r="AP27" s="2666"/>
      <c r="AQ27" s="2666"/>
      <c r="AR27" s="2666"/>
      <c r="AS27" s="2666"/>
      <c r="AT27" s="2666"/>
      <c r="AU27" s="2666"/>
      <c r="AV27" s="2666"/>
      <c r="AW27" s="2666"/>
      <c r="AX27" s="2666"/>
      <c r="AY27" s="563"/>
      <c r="AZ27" s="563"/>
      <c r="BA27" s="563"/>
    </row>
    <row r="28" spans="2:84" s="87" customFormat="1" ht="15" customHeight="1" x14ac:dyDescent="0.3">
      <c r="C28" s="562" t="s">
        <v>156</v>
      </c>
      <c r="D28" s="2666" t="s">
        <v>464</v>
      </c>
      <c r="E28" s="2666"/>
      <c r="F28" s="2666"/>
      <c r="G28" s="2666"/>
      <c r="H28" s="2666"/>
      <c r="I28" s="2666"/>
      <c r="J28" s="2666"/>
      <c r="K28" s="2666"/>
      <c r="L28" s="2666"/>
      <c r="M28" s="2666"/>
      <c r="N28" s="2666"/>
      <c r="O28" s="2666"/>
      <c r="P28" s="2666"/>
      <c r="Q28" s="2666"/>
      <c r="R28" s="2666"/>
      <c r="S28" s="2666"/>
      <c r="T28" s="2666"/>
      <c r="U28" s="2666"/>
      <c r="V28" s="2666"/>
      <c r="W28" s="2666"/>
      <c r="X28" s="2666"/>
      <c r="Y28" s="2666"/>
      <c r="Z28" s="2666"/>
      <c r="AA28" s="2666"/>
      <c r="AB28" s="2666"/>
      <c r="AC28" s="2666"/>
      <c r="AD28" s="2666"/>
      <c r="AE28" s="2666"/>
      <c r="AF28" s="2666"/>
      <c r="AG28" s="2666"/>
      <c r="AH28" s="2666"/>
      <c r="AI28" s="2666"/>
      <c r="AJ28" s="2666"/>
      <c r="AK28" s="2666"/>
      <c r="AL28" s="2666"/>
      <c r="AM28" s="2666"/>
      <c r="AN28" s="2666"/>
      <c r="AO28" s="2666"/>
      <c r="AP28" s="2666"/>
      <c r="AQ28" s="2666"/>
      <c r="AR28" s="2666"/>
      <c r="AS28" s="2666"/>
      <c r="AT28" s="2666"/>
      <c r="AU28" s="2666"/>
      <c r="AV28" s="2666"/>
      <c r="AW28" s="2666"/>
      <c r="AX28" s="2666"/>
      <c r="AY28" s="563"/>
      <c r="AZ28" s="563"/>
      <c r="BA28" s="563"/>
    </row>
    <row r="29" spans="2:84" s="87" customFormat="1" ht="15" customHeight="1" x14ac:dyDescent="0.3">
      <c r="C29" s="562" t="s">
        <v>157</v>
      </c>
      <c r="D29" s="2666" t="s">
        <v>465</v>
      </c>
      <c r="E29" s="2666"/>
      <c r="F29" s="2666"/>
      <c r="G29" s="2666"/>
      <c r="H29" s="2666"/>
      <c r="I29" s="2666"/>
      <c r="J29" s="2666"/>
      <c r="K29" s="2666"/>
      <c r="L29" s="2666"/>
      <c r="M29" s="2666"/>
      <c r="N29" s="2666"/>
      <c r="O29" s="2666"/>
      <c r="P29" s="2666"/>
      <c r="Q29" s="2666"/>
      <c r="R29" s="2666"/>
      <c r="S29" s="2666"/>
      <c r="T29" s="2666"/>
      <c r="U29" s="2666"/>
      <c r="V29" s="2666"/>
      <c r="W29" s="2666"/>
      <c r="X29" s="2666"/>
      <c r="Y29" s="2666"/>
      <c r="Z29" s="2666"/>
      <c r="AA29" s="2666"/>
      <c r="AB29" s="2666"/>
      <c r="AC29" s="2666"/>
      <c r="AD29" s="2666"/>
      <c r="AE29" s="2666"/>
      <c r="AF29" s="2666"/>
      <c r="AG29" s="2666"/>
      <c r="AH29" s="2666"/>
      <c r="AI29" s="2666"/>
      <c r="AJ29" s="2666"/>
      <c r="AK29" s="2666"/>
      <c r="AL29" s="2666"/>
      <c r="AM29" s="2666"/>
      <c r="AN29" s="2666"/>
      <c r="AO29" s="2666"/>
      <c r="AP29" s="2666"/>
      <c r="AQ29" s="2666"/>
      <c r="AR29" s="2666"/>
      <c r="AS29" s="2666"/>
      <c r="AT29" s="2666"/>
      <c r="AU29" s="2666"/>
      <c r="AV29" s="2666"/>
      <c r="AW29" s="2666"/>
      <c r="AX29" s="2666"/>
      <c r="AY29" s="565"/>
      <c r="AZ29" s="565"/>
      <c r="BA29" s="565"/>
    </row>
    <row r="30" spans="2:84" s="87" customFormat="1" ht="15" customHeight="1" x14ac:dyDescent="0.3">
      <c r="C30" s="562" t="s">
        <v>159</v>
      </c>
      <c r="D30" s="2666" t="s">
        <v>1381</v>
      </c>
      <c r="E30" s="2666"/>
      <c r="F30" s="2666"/>
      <c r="G30" s="2666"/>
      <c r="H30" s="2666"/>
      <c r="I30" s="2666"/>
      <c r="J30" s="2666"/>
      <c r="K30" s="2666"/>
      <c r="L30" s="2666"/>
      <c r="M30" s="2666"/>
      <c r="N30" s="2666"/>
      <c r="O30" s="2666"/>
      <c r="P30" s="2666"/>
      <c r="Q30" s="2666"/>
      <c r="R30" s="2666"/>
      <c r="S30" s="2666"/>
      <c r="T30" s="2666"/>
      <c r="U30" s="2666"/>
      <c r="V30" s="2666"/>
      <c r="W30" s="2666"/>
      <c r="X30" s="2666"/>
      <c r="Y30" s="2666"/>
      <c r="Z30" s="2666"/>
      <c r="AA30" s="2666"/>
      <c r="AB30" s="2666"/>
      <c r="AC30" s="2666"/>
      <c r="AD30" s="2666"/>
      <c r="AE30" s="2666"/>
      <c r="AF30" s="2666"/>
      <c r="AG30" s="2666"/>
      <c r="AH30" s="2666"/>
      <c r="AI30" s="2666"/>
      <c r="AJ30" s="2666"/>
      <c r="AK30" s="2666"/>
      <c r="AL30" s="2666"/>
      <c r="AM30" s="2666"/>
      <c r="AN30" s="2666"/>
      <c r="AO30" s="2666"/>
      <c r="AP30" s="2666"/>
      <c r="AQ30" s="2666"/>
      <c r="AR30" s="2666"/>
      <c r="AS30" s="2666"/>
      <c r="AT30" s="2666"/>
      <c r="AU30" s="2666"/>
      <c r="AV30" s="2666"/>
      <c r="AW30" s="2666"/>
      <c r="AX30" s="2666"/>
      <c r="AY30" s="565"/>
      <c r="AZ30" s="565"/>
      <c r="BA30" s="565"/>
    </row>
    <row r="31" spans="2:84" s="124" customFormat="1" ht="30.75" customHeight="1" x14ac:dyDescent="0.3">
      <c r="AI31" s="123"/>
    </row>
    <row r="32" spans="2:84" s="44" customFormat="1" x14ac:dyDescent="0.35">
      <c r="B32" s="60" t="s">
        <v>913</v>
      </c>
      <c r="S32" s="60" t="s">
        <v>907</v>
      </c>
      <c r="T32" s="73"/>
      <c r="U32" s="73"/>
      <c r="V32" s="73"/>
      <c r="W32" s="73"/>
      <c r="X32" s="73"/>
      <c r="Y32" s="73"/>
      <c r="Z32" s="73"/>
      <c r="AA32" s="73"/>
      <c r="AB32" s="73"/>
      <c r="AC32" s="73"/>
      <c r="AD32" s="73"/>
      <c r="AE32" s="73"/>
      <c r="AF32" s="73"/>
      <c r="AJ32" s="60" t="s">
        <v>922</v>
      </c>
    </row>
    <row r="33" spans="2:67" s="44" customFormat="1" ht="21.75" customHeight="1" x14ac:dyDescent="0.35">
      <c r="B33" s="60" t="s">
        <v>780</v>
      </c>
      <c r="F33" s="1581" t="str">
        <f>SchInfo!F38</f>
        <v>MELCHESIEDICK Q. BOLANIO/ March 17, 2023</v>
      </c>
      <c r="G33" s="1581"/>
      <c r="H33" s="1581"/>
      <c r="I33" s="1581"/>
      <c r="J33" s="1581"/>
      <c r="K33" s="1581"/>
      <c r="L33" s="1581"/>
      <c r="M33" s="1581"/>
      <c r="N33" s="1581"/>
      <c r="O33" s="1581"/>
      <c r="S33" s="1582" t="str">
        <f>Table25!S39</f>
        <v>ANNE VALERIE KERSTEINE I. VILLANUEVA /  May 17, 2022</v>
      </c>
      <c r="T33" s="1582"/>
      <c r="U33" s="1582"/>
      <c r="V33" s="1582"/>
      <c r="W33" s="1582"/>
      <c r="X33" s="1582"/>
      <c r="Y33" s="1582"/>
      <c r="Z33" s="1582"/>
      <c r="AA33" s="1582"/>
      <c r="AB33" s="1582"/>
      <c r="AC33" s="1582"/>
      <c r="AD33" s="1582"/>
      <c r="AE33" s="1582"/>
      <c r="AF33" s="1582"/>
      <c r="AJ33" s="1582" t="str">
        <f>SchInfo!R38</f>
        <v>MICHAEL T. JAMIS   /  March 17, 2023</v>
      </c>
      <c r="AK33" s="1582"/>
      <c r="AL33" s="1582"/>
      <c r="AM33" s="1582"/>
      <c r="AN33" s="1582"/>
      <c r="AO33" s="1582"/>
      <c r="AP33" s="1582"/>
      <c r="AQ33" s="1582"/>
      <c r="AR33" s="1582"/>
      <c r="AS33" s="1582"/>
      <c r="AT33" s="1582"/>
      <c r="AU33" s="1582"/>
      <c r="AV33" s="1582"/>
      <c r="AW33" s="1582"/>
    </row>
    <row r="34" spans="2:67" s="68" customFormat="1" x14ac:dyDescent="0.35">
      <c r="B34" s="210"/>
      <c r="F34" s="1452" t="s">
        <v>779</v>
      </c>
      <c r="G34" s="1452"/>
      <c r="H34" s="1452"/>
      <c r="I34" s="1452"/>
      <c r="J34" s="1452"/>
      <c r="K34" s="1452"/>
      <c r="L34" s="1452"/>
      <c r="M34" s="1452"/>
      <c r="N34" s="1452"/>
      <c r="O34" s="1452"/>
      <c r="P34" s="64"/>
      <c r="Q34" s="64"/>
      <c r="R34" s="64"/>
      <c r="S34" s="1583"/>
      <c r="T34" s="1583"/>
      <c r="U34" s="1583"/>
      <c r="V34" s="1583"/>
      <c r="W34" s="1583"/>
      <c r="X34" s="1583"/>
      <c r="Y34" s="1583"/>
      <c r="Z34" s="1583"/>
      <c r="AA34" s="1583"/>
      <c r="AB34" s="1583"/>
      <c r="AC34" s="1583"/>
      <c r="AD34" s="1583"/>
      <c r="AE34" s="1583"/>
      <c r="AF34" s="1583"/>
      <c r="AG34" s="44"/>
      <c r="AH34" s="44"/>
      <c r="AI34" s="44"/>
      <c r="AJ34" s="1583"/>
      <c r="AK34" s="1583"/>
      <c r="AL34" s="1583"/>
      <c r="AM34" s="1583"/>
      <c r="AN34" s="1583"/>
      <c r="AO34" s="1583"/>
      <c r="AP34" s="1583"/>
      <c r="AQ34" s="1583"/>
      <c r="AR34" s="1583"/>
      <c r="AS34" s="1583"/>
      <c r="AT34" s="1583"/>
      <c r="AU34" s="1583"/>
      <c r="AV34" s="1583"/>
      <c r="AW34" s="1583"/>
      <c r="AX34" s="64"/>
      <c r="AY34" s="209"/>
      <c r="AZ34" s="209"/>
      <c r="BA34" s="209"/>
      <c r="BB34" s="209"/>
      <c r="BC34" s="209"/>
      <c r="BD34" s="209"/>
      <c r="BE34" s="209"/>
      <c r="BF34" s="209"/>
      <c r="BG34" s="209"/>
      <c r="BH34" s="209"/>
      <c r="BI34" s="209"/>
      <c r="BJ34" s="209"/>
      <c r="BK34" s="209"/>
      <c r="BL34" s="209"/>
      <c r="BM34" s="209"/>
      <c r="BN34" s="209"/>
      <c r="BO34" s="209"/>
    </row>
    <row r="35" spans="2:67" s="44" customFormat="1" ht="21.75" customHeight="1" x14ac:dyDescent="0.35">
      <c r="B35" s="60" t="s">
        <v>782</v>
      </c>
      <c r="F35" s="1581" t="str">
        <f>SchInfo!F40</f>
        <v>Principal IV</v>
      </c>
      <c r="G35" s="1581"/>
      <c r="H35" s="1581"/>
      <c r="I35" s="1581"/>
      <c r="J35" s="1581"/>
      <c r="K35" s="1581"/>
      <c r="L35" s="1581"/>
      <c r="M35" s="1581"/>
      <c r="N35" s="1581"/>
      <c r="O35" s="1581"/>
      <c r="S35" s="1452" t="s">
        <v>779</v>
      </c>
      <c r="T35" s="1452"/>
      <c r="U35" s="1452"/>
      <c r="V35" s="1452"/>
      <c r="W35" s="1452"/>
      <c r="X35" s="1452"/>
      <c r="Y35" s="1452"/>
      <c r="Z35" s="1452"/>
      <c r="AA35" s="1452"/>
      <c r="AB35" s="1452"/>
      <c r="AC35" s="1452"/>
      <c r="AD35" s="1452"/>
      <c r="AE35" s="1452"/>
      <c r="AF35" s="1452"/>
      <c r="AG35" s="64"/>
      <c r="AH35" s="64"/>
      <c r="AI35" s="64"/>
      <c r="AJ35" s="1452" t="s">
        <v>779</v>
      </c>
      <c r="AK35" s="1452"/>
      <c r="AL35" s="1452"/>
      <c r="AM35" s="1452"/>
      <c r="AN35" s="1452"/>
      <c r="AO35" s="1452"/>
      <c r="AP35" s="1452"/>
      <c r="AQ35" s="1452"/>
      <c r="AR35" s="1452"/>
      <c r="AS35" s="1452"/>
      <c r="AT35" s="1452"/>
      <c r="AU35" s="1452"/>
      <c r="AV35" s="1452"/>
      <c r="AW35" s="1452"/>
    </row>
  </sheetData>
  <sheetProtection algorithmName="SHA-512" hashValue="TBHCVsEI+dGWH8/Rvvp3UaaBkSvUdOrNKbN3LQwaMg7WTLNm2kMjZh855ny1sQGjDvIphWQNAZIlfZenZ1yTYg==" saltValue="BjWWd/x+Vru7+PVykrHI6Q==" spinCount="100000" sheet="1" objects="1" scenarios="1"/>
  <mergeCells count="141">
    <mergeCell ref="D30:AX30"/>
    <mergeCell ref="AJ21:AN21"/>
    <mergeCell ref="AO21:AS21"/>
    <mergeCell ref="AT21:AX21"/>
    <mergeCell ref="K21:O21"/>
    <mergeCell ref="P21:T21"/>
    <mergeCell ref="U21:Y21"/>
    <mergeCell ref="Z21:AD21"/>
    <mergeCell ref="AE21:AI21"/>
    <mergeCell ref="D29:AX29"/>
    <mergeCell ref="D24:AX24"/>
    <mergeCell ref="D25:AX25"/>
    <mergeCell ref="D26:AX26"/>
    <mergeCell ref="D27:AX27"/>
    <mergeCell ref="D28:AX28"/>
    <mergeCell ref="B23:AX23"/>
    <mergeCell ref="AJ19:AN19"/>
    <mergeCell ref="AO19:AS19"/>
    <mergeCell ref="AT19:AX19"/>
    <mergeCell ref="K20:O20"/>
    <mergeCell ref="P20:T20"/>
    <mergeCell ref="U20:Y20"/>
    <mergeCell ref="Z20:AD20"/>
    <mergeCell ref="AE20:AI20"/>
    <mergeCell ref="AJ20:AN20"/>
    <mergeCell ref="AO20:AS20"/>
    <mergeCell ref="AT20:AX20"/>
    <mergeCell ref="K19:O19"/>
    <mergeCell ref="P19:T19"/>
    <mergeCell ref="U19:Y19"/>
    <mergeCell ref="Z19:AD19"/>
    <mergeCell ref="AE19:AI19"/>
    <mergeCell ref="AJ17:AN17"/>
    <mergeCell ref="AO17:AS17"/>
    <mergeCell ref="AT17:AX17"/>
    <mergeCell ref="K18:O18"/>
    <mergeCell ref="P18:T18"/>
    <mergeCell ref="U18:Y18"/>
    <mergeCell ref="Z18:AD18"/>
    <mergeCell ref="AE18:AI18"/>
    <mergeCell ref="AJ18:AN18"/>
    <mergeCell ref="AO18:AS18"/>
    <mergeCell ref="AT18:AX18"/>
    <mergeCell ref="K17:O17"/>
    <mergeCell ref="P17:T17"/>
    <mergeCell ref="U17:Y17"/>
    <mergeCell ref="Z17:AD17"/>
    <mergeCell ref="AE17:AI17"/>
    <mergeCell ref="AJ15:AN15"/>
    <mergeCell ref="AO15:AS15"/>
    <mergeCell ref="AT15:AX15"/>
    <mergeCell ref="K16:O16"/>
    <mergeCell ref="P16:T16"/>
    <mergeCell ref="U16:Y16"/>
    <mergeCell ref="Z16:AD16"/>
    <mergeCell ref="AE16:AI16"/>
    <mergeCell ref="AJ16:AN16"/>
    <mergeCell ref="AO16:AS16"/>
    <mergeCell ref="AT16:AX16"/>
    <mergeCell ref="K15:O15"/>
    <mergeCell ref="P15:T15"/>
    <mergeCell ref="U15:Y15"/>
    <mergeCell ref="Z15:AD15"/>
    <mergeCell ref="AE15:AI15"/>
    <mergeCell ref="K13:O13"/>
    <mergeCell ref="P13:T13"/>
    <mergeCell ref="U13:Y13"/>
    <mergeCell ref="Z13:AD13"/>
    <mergeCell ref="AE13:AI13"/>
    <mergeCell ref="AJ13:AN13"/>
    <mergeCell ref="AO13:AS13"/>
    <mergeCell ref="AT13:AX13"/>
    <mergeCell ref="K11:O11"/>
    <mergeCell ref="P11:T11"/>
    <mergeCell ref="U11:Y11"/>
    <mergeCell ref="Z11:AD11"/>
    <mergeCell ref="AE11:AI11"/>
    <mergeCell ref="K12:O12"/>
    <mergeCell ref="P12:T12"/>
    <mergeCell ref="U12:Y12"/>
    <mergeCell ref="Z12:AD12"/>
    <mergeCell ref="AE12:AI12"/>
    <mergeCell ref="AJ12:AN12"/>
    <mergeCell ref="AO12:AS12"/>
    <mergeCell ref="AT12:AX12"/>
    <mergeCell ref="AJ11:AN11"/>
    <mergeCell ref="AO11:AS11"/>
    <mergeCell ref="AT11:AX11"/>
    <mergeCell ref="K10:O10"/>
    <mergeCell ref="P10:T10"/>
    <mergeCell ref="U10:Y10"/>
    <mergeCell ref="Z10:AD10"/>
    <mergeCell ref="AE10:AI10"/>
    <mergeCell ref="AJ10:AN10"/>
    <mergeCell ref="AO10:AS10"/>
    <mergeCell ref="AT10:AX10"/>
    <mergeCell ref="P9:T9"/>
    <mergeCell ref="U9:Y9"/>
    <mergeCell ref="Z9:AD9"/>
    <mergeCell ref="AE9:AI9"/>
    <mergeCell ref="AJ9:AN9"/>
    <mergeCell ref="AT7:AX7"/>
    <mergeCell ref="K8:O8"/>
    <mergeCell ref="B4:J5"/>
    <mergeCell ref="K4:AX4"/>
    <mergeCell ref="K5:O5"/>
    <mergeCell ref="P5:T5"/>
    <mergeCell ref="U5:Y5"/>
    <mergeCell ref="Z5:AD5"/>
    <mergeCell ref="AE5:AI5"/>
    <mergeCell ref="AJ5:AN5"/>
    <mergeCell ref="AO5:AS5"/>
    <mergeCell ref="AT5:AX5"/>
    <mergeCell ref="P8:T8"/>
    <mergeCell ref="U8:Y8"/>
    <mergeCell ref="Z8:AD8"/>
    <mergeCell ref="AE8:AI8"/>
    <mergeCell ref="B14:J14"/>
    <mergeCell ref="B6:J6"/>
    <mergeCell ref="K6:AX6"/>
    <mergeCell ref="K14:AX14"/>
    <mergeCell ref="F33:O33"/>
    <mergeCell ref="S33:AF34"/>
    <mergeCell ref="AJ33:AW34"/>
    <mergeCell ref="F34:O34"/>
    <mergeCell ref="F35:O35"/>
    <mergeCell ref="S35:AF35"/>
    <mergeCell ref="AJ35:AW35"/>
    <mergeCell ref="AJ8:AN8"/>
    <mergeCell ref="AO8:AS8"/>
    <mergeCell ref="AT8:AX8"/>
    <mergeCell ref="K9:O9"/>
    <mergeCell ref="AO9:AS9"/>
    <mergeCell ref="AT9:AX9"/>
    <mergeCell ref="K7:O7"/>
    <mergeCell ref="P7:T7"/>
    <mergeCell ref="U7:Y7"/>
    <mergeCell ref="Z7:AD7"/>
    <mergeCell ref="AE7:AI7"/>
    <mergeCell ref="AJ7:AN7"/>
    <mergeCell ref="AO7:AS7"/>
  </mergeCells>
  <dataValidations count="1">
    <dataValidation type="whole" allowBlank="1" showInputMessage="1" showErrorMessage="1" errorTitle="GJHSP SY 2022-2023" error="Please enter valid number between 0-999." sqref="K7:AS13 K15:AS20" xr:uid="{9221A282-5472-4A54-8130-8414F9F4814C}">
      <formula1>0</formula1>
      <formula2>999</formula2>
    </dataValidation>
  </dataValidations>
  <printOptions horizontalCentered="1" verticalCentered="1"/>
  <pageMargins left="0.25" right="0.25" top="0.2" bottom="0.2" header="0" footer="0.1"/>
  <pageSetup paperSize="9" scale="34" orientation="landscape" r:id="rId1"/>
  <headerFooter alignWithMargins="0">
    <oddFooter>&amp;L&amp;10&amp;F &amp;A&amp;R&amp;10Page 20 of 63</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75787-1C1E-43A5-9459-403F35DB81E4}">
  <sheetPr codeName="Sheet25"/>
  <dimension ref="A1:AT47"/>
  <sheetViews>
    <sheetView showGridLines="0" topLeftCell="I16" zoomScaleNormal="100" workbookViewId="0">
      <selection activeCell="X28" sqref="X28:AH28"/>
    </sheetView>
  </sheetViews>
  <sheetFormatPr defaultColWidth="8" defaultRowHeight="14" x14ac:dyDescent="0.3"/>
  <cols>
    <col min="1" max="1" width="2.08203125" style="399" customWidth="1"/>
    <col min="2" max="45" width="3.58203125" style="399" customWidth="1"/>
    <col min="46" max="46" width="2.08203125" style="399" customWidth="1"/>
    <col min="47" max="49" width="3.58203125" style="399" customWidth="1"/>
    <col min="50" max="50" width="2.08203125" style="399" customWidth="1"/>
    <col min="51" max="56" width="3.58203125" style="399" customWidth="1"/>
    <col min="57" max="16384" width="8" style="399"/>
  </cols>
  <sheetData>
    <row r="1" spans="1:45" ht="12" customHeight="1" x14ac:dyDescent="0.3"/>
    <row r="2" spans="1:45" ht="15.75" customHeight="1" x14ac:dyDescent="0.35">
      <c r="A2" s="403"/>
      <c r="B2" s="49" t="s">
        <v>12711</v>
      </c>
      <c r="C2" s="49"/>
      <c r="D2" s="49"/>
      <c r="E2" s="49"/>
      <c r="F2" s="49"/>
      <c r="G2" s="594"/>
      <c r="H2" s="594"/>
      <c r="I2" s="594"/>
      <c r="J2" s="594"/>
      <c r="K2" s="594"/>
      <c r="L2" s="594"/>
      <c r="M2" s="594"/>
      <c r="N2" s="594"/>
      <c r="O2" s="594"/>
      <c r="P2" s="594"/>
    </row>
    <row r="3" spans="1:45" s="402" customFormat="1" ht="16" thickBot="1" x14ac:dyDescent="0.4">
      <c r="B3" s="419" t="s">
        <v>1091</v>
      </c>
    </row>
    <row r="4" spans="1:45" ht="7" customHeight="1" thickTop="1" x14ac:dyDescent="0.35">
      <c r="B4" s="595"/>
      <c r="C4" s="596"/>
      <c r="D4" s="596"/>
      <c r="E4" s="596"/>
      <c r="F4" s="596"/>
      <c r="G4" s="597"/>
      <c r="H4" s="597"/>
      <c r="I4" s="597"/>
      <c r="J4" s="597"/>
      <c r="K4" s="597"/>
      <c r="L4" s="597"/>
      <c r="M4" s="598"/>
      <c r="N4" s="598"/>
      <c r="O4" s="598"/>
      <c r="P4" s="598"/>
      <c r="Q4" s="598"/>
      <c r="R4" s="598"/>
      <c r="S4" s="598"/>
      <c r="T4" s="598"/>
      <c r="U4" s="598"/>
      <c r="V4" s="598"/>
      <c r="W4" s="598"/>
      <c r="X4" s="598"/>
      <c r="Y4" s="598"/>
      <c r="Z4" s="599"/>
      <c r="AA4" s="599"/>
      <c r="AB4" s="599"/>
      <c r="AC4" s="599"/>
      <c r="AD4" s="599"/>
      <c r="AE4" s="599"/>
      <c r="AF4" s="599"/>
      <c r="AG4" s="599"/>
      <c r="AH4" s="599"/>
      <c r="AI4" s="599"/>
      <c r="AJ4" s="599"/>
      <c r="AK4" s="599"/>
      <c r="AL4" s="599"/>
      <c r="AM4" s="599"/>
      <c r="AN4" s="599"/>
      <c r="AO4" s="599"/>
      <c r="AP4" s="599"/>
      <c r="AQ4" s="599"/>
      <c r="AR4" s="599"/>
      <c r="AS4" s="600"/>
    </row>
    <row r="5" spans="1:45" ht="20.149999999999999" customHeight="1" x14ac:dyDescent="0.35">
      <c r="B5" s="580" t="s">
        <v>122</v>
      </c>
      <c r="C5" s="343"/>
      <c r="D5" s="343"/>
      <c r="E5" s="587" t="s">
        <v>150</v>
      </c>
      <c r="F5" s="44" t="s">
        <v>123</v>
      </c>
      <c r="G5" s="44"/>
      <c r="H5" s="44"/>
      <c r="I5" s="44"/>
      <c r="J5" s="44"/>
      <c r="U5" s="605" t="b">
        <v>1</v>
      </c>
      <c r="V5" s="588" t="s">
        <v>65</v>
      </c>
      <c r="Y5" s="605"/>
      <c r="Z5" s="589" t="s">
        <v>11</v>
      </c>
      <c r="AS5" s="483"/>
    </row>
    <row r="6" spans="1:45" ht="20.149999999999999" customHeight="1" x14ac:dyDescent="0.3">
      <c r="B6" s="601" t="s">
        <v>124</v>
      </c>
      <c r="C6" s="602"/>
      <c r="D6" s="602"/>
      <c r="E6" s="602"/>
      <c r="G6" s="590" t="s">
        <v>125</v>
      </c>
      <c r="H6" s="590"/>
      <c r="I6" s="590"/>
      <c r="J6" s="590"/>
      <c r="M6" s="425"/>
      <c r="N6" s="425"/>
      <c r="O6" s="425"/>
      <c r="P6" s="425"/>
      <c r="Q6" s="425"/>
      <c r="R6" s="425"/>
      <c r="S6" s="425"/>
      <c r="T6" s="425"/>
      <c r="U6" s="425"/>
      <c r="V6" s="425"/>
      <c r="W6" s="425"/>
      <c r="X6" s="402"/>
      <c r="Y6" s="425"/>
      <c r="Z6" s="402"/>
      <c r="AS6" s="483"/>
    </row>
    <row r="7" spans="1:45" ht="20.149999999999999" customHeight="1" x14ac:dyDescent="0.35">
      <c r="B7" s="601"/>
      <c r="C7" s="602"/>
      <c r="D7" s="602"/>
      <c r="E7" s="602"/>
      <c r="H7" s="605" t="b">
        <v>0</v>
      </c>
      <c r="I7" s="589" t="s">
        <v>1387</v>
      </c>
      <c r="J7" s="400"/>
      <c r="O7" s="605" t="b">
        <v>1</v>
      </c>
      <c r="P7" s="603" t="s">
        <v>1389</v>
      </c>
      <c r="Q7" s="586"/>
      <c r="U7" s="605" t="b">
        <v>0</v>
      </c>
      <c r="V7" s="589" t="s">
        <v>1391</v>
      </c>
      <c r="AA7" s="605" t="b">
        <v>0</v>
      </c>
      <c r="AB7" s="604" t="s">
        <v>748</v>
      </c>
      <c r="AG7" s="586"/>
      <c r="AH7" s="586"/>
      <c r="AI7" s="586"/>
      <c r="AR7" s="586"/>
      <c r="AS7" s="483"/>
    </row>
    <row r="8" spans="1:45" ht="20.149999999999999" customHeight="1" x14ac:dyDescent="0.35">
      <c r="B8" s="581"/>
      <c r="C8" s="582"/>
      <c r="D8" s="582"/>
      <c r="E8" s="582"/>
      <c r="H8" s="605" t="b">
        <v>0</v>
      </c>
      <c r="I8" s="592" t="s">
        <v>1388</v>
      </c>
      <c r="O8" s="605" t="b">
        <v>1</v>
      </c>
      <c r="P8" s="589" t="s">
        <v>1390</v>
      </c>
      <c r="Q8" s="584"/>
      <c r="U8" s="605" t="b">
        <v>0</v>
      </c>
      <c r="V8" s="589" t="s">
        <v>1392</v>
      </c>
      <c r="AA8" s="605" t="b">
        <v>0</v>
      </c>
      <c r="AB8" s="593" t="s">
        <v>1093</v>
      </c>
      <c r="AF8" s="2691"/>
      <c r="AG8" s="2691"/>
      <c r="AH8" s="2691"/>
      <c r="AI8" s="2691"/>
      <c r="AJ8" s="2691"/>
      <c r="AK8" s="2691"/>
      <c r="AL8" s="230" t="str">
        <f>IF(AND(sch_intercon_isp_yes_otherspec=TRUE,ISBLANK(sch_intercon_isp_yes_other_specify)),"Please specify.",IF(AND(sch_intercon_isp_yes_otherspec=FALSE,sch_intercon_isp_yes_other_specify&gt;0),"Please check Others if you have entries.",""))</f>
        <v/>
      </c>
      <c r="AM8" s="578"/>
      <c r="AN8" s="578"/>
      <c r="AO8" s="578"/>
      <c r="AP8" s="578"/>
      <c r="AQ8" s="578"/>
      <c r="AR8" s="585"/>
      <c r="AS8" s="483"/>
    </row>
    <row r="9" spans="1:45" ht="9" customHeight="1" x14ac:dyDescent="0.3">
      <c r="B9" s="581"/>
      <c r="C9" s="582"/>
      <c r="D9" s="582"/>
      <c r="E9" s="582"/>
      <c r="F9" s="583"/>
      <c r="K9" s="584"/>
      <c r="X9" s="584"/>
      <c r="AA9" s="585"/>
      <c r="AB9" s="585"/>
      <c r="AC9" s="585"/>
      <c r="AD9" s="585"/>
      <c r="AE9" s="585"/>
      <c r="AH9" s="586"/>
      <c r="AI9" s="586"/>
      <c r="AJ9" s="586"/>
      <c r="AK9" s="586"/>
      <c r="AL9" s="586"/>
      <c r="AM9" s="586"/>
      <c r="AN9" s="586"/>
      <c r="AO9" s="586"/>
      <c r="AP9" s="586"/>
      <c r="AQ9" s="586"/>
      <c r="AR9" s="586"/>
      <c r="AS9" s="483"/>
    </row>
    <row r="10" spans="1:45" ht="20.149999999999999" customHeight="1" x14ac:dyDescent="0.35">
      <c r="B10" s="580"/>
      <c r="C10" s="343"/>
      <c r="D10" s="343"/>
      <c r="E10" s="587" t="s">
        <v>151</v>
      </c>
      <c r="F10" s="44" t="s">
        <v>126</v>
      </c>
      <c r="K10" s="584"/>
      <c r="L10" s="584"/>
      <c r="AA10" s="605" t="b">
        <v>1</v>
      </c>
      <c r="AB10" s="588" t="s">
        <v>65</v>
      </c>
      <c r="AE10" s="605"/>
      <c r="AF10" s="589" t="s">
        <v>11</v>
      </c>
      <c r="AI10" s="584"/>
      <c r="AJ10" s="584"/>
      <c r="AK10" s="584"/>
      <c r="AL10" s="584"/>
      <c r="AM10" s="584"/>
      <c r="AN10" s="584"/>
      <c r="AO10" s="584"/>
      <c r="AP10" s="584"/>
      <c r="AQ10" s="584"/>
      <c r="AR10" s="584"/>
      <c r="AS10" s="483"/>
    </row>
    <row r="11" spans="1:45" ht="20.149999999999999" customHeight="1" x14ac:dyDescent="0.35">
      <c r="B11" s="580"/>
      <c r="C11" s="343"/>
      <c r="D11" s="343"/>
      <c r="E11" s="343"/>
      <c r="F11" s="44"/>
      <c r="G11" s="590" t="s">
        <v>1150</v>
      </c>
      <c r="K11" s="584"/>
      <c r="L11" s="584"/>
      <c r="Z11" s="591"/>
      <c r="AA11" s="591"/>
      <c r="AB11" s="591"/>
      <c r="AC11" s="591"/>
      <c r="AD11" s="591"/>
      <c r="AE11" s="584"/>
      <c r="AI11" s="584"/>
      <c r="AJ11" s="584"/>
      <c r="AK11" s="584"/>
      <c r="AL11" s="584"/>
      <c r="AM11" s="584"/>
      <c r="AN11" s="584"/>
      <c r="AO11" s="584"/>
      <c r="AP11" s="584"/>
      <c r="AQ11" s="584"/>
      <c r="AR11" s="584"/>
      <c r="AS11" s="483"/>
    </row>
    <row r="12" spans="1:45" ht="20.149999999999999" customHeight="1" x14ac:dyDescent="0.35">
      <c r="B12" s="580"/>
      <c r="C12" s="343"/>
      <c r="D12" s="343"/>
      <c r="E12" s="343"/>
      <c r="F12" s="44"/>
      <c r="H12" s="605" t="b">
        <v>1</v>
      </c>
      <c r="I12" s="400" t="s">
        <v>1083</v>
      </c>
      <c r="K12" s="584"/>
      <c r="L12" s="584"/>
      <c r="S12" s="591"/>
      <c r="T12" s="591"/>
      <c r="U12" s="591"/>
      <c r="V12" s="591"/>
      <c r="W12" s="591"/>
      <c r="X12" s="584"/>
      <c r="Z12" s="591"/>
      <c r="AA12" s="591"/>
      <c r="AB12" s="591"/>
      <c r="AC12" s="591"/>
      <c r="AD12" s="591"/>
      <c r="AE12" s="584"/>
      <c r="AI12" s="584"/>
      <c r="AJ12" s="584"/>
      <c r="AK12" s="584"/>
      <c r="AL12" s="584"/>
      <c r="AM12" s="584"/>
      <c r="AN12" s="584"/>
      <c r="AO12" s="584"/>
      <c r="AP12" s="584"/>
      <c r="AQ12" s="584"/>
      <c r="AR12" s="584"/>
      <c r="AS12" s="483"/>
    </row>
    <row r="13" spans="1:45" ht="20.149999999999999" customHeight="1" x14ac:dyDescent="0.35">
      <c r="B13" s="580"/>
      <c r="C13" s="343"/>
      <c r="D13" s="343"/>
      <c r="E13" s="343"/>
      <c r="F13" s="44"/>
      <c r="H13" s="605" t="b">
        <v>1</v>
      </c>
      <c r="I13" s="400" t="s">
        <v>1084</v>
      </c>
      <c r="K13" s="584"/>
      <c r="L13" s="584"/>
      <c r="S13" s="591"/>
      <c r="T13" s="591"/>
      <c r="U13" s="591"/>
      <c r="V13" s="591"/>
      <c r="W13" s="591"/>
      <c r="X13" s="584"/>
      <c r="Z13" s="591"/>
      <c r="AA13" s="591"/>
      <c r="AB13" s="591"/>
      <c r="AC13" s="591"/>
      <c r="AD13" s="591"/>
      <c r="AE13" s="584"/>
      <c r="AI13" s="584"/>
      <c r="AJ13" s="584"/>
      <c r="AK13" s="584"/>
      <c r="AL13" s="584"/>
      <c r="AM13" s="584"/>
      <c r="AN13" s="584"/>
      <c r="AO13" s="584"/>
      <c r="AP13" s="584"/>
      <c r="AQ13" s="584"/>
      <c r="AR13" s="584"/>
      <c r="AS13" s="483"/>
    </row>
    <row r="14" spans="1:45" ht="9" customHeight="1" x14ac:dyDescent="0.35">
      <c r="B14" s="580"/>
      <c r="C14" s="343"/>
      <c r="D14" s="343"/>
      <c r="E14" s="343"/>
      <c r="F14" s="44"/>
      <c r="K14" s="584"/>
      <c r="L14" s="584"/>
      <c r="Q14" s="591"/>
      <c r="R14" s="591"/>
      <c r="S14" s="591"/>
      <c r="T14" s="591"/>
      <c r="U14" s="591"/>
      <c r="V14" s="584"/>
      <c r="Z14" s="591"/>
      <c r="AA14" s="591"/>
      <c r="AB14" s="591"/>
      <c r="AC14" s="591"/>
      <c r="AD14" s="591"/>
      <c r="AE14" s="584"/>
      <c r="AI14" s="584"/>
      <c r="AJ14" s="584"/>
      <c r="AK14" s="584"/>
      <c r="AL14" s="584"/>
      <c r="AM14" s="584"/>
      <c r="AN14" s="584"/>
      <c r="AO14" s="584"/>
      <c r="AP14" s="584"/>
      <c r="AQ14" s="584"/>
      <c r="AR14" s="584"/>
      <c r="AS14" s="483"/>
    </row>
    <row r="15" spans="1:45" ht="20.149999999999999" customHeight="1" x14ac:dyDescent="0.35">
      <c r="B15" s="580"/>
      <c r="C15" s="343"/>
      <c r="D15" s="343"/>
      <c r="E15" s="587" t="s">
        <v>152</v>
      </c>
      <c r="F15" s="44" t="s">
        <v>613</v>
      </c>
      <c r="K15" s="584"/>
      <c r="L15" s="584"/>
      <c r="Q15" s="591"/>
      <c r="R15" s="591"/>
      <c r="S15" s="591"/>
      <c r="T15" s="591"/>
      <c r="U15" s="591"/>
      <c r="V15" s="584"/>
      <c r="Z15" s="591"/>
      <c r="AA15" s="591"/>
      <c r="AB15" s="591"/>
      <c r="AC15" s="591"/>
      <c r="AG15" s="584"/>
      <c r="AH15" s="584"/>
      <c r="AI15" s="584"/>
      <c r="AJ15" s="584"/>
      <c r="AK15" s="584"/>
      <c r="AL15" s="584"/>
      <c r="AM15" s="584"/>
      <c r="AN15" s="584"/>
      <c r="AO15" s="584"/>
      <c r="AP15" s="584"/>
      <c r="AQ15" s="584"/>
      <c r="AR15" s="584"/>
      <c r="AS15" s="483"/>
    </row>
    <row r="16" spans="1:45" ht="20.149999999999999" customHeight="1" x14ac:dyDescent="0.35">
      <c r="B16" s="580"/>
      <c r="C16" s="343"/>
      <c r="D16" s="343"/>
      <c r="E16" s="343"/>
      <c r="F16" s="44"/>
      <c r="H16" s="399" t="s">
        <v>608</v>
      </c>
      <c r="K16" s="2692">
        <v>44829</v>
      </c>
      <c r="L16" s="2693"/>
      <c r="M16" s="2693"/>
      <c r="N16" s="2693"/>
      <c r="O16" s="2693"/>
      <c r="P16" s="2693"/>
      <c r="Q16" s="579"/>
      <c r="R16" s="579"/>
      <c r="S16" s="579"/>
      <c r="T16" s="399" t="s">
        <v>610</v>
      </c>
      <c r="V16" s="578"/>
      <c r="X16" s="2694">
        <v>12</v>
      </c>
      <c r="Y16" s="2694"/>
      <c r="Z16" s="2694"/>
      <c r="AA16" s="2694"/>
      <c r="AB16" s="2694"/>
      <c r="AC16" s="2694"/>
      <c r="AG16" s="399" t="s">
        <v>612</v>
      </c>
      <c r="AI16" s="578"/>
      <c r="AK16" s="2695">
        <v>3.87</v>
      </c>
      <c r="AL16" s="2695"/>
      <c r="AM16" s="2695"/>
      <c r="AN16" s="2695"/>
      <c r="AO16" s="2695"/>
      <c r="AP16" s="2695"/>
      <c r="AR16" s="578"/>
      <c r="AS16" s="483"/>
    </row>
    <row r="17" spans="2:45" ht="20.149999999999999" customHeight="1" x14ac:dyDescent="0.35">
      <c r="B17" s="580"/>
      <c r="C17" s="343"/>
      <c r="D17" s="343"/>
      <c r="E17" s="343"/>
      <c r="F17" s="44"/>
      <c r="H17" s="399" t="s">
        <v>609</v>
      </c>
      <c r="K17" s="2696">
        <v>0.66180555555555554</v>
      </c>
      <c r="L17" s="2696"/>
      <c r="M17" s="2696"/>
      <c r="N17" s="2696"/>
      <c r="O17" s="2696"/>
      <c r="P17" s="2696"/>
      <c r="Q17" s="579"/>
      <c r="R17" s="579"/>
      <c r="S17" s="579"/>
      <c r="T17" s="399" t="s">
        <v>611</v>
      </c>
      <c r="V17" s="578"/>
      <c r="X17" s="2695">
        <v>146.96</v>
      </c>
      <c r="Y17" s="2695"/>
      <c r="Z17" s="2695"/>
      <c r="AA17" s="2695"/>
      <c r="AB17" s="2695"/>
      <c r="AC17" s="2695"/>
      <c r="AG17" s="578"/>
      <c r="AH17" s="578"/>
      <c r="AI17" s="578"/>
      <c r="AJ17" s="578"/>
      <c r="AK17" s="578"/>
      <c r="AL17" s="578"/>
      <c r="AM17" s="578"/>
      <c r="AN17" s="578"/>
      <c r="AO17" s="578"/>
      <c r="AP17" s="578"/>
      <c r="AQ17" s="578"/>
      <c r="AR17" s="578"/>
      <c r="AS17" s="483"/>
    </row>
    <row r="18" spans="2:45" ht="37" customHeight="1" x14ac:dyDescent="0.35">
      <c r="B18" s="580"/>
      <c r="C18" s="343"/>
      <c r="D18" s="343"/>
      <c r="E18" s="343"/>
      <c r="F18" s="44"/>
      <c r="H18" s="2667" t="s">
        <v>12791</v>
      </c>
      <c r="I18" s="2667"/>
      <c r="J18" s="2667"/>
      <c r="K18" s="2667"/>
      <c r="L18" s="2667"/>
      <c r="M18" s="2667"/>
      <c r="N18" s="2667"/>
      <c r="Q18" s="579"/>
      <c r="R18" s="579"/>
      <c r="S18" s="579"/>
      <c r="V18" s="578"/>
      <c r="AG18" s="578"/>
      <c r="AH18" s="578"/>
      <c r="AI18" s="578"/>
      <c r="AJ18" s="578"/>
      <c r="AK18" s="578"/>
      <c r="AL18" s="578"/>
      <c r="AM18" s="578"/>
      <c r="AN18" s="578"/>
      <c r="AO18" s="578"/>
      <c r="AP18" s="578"/>
      <c r="AQ18" s="578"/>
      <c r="AR18" s="578"/>
      <c r="AS18" s="483"/>
    </row>
    <row r="19" spans="2:45" ht="16.25" customHeight="1" thickBot="1" x14ac:dyDescent="0.35">
      <c r="B19" s="572"/>
      <c r="C19" s="573"/>
      <c r="D19" s="573"/>
      <c r="E19" s="573"/>
      <c r="F19" s="573"/>
      <c r="G19" s="573"/>
      <c r="H19" s="2668"/>
      <c r="I19" s="2668"/>
      <c r="J19" s="2668"/>
      <c r="K19" s="2668"/>
      <c r="L19" s="2668"/>
      <c r="M19" s="2668"/>
      <c r="N19" s="2668"/>
      <c r="O19" s="573"/>
      <c r="P19" s="573"/>
      <c r="Q19" s="573"/>
      <c r="R19" s="573"/>
      <c r="S19" s="573"/>
      <c r="T19" s="573"/>
      <c r="U19" s="573"/>
      <c r="V19" s="573"/>
      <c r="W19" s="573"/>
      <c r="X19" s="573"/>
      <c r="Y19" s="573"/>
      <c r="Z19" s="573"/>
      <c r="AA19" s="573"/>
      <c r="AB19" s="573"/>
      <c r="AC19" s="573"/>
      <c r="AD19" s="573"/>
      <c r="AE19" s="573"/>
      <c r="AF19" s="573"/>
      <c r="AG19" s="573"/>
      <c r="AH19" s="573"/>
      <c r="AI19" s="573"/>
      <c r="AJ19" s="573"/>
      <c r="AK19" s="573"/>
      <c r="AL19" s="573"/>
      <c r="AM19" s="573"/>
      <c r="AN19" s="573"/>
      <c r="AO19" s="573"/>
      <c r="AP19" s="573"/>
      <c r="AQ19" s="573"/>
      <c r="AR19" s="573"/>
      <c r="AS19" s="574"/>
    </row>
    <row r="20" spans="2:45" s="87" customFormat="1" ht="14.5" thickTop="1" x14ac:dyDescent="0.3">
      <c r="B20" s="2683" t="s">
        <v>1382</v>
      </c>
      <c r="C20" s="2683"/>
      <c r="D20" s="2683"/>
      <c r="E20" s="2683"/>
      <c r="F20" s="2683"/>
      <c r="G20" s="2683"/>
      <c r="H20" s="2683"/>
      <c r="I20" s="2683"/>
      <c r="J20" s="2683"/>
      <c r="K20" s="2683"/>
      <c r="L20" s="2683"/>
      <c r="M20" s="2683"/>
      <c r="N20" s="2683"/>
      <c r="O20" s="2683"/>
      <c r="P20" s="2683"/>
      <c r="Q20" s="2683"/>
      <c r="R20" s="2683"/>
      <c r="S20" s="2683"/>
      <c r="T20" s="2683"/>
      <c r="U20" s="2683"/>
      <c r="V20" s="2683"/>
      <c r="W20" s="2683"/>
      <c r="X20" s="2683"/>
      <c r="Y20" s="2683"/>
      <c r="Z20" s="2683"/>
      <c r="AA20" s="2683"/>
      <c r="AB20" s="2683"/>
      <c r="AC20" s="2683"/>
      <c r="AD20" s="2683"/>
      <c r="AE20" s="2683"/>
      <c r="AF20" s="2683"/>
      <c r="AG20" s="2683"/>
      <c r="AH20" s="2683"/>
      <c r="AI20" s="2683"/>
      <c r="AJ20" s="2683"/>
      <c r="AK20" s="2683"/>
      <c r="AL20" s="2683"/>
      <c r="AM20" s="2683"/>
      <c r="AN20" s="2683"/>
      <c r="AO20" s="2683"/>
      <c r="AP20" s="2683"/>
      <c r="AQ20" s="2683"/>
      <c r="AR20" s="2683"/>
      <c r="AS20" s="2683"/>
    </row>
    <row r="21" spans="2:45" s="87" customFormat="1" ht="30.75" customHeight="1" x14ac:dyDescent="0.3">
      <c r="B21" s="1407" t="str">
        <f>IF(AND(sch_intercon_isp_subscribe_yes=TRUE,sch_intercon_isp_subscribe_adminuse_yes=FALSE,sch_intercon_isp_subscribe_clinstructionuse_yes=FALSE,ISBLANK(combo_avemontlyexpense_typesofinternet1),ISBLANK(combo_avemontlyexpense_typesofinternet2),ISBLANK(combo_avemontlyexpense_typesofinternet3),ISBLANK(combo_avemontlyexpense_typesofinternet4),ISBLANK(combo_avemontlyexpense_typesofinternet5),ISBLANK(combo_avemonthlyexpense_internetserviceprovider1),ISBLANK(combo_avemonthlyexpense_internetserviceprovider2),ISBLANK(combo_avemonthlyexpense_internetserviceprovider3),ISBLANK(combo_avemonthlyexpense_internetserviceprovider4),ISBLANK(combo_avemonthlyexpense_internetserviceprovider5),ISBLANK(sch_avemonthlyexpense_others1),ISBLANK(sch_avemonthlyexpense_others2),ISBLANK(sch_avemonthlyexpense_others3),ISBLANK(sch_avemonthlyexpense_others4),ISBLANK(sch_avemonthlyexpense_others5),ISBLANK(combo_avemonthlyexpense_fundingsource1),ISBLANK(combo_avemonthlyexpense_fundingsource2),ISBLANK(combo_avemonthlyexpense_fundingsource3),ISBLANK(combo_avemonthlyexpense_fundingsource4),ISBLANK(combo_avemonthlyexpense_fundingsource5)),"Table 27 shall be filled-out and check the purpose.",IF(AND(sch_intercon_isp_subscribe_yes=TRUE,ISBLANK(combo_avemontlyexpense_typesofinternet1),ISBLANK(combo_avemontlyexpense_typesofinternet2),ISBLANK(combo_avemontlyexpense_typesofinternet3),ISBLANK(combo_avemontlyexpense_typesofinternet4),ISBLANK(combo_avemontlyexpense_typesofinternet5),ISBLANK(combo_avemonthlyexpense_internetserviceprovider1),ISBLANK(combo_avemonthlyexpense_internetserviceprovider2),ISBLANK(combo_avemonthlyexpense_internetserviceprovider3),ISBLANK(combo_avemonthlyexpense_internetserviceprovider4),ISBLANK(combo_avemonthlyexpense_internetserviceprovider5),ISBLANK(sch_avemonthlyexpense_others1),ISBLANK(sch_avemonthlyexpense_others2),ISBLANK(sch_avemonthlyexpense_others3),ISBLANK(sch_avemonthlyexpense_others4),ISBLANK(sch_avemonthlyexpense_others5),ISBLANK(combo_avemonthlyexpense_fundingsource1),ISBLANK(combo_avemonthlyexpense_fundingsource2),ISBLANK(combo_avemonthlyexpense_fundingsource3),ISBLANK(combo_avemonthlyexpense_fundingsource4),ISBLANK(combo_avemonthlyexpense_fundingsource5)),"Table 27 shall be filled-out.", IF(AND(sch_intercon_isp_subscribe_yes=FALSE, OR(sch_intercon_isp_subscribe_adminuse_yes=TRUE,sch_intercon_isp_subscribe_clinstructionuse_yes=TRUE), ISBLANK(combo_avemontlyexpense_typesofinternet1),ISBLANK(combo_avemontlyexpense_typesofinternet2),ISBLANK(combo_avemontlyexpense_typesofinternet3),ISBLANK(combo_avemontlyexpense_typesofinternet4),ISBLANK(combo_avemontlyexpense_typesofinternet5),ISBLANK(combo_avemonthlyexpense_internetserviceprovider1),ISBLANK(combo_avemonthlyexpense_internetserviceprovider2),ISBLANK(combo_avemonthlyexpense_internetserviceprovider3),ISBLANK(combo_avemonthlyexpense_internetserviceprovider4),ISBLANK(combo_avemonthlyexpense_internetserviceprovider5),ISBLANK(sch_avemonthlyexpense_others1),ISBLANK(sch_avemonthlyexpense_others2),ISBLANK(sch_avemonthlyexpense_others3),ISBLANK(sch_avemonthlyexpense_others4),ISBLANK(sch_avemonthlyexpense_others5),ISBLANK(combo_avemonthlyexpense_fundingsource1),ISBLANK(combo_avemonthlyexpense_fundingsource2),ISBLANK(combo_avemonthlyexpense_fundingsource3),ISBLANK(combo_avemonthlyexpense_fundingsource4),ISBLANK(combo_avemonthlyexpense_fundingsource5)),"Table 27 shall be filled-out.",
"")))</f>
        <v/>
      </c>
      <c r="C21" s="575"/>
      <c r="D21" s="575"/>
      <c r="E21" s="575"/>
      <c r="F21" s="575"/>
      <c r="G21" s="575"/>
    </row>
    <row r="22" spans="2:45" s="44" customFormat="1" ht="15.5" x14ac:dyDescent="0.35">
      <c r="B22" s="415" t="s">
        <v>12712</v>
      </c>
      <c r="C22" s="576"/>
      <c r="D22" s="576"/>
      <c r="E22" s="576"/>
      <c r="F22" s="576"/>
      <c r="AL22" s="548"/>
    </row>
    <row r="23" spans="2:45" s="402" customFormat="1" ht="16" thickBot="1" x14ac:dyDescent="0.4">
      <c r="B23" s="419" t="s">
        <v>1098</v>
      </c>
      <c r="N23" s="1417"/>
    </row>
    <row r="24" spans="2:45" s="400" customFormat="1" ht="20.149999999999999" customHeight="1" thickTop="1" x14ac:dyDescent="0.35">
      <c r="B24" s="2595" t="s">
        <v>226</v>
      </c>
      <c r="C24" s="2596"/>
      <c r="D24" s="2596"/>
      <c r="E24" s="2596"/>
      <c r="F24" s="2596"/>
      <c r="G24" s="2596"/>
      <c r="H24" s="2596"/>
      <c r="I24" s="2596"/>
      <c r="J24" s="2596"/>
      <c r="K24" s="2596"/>
      <c r="L24" s="2596"/>
      <c r="M24" s="2684" t="s">
        <v>127</v>
      </c>
      <c r="N24" s="2685"/>
      <c r="O24" s="2685"/>
      <c r="P24" s="2685"/>
      <c r="Q24" s="2685"/>
      <c r="R24" s="2685"/>
      <c r="S24" s="2685"/>
      <c r="T24" s="2685"/>
      <c r="U24" s="2685"/>
      <c r="V24" s="2685"/>
      <c r="W24" s="2686"/>
      <c r="X24" s="2687" t="s">
        <v>145</v>
      </c>
      <c r="Y24" s="2688"/>
      <c r="Z24" s="2688"/>
      <c r="AA24" s="2688"/>
      <c r="AB24" s="2688"/>
      <c r="AC24" s="2688"/>
      <c r="AD24" s="2688"/>
      <c r="AE24" s="2688"/>
      <c r="AF24" s="2688"/>
      <c r="AG24" s="2688"/>
      <c r="AH24" s="2689"/>
      <c r="AI24" s="2685" t="s">
        <v>76</v>
      </c>
      <c r="AJ24" s="2685"/>
      <c r="AK24" s="2685"/>
      <c r="AL24" s="2685"/>
      <c r="AM24" s="2685"/>
      <c r="AN24" s="2685"/>
      <c r="AO24" s="2685"/>
      <c r="AP24" s="2685"/>
      <c r="AQ24" s="2685"/>
      <c r="AR24" s="2685"/>
      <c r="AS24" s="2690"/>
    </row>
    <row r="25" spans="2:45" s="577" customFormat="1" ht="20.149999999999999" customHeight="1" x14ac:dyDescent="0.3">
      <c r="B25" s="2669" t="s">
        <v>1426</v>
      </c>
      <c r="C25" s="2670"/>
      <c r="D25" s="2670"/>
      <c r="E25" s="2670"/>
      <c r="F25" s="2670"/>
      <c r="G25" s="2670"/>
      <c r="H25" s="2670"/>
      <c r="I25" s="2670"/>
      <c r="J25" s="2670"/>
      <c r="K25" s="2670"/>
      <c r="L25" s="2670"/>
      <c r="M25" s="2673" t="s">
        <v>1427</v>
      </c>
      <c r="N25" s="2674"/>
      <c r="O25" s="2674"/>
      <c r="P25" s="2674"/>
      <c r="Q25" s="2674"/>
      <c r="R25" s="2674"/>
      <c r="S25" s="2674"/>
      <c r="T25" s="2674"/>
      <c r="U25" s="2674"/>
      <c r="V25" s="2674"/>
      <c r="W25" s="2675"/>
      <c r="X25" s="2673" t="s">
        <v>1399</v>
      </c>
      <c r="Y25" s="2674"/>
      <c r="Z25" s="2674"/>
      <c r="AA25" s="2674"/>
      <c r="AB25" s="2674"/>
      <c r="AC25" s="2674"/>
      <c r="AD25" s="2674"/>
      <c r="AE25" s="2674"/>
      <c r="AF25" s="2674"/>
      <c r="AG25" s="2674"/>
      <c r="AH25" s="2675"/>
      <c r="AI25" s="2679" t="s">
        <v>1401</v>
      </c>
      <c r="AJ25" s="2679"/>
      <c r="AK25" s="2679"/>
      <c r="AL25" s="2679"/>
      <c r="AM25" s="2679"/>
      <c r="AN25" s="2679"/>
      <c r="AO25" s="2679"/>
      <c r="AP25" s="2679"/>
      <c r="AQ25" s="2679"/>
      <c r="AR25" s="2679"/>
      <c r="AS25" s="2680"/>
    </row>
    <row r="26" spans="2:45" s="577" customFormat="1" ht="20.149999999999999" customHeight="1" thickBot="1" x14ac:dyDescent="0.35">
      <c r="B26" s="2671"/>
      <c r="C26" s="2672"/>
      <c r="D26" s="2672"/>
      <c r="E26" s="2672"/>
      <c r="F26" s="2672"/>
      <c r="G26" s="2672"/>
      <c r="H26" s="2672"/>
      <c r="I26" s="2672"/>
      <c r="J26" s="2672"/>
      <c r="K26" s="2672"/>
      <c r="L26" s="2672"/>
      <c r="M26" s="2676"/>
      <c r="N26" s="2677"/>
      <c r="O26" s="2677"/>
      <c r="P26" s="2677"/>
      <c r="Q26" s="2677"/>
      <c r="R26" s="2677"/>
      <c r="S26" s="2677"/>
      <c r="T26" s="2677"/>
      <c r="U26" s="2677"/>
      <c r="V26" s="2677"/>
      <c r="W26" s="2678"/>
      <c r="X26" s="2676"/>
      <c r="Y26" s="2677"/>
      <c r="Z26" s="2677"/>
      <c r="AA26" s="2677"/>
      <c r="AB26" s="2677"/>
      <c r="AC26" s="2677"/>
      <c r="AD26" s="2677"/>
      <c r="AE26" s="2677"/>
      <c r="AF26" s="2677"/>
      <c r="AG26" s="2677"/>
      <c r="AH26" s="2678"/>
      <c r="AI26" s="2681"/>
      <c r="AJ26" s="2681"/>
      <c r="AK26" s="2681"/>
      <c r="AL26" s="2681"/>
      <c r="AM26" s="2681"/>
      <c r="AN26" s="2681"/>
      <c r="AO26" s="2681"/>
      <c r="AP26" s="2681"/>
      <c r="AQ26" s="2681"/>
      <c r="AR26" s="2681"/>
      <c r="AS26" s="2682"/>
    </row>
    <row r="27" spans="2:45" ht="25" customHeight="1" thickTop="1" x14ac:dyDescent="0.3">
      <c r="B27" s="2697" t="s">
        <v>2200</v>
      </c>
      <c r="C27" s="2698"/>
      <c r="D27" s="2698"/>
      <c r="E27" s="2698"/>
      <c r="F27" s="2698"/>
      <c r="G27" s="2698"/>
      <c r="H27" s="2698"/>
      <c r="I27" s="2698"/>
      <c r="J27" s="2698"/>
      <c r="K27" s="2698"/>
      <c r="L27" s="2698"/>
      <c r="M27" s="2699" t="s">
        <v>2199</v>
      </c>
      <c r="N27" s="2698"/>
      <c r="O27" s="2698"/>
      <c r="P27" s="2698"/>
      <c r="Q27" s="2698"/>
      <c r="R27" s="2698"/>
      <c r="S27" s="2698"/>
      <c r="T27" s="2698"/>
      <c r="U27" s="2698"/>
      <c r="V27" s="2698"/>
      <c r="W27" s="2700"/>
      <c r="X27" s="2701">
        <v>4000</v>
      </c>
      <c r="Y27" s="2702"/>
      <c r="Z27" s="2702"/>
      <c r="AA27" s="2702"/>
      <c r="AB27" s="2702"/>
      <c r="AC27" s="2702"/>
      <c r="AD27" s="2702"/>
      <c r="AE27" s="2702"/>
      <c r="AF27" s="2702"/>
      <c r="AG27" s="2702"/>
      <c r="AH27" s="2703"/>
      <c r="AI27" s="2698" t="s">
        <v>236</v>
      </c>
      <c r="AJ27" s="2698"/>
      <c r="AK27" s="2698"/>
      <c r="AL27" s="2698"/>
      <c r="AM27" s="2698"/>
      <c r="AN27" s="2698"/>
      <c r="AO27" s="2698"/>
      <c r="AP27" s="2698"/>
      <c r="AQ27" s="2698"/>
      <c r="AR27" s="2698"/>
      <c r="AS27" s="2704"/>
    </row>
    <row r="28" spans="2:45" ht="25" customHeight="1" x14ac:dyDescent="0.3">
      <c r="B28" s="2705" t="s">
        <v>2200</v>
      </c>
      <c r="C28" s="2706"/>
      <c r="D28" s="2706"/>
      <c r="E28" s="2706"/>
      <c r="F28" s="2706"/>
      <c r="G28" s="2706"/>
      <c r="H28" s="2706"/>
      <c r="I28" s="2706"/>
      <c r="J28" s="2706"/>
      <c r="K28" s="2706"/>
      <c r="L28" s="2706"/>
      <c r="M28" s="2707" t="s">
        <v>1390</v>
      </c>
      <c r="N28" s="2706"/>
      <c r="O28" s="2706"/>
      <c r="P28" s="2706"/>
      <c r="Q28" s="2706"/>
      <c r="R28" s="2706"/>
      <c r="S28" s="2706"/>
      <c r="T28" s="2706"/>
      <c r="U28" s="2706"/>
      <c r="V28" s="2706"/>
      <c r="W28" s="2708"/>
      <c r="X28" s="2709">
        <v>4000</v>
      </c>
      <c r="Y28" s="2710"/>
      <c r="Z28" s="2710"/>
      <c r="AA28" s="2710"/>
      <c r="AB28" s="2710"/>
      <c r="AC28" s="2710"/>
      <c r="AD28" s="2710"/>
      <c r="AE28" s="2710"/>
      <c r="AF28" s="2710"/>
      <c r="AG28" s="2710"/>
      <c r="AH28" s="2711"/>
      <c r="AI28" s="2706" t="s">
        <v>236</v>
      </c>
      <c r="AJ28" s="2706"/>
      <c r="AK28" s="2706"/>
      <c r="AL28" s="2706"/>
      <c r="AM28" s="2706"/>
      <c r="AN28" s="2706"/>
      <c r="AO28" s="2706"/>
      <c r="AP28" s="2706"/>
      <c r="AQ28" s="2706"/>
      <c r="AR28" s="2706"/>
      <c r="AS28" s="2712"/>
    </row>
    <row r="29" spans="2:45" ht="25" customHeight="1" x14ac:dyDescent="0.3">
      <c r="B29" s="2705"/>
      <c r="C29" s="2706"/>
      <c r="D29" s="2706"/>
      <c r="E29" s="2706"/>
      <c r="F29" s="2706"/>
      <c r="G29" s="2706"/>
      <c r="H29" s="2706"/>
      <c r="I29" s="2706"/>
      <c r="J29" s="2706"/>
      <c r="K29" s="2706"/>
      <c r="L29" s="2706"/>
      <c r="M29" s="2707"/>
      <c r="N29" s="2706"/>
      <c r="O29" s="2706"/>
      <c r="P29" s="2706"/>
      <c r="Q29" s="2706"/>
      <c r="R29" s="2706"/>
      <c r="S29" s="2706"/>
      <c r="T29" s="2706"/>
      <c r="U29" s="2706"/>
      <c r="V29" s="2706"/>
      <c r="W29" s="2708"/>
      <c r="X29" s="2709"/>
      <c r="Y29" s="2710"/>
      <c r="Z29" s="2710"/>
      <c r="AA29" s="2710"/>
      <c r="AB29" s="2710"/>
      <c r="AC29" s="2710"/>
      <c r="AD29" s="2710"/>
      <c r="AE29" s="2710"/>
      <c r="AF29" s="2710"/>
      <c r="AG29" s="2710"/>
      <c r="AH29" s="2711"/>
      <c r="AI29" s="2706"/>
      <c r="AJ29" s="2706"/>
      <c r="AK29" s="2706"/>
      <c r="AL29" s="2706"/>
      <c r="AM29" s="2706"/>
      <c r="AN29" s="2706"/>
      <c r="AO29" s="2706"/>
      <c r="AP29" s="2706"/>
      <c r="AQ29" s="2706"/>
      <c r="AR29" s="2706"/>
      <c r="AS29" s="2712"/>
    </row>
    <row r="30" spans="2:45" ht="25" customHeight="1" x14ac:dyDescent="0.3">
      <c r="B30" s="2705"/>
      <c r="C30" s="2706"/>
      <c r="D30" s="2706"/>
      <c r="E30" s="2706"/>
      <c r="F30" s="2706"/>
      <c r="G30" s="2706"/>
      <c r="H30" s="2706"/>
      <c r="I30" s="2706"/>
      <c r="J30" s="2706"/>
      <c r="K30" s="2706"/>
      <c r="L30" s="2706"/>
      <c r="M30" s="2707"/>
      <c r="N30" s="2706"/>
      <c r="O30" s="2706"/>
      <c r="P30" s="2706"/>
      <c r="Q30" s="2706"/>
      <c r="R30" s="2706"/>
      <c r="S30" s="2706"/>
      <c r="T30" s="2706"/>
      <c r="U30" s="2706"/>
      <c r="V30" s="2706"/>
      <c r="W30" s="2708"/>
      <c r="X30" s="2709"/>
      <c r="Y30" s="2710"/>
      <c r="Z30" s="2710"/>
      <c r="AA30" s="2710"/>
      <c r="AB30" s="2710"/>
      <c r="AC30" s="2710"/>
      <c r="AD30" s="2710"/>
      <c r="AE30" s="2710"/>
      <c r="AF30" s="2710"/>
      <c r="AG30" s="2710"/>
      <c r="AH30" s="2711"/>
      <c r="AI30" s="2706"/>
      <c r="AJ30" s="2706"/>
      <c r="AK30" s="2706"/>
      <c r="AL30" s="2706"/>
      <c r="AM30" s="2706"/>
      <c r="AN30" s="2706"/>
      <c r="AO30" s="2706"/>
      <c r="AP30" s="2706"/>
      <c r="AQ30" s="2706"/>
      <c r="AR30" s="2706"/>
      <c r="AS30" s="2712"/>
    </row>
    <row r="31" spans="2:45" ht="25" customHeight="1" thickBot="1" x14ac:dyDescent="0.35">
      <c r="B31" s="2713"/>
      <c r="C31" s="2714"/>
      <c r="D31" s="2714"/>
      <c r="E31" s="2714"/>
      <c r="F31" s="2714"/>
      <c r="G31" s="2714"/>
      <c r="H31" s="2714"/>
      <c r="I31" s="2714"/>
      <c r="J31" s="2714"/>
      <c r="K31" s="2714"/>
      <c r="L31" s="2714"/>
      <c r="M31" s="2715"/>
      <c r="N31" s="2714"/>
      <c r="O31" s="2714"/>
      <c r="P31" s="2714"/>
      <c r="Q31" s="2714"/>
      <c r="R31" s="2714"/>
      <c r="S31" s="2714"/>
      <c r="T31" s="2714"/>
      <c r="U31" s="2714"/>
      <c r="V31" s="2714"/>
      <c r="W31" s="2716"/>
      <c r="X31" s="2717"/>
      <c r="Y31" s="2718"/>
      <c r="Z31" s="2718"/>
      <c r="AA31" s="2718"/>
      <c r="AB31" s="2718"/>
      <c r="AC31" s="2718"/>
      <c r="AD31" s="2718"/>
      <c r="AE31" s="2718"/>
      <c r="AF31" s="2718"/>
      <c r="AG31" s="2718"/>
      <c r="AH31" s="2719"/>
      <c r="AI31" s="2720"/>
      <c r="AJ31" s="2720"/>
      <c r="AK31" s="2720"/>
      <c r="AL31" s="2720"/>
      <c r="AM31" s="2720"/>
      <c r="AN31" s="2720"/>
      <c r="AO31" s="2720"/>
      <c r="AP31" s="2720"/>
      <c r="AQ31" s="2720"/>
      <c r="AR31" s="2720"/>
      <c r="AS31" s="2721"/>
    </row>
    <row r="32" spans="2:45" s="87" customFormat="1" ht="27.65" customHeight="1" thickTop="1" x14ac:dyDescent="0.3">
      <c r="B32" s="2722" t="str">
        <f>IF(AND(sch_intercon_isp_subscribe_yes=FALSE,OR((combo_avemontlyexpense_typesofinternet1&gt;0),(combo_avemontlyexpense_typesofinternet2&gt;0),(combo_avemontlyexpense_typesofinternet3&gt;0),(combo_avemontlyexpense_typesofinternet4&gt;0), (combo_avemontlyexpense_typesofinternet5&gt;0),(combo_avemonthlyexpense_internetserviceprovider1&gt;0), (combo_avemonthlyexpense_internetserviceprovider2&gt;0),(combo_avemonthlyexpense_internetserviceprovider3&gt;0),(combo_avemonthlyexpense_internetserviceprovider4&gt;0),(combo_avemonthlyexpense_internetserviceprovider5&gt;0),(sch_avemonthlyexpense_others1&gt;0),(sch_avemonthlyexpense_others2&gt;0),(sch_avemonthlyexpense_others3&gt;0),(sch_avemonthlyexpense_others4&gt;0),(sch_avemonthlyexpense_others5&gt;0),(combo_avemonthlyexpense_fundingsource1&gt;0),(combo_avemonthlyexpense_fundingsource2&gt;0),(combo_avemonthlyexpense_fundingsource3&gt;0),(combo_avemonthlyexpense_fundingsource4&gt;0),(combo_avemonthlyexpense_fundingsource5&gt;0))),"Please check Yes in Box 7 Item number 2 if you have entries in Table 27.","")</f>
        <v/>
      </c>
      <c r="C32" s="2722"/>
      <c r="D32" s="2722"/>
      <c r="E32" s="2722"/>
      <c r="F32" s="2722"/>
      <c r="G32" s="2722"/>
      <c r="H32" s="2722"/>
      <c r="I32" s="2722"/>
      <c r="J32" s="2722"/>
      <c r="K32" s="2722"/>
      <c r="L32" s="2722"/>
      <c r="M32" s="2722"/>
      <c r="N32" s="2722"/>
      <c r="O32" s="2722"/>
      <c r="P32" s="2722"/>
      <c r="Q32" s="2722"/>
      <c r="R32" s="2722"/>
      <c r="S32" s="2722"/>
      <c r="T32" s="2722"/>
      <c r="U32" s="2722"/>
      <c r="V32" s="2722"/>
      <c r="W32" s="2722"/>
      <c r="X32" s="2722"/>
      <c r="Y32" s="2722"/>
      <c r="Z32" s="2722"/>
      <c r="AA32" s="2722"/>
      <c r="AB32" s="2722"/>
      <c r="AC32" s="2722"/>
      <c r="AD32" s="2722"/>
      <c r="AE32" s="2722"/>
      <c r="AF32" s="2722"/>
      <c r="AG32" s="2722"/>
      <c r="AH32" s="2722"/>
      <c r="AI32" s="2722"/>
      <c r="AJ32" s="2722"/>
      <c r="AK32" s="2722"/>
      <c r="AL32" s="2722"/>
      <c r="AM32" s="2722"/>
      <c r="AN32" s="2722"/>
      <c r="AO32" s="2722"/>
      <c r="AP32" s="2722"/>
      <c r="AQ32" s="2722"/>
      <c r="AR32" s="2722"/>
      <c r="AS32" s="2722"/>
    </row>
    <row r="33" spans="2:46" s="87" customFormat="1" x14ac:dyDescent="0.3">
      <c r="B33" s="2637" t="s">
        <v>216</v>
      </c>
      <c r="C33" s="2637"/>
      <c r="D33" s="2637"/>
      <c r="E33" s="2637"/>
      <c r="F33" s="2637"/>
      <c r="G33" s="2637"/>
      <c r="H33" s="2637"/>
      <c r="I33" s="2637"/>
      <c r="J33" s="2637"/>
      <c r="K33" s="2637"/>
      <c r="L33" s="2637"/>
      <c r="M33" s="2637"/>
      <c r="N33" s="2637"/>
      <c r="O33" s="2637"/>
      <c r="P33" s="2637"/>
      <c r="Q33" s="2637"/>
      <c r="R33" s="2637"/>
      <c r="S33" s="2637"/>
      <c r="T33" s="2637"/>
      <c r="U33" s="2637"/>
      <c r="V33" s="2637"/>
      <c r="W33" s="2637"/>
      <c r="X33" s="2637"/>
      <c r="Y33" s="2637"/>
      <c r="Z33" s="2637"/>
      <c r="AA33" s="2637"/>
      <c r="AB33" s="2637"/>
      <c r="AC33" s="2637"/>
      <c r="AD33" s="2637"/>
      <c r="AE33" s="2637"/>
      <c r="AF33" s="2637"/>
      <c r="AG33" s="2637"/>
      <c r="AH33" s="2637"/>
      <c r="AI33" s="2637"/>
      <c r="AJ33" s="2637"/>
      <c r="AK33" s="2637"/>
      <c r="AL33" s="2637"/>
      <c r="AM33" s="2637"/>
      <c r="AN33" s="2637"/>
      <c r="AO33" s="2637"/>
      <c r="AP33" s="2637"/>
      <c r="AQ33" s="2637"/>
      <c r="AR33" s="2637"/>
      <c r="AS33" s="2637"/>
    </row>
    <row r="34" spans="2:46" s="87" customFormat="1" x14ac:dyDescent="0.3">
      <c r="B34" s="2635" t="s">
        <v>227</v>
      </c>
      <c r="C34" s="2635"/>
      <c r="D34" s="2635"/>
      <c r="E34" s="2635"/>
      <c r="F34" s="2635"/>
      <c r="G34" s="2635"/>
      <c r="H34" s="2635"/>
      <c r="I34" s="2635"/>
      <c r="J34" s="2635"/>
      <c r="K34" s="2635"/>
      <c r="L34" s="2635"/>
      <c r="M34" s="2635"/>
      <c r="N34" s="2635"/>
      <c r="O34" s="2635"/>
      <c r="P34" s="2635"/>
      <c r="Q34" s="2635"/>
      <c r="R34" s="2635"/>
      <c r="S34" s="2635"/>
      <c r="T34" s="2635"/>
      <c r="U34" s="2635"/>
      <c r="V34" s="2635"/>
      <c r="W34" s="2635"/>
      <c r="X34" s="2635"/>
      <c r="Y34" s="2635"/>
      <c r="Z34" s="2635"/>
      <c r="AA34" s="2635"/>
      <c r="AB34" s="2635"/>
      <c r="AC34" s="2635"/>
      <c r="AD34" s="2635"/>
      <c r="AE34" s="2635"/>
      <c r="AF34" s="2635"/>
      <c r="AG34" s="2635"/>
      <c r="AH34" s="2635"/>
      <c r="AI34" s="2635"/>
      <c r="AJ34" s="2635"/>
      <c r="AK34" s="2635"/>
      <c r="AL34" s="2635"/>
      <c r="AM34" s="2635"/>
      <c r="AN34" s="2635"/>
      <c r="AO34" s="2635"/>
      <c r="AP34" s="2635"/>
      <c r="AQ34" s="2635"/>
      <c r="AR34" s="2635"/>
      <c r="AS34" s="2635"/>
    </row>
    <row r="35" spans="2:46" s="87" customFormat="1" x14ac:dyDescent="0.3">
      <c r="B35" s="2635" t="s">
        <v>202</v>
      </c>
      <c r="C35" s="2635"/>
      <c r="D35" s="2635"/>
      <c r="E35" s="2635"/>
      <c r="F35" s="2635"/>
      <c r="G35" s="2635"/>
      <c r="H35" s="2635"/>
      <c r="I35" s="2635"/>
      <c r="J35" s="2635"/>
      <c r="K35" s="2635"/>
      <c r="L35" s="2635"/>
      <c r="M35" s="2635"/>
      <c r="N35" s="2635"/>
      <c r="O35" s="2635"/>
      <c r="P35" s="2635"/>
      <c r="Q35" s="2635"/>
      <c r="R35" s="2635"/>
      <c r="S35" s="2635"/>
      <c r="T35" s="2635"/>
      <c r="U35" s="2635"/>
      <c r="V35" s="2635"/>
      <c r="W35" s="2635"/>
      <c r="X35" s="2635"/>
      <c r="Y35" s="2635"/>
      <c r="Z35" s="2635"/>
      <c r="AA35" s="2635"/>
      <c r="AB35" s="2635"/>
      <c r="AC35" s="2635"/>
      <c r="AD35" s="2635"/>
      <c r="AE35" s="2635"/>
      <c r="AF35" s="2635"/>
      <c r="AG35" s="2635"/>
      <c r="AH35" s="2635"/>
      <c r="AI35" s="2635"/>
      <c r="AJ35" s="2635"/>
      <c r="AK35" s="2635"/>
      <c r="AL35" s="2635"/>
      <c r="AM35" s="2635"/>
      <c r="AN35" s="2635"/>
      <c r="AO35" s="2635"/>
      <c r="AP35" s="2635"/>
      <c r="AQ35" s="2635"/>
      <c r="AR35" s="2635"/>
      <c r="AS35" s="2635"/>
    </row>
    <row r="36" spans="2:46" s="87" customFormat="1" x14ac:dyDescent="0.3">
      <c r="B36" s="2635" t="s">
        <v>228</v>
      </c>
      <c r="C36" s="2635"/>
      <c r="D36" s="2635"/>
      <c r="E36" s="2635"/>
      <c r="F36" s="2635"/>
      <c r="G36" s="2635"/>
      <c r="H36" s="2635"/>
      <c r="I36" s="2635"/>
      <c r="J36" s="2635"/>
      <c r="K36" s="2635"/>
      <c r="L36" s="2635"/>
      <c r="M36" s="2635"/>
      <c r="N36" s="2635"/>
      <c r="O36" s="2635"/>
      <c r="P36" s="2635"/>
      <c r="Q36" s="2635"/>
      <c r="R36" s="2635"/>
      <c r="S36" s="2635"/>
      <c r="T36" s="2635"/>
      <c r="U36" s="2635"/>
      <c r="V36" s="2635"/>
      <c r="W36" s="2635"/>
      <c r="X36" s="2635"/>
      <c r="Y36" s="2635"/>
      <c r="Z36" s="2635"/>
      <c r="AA36" s="2635"/>
      <c r="AB36" s="2635"/>
      <c r="AC36" s="2635"/>
      <c r="AD36" s="2635"/>
      <c r="AE36" s="2635"/>
      <c r="AF36" s="2635"/>
      <c r="AG36" s="2635"/>
      <c r="AH36" s="2635"/>
      <c r="AI36" s="2635"/>
      <c r="AJ36" s="2635"/>
      <c r="AK36" s="2635"/>
      <c r="AL36" s="2635"/>
      <c r="AM36" s="2635"/>
      <c r="AN36" s="2635"/>
      <c r="AO36" s="2635"/>
      <c r="AP36" s="2635"/>
      <c r="AQ36" s="2635"/>
      <c r="AR36" s="2635"/>
      <c r="AS36" s="2635"/>
    </row>
    <row r="37" spans="2:46" s="87" customFormat="1" x14ac:dyDescent="0.3">
      <c r="B37" s="2635" t="s">
        <v>424</v>
      </c>
      <c r="C37" s="2635"/>
      <c r="D37" s="2635"/>
      <c r="E37" s="2635"/>
      <c r="F37" s="2635"/>
      <c r="G37" s="2635"/>
      <c r="H37" s="2635"/>
      <c r="I37" s="2635"/>
      <c r="J37" s="2635"/>
      <c r="K37" s="2635"/>
      <c r="L37" s="2635"/>
      <c r="M37" s="2635"/>
      <c r="N37" s="2635"/>
      <c r="O37" s="2635"/>
      <c r="P37" s="2635"/>
      <c r="Q37" s="2635"/>
      <c r="R37" s="2635"/>
      <c r="S37" s="2635"/>
      <c r="T37" s="2635"/>
      <c r="U37" s="2635"/>
      <c r="V37" s="2635"/>
      <c r="W37" s="2635"/>
      <c r="X37" s="2635"/>
      <c r="Y37" s="2635"/>
      <c r="Z37" s="2635"/>
      <c r="AA37" s="2635"/>
      <c r="AB37" s="2635"/>
      <c r="AC37" s="2635"/>
      <c r="AD37" s="2635"/>
      <c r="AE37" s="2635"/>
      <c r="AF37" s="2635"/>
      <c r="AG37" s="2635"/>
      <c r="AH37" s="2635"/>
      <c r="AI37" s="2635"/>
      <c r="AJ37" s="2635"/>
      <c r="AK37" s="2635"/>
      <c r="AL37" s="2635"/>
      <c r="AM37" s="2635"/>
      <c r="AN37" s="2635"/>
      <c r="AO37" s="2635"/>
      <c r="AP37" s="2635"/>
      <c r="AQ37" s="2635"/>
      <c r="AR37" s="2635"/>
      <c r="AS37" s="2635"/>
    </row>
    <row r="38" spans="2:46" s="87" customFormat="1" x14ac:dyDescent="0.3">
      <c r="B38" s="2683" t="s">
        <v>1383</v>
      </c>
      <c r="C38" s="2683"/>
      <c r="D38" s="2683"/>
      <c r="E38" s="2683"/>
      <c r="F38" s="2683"/>
      <c r="G38" s="2683"/>
      <c r="H38" s="2683"/>
      <c r="I38" s="2683"/>
      <c r="J38" s="2683"/>
      <c r="K38" s="2683"/>
      <c r="L38" s="2683"/>
      <c r="M38" s="2683"/>
      <c r="N38" s="2683"/>
      <c r="O38" s="2683"/>
      <c r="P38" s="2683"/>
      <c r="Q38" s="2683"/>
      <c r="R38" s="2683"/>
      <c r="S38" s="2683"/>
      <c r="T38" s="2683"/>
      <c r="U38" s="2683"/>
      <c r="V38" s="2683"/>
      <c r="W38" s="2683"/>
      <c r="X38" s="2683"/>
      <c r="Y38" s="2683"/>
      <c r="Z38" s="2683"/>
      <c r="AA38" s="2683"/>
      <c r="AB38" s="2683"/>
      <c r="AC38" s="2683"/>
      <c r="AD38" s="2683"/>
      <c r="AE38" s="2683"/>
      <c r="AF38" s="2683"/>
      <c r="AG38" s="2683"/>
      <c r="AH38" s="2683"/>
      <c r="AI38" s="2683"/>
      <c r="AJ38" s="2683"/>
      <c r="AK38" s="2683"/>
      <c r="AL38" s="2683"/>
      <c r="AM38" s="2683"/>
      <c r="AN38" s="2683"/>
      <c r="AO38" s="2683"/>
      <c r="AP38" s="2683"/>
      <c r="AQ38" s="2683"/>
      <c r="AR38" s="2683"/>
      <c r="AS38" s="2683"/>
    </row>
    <row r="39" spans="2:46" s="87" customFormat="1" x14ac:dyDescent="0.3">
      <c r="B39" s="2683" t="s">
        <v>1457</v>
      </c>
      <c r="C39" s="2683"/>
      <c r="D39" s="2683"/>
      <c r="E39" s="2683"/>
      <c r="F39" s="2683"/>
      <c r="G39" s="2683"/>
      <c r="H39" s="2683"/>
      <c r="I39" s="2683"/>
      <c r="J39" s="2683"/>
      <c r="K39" s="2683"/>
      <c r="L39" s="2683"/>
      <c r="M39" s="2683"/>
      <c r="N39" s="2683"/>
      <c r="O39" s="2683"/>
      <c r="P39" s="2683"/>
      <c r="Q39" s="2683"/>
      <c r="R39" s="2683"/>
      <c r="S39" s="2683"/>
      <c r="T39" s="2683"/>
      <c r="U39" s="2683"/>
      <c r="V39" s="2683"/>
      <c r="W39" s="2683"/>
      <c r="X39" s="2683"/>
      <c r="Y39" s="2683"/>
      <c r="Z39" s="2683"/>
      <c r="AA39" s="2683"/>
      <c r="AB39" s="2683"/>
      <c r="AC39" s="2683"/>
      <c r="AD39" s="2683"/>
      <c r="AE39" s="2683"/>
      <c r="AF39" s="2683"/>
      <c r="AG39" s="2683"/>
      <c r="AH39" s="2683"/>
      <c r="AI39" s="2683"/>
      <c r="AJ39" s="2683"/>
      <c r="AK39" s="2683"/>
      <c r="AL39" s="2683"/>
      <c r="AM39" s="2683"/>
      <c r="AN39" s="2683"/>
      <c r="AO39" s="2683"/>
      <c r="AP39" s="2683"/>
      <c r="AQ39" s="2683"/>
      <c r="AR39" s="2683"/>
      <c r="AS39" s="2683"/>
    </row>
    <row r="40" spans="2:46" s="87" customFormat="1" x14ac:dyDescent="0.3">
      <c r="B40" s="571"/>
      <c r="C40" s="571"/>
      <c r="D40" s="571"/>
      <c r="E40" s="571"/>
      <c r="F40" s="571"/>
      <c r="G40" s="571"/>
      <c r="H40" s="571"/>
      <c r="I40" s="571"/>
      <c r="J40" s="571"/>
      <c r="K40" s="571"/>
      <c r="L40" s="571"/>
      <c r="M40" s="571"/>
      <c r="N40" s="571"/>
      <c r="O40" s="571"/>
      <c r="P40" s="571"/>
      <c r="Q40" s="571"/>
      <c r="R40" s="571"/>
      <c r="S40" s="571"/>
      <c r="T40" s="571"/>
      <c r="U40" s="571"/>
      <c r="V40" s="571"/>
      <c r="W40" s="571"/>
      <c r="X40" s="571"/>
      <c r="Y40" s="571"/>
      <c r="Z40" s="571"/>
      <c r="AA40" s="571"/>
      <c r="AB40" s="571"/>
      <c r="AC40" s="571"/>
      <c r="AD40" s="571"/>
      <c r="AE40" s="571"/>
      <c r="AF40" s="571"/>
      <c r="AG40" s="571"/>
      <c r="AH40" s="571"/>
      <c r="AI40" s="571"/>
      <c r="AJ40" s="571"/>
      <c r="AK40" s="571"/>
      <c r="AL40" s="571"/>
      <c r="AM40" s="571"/>
      <c r="AN40" s="571"/>
      <c r="AO40" s="571"/>
      <c r="AP40" s="571"/>
      <c r="AQ40" s="571"/>
      <c r="AR40" s="571"/>
      <c r="AS40" s="571"/>
    </row>
    <row r="41" spans="2:46" s="124" customFormat="1" ht="16.5" x14ac:dyDescent="0.3">
      <c r="B41" s="2723" t="s">
        <v>12590</v>
      </c>
      <c r="C41" s="2723"/>
      <c r="D41" s="2723"/>
      <c r="E41" s="2723"/>
      <c r="F41" s="2723"/>
      <c r="G41" s="2723"/>
      <c r="H41" s="2723"/>
      <c r="I41" s="2723"/>
      <c r="J41" s="2723"/>
      <c r="K41" s="2723"/>
      <c r="L41" s="2723"/>
      <c r="M41" s="2723"/>
      <c r="N41" s="2723"/>
      <c r="O41" s="2723"/>
      <c r="P41" s="2723"/>
      <c r="Q41" s="2723"/>
      <c r="R41" s="2723"/>
      <c r="S41" s="2723"/>
      <c r="T41" s="2723"/>
      <c r="U41" s="2723"/>
      <c r="V41" s="2723"/>
      <c r="W41" s="2723"/>
      <c r="X41" s="2723"/>
      <c r="Y41" s="2723"/>
      <c r="Z41" s="2723"/>
      <c r="AA41" s="2723"/>
      <c r="AB41" s="2723"/>
      <c r="AC41" s="2723"/>
      <c r="AD41" s="2723"/>
      <c r="AE41" s="2723"/>
      <c r="AF41" s="2723"/>
      <c r="AG41" s="2723"/>
      <c r="AH41" s="2723"/>
      <c r="AI41" s="2723"/>
      <c r="AJ41" s="2723"/>
      <c r="AK41" s="2723"/>
      <c r="AL41" s="2723"/>
      <c r="AM41" s="2723"/>
      <c r="AN41" s="2723"/>
      <c r="AO41" s="2723"/>
      <c r="AP41" s="2723"/>
      <c r="AQ41" s="2723"/>
      <c r="AR41" s="2723"/>
      <c r="AS41" s="2723"/>
    </row>
    <row r="42" spans="2:46" s="124" customFormat="1" ht="30.75" customHeight="1" x14ac:dyDescent="0.3">
      <c r="B42" s="227"/>
      <c r="C42" s="227"/>
      <c r="D42" s="227"/>
    </row>
    <row r="43" spans="2:46" s="73" customFormat="1" x14ac:dyDescent="0.3">
      <c r="B43" s="74" t="s">
        <v>913</v>
      </c>
      <c r="Q43" s="74" t="s">
        <v>907</v>
      </c>
      <c r="R43" s="74"/>
      <c r="AF43" s="74" t="s">
        <v>922</v>
      </c>
    </row>
    <row r="44" spans="2:46" s="73" customFormat="1" ht="21.75" customHeight="1" x14ac:dyDescent="0.3">
      <c r="B44" s="74" t="s">
        <v>780</v>
      </c>
      <c r="F44" s="1482" t="str">
        <f>SchInfo!F38</f>
        <v>MELCHESIEDICK Q. BOLANIO/ March 17, 2023</v>
      </c>
      <c r="G44" s="1482"/>
      <c r="H44" s="1482"/>
      <c r="I44" s="1482"/>
      <c r="J44" s="1482"/>
      <c r="K44" s="1482"/>
      <c r="L44" s="1482"/>
      <c r="M44" s="1482"/>
      <c r="N44" s="1482"/>
      <c r="Q44" s="1484" t="str">
        <f>Table25!S39</f>
        <v>ANNE VALERIE KERSTEINE I. VILLANUEVA /  May 17, 2022</v>
      </c>
      <c r="R44" s="1484"/>
      <c r="S44" s="1484"/>
      <c r="T44" s="1484"/>
      <c r="U44" s="1484"/>
      <c r="V44" s="1484"/>
      <c r="W44" s="1484"/>
      <c r="X44" s="1484"/>
      <c r="Y44" s="1484"/>
      <c r="Z44" s="1484"/>
      <c r="AA44" s="1484"/>
      <c r="AB44" s="1484"/>
      <c r="AC44" s="1484"/>
      <c r="AF44" s="1484" t="str">
        <f>SchInfo!R38</f>
        <v>MICHAEL T. JAMIS   /  March 17, 2023</v>
      </c>
      <c r="AG44" s="1484"/>
      <c r="AH44" s="1484"/>
      <c r="AI44" s="1484"/>
      <c r="AJ44" s="1484"/>
      <c r="AK44" s="1484"/>
      <c r="AL44" s="1484"/>
      <c r="AM44" s="1484"/>
      <c r="AN44" s="1484"/>
      <c r="AO44" s="1484"/>
      <c r="AP44" s="1484"/>
      <c r="AQ44" s="1484"/>
      <c r="AR44" s="1484"/>
    </row>
    <row r="45" spans="2:46" s="68" customFormat="1" x14ac:dyDescent="0.3">
      <c r="B45" s="210"/>
      <c r="F45" s="1452" t="s">
        <v>779</v>
      </c>
      <c r="G45" s="1452"/>
      <c r="H45" s="1452"/>
      <c r="I45" s="1452"/>
      <c r="J45" s="1452"/>
      <c r="K45" s="1452"/>
      <c r="L45" s="1452"/>
      <c r="M45" s="1452"/>
      <c r="N45" s="1452"/>
      <c r="O45" s="210"/>
      <c r="P45" s="210"/>
      <c r="Q45" s="1485"/>
      <c r="R45" s="1485"/>
      <c r="S45" s="1485"/>
      <c r="T45" s="1485"/>
      <c r="U45" s="1485"/>
      <c r="V45" s="1485"/>
      <c r="W45" s="1485"/>
      <c r="X45" s="1485"/>
      <c r="Y45" s="1485"/>
      <c r="Z45" s="1485"/>
      <c r="AA45" s="1485"/>
      <c r="AB45" s="1485"/>
      <c r="AC45" s="1485"/>
      <c r="AD45" s="73"/>
      <c r="AE45" s="73"/>
      <c r="AF45" s="1485"/>
      <c r="AG45" s="1485"/>
      <c r="AH45" s="1485"/>
      <c r="AI45" s="1485"/>
      <c r="AJ45" s="1485"/>
      <c r="AK45" s="1485"/>
      <c r="AL45" s="1485"/>
      <c r="AM45" s="1485"/>
      <c r="AN45" s="1485"/>
      <c r="AO45" s="1485"/>
      <c r="AP45" s="1485"/>
      <c r="AQ45" s="1485"/>
      <c r="AR45" s="1485"/>
      <c r="AS45" s="73"/>
      <c r="AT45" s="210"/>
    </row>
    <row r="46" spans="2:46" s="73" customFormat="1" ht="21.75" customHeight="1" x14ac:dyDescent="0.3">
      <c r="B46" s="74" t="s">
        <v>784</v>
      </c>
      <c r="F46" s="1482" t="str">
        <f>SchInfo!F40</f>
        <v>Principal IV</v>
      </c>
      <c r="G46" s="1482"/>
      <c r="H46" s="1482"/>
      <c r="I46" s="1482"/>
      <c r="J46" s="1482"/>
      <c r="K46" s="1482"/>
      <c r="L46" s="1482"/>
      <c r="M46" s="1482"/>
      <c r="N46" s="1482"/>
      <c r="Q46" s="1452" t="s">
        <v>779</v>
      </c>
      <c r="R46" s="1452"/>
      <c r="S46" s="1452"/>
      <c r="T46" s="1452"/>
      <c r="U46" s="1452"/>
      <c r="V46" s="1452"/>
      <c r="W46" s="1452"/>
      <c r="X46" s="1452"/>
      <c r="Y46" s="1452"/>
      <c r="Z46" s="1452"/>
      <c r="AA46" s="1452"/>
      <c r="AB46" s="1452"/>
      <c r="AC46" s="1452"/>
      <c r="AD46" s="65"/>
      <c r="AE46" s="63"/>
      <c r="AF46" s="1452" t="s">
        <v>779</v>
      </c>
      <c r="AG46" s="1452"/>
      <c r="AH46" s="1452"/>
      <c r="AI46" s="1452"/>
      <c r="AJ46" s="1452"/>
      <c r="AK46" s="1452"/>
      <c r="AL46" s="1452"/>
      <c r="AM46" s="1452"/>
      <c r="AN46" s="1452"/>
      <c r="AO46" s="1452"/>
      <c r="AP46" s="1452"/>
      <c r="AQ46" s="1452"/>
      <c r="AR46" s="1452"/>
      <c r="AS46" s="210"/>
    </row>
    <row r="47" spans="2:46" x14ac:dyDescent="0.3">
      <c r="M47" s="228"/>
      <c r="Q47" s="73"/>
      <c r="R47" s="73"/>
      <c r="S47" s="73"/>
      <c r="T47" s="73"/>
      <c r="U47" s="73"/>
      <c r="V47" s="73"/>
      <c r="W47" s="73"/>
      <c r="X47" s="73"/>
      <c r="Y47" s="73"/>
      <c r="Z47" s="73"/>
      <c r="AA47" s="73"/>
      <c r="AB47" s="73"/>
      <c r="AC47" s="73"/>
      <c r="AD47" s="73"/>
      <c r="AE47" s="73"/>
      <c r="AF47" s="73"/>
      <c r="AG47" s="73"/>
      <c r="AH47" s="73"/>
      <c r="AI47" s="73"/>
      <c r="AJ47" s="73"/>
      <c r="AK47" s="73"/>
      <c r="AL47" s="73"/>
      <c r="AM47" s="73"/>
      <c r="AN47" s="73"/>
      <c r="AO47" s="73"/>
      <c r="AP47" s="73"/>
      <c r="AQ47" s="73"/>
      <c r="AR47" s="73"/>
      <c r="AS47" s="73"/>
    </row>
  </sheetData>
  <sheetProtection algorithmName="SHA-512" hashValue="MVqFQe76ECxuc6w2NYMJj1TnyLwDaLvCo3pV//Y2lxzAu9OA430wyIb0IT5vFB92XE2gWTw56HL9R/v1EXvL3g==" saltValue="VmvAMtI8iukKeYXP7DDn5A==" spinCount="100000" sheet="1" objects="1" scenarios="1" selectLockedCells="1"/>
  <mergeCells count="52">
    <mergeCell ref="B38:AS38"/>
    <mergeCell ref="F46:N46"/>
    <mergeCell ref="Q46:AC46"/>
    <mergeCell ref="AF46:AR46"/>
    <mergeCell ref="B34:AS34"/>
    <mergeCell ref="B35:AS35"/>
    <mergeCell ref="B36:AS36"/>
    <mergeCell ref="B37:AS37"/>
    <mergeCell ref="B39:AS39"/>
    <mergeCell ref="F44:N44"/>
    <mergeCell ref="Q44:AC45"/>
    <mergeCell ref="AF44:AR45"/>
    <mergeCell ref="F45:N45"/>
    <mergeCell ref="B41:AS41"/>
    <mergeCell ref="B31:L31"/>
    <mergeCell ref="M31:W31"/>
    <mergeCell ref="X31:AH31"/>
    <mergeCell ref="AI31:AS31"/>
    <mergeCell ref="B33:AS33"/>
    <mergeCell ref="B32:AS32"/>
    <mergeCell ref="B29:L29"/>
    <mergeCell ref="M29:W29"/>
    <mergeCell ref="X29:AH29"/>
    <mergeCell ref="AI29:AS29"/>
    <mergeCell ref="B30:L30"/>
    <mergeCell ref="M30:W30"/>
    <mergeCell ref="X30:AH30"/>
    <mergeCell ref="AI30:AS30"/>
    <mergeCell ref="B27:L27"/>
    <mergeCell ref="M27:W27"/>
    <mergeCell ref="X27:AH27"/>
    <mergeCell ref="AI27:AS27"/>
    <mergeCell ref="B28:L28"/>
    <mergeCell ref="M28:W28"/>
    <mergeCell ref="X28:AH28"/>
    <mergeCell ref="AI28:AS28"/>
    <mergeCell ref="AF8:AK8"/>
    <mergeCell ref="K16:P16"/>
    <mergeCell ref="X16:AC16"/>
    <mergeCell ref="AK16:AP16"/>
    <mergeCell ref="K17:P17"/>
    <mergeCell ref="X17:AC17"/>
    <mergeCell ref="H18:N19"/>
    <mergeCell ref="B25:L26"/>
    <mergeCell ref="M25:W26"/>
    <mergeCell ref="X25:AH26"/>
    <mergeCell ref="AI25:AS26"/>
    <mergeCell ref="B20:AS20"/>
    <mergeCell ref="B24:L24"/>
    <mergeCell ref="M24:W24"/>
    <mergeCell ref="X24:AH24"/>
    <mergeCell ref="AI24:AS24"/>
  </mergeCells>
  <conditionalFormatting sqref="G11">
    <cfRule type="expression" dxfId="91" priority="12">
      <formula>AND($AA$10=TRUE, AND($H$12=FALSE, $H$13=FALSE))</formula>
    </cfRule>
  </conditionalFormatting>
  <conditionalFormatting sqref="G6">
    <cfRule type="expression" dxfId="90" priority="1">
      <formula>$AA$8</formula>
    </cfRule>
    <cfRule type="expression" dxfId="89" priority="2">
      <formula>$AA$7</formula>
    </cfRule>
    <cfRule type="expression" dxfId="88" priority="3">
      <formula>$U$8</formula>
    </cfRule>
    <cfRule type="expression" dxfId="87" priority="4">
      <formula>$U$7</formula>
    </cfRule>
    <cfRule type="expression" dxfId="86" priority="5">
      <formula>$O$8</formula>
    </cfRule>
    <cfRule type="expression" dxfId="85" priority="6">
      <formula>$O$7</formula>
    </cfRule>
    <cfRule type="expression" dxfId="84" priority="7">
      <formula>$H$8</formula>
    </cfRule>
    <cfRule type="expression" dxfId="83" priority="9">
      <formula>$H$8</formula>
    </cfRule>
    <cfRule type="expression" dxfId="82" priority="10">
      <formula>$H$7</formula>
    </cfRule>
    <cfRule type="expression" dxfId="81" priority="11">
      <formula>$U$5</formula>
    </cfRule>
  </conditionalFormatting>
  <dataValidations count="5">
    <dataValidation type="decimal" allowBlank="1" showInputMessage="1" showErrorMessage="1" errorTitle="GJSHP SY 2022-2023" error="Please enter valid number between 0-1,000,000.00." sqref="X27:AH31" xr:uid="{5297CAD0-27C2-47FB-804F-33E22D90A136}">
      <formula1>0</formula1>
      <formula2>1000000</formula2>
    </dataValidation>
    <dataValidation type="date" allowBlank="1" showInputMessage="1" showErrorMessage="1" errorTitle="GJHSP SY 2022-2023" error="Please enter date between January 1, 2022 and April 30, 2023 in M/D/YYYY or D/M/YYYY format (depend on your computer’s date)." sqref="K16:P16" xr:uid="{6FE9432C-217F-415D-B21F-4C4C30438CB0}">
      <formula1>44562</formula1>
      <formula2>45046</formula2>
    </dataValidation>
    <dataValidation type="time" allowBlank="1" showInputMessage="1" showErrorMessage="1" errorTitle="GJHSP SY 2022-2023" error="Please enter valid time in HH:MM:SS format." sqref="K17:P17" xr:uid="{DB1DFF4B-3CFA-49C9-9DA8-4BF1EDB548E1}">
      <formula1>0</formula1>
      <formula2>0.999988425925926</formula2>
    </dataValidation>
    <dataValidation type="whole" allowBlank="1" showInputMessage="1" showErrorMessage="1" errorTitle="GJHSP SY 2022-2023" error="Please enter valid number between 0-10,000." sqref="X16:AC16" xr:uid="{2B715192-1B16-41CA-A8D4-A56C41AA69FD}">
      <formula1>0</formula1>
      <formula2>10000</formula2>
    </dataValidation>
    <dataValidation type="decimal" allowBlank="1" showInputMessage="1" showErrorMessage="1" errorTitle="GJHSP SY 2022-2023" error="Please enter valid number between 0-10,000." sqref="AK16:AP16 X17:AC17" xr:uid="{20B602AD-96A1-4D9A-9C7B-9E8E71844D22}">
      <formula1>0</formula1>
      <formula2>10000</formula2>
    </dataValidation>
  </dataValidations>
  <printOptions horizontalCentered="1" verticalCentered="1"/>
  <pageMargins left="0.23622047244094491" right="0.23622047244094491" top="0.19685039370078741" bottom="0.19685039370078741" header="0" footer="0.11811023622047245"/>
  <pageSetup paperSize="14" scale="66" orientation="landscape" r:id="rId1"/>
  <headerFooter alignWithMargins="0">
    <oddFooter>&amp;L&amp;10&amp;F &amp;A&amp;R&amp;10Page 21 of 63</oddFooter>
  </headerFooter>
  <rowBreaks count="1" manualBreakCount="1">
    <brk id="47"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4097" r:id="rId4" name="Check Box 1">
              <controlPr defaultSize="0" autoFill="0" autoLine="0" autoPict="0">
                <anchor moveWithCells="1">
                  <from>
                    <xdr:col>7</xdr:col>
                    <xdr:colOff>0</xdr:colOff>
                    <xdr:row>6</xdr:row>
                    <xdr:rowOff>6350</xdr:rowOff>
                  </from>
                  <to>
                    <xdr:col>7</xdr:col>
                    <xdr:colOff>203200</xdr:colOff>
                    <xdr:row>7</xdr:row>
                    <xdr:rowOff>69850</xdr:rowOff>
                  </to>
                </anchor>
              </controlPr>
            </control>
          </mc:Choice>
        </mc:AlternateContent>
        <mc:AlternateContent xmlns:mc="http://schemas.openxmlformats.org/markup-compatibility/2006">
          <mc:Choice Requires="x14">
            <control shapeId="4098" r:id="rId5" name="Check Box 2">
              <controlPr defaultSize="0" autoFill="0" autoLine="0" autoPict="0">
                <anchor moveWithCells="1">
                  <from>
                    <xdr:col>20</xdr:col>
                    <xdr:colOff>6350</xdr:colOff>
                    <xdr:row>3</xdr:row>
                    <xdr:rowOff>69850</xdr:rowOff>
                  </from>
                  <to>
                    <xdr:col>20</xdr:col>
                    <xdr:colOff>215900</xdr:colOff>
                    <xdr:row>5</xdr:row>
                    <xdr:rowOff>44450</xdr:rowOff>
                  </to>
                </anchor>
              </controlPr>
            </control>
          </mc:Choice>
        </mc:AlternateContent>
        <mc:AlternateContent xmlns:mc="http://schemas.openxmlformats.org/markup-compatibility/2006">
          <mc:Choice Requires="x14">
            <control shapeId="4099" r:id="rId6" name="Check Box 3">
              <controlPr defaultSize="0" autoFill="0" autoLine="0" autoPict="0">
                <anchor moveWithCells="1">
                  <from>
                    <xdr:col>24</xdr:col>
                    <xdr:colOff>44450</xdr:colOff>
                    <xdr:row>3</xdr:row>
                    <xdr:rowOff>69850</xdr:rowOff>
                  </from>
                  <to>
                    <xdr:col>24</xdr:col>
                    <xdr:colOff>254000</xdr:colOff>
                    <xdr:row>5</xdr:row>
                    <xdr:rowOff>44450</xdr:rowOff>
                  </to>
                </anchor>
              </controlPr>
            </control>
          </mc:Choice>
        </mc:AlternateContent>
        <mc:AlternateContent xmlns:mc="http://schemas.openxmlformats.org/markup-compatibility/2006">
          <mc:Choice Requires="x14">
            <control shapeId="4100" r:id="rId7" name="Check Box 4">
              <controlPr defaultSize="0" autoFill="0" autoLine="0" autoPict="0">
                <anchor moveWithCells="1">
                  <from>
                    <xdr:col>7</xdr:col>
                    <xdr:colOff>0</xdr:colOff>
                    <xdr:row>6</xdr:row>
                    <xdr:rowOff>241300</xdr:rowOff>
                  </from>
                  <to>
                    <xdr:col>7</xdr:col>
                    <xdr:colOff>215900</xdr:colOff>
                    <xdr:row>8</xdr:row>
                    <xdr:rowOff>50800</xdr:rowOff>
                  </to>
                </anchor>
              </controlPr>
            </control>
          </mc:Choice>
        </mc:AlternateContent>
        <mc:AlternateContent xmlns:mc="http://schemas.openxmlformats.org/markup-compatibility/2006">
          <mc:Choice Requires="x14">
            <control shapeId="4101" r:id="rId8" name="Check Box 5">
              <controlPr defaultSize="0" autoFill="0" autoLine="0" autoPict="0">
                <anchor moveWithCells="1">
                  <from>
                    <xdr:col>14</xdr:col>
                    <xdr:colOff>0</xdr:colOff>
                    <xdr:row>5</xdr:row>
                    <xdr:rowOff>241300</xdr:rowOff>
                  </from>
                  <to>
                    <xdr:col>14</xdr:col>
                    <xdr:colOff>203200</xdr:colOff>
                    <xdr:row>7</xdr:row>
                    <xdr:rowOff>50800</xdr:rowOff>
                  </to>
                </anchor>
              </controlPr>
            </control>
          </mc:Choice>
        </mc:AlternateContent>
        <mc:AlternateContent xmlns:mc="http://schemas.openxmlformats.org/markup-compatibility/2006">
          <mc:Choice Requires="x14">
            <control shapeId="4102" r:id="rId9" name="Check Box 6">
              <controlPr defaultSize="0" autoFill="0" autoLine="0" autoPict="0">
                <anchor moveWithCells="1">
                  <from>
                    <xdr:col>14</xdr:col>
                    <xdr:colOff>0</xdr:colOff>
                    <xdr:row>6</xdr:row>
                    <xdr:rowOff>234950</xdr:rowOff>
                  </from>
                  <to>
                    <xdr:col>14</xdr:col>
                    <xdr:colOff>215900</xdr:colOff>
                    <xdr:row>8</xdr:row>
                    <xdr:rowOff>44450</xdr:rowOff>
                  </to>
                </anchor>
              </controlPr>
            </control>
          </mc:Choice>
        </mc:AlternateContent>
        <mc:AlternateContent xmlns:mc="http://schemas.openxmlformats.org/markup-compatibility/2006">
          <mc:Choice Requires="x14">
            <control shapeId="4103" r:id="rId10" name="Check Box 7">
              <controlPr defaultSize="0" autoFill="0" autoLine="0" autoPict="0">
                <anchor moveWithCells="1">
                  <from>
                    <xdr:col>20</xdr:col>
                    <xdr:colOff>0</xdr:colOff>
                    <xdr:row>5</xdr:row>
                    <xdr:rowOff>234950</xdr:rowOff>
                  </from>
                  <to>
                    <xdr:col>20</xdr:col>
                    <xdr:colOff>215900</xdr:colOff>
                    <xdr:row>7</xdr:row>
                    <xdr:rowOff>44450</xdr:rowOff>
                  </to>
                </anchor>
              </controlPr>
            </control>
          </mc:Choice>
        </mc:AlternateContent>
        <mc:AlternateContent xmlns:mc="http://schemas.openxmlformats.org/markup-compatibility/2006">
          <mc:Choice Requires="x14">
            <control shapeId="4104" r:id="rId11" name="Check Box 8">
              <controlPr defaultSize="0" autoFill="0" autoLine="0" autoPict="0">
                <anchor moveWithCells="1">
                  <from>
                    <xdr:col>20</xdr:col>
                    <xdr:colOff>0</xdr:colOff>
                    <xdr:row>6</xdr:row>
                    <xdr:rowOff>241300</xdr:rowOff>
                  </from>
                  <to>
                    <xdr:col>20</xdr:col>
                    <xdr:colOff>215900</xdr:colOff>
                    <xdr:row>8</xdr:row>
                    <xdr:rowOff>50800</xdr:rowOff>
                  </to>
                </anchor>
              </controlPr>
            </control>
          </mc:Choice>
        </mc:AlternateContent>
        <mc:AlternateContent xmlns:mc="http://schemas.openxmlformats.org/markup-compatibility/2006">
          <mc:Choice Requires="x14">
            <control shapeId="4105" r:id="rId12" name="Check Box 9">
              <controlPr defaultSize="0" autoFill="0" autoLine="0" autoPict="0">
                <anchor moveWithCells="1">
                  <from>
                    <xdr:col>25</xdr:col>
                    <xdr:colOff>266700</xdr:colOff>
                    <xdr:row>5</xdr:row>
                    <xdr:rowOff>254000</xdr:rowOff>
                  </from>
                  <to>
                    <xdr:col>26</xdr:col>
                    <xdr:colOff>203200</xdr:colOff>
                    <xdr:row>7</xdr:row>
                    <xdr:rowOff>63500</xdr:rowOff>
                  </to>
                </anchor>
              </controlPr>
            </control>
          </mc:Choice>
        </mc:AlternateContent>
        <mc:AlternateContent xmlns:mc="http://schemas.openxmlformats.org/markup-compatibility/2006">
          <mc:Choice Requires="x14">
            <control shapeId="4106" r:id="rId13" name="Check Box 10">
              <controlPr defaultSize="0" autoFill="0" autoLine="0" autoPict="0">
                <anchor moveWithCells="1">
                  <from>
                    <xdr:col>26</xdr:col>
                    <xdr:colOff>0</xdr:colOff>
                    <xdr:row>6</xdr:row>
                    <xdr:rowOff>234950</xdr:rowOff>
                  </from>
                  <to>
                    <xdr:col>26</xdr:col>
                    <xdr:colOff>215900</xdr:colOff>
                    <xdr:row>8</xdr:row>
                    <xdr:rowOff>44450</xdr:rowOff>
                  </to>
                </anchor>
              </controlPr>
            </control>
          </mc:Choice>
        </mc:AlternateContent>
        <mc:AlternateContent xmlns:mc="http://schemas.openxmlformats.org/markup-compatibility/2006">
          <mc:Choice Requires="x14">
            <control shapeId="4107" r:id="rId14" name="Check Box 11">
              <controlPr defaultSize="0" autoFill="0" autoLine="0" autoPict="0">
                <anchor moveWithCells="1">
                  <from>
                    <xdr:col>25</xdr:col>
                    <xdr:colOff>266700</xdr:colOff>
                    <xdr:row>8</xdr:row>
                    <xdr:rowOff>101600</xdr:rowOff>
                  </from>
                  <to>
                    <xdr:col>26</xdr:col>
                    <xdr:colOff>203200</xdr:colOff>
                    <xdr:row>10</xdr:row>
                    <xdr:rowOff>44450</xdr:rowOff>
                  </to>
                </anchor>
              </controlPr>
            </control>
          </mc:Choice>
        </mc:AlternateContent>
        <mc:AlternateContent xmlns:mc="http://schemas.openxmlformats.org/markup-compatibility/2006">
          <mc:Choice Requires="x14">
            <control shapeId="4108" r:id="rId15" name="Check Box 12">
              <controlPr defaultSize="0" autoFill="0" autoLine="0" autoPict="0">
                <anchor moveWithCells="1">
                  <from>
                    <xdr:col>30</xdr:col>
                    <xdr:colOff>44450</xdr:colOff>
                    <xdr:row>8</xdr:row>
                    <xdr:rowOff>101600</xdr:rowOff>
                  </from>
                  <to>
                    <xdr:col>30</xdr:col>
                    <xdr:colOff>254000</xdr:colOff>
                    <xdr:row>10</xdr:row>
                    <xdr:rowOff>44450</xdr:rowOff>
                  </to>
                </anchor>
              </controlPr>
            </control>
          </mc:Choice>
        </mc:AlternateContent>
        <mc:AlternateContent xmlns:mc="http://schemas.openxmlformats.org/markup-compatibility/2006">
          <mc:Choice Requires="x14">
            <control shapeId="4109" r:id="rId16" name="Check Box 13">
              <controlPr defaultSize="0" autoFill="0" autoLine="0" autoPict="0">
                <anchor moveWithCells="1">
                  <from>
                    <xdr:col>7</xdr:col>
                    <xdr:colOff>12700</xdr:colOff>
                    <xdr:row>10</xdr:row>
                    <xdr:rowOff>254000</xdr:rowOff>
                  </from>
                  <to>
                    <xdr:col>7</xdr:col>
                    <xdr:colOff>222250</xdr:colOff>
                    <xdr:row>12</xdr:row>
                    <xdr:rowOff>63500</xdr:rowOff>
                  </to>
                </anchor>
              </controlPr>
            </control>
          </mc:Choice>
        </mc:AlternateContent>
        <mc:AlternateContent xmlns:mc="http://schemas.openxmlformats.org/markup-compatibility/2006">
          <mc:Choice Requires="x14">
            <control shapeId="4110" r:id="rId17" name="Check Box 14">
              <controlPr defaultSize="0" autoFill="0" autoLine="0" autoPict="0">
                <anchor moveWithCells="1">
                  <from>
                    <xdr:col>7</xdr:col>
                    <xdr:colOff>25400</xdr:colOff>
                    <xdr:row>11</xdr:row>
                    <xdr:rowOff>241300</xdr:rowOff>
                  </from>
                  <to>
                    <xdr:col>7</xdr:col>
                    <xdr:colOff>228600</xdr:colOff>
                    <xdr:row>13</xdr:row>
                    <xdr:rowOff>50800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3">
        <x14:dataValidation type="list" allowBlank="1" showInputMessage="1" showErrorMessage="1" errorTitle="GJHSP SY 2022-2023" error="Please select from the list provided." xr:uid="{1C57CA03-E3C4-48E8-914C-71D8EC85FD52}">
          <x14:formula1>
            <xm:f>dropdown!$A$1:$A$5</xm:f>
          </x14:formula1>
          <xm:sqref>B27:L31</xm:sqref>
        </x14:dataValidation>
        <x14:dataValidation type="list" allowBlank="1" showInputMessage="1" showErrorMessage="1" errorTitle="GJHSP 2022-2023" error="Please select from the list provided." xr:uid="{97E1A1CF-885B-4D20-A4ED-046FFB66BE9D}">
          <x14:formula1>
            <xm:f>dropdown!$D$1:$D$9</xm:f>
          </x14:formula1>
          <xm:sqref>M27:W31</xm:sqref>
        </x14:dataValidation>
        <x14:dataValidation type="list" allowBlank="1" showInputMessage="1" showErrorMessage="1" errorTitle="GJHSP SY 2022-2023" error="Please select from the list provided." xr:uid="{F2B32D92-5403-4E60-AC95-214D54D7DDDE}">
          <x14:formula1>
            <xm:f>dropdown!$G$1:$G$9</xm:f>
          </x14:formula1>
          <xm:sqref>AI27:AS31</xm:sqref>
        </x14:dataValidation>
      </x14:dataValidations>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75EA9-FF91-41A6-BEF3-692D25BF484A}">
  <sheetPr codeName="Sheet26"/>
  <dimension ref="B1:AU46"/>
  <sheetViews>
    <sheetView showGridLines="0" zoomScaleNormal="100" workbookViewId="0">
      <selection activeCell="B7" sqref="B7:I9"/>
    </sheetView>
  </sheetViews>
  <sheetFormatPr defaultColWidth="8" defaultRowHeight="14" x14ac:dyDescent="0.3"/>
  <cols>
    <col min="1" max="1" width="2.08203125" style="399" customWidth="1"/>
    <col min="2" max="44" width="3.58203125" style="399" customWidth="1"/>
    <col min="45" max="45" width="2.08203125" style="399" customWidth="1"/>
    <col min="46" max="48" width="3.58203125" style="399" customWidth="1"/>
    <col min="49" max="49" width="2.08203125" style="399" customWidth="1"/>
    <col min="50" max="55" width="3.58203125" style="399" customWidth="1"/>
    <col min="56" max="16384" width="8" style="399"/>
  </cols>
  <sheetData>
    <row r="1" spans="2:44" ht="12" customHeight="1" x14ac:dyDescent="0.3"/>
    <row r="2" spans="2:44" s="44" customFormat="1" ht="15.5" x14ac:dyDescent="0.35">
      <c r="B2" s="415" t="s">
        <v>12713</v>
      </c>
      <c r="C2" s="576"/>
      <c r="D2" s="576"/>
      <c r="E2" s="576"/>
      <c r="F2" s="576"/>
    </row>
    <row r="3" spans="2:44" s="402" customFormat="1" ht="16" thickBot="1" x14ac:dyDescent="0.4">
      <c r="B3" s="419" t="s">
        <v>1091</v>
      </c>
    </row>
    <row r="4" spans="2:44" s="400" customFormat="1" ht="31" customHeight="1" thickTop="1" x14ac:dyDescent="0.35">
      <c r="B4" s="2740" t="s">
        <v>1385</v>
      </c>
      <c r="C4" s="2741"/>
      <c r="D4" s="2741"/>
      <c r="E4" s="2741"/>
      <c r="F4" s="2741"/>
      <c r="G4" s="2741"/>
      <c r="H4" s="2741"/>
      <c r="I4" s="2741"/>
      <c r="J4" s="2742" t="s">
        <v>1386</v>
      </c>
      <c r="K4" s="2596"/>
      <c r="L4" s="2596"/>
      <c r="M4" s="2596"/>
      <c r="N4" s="2596"/>
      <c r="O4" s="2596"/>
      <c r="P4" s="2596"/>
      <c r="Q4" s="2596"/>
      <c r="R4" s="2596"/>
      <c r="S4" s="2596"/>
      <c r="T4" s="2597"/>
      <c r="U4" s="2596" t="s">
        <v>1414</v>
      </c>
      <c r="V4" s="2596"/>
      <c r="W4" s="2596"/>
      <c r="X4" s="2596"/>
      <c r="Y4" s="2596"/>
      <c r="Z4" s="2596"/>
      <c r="AA4" s="2596"/>
      <c r="AB4" s="2596"/>
      <c r="AC4" s="2742" t="s">
        <v>145</v>
      </c>
      <c r="AD4" s="2596"/>
      <c r="AE4" s="2596"/>
      <c r="AF4" s="2596"/>
      <c r="AG4" s="2596"/>
      <c r="AH4" s="2596"/>
      <c r="AI4" s="2596"/>
      <c r="AJ4" s="2597"/>
      <c r="AK4" s="2596" t="s">
        <v>76</v>
      </c>
      <c r="AL4" s="2596"/>
      <c r="AM4" s="2596"/>
      <c r="AN4" s="2596"/>
      <c r="AO4" s="2596"/>
      <c r="AP4" s="2596"/>
      <c r="AQ4" s="2596"/>
      <c r="AR4" s="2745"/>
    </row>
    <row r="5" spans="2:44" s="621" customFormat="1" ht="21.5" customHeight="1" x14ac:dyDescent="0.3">
      <c r="B5" s="2669" t="s">
        <v>1421</v>
      </c>
      <c r="C5" s="2670"/>
      <c r="D5" s="2670"/>
      <c r="E5" s="2670"/>
      <c r="F5" s="2670"/>
      <c r="G5" s="2670"/>
      <c r="H5" s="2670"/>
      <c r="I5" s="2670"/>
      <c r="J5" s="2743" t="s">
        <v>1398</v>
      </c>
      <c r="K5" s="2670"/>
      <c r="L5" s="2670"/>
      <c r="M5" s="2670"/>
      <c r="N5" s="2670"/>
      <c r="O5" s="2670"/>
      <c r="P5" s="2670"/>
      <c r="Q5" s="2670"/>
      <c r="R5" s="2670"/>
      <c r="S5" s="2670"/>
      <c r="T5" s="2744"/>
      <c r="U5" s="2670" t="s">
        <v>1400</v>
      </c>
      <c r="V5" s="2670"/>
      <c r="W5" s="2670"/>
      <c r="X5" s="2670"/>
      <c r="Y5" s="2670"/>
      <c r="Z5" s="2670"/>
      <c r="AA5" s="2670"/>
      <c r="AB5" s="2670"/>
      <c r="AC5" s="2743" t="s">
        <v>1399</v>
      </c>
      <c r="AD5" s="2670"/>
      <c r="AE5" s="2670"/>
      <c r="AF5" s="2670"/>
      <c r="AG5" s="2670"/>
      <c r="AH5" s="2670"/>
      <c r="AI5" s="2670"/>
      <c r="AJ5" s="2744"/>
      <c r="AK5" s="2670" t="s">
        <v>1401</v>
      </c>
      <c r="AL5" s="2670"/>
      <c r="AM5" s="2670"/>
      <c r="AN5" s="2670"/>
      <c r="AO5" s="2670"/>
      <c r="AP5" s="2670"/>
      <c r="AQ5" s="2670"/>
      <c r="AR5" s="2746"/>
    </row>
    <row r="6" spans="2:44" s="621" customFormat="1" ht="21.5" customHeight="1" thickBot="1" x14ac:dyDescent="0.35">
      <c r="B6" s="2671"/>
      <c r="C6" s="2672"/>
      <c r="D6" s="2672"/>
      <c r="E6" s="2672"/>
      <c r="F6" s="2672"/>
      <c r="G6" s="2672"/>
      <c r="H6" s="2672"/>
      <c r="I6" s="2672"/>
      <c r="J6" s="622"/>
      <c r="K6" s="623"/>
      <c r="L6" s="623"/>
      <c r="M6" s="623"/>
      <c r="N6" s="623"/>
      <c r="O6" s="623"/>
      <c r="P6" s="623"/>
      <c r="Q6" s="623"/>
      <c r="R6" s="623"/>
      <c r="S6" s="623"/>
      <c r="T6" s="624"/>
      <c r="U6" s="623"/>
      <c r="V6" s="623"/>
      <c r="W6" s="623"/>
      <c r="X6" s="623"/>
      <c r="Y6" s="623"/>
      <c r="Z6" s="623"/>
      <c r="AA6" s="623"/>
      <c r="AB6" s="623"/>
      <c r="AC6" s="622"/>
      <c r="AD6" s="623"/>
      <c r="AE6" s="623"/>
      <c r="AF6" s="623"/>
      <c r="AG6" s="623"/>
      <c r="AH6" s="623"/>
      <c r="AI6" s="623"/>
      <c r="AJ6" s="624"/>
      <c r="AK6" s="2672"/>
      <c r="AL6" s="2672"/>
      <c r="AM6" s="2672"/>
      <c r="AN6" s="2672"/>
      <c r="AO6" s="2672"/>
      <c r="AP6" s="2672"/>
      <c r="AQ6" s="2672"/>
      <c r="AR6" s="2747"/>
    </row>
    <row r="7" spans="2:44" s="400" customFormat="1" ht="16" thickTop="1" x14ac:dyDescent="0.35">
      <c r="B7" s="2697"/>
      <c r="C7" s="2698"/>
      <c r="D7" s="2698"/>
      <c r="E7" s="2698"/>
      <c r="F7" s="2698"/>
      <c r="G7" s="2698"/>
      <c r="H7" s="2698"/>
      <c r="I7" s="2698"/>
      <c r="J7" s="606" t="b">
        <v>0</v>
      </c>
      <c r="K7" s="400" t="s">
        <v>1393</v>
      </c>
      <c r="P7" s="610" t="b">
        <v>0</v>
      </c>
      <c r="Q7" s="400" t="s">
        <v>1396</v>
      </c>
      <c r="T7" s="614"/>
      <c r="U7" s="2698"/>
      <c r="V7" s="2698"/>
      <c r="W7" s="2698"/>
      <c r="X7" s="2698"/>
      <c r="Y7" s="2698"/>
      <c r="Z7" s="2698"/>
      <c r="AA7" s="2698"/>
      <c r="AB7" s="2698"/>
      <c r="AC7" s="2701"/>
      <c r="AD7" s="2702"/>
      <c r="AE7" s="2702"/>
      <c r="AF7" s="2702"/>
      <c r="AG7" s="2702"/>
      <c r="AH7" s="2702"/>
      <c r="AI7" s="2702"/>
      <c r="AJ7" s="2703"/>
      <c r="AK7" s="2698"/>
      <c r="AL7" s="2698"/>
      <c r="AM7" s="2698"/>
      <c r="AN7" s="2698"/>
      <c r="AO7" s="2698"/>
      <c r="AP7" s="2698"/>
      <c r="AQ7" s="2698"/>
      <c r="AR7" s="2704"/>
    </row>
    <row r="8" spans="2:44" s="400" customFormat="1" ht="15.5" x14ac:dyDescent="0.35">
      <c r="B8" s="2697"/>
      <c r="C8" s="2698"/>
      <c r="D8" s="2698"/>
      <c r="E8" s="2698"/>
      <c r="F8" s="2698"/>
      <c r="G8" s="2698"/>
      <c r="H8" s="2698"/>
      <c r="I8" s="2698"/>
      <c r="J8" s="606" t="b">
        <v>0</v>
      </c>
      <c r="K8" s="400" t="s">
        <v>1394</v>
      </c>
      <c r="P8" s="610" t="b">
        <v>0</v>
      </c>
      <c r="Q8" s="400" t="s">
        <v>1397</v>
      </c>
      <c r="T8" s="614"/>
      <c r="U8" s="2698"/>
      <c r="V8" s="2698"/>
      <c r="W8" s="2698"/>
      <c r="X8" s="2698"/>
      <c r="Y8" s="2698"/>
      <c r="Z8" s="2698"/>
      <c r="AA8" s="2698"/>
      <c r="AB8" s="2698"/>
      <c r="AC8" s="2701"/>
      <c r="AD8" s="2702"/>
      <c r="AE8" s="2702"/>
      <c r="AF8" s="2702"/>
      <c r="AG8" s="2702"/>
      <c r="AH8" s="2702"/>
      <c r="AI8" s="2702"/>
      <c r="AJ8" s="2703"/>
      <c r="AK8" s="2698"/>
      <c r="AL8" s="2698"/>
      <c r="AM8" s="2698"/>
      <c r="AN8" s="2698"/>
      <c r="AO8" s="2698"/>
      <c r="AP8" s="2698"/>
      <c r="AQ8" s="2698"/>
      <c r="AR8" s="2704"/>
    </row>
    <row r="9" spans="2:44" s="400" customFormat="1" ht="15.5" x14ac:dyDescent="0.35">
      <c r="B9" s="2697"/>
      <c r="C9" s="2698"/>
      <c r="D9" s="2698"/>
      <c r="E9" s="2698"/>
      <c r="F9" s="2698"/>
      <c r="G9" s="2698"/>
      <c r="H9" s="2698"/>
      <c r="I9" s="2698"/>
      <c r="J9" s="606" t="b">
        <v>0</v>
      </c>
      <c r="K9" s="400" t="s">
        <v>1395</v>
      </c>
      <c r="T9" s="614"/>
      <c r="U9" s="2698"/>
      <c r="V9" s="2698"/>
      <c r="W9" s="2698"/>
      <c r="X9" s="2698"/>
      <c r="Y9" s="2698"/>
      <c r="Z9" s="2698"/>
      <c r="AA9" s="2698"/>
      <c r="AB9" s="2698"/>
      <c r="AC9" s="2701"/>
      <c r="AD9" s="2702"/>
      <c r="AE9" s="2702"/>
      <c r="AF9" s="2702"/>
      <c r="AG9" s="2702"/>
      <c r="AH9" s="2702"/>
      <c r="AI9" s="2702"/>
      <c r="AJ9" s="2703"/>
      <c r="AK9" s="2698"/>
      <c r="AL9" s="2698"/>
      <c r="AM9" s="2698"/>
      <c r="AN9" s="2698"/>
      <c r="AO9" s="2698"/>
      <c r="AP9" s="2698"/>
      <c r="AQ9" s="2698"/>
      <c r="AR9" s="2704"/>
    </row>
    <row r="10" spans="2:44" s="400" customFormat="1" ht="15.5" x14ac:dyDescent="0.35">
      <c r="B10" s="2724"/>
      <c r="C10" s="2725"/>
      <c r="D10" s="2725"/>
      <c r="E10" s="2725"/>
      <c r="F10" s="2725"/>
      <c r="G10" s="2725"/>
      <c r="H10" s="2725"/>
      <c r="I10" s="2725"/>
      <c r="J10" s="607" t="b">
        <v>0</v>
      </c>
      <c r="K10" s="615" t="s">
        <v>1393</v>
      </c>
      <c r="L10" s="615"/>
      <c r="M10" s="615"/>
      <c r="N10" s="615"/>
      <c r="O10" s="615"/>
      <c r="P10" s="611" t="b">
        <v>0</v>
      </c>
      <c r="Q10" s="615" t="s">
        <v>1396</v>
      </c>
      <c r="R10" s="615"/>
      <c r="S10" s="615"/>
      <c r="T10" s="616"/>
      <c r="U10" s="2725"/>
      <c r="V10" s="2725"/>
      <c r="W10" s="2725"/>
      <c r="X10" s="2725"/>
      <c r="Y10" s="2725"/>
      <c r="Z10" s="2725"/>
      <c r="AA10" s="2725"/>
      <c r="AB10" s="2725"/>
      <c r="AC10" s="2731"/>
      <c r="AD10" s="2732"/>
      <c r="AE10" s="2732"/>
      <c r="AF10" s="2732"/>
      <c r="AG10" s="2732"/>
      <c r="AH10" s="2732"/>
      <c r="AI10" s="2732"/>
      <c r="AJ10" s="2733"/>
      <c r="AK10" s="2725"/>
      <c r="AL10" s="2725"/>
      <c r="AM10" s="2725"/>
      <c r="AN10" s="2725"/>
      <c r="AO10" s="2725"/>
      <c r="AP10" s="2725"/>
      <c r="AQ10" s="2725"/>
      <c r="AR10" s="2737"/>
    </row>
    <row r="11" spans="2:44" s="400" customFormat="1" ht="15.5" x14ac:dyDescent="0.35">
      <c r="B11" s="2697"/>
      <c r="C11" s="2698"/>
      <c r="D11" s="2698"/>
      <c r="E11" s="2698"/>
      <c r="F11" s="2698"/>
      <c r="G11" s="2698"/>
      <c r="H11" s="2698"/>
      <c r="I11" s="2698"/>
      <c r="J11" s="606" t="b">
        <v>0</v>
      </c>
      <c r="K11" s="400" t="s">
        <v>1394</v>
      </c>
      <c r="P11" s="610" t="b">
        <v>0</v>
      </c>
      <c r="Q11" s="400" t="s">
        <v>1397</v>
      </c>
      <c r="T11" s="614"/>
      <c r="U11" s="2698"/>
      <c r="V11" s="2698"/>
      <c r="W11" s="2698"/>
      <c r="X11" s="2698"/>
      <c r="Y11" s="2698"/>
      <c r="Z11" s="2698"/>
      <c r="AA11" s="2698"/>
      <c r="AB11" s="2698"/>
      <c r="AC11" s="2701"/>
      <c r="AD11" s="2702"/>
      <c r="AE11" s="2702"/>
      <c r="AF11" s="2702"/>
      <c r="AG11" s="2702"/>
      <c r="AH11" s="2702"/>
      <c r="AI11" s="2702"/>
      <c r="AJ11" s="2703"/>
      <c r="AK11" s="2698"/>
      <c r="AL11" s="2698"/>
      <c r="AM11" s="2698"/>
      <c r="AN11" s="2698"/>
      <c r="AO11" s="2698"/>
      <c r="AP11" s="2698"/>
      <c r="AQ11" s="2698"/>
      <c r="AR11" s="2704"/>
    </row>
    <row r="12" spans="2:44" s="400" customFormat="1" ht="15.5" x14ac:dyDescent="0.35">
      <c r="B12" s="2726"/>
      <c r="C12" s="2727"/>
      <c r="D12" s="2727"/>
      <c r="E12" s="2727"/>
      <c r="F12" s="2727"/>
      <c r="G12" s="2727"/>
      <c r="H12" s="2727"/>
      <c r="I12" s="2727"/>
      <c r="J12" s="608" t="b">
        <v>0</v>
      </c>
      <c r="K12" s="617" t="s">
        <v>1395</v>
      </c>
      <c r="L12" s="617"/>
      <c r="M12" s="617"/>
      <c r="N12" s="617"/>
      <c r="O12" s="617"/>
      <c r="P12" s="617"/>
      <c r="Q12" s="617"/>
      <c r="R12" s="617"/>
      <c r="S12" s="617"/>
      <c r="T12" s="618"/>
      <c r="U12" s="2727"/>
      <c r="V12" s="2727"/>
      <c r="W12" s="2727"/>
      <c r="X12" s="2727"/>
      <c r="Y12" s="2727"/>
      <c r="Z12" s="2727"/>
      <c r="AA12" s="2727"/>
      <c r="AB12" s="2727"/>
      <c r="AC12" s="2734"/>
      <c r="AD12" s="2735"/>
      <c r="AE12" s="2735"/>
      <c r="AF12" s="2735"/>
      <c r="AG12" s="2735"/>
      <c r="AH12" s="2735"/>
      <c r="AI12" s="2735"/>
      <c r="AJ12" s="2736"/>
      <c r="AK12" s="2727"/>
      <c r="AL12" s="2727"/>
      <c r="AM12" s="2727"/>
      <c r="AN12" s="2727"/>
      <c r="AO12" s="2727"/>
      <c r="AP12" s="2727"/>
      <c r="AQ12" s="2727"/>
      <c r="AR12" s="2738"/>
    </row>
    <row r="13" spans="2:44" s="400" customFormat="1" ht="15.5" x14ac:dyDescent="0.35">
      <c r="B13" s="2724"/>
      <c r="C13" s="2725"/>
      <c r="D13" s="2725"/>
      <c r="E13" s="2725"/>
      <c r="F13" s="2725"/>
      <c r="G13" s="2725"/>
      <c r="H13" s="2725"/>
      <c r="I13" s="2725"/>
      <c r="J13" s="607" t="b">
        <v>0</v>
      </c>
      <c r="K13" s="615" t="s">
        <v>1393</v>
      </c>
      <c r="L13" s="615"/>
      <c r="M13" s="615"/>
      <c r="N13" s="615"/>
      <c r="O13" s="615"/>
      <c r="P13" s="611" t="b">
        <v>0</v>
      </c>
      <c r="Q13" s="615" t="s">
        <v>1396</v>
      </c>
      <c r="R13" s="615"/>
      <c r="S13" s="615"/>
      <c r="T13" s="616"/>
      <c r="U13" s="2725"/>
      <c r="V13" s="2725"/>
      <c r="W13" s="2725"/>
      <c r="X13" s="2725"/>
      <c r="Y13" s="2725"/>
      <c r="Z13" s="2725"/>
      <c r="AA13" s="2725"/>
      <c r="AB13" s="2725"/>
      <c r="AC13" s="2731"/>
      <c r="AD13" s="2732"/>
      <c r="AE13" s="2732"/>
      <c r="AF13" s="2732"/>
      <c r="AG13" s="2732"/>
      <c r="AH13" s="2732"/>
      <c r="AI13" s="2732"/>
      <c r="AJ13" s="2733"/>
      <c r="AK13" s="2725"/>
      <c r="AL13" s="2725"/>
      <c r="AM13" s="2725"/>
      <c r="AN13" s="2725"/>
      <c r="AO13" s="2725"/>
      <c r="AP13" s="2725"/>
      <c r="AQ13" s="2725"/>
      <c r="AR13" s="2737"/>
    </row>
    <row r="14" spans="2:44" s="400" customFormat="1" ht="15.5" x14ac:dyDescent="0.35">
      <c r="B14" s="2697"/>
      <c r="C14" s="2698"/>
      <c r="D14" s="2698"/>
      <c r="E14" s="2698"/>
      <c r="F14" s="2698"/>
      <c r="G14" s="2698"/>
      <c r="H14" s="2698"/>
      <c r="I14" s="2698"/>
      <c r="J14" s="606" t="b">
        <v>0</v>
      </c>
      <c r="K14" s="400" t="s">
        <v>1394</v>
      </c>
      <c r="P14" s="610" t="b">
        <v>0</v>
      </c>
      <c r="Q14" s="400" t="s">
        <v>1397</v>
      </c>
      <c r="T14" s="614"/>
      <c r="U14" s="2698"/>
      <c r="V14" s="2698"/>
      <c r="W14" s="2698"/>
      <c r="X14" s="2698"/>
      <c r="Y14" s="2698"/>
      <c r="Z14" s="2698"/>
      <c r="AA14" s="2698"/>
      <c r="AB14" s="2698"/>
      <c r="AC14" s="2701"/>
      <c r="AD14" s="2702"/>
      <c r="AE14" s="2702"/>
      <c r="AF14" s="2702"/>
      <c r="AG14" s="2702"/>
      <c r="AH14" s="2702"/>
      <c r="AI14" s="2702"/>
      <c r="AJ14" s="2703"/>
      <c r="AK14" s="2698"/>
      <c r="AL14" s="2698"/>
      <c r="AM14" s="2698"/>
      <c r="AN14" s="2698"/>
      <c r="AO14" s="2698"/>
      <c r="AP14" s="2698"/>
      <c r="AQ14" s="2698"/>
      <c r="AR14" s="2704"/>
    </row>
    <row r="15" spans="2:44" s="400" customFormat="1" ht="15.5" x14ac:dyDescent="0.35">
      <c r="B15" s="2726"/>
      <c r="C15" s="2727"/>
      <c r="D15" s="2727"/>
      <c r="E15" s="2727"/>
      <c r="F15" s="2727"/>
      <c r="G15" s="2727"/>
      <c r="H15" s="2727"/>
      <c r="I15" s="2727"/>
      <c r="J15" s="608" t="b">
        <v>0</v>
      </c>
      <c r="K15" s="617" t="s">
        <v>1395</v>
      </c>
      <c r="L15" s="617"/>
      <c r="M15" s="617"/>
      <c r="N15" s="617"/>
      <c r="O15" s="617"/>
      <c r="P15" s="617"/>
      <c r="Q15" s="617"/>
      <c r="R15" s="617"/>
      <c r="S15" s="617"/>
      <c r="T15" s="618"/>
      <c r="U15" s="2727"/>
      <c r="V15" s="2727"/>
      <c r="W15" s="2727"/>
      <c r="X15" s="2727"/>
      <c r="Y15" s="2727"/>
      <c r="Z15" s="2727"/>
      <c r="AA15" s="2727"/>
      <c r="AB15" s="2727"/>
      <c r="AC15" s="2734"/>
      <c r="AD15" s="2735"/>
      <c r="AE15" s="2735"/>
      <c r="AF15" s="2735"/>
      <c r="AG15" s="2735"/>
      <c r="AH15" s="2735"/>
      <c r="AI15" s="2735"/>
      <c r="AJ15" s="2736"/>
      <c r="AK15" s="2727"/>
      <c r="AL15" s="2727"/>
      <c r="AM15" s="2727"/>
      <c r="AN15" s="2727"/>
      <c r="AO15" s="2727"/>
      <c r="AP15" s="2727"/>
      <c r="AQ15" s="2727"/>
      <c r="AR15" s="2738"/>
    </row>
    <row r="16" spans="2:44" s="400" customFormat="1" ht="15.5" x14ac:dyDescent="0.35">
      <c r="B16" s="2724"/>
      <c r="C16" s="2725"/>
      <c r="D16" s="2725"/>
      <c r="E16" s="2725"/>
      <c r="F16" s="2725"/>
      <c r="G16" s="2725"/>
      <c r="H16" s="2725"/>
      <c r="I16" s="2725"/>
      <c r="J16" s="607" t="b">
        <v>0</v>
      </c>
      <c r="K16" s="615" t="s">
        <v>1393</v>
      </c>
      <c r="L16" s="615"/>
      <c r="M16" s="615"/>
      <c r="N16" s="615"/>
      <c r="O16" s="615"/>
      <c r="P16" s="611" t="b">
        <v>0</v>
      </c>
      <c r="Q16" s="615" t="s">
        <v>1396</v>
      </c>
      <c r="R16" s="615"/>
      <c r="S16" s="615"/>
      <c r="T16" s="616"/>
      <c r="U16" s="2725"/>
      <c r="V16" s="2725"/>
      <c r="W16" s="2725"/>
      <c r="X16" s="2725"/>
      <c r="Y16" s="2725"/>
      <c r="Z16" s="2725"/>
      <c r="AA16" s="2725"/>
      <c r="AB16" s="2725"/>
      <c r="AC16" s="2731"/>
      <c r="AD16" s="2732"/>
      <c r="AE16" s="2732"/>
      <c r="AF16" s="2732"/>
      <c r="AG16" s="2732"/>
      <c r="AH16" s="2732"/>
      <c r="AI16" s="2732"/>
      <c r="AJ16" s="2733"/>
      <c r="AK16" s="2725"/>
      <c r="AL16" s="2725"/>
      <c r="AM16" s="2725"/>
      <c r="AN16" s="2725"/>
      <c r="AO16" s="2725"/>
      <c r="AP16" s="2725"/>
      <c r="AQ16" s="2725"/>
      <c r="AR16" s="2737"/>
    </row>
    <row r="17" spans="2:44" s="400" customFormat="1" ht="15.5" x14ac:dyDescent="0.35">
      <c r="B17" s="2697"/>
      <c r="C17" s="2698"/>
      <c r="D17" s="2698"/>
      <c r="E17" s="2698"/>
      <c r="F17" s="2698"/>
      <c r="G17" s="2698"/>
      <c r="H17" s="2698"/>
      <c r="I17" s="2698"/>
      <c r="J17" s="606" t="b">
        <v>0</v>
      </c>
      <c r="K17" s="400" t="s">
        <v>1394</v>
      </c>
      <c r="P17" s="610" t="b">
        <v>0</v>
      </c>
      <c r="Q17" s="400" t="s">
        <v>1397</v>
      </c>
      <c r="T17" s="614"/>
      <c r="U17" s="2698"/>
      <c r="V17" s="2698"/>
      <c r="W17" s="2698"/>
      <c r="X17" s="2698"/>
      <c r="Y17" s="2698"/>
      <c r="Z17" s="2698"/>
      <c r="AA17" s="2698"/>
      <c r="AB17" s="2698"/>
      <c r="AC17" s="2701"/>
      <c r="AD17" s="2702"/>
      <c r="AE17" s="2702"/>
      <c r="AF17" s="2702"/>
      <c r="AG17" s="2702"/>
      <c r="AH17" s="2702"/>
      <c r="AI17" s="2702"/>
      <c r="AJ17" s="2703"/>
      <c r="AK17" s="2698"/>
      <c r="AL17" s="2698"/>
      <c r="AM17" s="2698"/>
      <c r="AN17" s="2698"/>
      <c r="AO17" s="2698"/>
      <c r="AP17" s="2698"/>
      <c r="AQ17" s="2698"/>
      <c r="AR17" s="2704"/>
    </row>
    <row r="18" spans="2:44" s="400" customFormat="1" ht="15.5" x14ac:dyDescent="0.35">
      <c r="B18" s="2726"/>
      <c r="C18" s="2727"/>
      <c r="D18" s="2727"/>
      <c r="E18" s="2727"/>
      <c r="F18" s="2727"/>
      <c r="G18" s="2727"/>
      <c r="H18" s="2727"/>
      <c r="I18" s="2727"/>
      <c r="J18" s="608" t="b">
        <v>0</v>
      </c>
      <c r="K18" s="617" t="s">
        <v>1395</v>
      </c>
      <c r="L18" s="617"/>
      <c r="M18" s="617"/>
      <c r="N18" s="617"/>
      <c r="O18" s="617"/>
      <c r="P18" s="617"/>
      <c r="Q18" s="617"/>
      <c r="R18" s="617"/>
      <c r="S18" s="617"/>
      <c r="T18" s="618"/>
      <c r="U18" s="2727"/>
      <c r="V18" s="2727"/>
      <c r="W18" s="2727"/>
      <c r="X18" s="2727"/>
      <c r="Y18" s="2727"/>
      <c r="Z18" s="2727"/>
      <c r="AA18" s="2727"/>
      <c r="AB18" s="2727"/>
      <c r="AC18" s="2734"/>
      <c r="AD18" s="2735"/>
      <c r="AE18" s="2735"/>
      <c r="AF18" s="2735"/>
      <c r="AG18" s="2735"/>
      <c r="AH18" s="2735"/>
      <c r="AI18" s="2735"/>
      <c r="AJ18" s="2736"/>
      <c r="AK18" s="2727"/>
      <c r="AL18" s="2727"/>
      <c r="AM18" s="2727"/>
      <c r="AN18" s="2727"/>
      <c r="AO18" s="2727"/>
      <c r="AP18" s="2727"/>
      <c r="AQ18" s="2727"/>
      <c r="AR18" s="2738"/>
    </row>
    <row r="19" spans="2:44" s="400" customFormat="1" ht="15.5" x14ac:dyDescent="0.35">
      <c r="B19" s="2724"/>
      <c r="C19" s="2725"/>
      <c r="D19" s="2725"/>
      <c r="E19" s="2725"/>
      <c r="F19" s="2725"/>
      <c r="G19" s="2725"/>
      <c r="H19" s="2725"/>
      <c r="I19" s="2725"/>
      <c r="J19" s="607" t="b">
        <v>0</v>
      </c>
      <c r="K19" s="615" t="s">
        <v>1393</v>
      </c>
      <c r="L19" s="615"/>
      <c r="M19" s="615"/>
      <c r="N19" s="615"/>
      <c r="O19" s="615"/>
      <c r="P19" s="611" t="b">
        <v>0</v>
      </c>
      <c r="Q19" s="615" t="s">
        <v>1396</v>
      </c>
      <c r="R19" s="615"/>
      <c r="S19" s="615"/>
      <c r="T19" s="616"/>
      <c r="U19" s="2725"/>
      <c r="V19" s="2725"/>
      <c r="W19" s="2725"/>
      <c r="X19" s="2725"/>
      <c r="Y19" s="2725"/>
      <c r="Z19" s="2725"/>
      <c r="AA19" s="2725"/>
      <c r="AB19" s="2725"/>
      <c r="AC19" s="2731"/>
      <c r="AD19" s="2732"/>
      <c r="AE19" s="2732"/>
      <c r="AF19" s="2732"/>
      <c r="AG19" s="2732"/>
      <c r="AH19" s="2732"/>
      <c r="AI19" s="2732"/>
      <c r="AJ19" s="2733"/>
      <c r="AK19" s="2725"/>
      <c r="AL19" s="2725"/>
      <c r="AM19" s="2725"/>
      <c r="AN19" s="2725"/>
      <c r="AO19" s="2725"/>
      <c r="AP19" s="2725"/>
      <c r="AQ19" s="2725"/>
      <c r="AR19" s="2737"/>
    </row>
    <row r="20" spans="2:44" s="400" customFormat="1" ht="15.5" x14ac:dyDescent="0.35">
      <c r="B20" s="2697"/>
      <c r="C20" s="2698"/>
      <c r="D20" s="2698"/>
      <c r="E20" s="2698"/>
      <c r="F20" s="2698"/>
      <c r="G20" s="2698"/>
      <c r="H20" s="2698"/>
      <c r="I20" s="2698"/>
      <c r="J20" s="606" t="b">
        <v>0</v>
      </c>
      <c r="K20" s="400" t="s">
        <v>1394</v>
      </c>
      <c r="P20" s="610" t="b">
        <v>0</v>
      </c>
      <c r="Q20" s="400" t="s">
        <v>1397</v>
      </c>
      <c r="T20" s="614"/>
      <c r="U20" s="2698"/>
      <c r="V20" s="2698"/>
      <c r="W20" s="2698"/>
      <c r="X20" s="2698"/>
      <c r="Y20" s="2698"/>
      <c r="Z20" s="2698"/>
      <c r="AA20" s="2698"/>
      <c r="AB20" s="2698"/>
      <c r="AC20" s="2701"/>
      <c r="AD20" s="2702"/>
      <c r="AE20" s="2702"/>
      <c r="AF20" s="2702"/>
      <c r="AG20" s="2702"/>
      <c r="AH20" s="2702"/>
      <c r="AI20" s="2702"/>
      <c r="AJ20" s="2703"/>
      <c r="AK20" s="2698"/>
      <c r="AL20" s="2698"/>
      <c r="AM20" s="2698"/>
      <c r="AN20" s="2698"/>
      <c r="AO20" s="2698"/>
      <c r="AP20" s="2698"/>
      <c r="AQ20" s="2698"/>
      <c r="AR20" s="2704"/>
    </row>
    <row r="21" spans="2:44" s="400" customFormat="1" ht="16" thickBot="1" x14ac:dyDescent="0.4">
      <c r="B21" s="2739"/>
      <c r="C21" s="2720"/>
      <c r="D21" s="2720"/>
      <c r="E21" s="2720"/>
      <c r="F21" s="2720"/>
      <c r="G21" s="2720"/>
      <c r="H21" s="2720"/>
      <c r="I21" s="2720"/>
      <c r="J21" s="609" t="b">
        <v>0</v>
      </c>
      <c r="K21" s="619" t="s">
        <v>1395</v>
      </c>
      <c r="L21" s="619"/>
      <c r="M21" s="619"/>
      <c r="N21" s="619"/>
      <c r="O21" s="619"/>
      <c r="P21" s="619"/>
      <c r="Q21" s="619"/>
      <c r="R21" s="619"/>
      <c r="S21" s="619"/>
      <c r="T21" s="620"/>
      <c r="U21" s="2720"/>
      <c r="V21" s="2720"/>
      <c r="W21" s="2720"/>
      <c r="X21" s="2720"/>
      <c r="Y21" s="2720"/>
      <c r="Z21" s="2720"/>
      <c r="AA21" s="2720"/>
      <c r="AB21" s="2720"/>
      <c r="AC21" s="2717"/>
      <c r="AD21" s="2718"/>
      <c r="AE21" s="2718"/>
      <c r="AF21" s="2718"/>
      <c r="AG21" s="2718"/>
      <c r="AH21" s="2718"/>
      <c r="AI21" s="2718"/>
      <c r="AJ21" s="2719"/>
      <c r="AK21" s="2720"/>
      <c r="AL21" s="2720"/>
      <c r="AM21" s="2720"/>
      <c r="AN21" s="2720"/>
      <c r="AO21" s="2720"/>
      <c r="AP21" s="2720"/>
      <c r="AQ21" s="2720"/>
      <c r="AR21" s="2721"/>
    </row>
    <row r="22" spans="2:44" s="87" customFormat="1" ht="14.5" thickTop="1" x14ac:dyDescent="0.3">
      <c r="B22" s="2683" t="s">
        <v>12586</v>
      </c>
      <c r="C22" s="2683"/>
      <c r="D22" s="2683"/>
      <c r="E22" s="2683"/>
      <c r="F22" s="2683"/>
      <c r="G22" s="2683"/>
      <c r="H22" s="2683"/>
      <c r="I22" s="2683"/>
      <c r="J22" s="2683"/>
      <c r="K22" s="2683"/>
      <c r="L22" s="2683"/>
      <c r="M22" s="2683"/>
      <c r="N22" s="2683"/>
      <c r="O22" s="2683"/>
      <c r="P22" s="2683"/>
      <c r="Q22" s="2683"/>
      <c r="R22" s="2683"/>
      <c r="S22" s="2683"/>
      <c r="T22" s="2683"/>
      <c r="U22" s="2683"/>
      <c r="V22" s="2683"/>
      <c r="W22" s="2683"/>
      <c r="X22" s="2683"/>
      <c r="Y22" s="2683"/>
      <c r="Z22" s="2683"/>
      <c r="AA22" s="2683"/>
      <c r="AB22" s="2683"/>
      <c r="AC22" s="2683"/>
      <c r="AD22" s="2683"/>
      <c r="AE22" s="2683"/>
      <c r="AF22" s="2683"/>
      <c r="AG22" s="2683"/>
      <c r="AH22" s="2683"/>
      <c r="AI22" s="2683"/>
      <c r="AJ22" s="2683"/>
      <c r="AK22" s="2683"/>
      <c r="AL22" s="2683"/>
      <c r="AM22" s="2683"/>
      <c r="AN22" s="2683"/>
      <c r="AO22" s="2683"/>
      <c r="AP22" s="2683"/>
      <c r="AQ22" s="2683"/>
      <c r="AR22" s="2683"/>
    </row>
    <row r="23" spans="2:44" s="87" customFormat="1" ht="14" customHeight="1" x14ac:dyDescent="0.3">
      <c r="C23" s="612" t="s">
        <v>1402</v>
      </c>
      <c r="D23" s="613"/>
      <c r="E23" s="613"/>
      <c r="F23" s="613"/>
      <c r="G23" s="613"/>
      <c r="H23" s="613"/>
      <c r="I23" s="612" t="s">
        <v>1403</v>
      </c>
      <c r="J23" s="613"/>
      <c r="K23" s="612"/>
      <c r="L23" s="613"/>
      <c r="M23" s="613"/>
      <c r="N23" s="613"/>
      <c r="O23" s="612" t="s">
        <v>1404</v>
      </c>
      <c r="P23" s="613"/>
      <c r="Q23" s="613"/>
      <c r="S23" s="613"/>
      <c r="T23" s="613"/>
      <c r="U23" s="613"/>
      <c r="V23" s="613"/>
      <c r="W23" s="613"/>
      <c r="X23" s="613"/>
      <c r="Y23" s="613"/>
      <c r="Z23" s="613"/>
      <c r="AA23" s="613"/>
      <c r="AB23" s="613"/>
      <c r="AC23" s="613"/>
      <c r="AD23" s="613"/>
      <c r="AE23" s="613"/>
      <c r="AF23" s="613"/>
      <c r="AG23" s="613"/>
      <c r="AH23" s="613"/>
      <c r="AI23" s="613"/>
      <c r="AJ23" s="613"/>
      <c r="AK23" s="613"/>
      <c r="AL23" s="613"/>
      <c r="AM23" s="613"/>
      <c r="AN23" s="613"/>
      <c r="AO23" s="613"/>
      <c r="AP23" s="613"/>
      <c r="AQ23" s="613"/>
      <c r="AR23" s="613"/>
    </row>
    <row r="24" spans="2:44" s="87" customFormat="1" ht="14" customHeight="1" x14ac:dyDescent="0.3">
      <c r="C24" s="612" t="s">
        <v>1405</v>
      </c>
      <c r="D24" s="613"/>
      <c r="E24" s="613"/>
      <c r="F24" s="613"/>
      <c r="G24" s="613"/>
      <c r="H24" s="613"/>
      <c r="I24" s="612" t="s">
        <v>1408</v>
      </c>
      <c r="J24" s="613"/>
      <c r="K24" s="612"/>
      <c r="L24" s="613"/>
      <c r="M24" s="613"/>
      <c r="N24" s="613"/>
      <c r="O24" s="612" t="s">
        <v>1422</v>
      </c>
      <c r="P24" s="613"/>
      <c r="Q24" s="613"/>
      <c r="S24" s="613"/>
      <c r="T24" s="613"/>
      <c r="U24" s="613"/>
      <c r="V24" s="613"/>
      <c r="W24" s="613"/>
      <c r="X24" s="613"/>
      <c r="Y24" s="613"/>
      <c r="Z24" s="613"/>
      <c r="AA24" s="613"/>
      <c r="AB24" s="613"/>
      <c r="AC24" s="613"/>
      <c r="AD24" s="613"/>
      <c r="AE24" s="613"/>
      <c r="AF24" s="613"/>
      <c r="AG24" s="613"/>
      <c r="AH24" s="613"/>
      <c r="AI24" s="613"/>
      <c r="AJ24" s="613"/>
      <c r="AK24" s="613"/>
      <c r="AL24" s="613"/>
      <c r="AM24" s="613"/>
      <c r="AN24" s="613"/>
      <c r="AO24" s="613"/>
      <c r="AP24" s="613"/>
      <c r="AQ24" s="613"/>
      <c r="AR24" s="613"/>
    </row>
    <row r="25" spans="2:44" s="87" customFormat="1" ht="14" customHeight="1" x14ac:dyDescent="0.3">
      <c r="C25" s="612" t="s">
        <v>1406</v>
      </c>
      <c r="D25" s="613"/>
      <c r="E25" s="613"/>
      <c r="F25" s="613"/>
      <c r="G25" s="613"/>
      <c r="H25" s="613"/>
      <c r="I25" s="612" t="s">
        <v>1407</v>
      </c>
      <c r="J25" s="613"/>
      <c r="K25" s="612"/>
      <c r="L25" s="613"/>
      <c r="M25" s="613"/>
      <c r="N25" s="613"/>
      <c r="O25" s="613"/>
      <c r="P25" s="613"/>
      <c r="Q25" s="613"/>
      <c r="R25" s="612"/>
      <c r="S25" s="613"/>
      <c r="T25" s="613"/>
      <c r="U25" s="613"/>
      <c r="V25" s="613"/>
      <c r="W25" s="613"/>
      <c r="X25" s="613"/>
      <c r="Y25" s="613"/>
      <c r="Z25" s="613"/>
      <c r="AA25" s="613"/>
      <c r="AB25" s="613"/>
      <c r="AC25" s="613"/>
      <c r="AD25" s="613"/>
      <c r="AE25" s="613"/>
      <c r="AF25" s="613"/>
      <c r="AG25" s="613"/>
      <c r="AH25" s="613"/>
      <c r="AI25" s="613"/>
      <c r="AJ25" s="613"/>
      <c r="AK25" s="613"/>
      <c r="AL25" s="613"/>
      <c r="AM25" s="613"/>
      <c r="AN25" s="613"/>
      <c r="AO25" s="613"/>
      <c r="AP25" s="613"/>
      <c r="AQ25" s="613"/>
      <c r="AR25" s="613"/>
    </row>
    <row r="26" spans="2:44" s="87" customFormat="1" x14ac:dyDescent="0.3">
      <c r="B26" s="2683" t="s">
        <v>1409</v>
      </c>
      <c r="C26" s="2683"/>
      <c r="D26" s="2683"/>
      <c r="E26" s="2683"/>
      <c r="F26" s="2683"/>
      <c r="G26" s="2683"/>
      <c r="H26" s="2683"/>
      <c r="I26" s="2683"/>
      <c r="J26" s="2683"/>
      <c r="K26" s="2683"/>
      <c r="L26" s="2683"/>
      <c r="M26" s="2683"/>
      <c r="N26" s="2683"/>
      <c r="O26" s="2683"/>
      <c r="P26" s="2683"/>
      <c r="Q26" s="2683"/>
      <c r="R26" s="2683"/>
      <c r="S26" s="2683"/>
      <c r="T26" s="2683"/>
      <c r="U26" s="2683"/>
      <c r="V26" s="2683"/>
      <c r="W26" s="2683"/>
      <c r="X26" s="2683"/>
      <c r="Y26" s="2683"/>
      <c r="Z26" s="2683"/>
      <c r="AA26" s="2683"/>
      <c r="AB26" s="2683"/>
      <c r="AC26" s="2683"/>
      <c r="AD26" s="2683"/>
      <c r="AE26" s="2683"/>
      <c r="AF26" s="2683"/>
      <c r="AG26" s="2683"/>
      <c r="AH26" s="2683"/>
      <c r="AI26" s="2683"/>
      <c r="AJ26" s="2683"/>
      <c r="AK26" s="2683"/>
      <c r="AL26" s="2683"/>
      <c r="AM26" s="2683"/>
      <c r="AN26" s="2683"/>
      <c r="AO26" s="2683"/>
      <c r="AP26" s="2683"/>
      <c r="AQ26" s="2683"/>
      <c r="AR26" s="2683"/>
    </row>
    <row r="27" spans="2:44" s="231" customFormat="1" x14ac:dyDescent="0.3">
      <c r="C27" s="2729" t="s">
        <v>1410</v>
      </c>
      <c r="D27" s="2729"/>
      <c r="E27" s="2729"/>
      <c r="F27" s="2729"/>
      <c r="G27" s="2729"/>
      <c r="H27" s="2729"/>
      <c r="I27" s="2729"/>
      <c r="J27" s="2729"/>
      <c r="K27" s="2729"/>
      <c r="L27" s="2729"/>
      <c r="M27" s="2729"/>
      <c r="N27" s="2729"/>
      <c r="O27" s="2729"/>
      <c r="P27" s="2729"/>
      <c r="Q27" s="2729"/>
      <c r="R27" s="2729"/>
      <c r="S27" s="2729"/>
      <c r="T27" s="2729"/>
      <c r="U27" s="2729"/>
      <c r="V27" s="2729"/>
      <c r="W27" s="2729"/>
      <c r="X27" s="2729"/>
      <c r="Y27" s="2729"/>
      <c r="Z27" s="2729"/>
      <c r="AA27" s="2729"/>
      <c r="AB27" s="2729"/>
      <c r="AC27" s="2729"/>
      <c r="AD27" s="2729"/>
      <c r="AE27" s="2729"/>
      <c r="AF27" s="2729"/>
      <c r="AG27" s="2729"/>
      <c r="AH27" s="2729"/>
      <c r="AI27" s="2729"/>
      <c r="AJ27" s="2729"/>
      <c r="AK27" s="2729"/>
      <c r="AL27" s="2729"/>
      <c r="AM27" s="2729"/>
      <c r="AN27" s="2729"/>
      <c r="AO27" s="2729"/>
      <c r="AP27" s="2729"/>
      <c r="AQ27" s="2729"/>
      <c r="AR27" s="2729"/>
    </row>
    <row r="28" spans="2:44" s="231" customFormat="1" x14ac:dyDescent="0.3">
      <c r="C28" s="2729" t="s">
        <v>1411</v>
      </c>
      <c r="D28" s="2729"/>
      <c r="E28" s="2729"/>
      <c r="F28" s="2729"/>
      <c r="G28" s="2729"/>
      <c r="H28" s="2729"/>
      <c r="I28" s="2729"/>
      <c r="J28" s="2729"/>
      <c r="K28" s="2729"/>
      <c r="L28" s="2729"/>
      <c r="M28" s="2729"/>
      <c r="N28" s="2729"/>
      <c r="O28" s="2729"/>
      <c r="P28" s="2729"/>
      <c r="Q28" s="2729"/>
      <c r="R28" s="2729"/>
      <c r="S28" s="2729"/>
      <c r="T28" s="2729"/>
      <c r="U28" s="2729"/>
      <c r="V28" s="2729"/>
      <c r="W28" s="2729"/>
      <c r="X28" s="2729"/>
      <c r="Y28" s="2729"/>
      <c r="Z28" s="2729"/>
      <c r="AA28" s="2729"/>
      <c r="AB28" s="2729"/>
      <c r="AC28" s="2729"/>
      <c r="AD28" s="2729"/>
      <c r="AE28" s="2729"/>
      <c r="AF28" s="2729"/>
      <c r="AG28" s="2729"/>
      <c r="AH28" s="2729"/>
      <c r="AI28" s="2729"/>
      <c r="AJ28" s="2729"/>
      <c r="AK28" s="2729"/>
      <c r="AL28" s="2729"/>
      <c r="AM28" s="2729"/>
      <c r="AN28" s="2729"/>
      <c r="AO28" s="2729"/>
      <c r="AP28" s="2729"/>
      <c r="AQ28" s="2729"/>
      <c r="AR28" s="2729"/>
    </row>
    <row r="29" spans="2:44" s="231" customFormat="1" x14ac:dyDescent="0.3">
      <c r="C29" s="2729" t="s">
        <v>1412</v>
      </c>
      <c r="D29" s="2729"/>
      <c r="E29" s="2729"/>
      <c r="F29" s="2729"/>
      <c r="G29" s="2729"/>
      <c r="H29" s="2729"/>
      <c r="I29" s="2729"/>
      <c r="J29" s="2729"/>
      <c r="K29" s="2729"/>
      <c r="L29" s="2729"/>
      <c r="M29" s="2729"/>
      <c r="N29" s="2729"/>
      <c r="O29" s="2729"/>
      <c r="P29" s="2729"/>
      <c r="Q29" s="2729"/>
      <c r="R29" s="2729"/>
      <c r="S29" s="2729"/>
      <c r="T29" s="2729"/>
      <c r="U29" s="2729"/>
      <c r="V29" s="2729"/>
      <c r="W29" s="2729"/>
      <c r="X29" s="2729"/>
      <c r="Y29" s="2729"/>
      <c r="Z29" s="2729"/>
      <c r="AA29" s="2729"/>
      <c r="AB29" s="2729"/>
      <c r="AC29" s="2729"/>
      <c r="AD29" s="2729"/>
      <c r="AE29" s="2729"/>
      <c r="AF29" s="2729"/>
      <c r="AG29" s="2729"/>
      <c r="AH29" s="2729"/>
      <c r="AI29" s="2729"/>
      <c r="AJ29" s="2729"/>
      <c r="AK29" s="2729"/>
      <c r="AL29" s="2729"/>
      <c r="AM29" s="2729"/>
      <c r="AN29" s="2729"/>
      <c r="AO29" s="2729"/>
      <c r="AP29" s="2729"/>
      <c r="AQ29" s="2729"/>
      <c r="AR29" s="2729"/>
    </row>
    <row r="30" spans="2:44" s="231" customFormat="1" x14ac:dyDescent="0.3">
      <c r="C30" s="2729" t="s">
        <v>1415</v>
      </c>
      <c r="D30" s="2729"/>
      <c r="E30" s="2729"/>
      <c r="F30" s="2729"/>
      <c r="G30" s="2729"/>
      <c r="H30" s="2729"/>
      <c r="I30" s="2729"/>
      <c r="J30" s="2729"/>
      <c r="K30" s="2729"/>
      <c r="L30" s="2729"/>
      <c r="M30" s="2729"/>
      <c r="N30" s="2729"/>
      <c r="O30" s="2729"/>
      <c r="P30" s="2729"/>
      <c r="Q30" s="2729"/>
      <c r="R30" s="2729"/>
      <c r="S30" s="2729"/>
      <c r="T30" s="2729"/>
      <c r="U30" s="2729"/>
      <c r="V30" s="2729"/>
      <c r="W30" s="2729"/>
      <c r="X30" s="2729"/>
      <c r="Y30" s="2729"/>
      <c r="Z30" s="2729"/>
      <c r="AA30" s="2729"/>
      <c r="AB30" s="2729"/>
      <c r="AC30" s="2729"/>
      <c r="AD30" s="2729"/>
      <c r="AE30" s="2729"/>
      <c r="AF30" s="2729"/>
      <c r="AG30" s="2729"/>
      <c r="AH30" s="2729"/>
      <c r="AI30" s="2729"/>
      <c r="AJ30" s="2729"/>
      <c r="AK30" s="2729"/>
      <c r="AL30" s="2729"/>
      <c r="AM30" s="2729"/>
      <c r="AN30" s="2729"/>
      <c r="AO30" s="2729"/>
      <c r="AP30" s="2729"/>
      <c r="AQ30" s="2729"/>
      <c r="AR30" s="2729"/>
    </row>
    <row r="31" spans="2:44" s="231" customFormat="1" x14ac:dyDescent="0.3">
      <c r="C31" s="2729" t="s">
        <v>1413</v>
      </c>
      <c r="D31" s="2729"/>
      <c r="E31" s="2729"/>
      <c r="F31" s="2729"/>
      <c r="G31" s="2729"/>
      <c r="H31" s="2729"/>
      <c r="I31" s="2729"/>
      <c r="J31" s="2729"/>
      <c r="K31" s="2729"/>
      <c r="L31" s="2729"/>
      <c r="M31" s="2729"/>
      <c r="N31" s="2729"/>
      <c r="O31" s="2729"/>
      <c r="P31" s="2729"/>
      <c r="Q31" s="2729"/>
      <c r="R31" s="2729"/>
      <c r="S31" s="2729"/>
      <c r="T31" s="2729"/>
      <c r="U31" s="2729"/>
      <c r="V31" s="2729"/>
      <c r="W31" s="2729"/>
      <c r="X31" s="2729"/>
      <c r="Y31" s="2729"/>
      <c r="Z31" s="2729"/>
      <c r="AA31" s="2729"/>
      <c r="AB31" s="2729"/>
      <c r="AC31" s="2729"/>
      <c r="AD31" s="2729"/>
      <c r="AE31" s="2729"/>
      <c r="AF31" s="2729"/>
      <c r="AG31" s="2729"/>
      <c r="AH31" s="2729"/>
      <c r="AI31" s="2729"/>
      <c r="AJ31" s="2729"/>
      <c r="AK31" s="2729"/>
      <c r="AL31" s="2729"/>
      <c r="AM31" s="2729"/>
      <c r="AN31" s="2729"/>
      <c r="AO31" s="2729"/>
      <c r="AP31" s="2729"/>
      <c r="AQ31" s="2729"/>
      <c r="AR31" s="2729"/>
    </row>
    <row r="32" spans="2:44" s="87" customFormat="1" x14ac:dyDescent="0.3">
      <c r="B32" s="2683" t="s">
        <v>1456</v>
      </c>
      <c r="C32" s="2683"/>
      <c r="D32" s="2683"/>
      <c r="E32" s="2683"/>
      <c r="F32" s="2683"/>
      <c r="G32" s="2683"/>
      <c r="H32" s="2683"/>
      <c r="I32" s="2683"/>
      <c r="J32" s="2683"/>
      <c r="K32" s="2683"/>
      <c r="L32" s="2683"/>
      <c r="M32" s="2683"/>
      <c r="N32" s="2683"/>
      <c r="O32" s="2683"/>
      <c r="P32" s="2683"/>
      <c r="Q32" s="2683"/>
      <c r="R32" s="2683"/>
      <c r="S32" s="2683"/>
      <c r="T32" s="2683"/>
      <c r="U32" s="2683"/>
      <c r="V32" s="2683"/>
      <c r="W32" s="2683"/>
      <c r="X32" s="2683"/>
      <c r="Y32" s="2683"/>
      <c r="Z32" s="2683"/>
      <c r="AA32" s="2683"/>
      <c r="AB32" s="2683"/>
      <c r="AC32" s="2683"/>
      <c r="AD32" s="2683"/>
      <c r="AE32" s="2683"/>
      <c r="AF32" s="2683"/>
      <c r="AG32" s="2683"/>
      <c r="AH32" s="2683"/>
      <c r="AI32" s="2683"/>
      <c r="AJ32" s="2683"/>
      <c r="AK32" s="2683"/>
      <c r="AL32" s="2683"/>
      <c r="AM32" s="2683"/>
      <c r="AN32" s="2683"/>
      <c r="AO32" s="2683"/>
      <c r="AP32" s="2683"/>
      <c r="AQ32" s="2683"/>
      <c r="AR32" s="2683"/>
    </row>
    <row r="33" spans="2:47" s="231" customFormat="1" x14ac:dyDescent="0.3">
      <c r="C33" s="2728" t="s">
        <v>1416</v>
      </c>
      <c r="D33" s="2728"/>
      <c r="E33" s="2728"/>
      <c r="F33" s="2728"/>
      <c r="G33" s="2728"/>
      <c r="H33" s="2728"/>
      <c r="I33" s="2728"/>
      <c r="J33" s="2728"/>
      <c r="K33" s="2728"/>
      <c r="L33" s="2728"/>
      <c r="M33" s="2728"/>
      <c r="N33" s="2728"/>
      <c r="O33" s="2728"/>
      <c r="P33" s="2728"/>
      <c r="Q33" s="2728"/>
      <c r="R33" s="2728"/>
      <c r="S33" s="2728"/>
      <c r="T33" s="2728"/>
      <c r="U33" s="2728"/>
      <c r="V33" s="2728"/>
      <c r="W33" s="2728"/>
      <c r="X33" s="2728"/>
      <c r="Y33" s="2728"/>
      <c r="Z33" s="2728"/>
      <c r="AA33" s="2728"/>
      <c r="AB33" s="2728"/>
      <c r="AC33" s="2728"/>
      <c r="AD33" s="2728"/>
      <c r="AE33" s="2728"/>
      <c r="AF33" s="2728"/>
      <c r="AG33" s="2728"/>
      <c r="AH33" s="2728"/>
      <c r="AI33" s="2728"/>
      <c r="AJ33" s="2728"/>
      <c r="AK33" s="2728"/>
      <c r="AL33" s="2728"/>
      <c r="AM33" s="2728"/>
      <c r="AN33" s="2728"/>
      <c r="AO33" s="2728"/>
      <c r="AP33" s="2728"/>
      <c r="AQ33" s="2728"/>
      <c r="AR33" s="2728"/>
    </row>
    <row r="34" spans="2:47" s="231" customFormat="1" x14ac:dyDescent="0.3">
      <c r="C34" s="2728" t="s">
        <v>1417</v>
      </c>
      <c r="D34" s="2728"/>
      <c r="E34" s="2728"/>
      <c r="F34" s="2728"/>
      <c r="G34" s="2728"/>
      <c r="H34" s="2728"/>
      <c r="I34" s="2728"/>
      <c r="J34" s="2728"/>
      <c r="K34" s="2728"/>
      <c r="L34" s="2728"/>
      <c r="M34" s="2728"/>
      <c r="N34" s="2728"/>
      <c r="O34" s="2728"/>
      <c r="P34" s="2728"/>
      <c r="Q34" s="2728"/>
      <c r="R34" s="2728"/>
      <c r="S34" s="2728"/>
      <c r="T34" s="2728"/>
      <c r="U34" s="2728"/>
      <c r="V34" s="2728"/>
      <c r="W34" s="2728"/>
      <c r="X34" s="2728"/>
      <c r="Y34" s="2728"/>
      <c r="Z34" s="2728"/>
      <c r="AA34" s="2728"/>
      <c r="AB34" s="2728"/>
      <c r="AC34" s="2728"/>
      <c r="AD34" s="2728"/>
      <c r="AE34" s="2728"/>
      <c r="AF34" s="2728"/>
      <c r="AG34" s="2728"/>
      <c r="AH34" s="2728"/>
      <c r="AI34" s="2728"/>
      <c r="AJ34" s="2728"/>
      <c r="AK34" s="2728"/>
      <c r="AL34" s="2728"/>
      <c r="AM34" s="2728"/>
      <c r="AN34" s="2728"/>
      <c r="AO34" s="2728"/>
      <c r="AP34" s="2728"/>
      <c r="AQ34" s="2728"/>
      <c r="AR34" s="2728"/>
    </row>
    <row r="35" spans="2:47" s="231" customFormat="1" x14ac:dyDescent="0.3">
      <c r="C35" s="2729" t="s">
        <v>1418</v>
      </c>
      <c r="D35" s="2729"/>
      <c r="E35" s="2729"/>
      <c r="F35" s="2729"/>
      <c r="G35" s="2729"/>
      <c r="H35" s="2729"/>
      <c r="I35" s="2729"/>
      <c r="J35" s="2729"/>
      <c r="K35" s="2729"/>
      <c r="L35" s="2729"/>
      <c r="M35" s="2729"/>
      <c r="N35" s="2729"/>
      <c r="O35" s="2729"/>
      <c r="P35" s="2729"/>
      <c r="Q35" s="2729"/>
      <c r="R35" s="2729"/>
      <c r="S35" s="2729"/>
      <c r="T35" s="2729"/>
      <c r="U35" s="2729"/>
      <c r="V35" s="2729"/>
      <c r="W35" s="2729"/>
      <c r="X35" s="2729"/>
      <c r="Y35" s="2729"/>
      <c r="Z35" s="2729"/>
      <c r="AA35" s="2729"/>
      <c r="AB35" s="2729"/>
      <c r="AC35" s="2729"/>
      <c r="AD35" s="2729"/>
      <c r="AE35" s="2729"/>
      <c r="AF35" s="2729"/>
      <c r="AG35" s="2729"/>
      <c r="AH35" s="2729"/>
      <c r="AI35" s="2729"/>
      <c r="AJ35" s="2729"/>
      <c r="AK35" s="2729"/>
      <c r="AL35" s="2729"/>
      <c r="AM35" s="2729"/>
      <c r="AN35" s="2729"/>
      <c r="AO35" s="2729"/>
      <c r="AP35" s="2729"/>
      <c r="AQ35" s="2729"/>
      <c r="AR35" s="2729"/>
    </row>
    <row r="36" spans="2:47" s="231" customFormat="1" x14ac:dyDescent="0.3">
      <c r="C36" s="2729" t="s">
        <v>1419</v>
      </c>
      <c r="D36" s="2729"/>
      <c r="E36" s="2729"/>
      <c r="F36" s="2729"/>
      <c r="G36" s="2729"/>
      <c r="H36" s="2729"/>
      <c r="I36" s="2729"/>
      <c r="J36" s="2729"/>
      <c r="K36" s="2729"/>
      <c r="L36" s="2729"/>
      <c r="M36" s="2729"/>
      <c r="N36" s="2729"/>
      <c r="O36" s="2729"/>
      <c r="P36" s="2729"/>
      <c r="Q36" s="2729"/>
      <c r="R36" s="2729"/>
      <c r="S36" s="2729"/>
      <c r="T36" s="2729"/>
      <c r="U36" s="2729"/>
      <c r="V36" s="2729"/>
      <c r="W36" s="2729"/>
      <c r="X36" s="2729"/>
      <c r="Y36" s="2729"/>
      <c r="Z36" s="2729"/>
      <c r="AA36" s="2729"/>
      <c r="AB36" s="2729"/>
      <c r="AC36" s="2729"/>
      <c r="AD36" s="2729"/>
      <c r="AE36" s="2729"/>
      <c r="AF36" s="2729"/>
      <c r="AG36" s="2729"/>
      <c r="AH36" s="2729"/>
      <c r="AI36" s="2729"/>
      <c r="AJ36" s="2729"/>
      <c r="AK36" s="2729"/>
      <c r="AL36" s="2729"/>
      <c r="AM36" s="2729"/>
      <c r="AN36" s="2729"/>
      <c r="AO36" s="2729"/>
      <c r="AP36" s="2729"/>
      <c r="AQ36" s="2729"/>
      <c r="AR36" s="2729"/>
    </row>
    <row r="37" spans="2:47" s="87" customFormat="1" ht="14" customHeight="1" x14ac:dyDescent="0.3">
      <c r="B37" s="2730" t="s">
        <v>1458</v>
      </c>
      <c r="C37" s="2730"/>
      <c r="D37" s="2730"/>
      <c r="E37" s="2730"/>
      <c r="F37" s="2730"/>
      <c r="G37" s="2730"/>
      <c r="H37" s="2730"/>
      <c r="I37" s="2730"/>
      <c r="J37" s="2730"/>
      <c r="K37" s="2730"/>
      <c r="L37" s="2730"/>
      <c r="M37" s="2730"/>
      <c r="N37" s="2730"/>
      <c r="O37" s="2730"/>
      <c r="P37" s="2730"/>
      <c r="Q37" s="2730"/>
      <c r="R37" s="2730"/>
      <c r="S37" s="2730"/>
      <c r="T37" s="2730"/>
      <c r="U37" s="2730"/>
      <c r="V37" s="2730"/>
      <c r="W37" s="2730"/>
      <c r="X37" s="2730"/>
      <c r="Y37" s="2730"/>
      <c r="Z37" s="2730"/>
      <c r="AA37" s="2730"/>
      <c r="AB37" s="2730"/>
      <c r="AC37" s="2730"/>
      <c r="AD37" s="2730"/>
      <c r="AE37" s="2730"/>
      <c r="AF37" s="2730"/>
      <c r="AG37" s="2730"/>
      <c r="AH37" s="2730"/>
      <c r="AI37" s="2730"/>
      <c r="AJ37" s="2730"/>
      <c r="AK37" s="2730"/>
      <c r="AL37" s="2730"/>
      <c r="AM37" s="2730"/>
      <c r="AN37" s="2730"/>
      <c r="AO37" s="2730"/>
      <c r="AP37" s="2730"/>
      <c r="AQ37" s="2730"/>
      <c r="AR37" s="2730"/>
    </row>
    <row r="38" spans="2:47" s="87" customFormat="1" ht="14" customHeight="1" x14ac:dyDescent="0.3">
      <c r="B38" s="2730" t="s">
        <v>1459</v>
      </c>
      <c r="C38" s="2730"/>
      <c r="D38" s="2730"/>
      <c r="E38" s="2730"/>
      <c r="F38" s="2730"/>
      <c r="G38" s="2730"/>
      <c r="H38" s="2730"/>
      <c r="I38" s="2730"/>
      <c r="J38" s="2730"/>
      <c r="K38" s="2730"/>
      <c r="L38" s="2730"/>
      <c r="M38" s="2730"/>
      <c r="N38" s="2730"/>
      <c r="O38" s="2730"/>
      <c r="P38" s="2730"/>
      <c r="Q38" s="2730"/>
      <c r="R38" s="2730"/>
      <c r="S38" s="2730"/>
      <c r="T38" s="2730"/>
      <c r="U38" s="2730"/>
      <c r="V38" s="2730"/>
      <c r="W38" s="2730"/>
      <c r="X38" s="2730"/>
      <c r="Y38" s="2730"/>
      <c r="Z38" s="2730"/>
      <c r="AA38" s="2730"/>
      <c r="AB38" s="2730"/>
      <c r="AC38" s="2730"/>
      <c r="AD38" s="2730"/>
      <c r="AE38" s="2730"/>
      <c r="AF38" s="2730"/>
      <c r="AG38" s="2730"/>
      <c r="AH38" s="2730"/>
      <c r="AI38" s="2730"/>
      <c r="AJ38" s="2730"/>
      <c r="AK38" s="2730"/>
      <c r="AL38" s="2730"/>
      <c r="AM38" s="2730"/>
      <c r="AN38" s="2730"/>
      <c r="AO38" s="2730"/>
      <c r="AP38" s="2730"/>
      <c r="AQ38" s="2730"/>
      <c r="AR38" s="2730"/>
    </row>
    <row r="39" spans="2:47" s="87" customFormat="1" x14ac:dyDescent="0.3">
      <c r="B39" s="571"/>
      <c r="C39" s="571"/>
      <c r="D39" s="571"/>
      <c r="E39" s="571"/>
      <c r="F39" s="571"/>
      <c r="G39" s="571"/>
      <c r="H39" s="571"/>
      <c r="I39" s="571"/>
      <c r="J39" s="571"/>
      <c r="K39" s="571"/>
      <c r="L39" s="571"/>
      <c r="M39" s="571"/>
      <c r="N39" s="571"/>
      <c r="O39" s="571"/>
      <c r="P39" s="571"/>
      <c r="Q39" s="571"/>
      <c r="R39" s="571"/>
      <c r="S39" s="571"/>
      <c r="T39" s="571"/>
      <c r="U39" s="571"/>
      <c r="V39" s="571"/>
      <c r="W39" s="571"/>
      <c r="X39" s="571"/>
      <c r="Y39" s="571"/>
      <c r="Z39" s="571"/>
      <c r="AA39" s="571"/>
      <c r="AB39" s="571"/>
      <c r="AC39" s="571"/>
      <c r="AD39" s="571"/>
      <c r="AE39" s="571"/>
      <c r="AF39" s="571"/>
      <c r="AG39" s="571"/>
      <c r="AH39" s="571"/>
      <c r="AI39" s="571"/>
      <c r="AJ39" s="571"/>
      <c r="AK39" s="571"/>
      <c r="AL39" s="571"/>
      <c r="AM39" s="571"/>
      <c r="AN39" s="571"/>
      <c r="AO39" s="571"/>
      <c r="AP39" s="571"/>
      <c r="AQ39" s="571"/>
    </row>
    <row r="40" spans="2:47" s="124" customFormat="1" ht="16.5" x14ac:dyDescent="0.3">
      <c r="B40" s="2723" t="s">
        <v>1420</v>
      </c>
      <c r="C40" s="2723"/>
      <c r="D40" s="2723"/>
      <c r="E40" s="2723"/>
      <c r="F40" s="2723"/>
      <c r="G40" s="2723"/>
      <c r="H40" s="2723"/>
      <c r="I40" s="2723"/>
      <c r="J40" s="2723"/>
      <c r="K40" s="2723"/>
      <c r="L40" s="2723"/>
      <c r="M40" s="2723"/>
      <c r="N40" s="2723"/>
      <c r="O40" s="2723"/>
      <c r="P40" s="2723"/>
      <c r="Q40" s="2723"/>
      <c r="R40" s="2723"/>
      <c r="S40" s="2723"/>
      <c r="T40" s="2723"/>
      <c r="U40" s="2723"/>
      <c r="V40" s="2723"/>
      <c r="W40" s="2723"/>
      <c r="X40" s="2723"/>
      <c r="Y40" s="2723"/>
      <c r="Z40" s="2723"/>
      <c r="AA40" s="2723"/>
      <c r="AB40" s="2723"/>
      <c r="AC40" s="2723"/>
      <c r="AD40" s="2723"/>
      <c r="AE40" s="2723"/>
      <c r="AF40" s="2723"/>
      <c r="AG40" s="2723"/>
      <c r="AH40" s="2723"/>
      <c r="AI40" s="2723"/>
      <c r="AJ40" s="2723"/>
      <c r="AK40" s="2723"/>
      <c r="AL40" s="2723"/>
      <c r="AM40" s="2723"/>
      <c r="AN40" s="2723"/>
      <c r="AO40" s="2723"/>
      <c r="AP40" s="2723"/>
      <c r="AQ40" s="2723"/>
      <c r="AR40" s="2723"/>
    </row>
    <row r="41" spans="2:47" s="124" customFormat="1" ht="30.75" customHeight="1" x14ac:dyDescent="0.3">
      <c r="B41" s="227"/>
      <c r="C41" s="227"/>
      <c r="D41" s="227"/>
    </row>
    <row r="42" spans="2:47" s="73" customFormat="1" x14ac:dyDescent="0.3">
      <c r="B42" s="74" t="s">
        <v>913</v>
      </c>
      <c r="R42" s="74" t="s">
        <v>907</v>
      </c>
      <c r="S42" s="74"/>
      <c r="AG42" s="74" t="s">
        <v>922</v>
      </c>
    </row>
    <row r="43" spans="2:47" s="73" customFormat="1" ht="21.75" customHeight="1" x14ac:dyDescent="0.3">
      <c r="B43" s="74" t="s">
        <v>780</v>
      </c>
      <c r="F43" s="1482" t="str">
        <f>SchInfo!F38</f>
        <v>MELCHESIEDICK Q. BOLANIO/ March 17, 2023</v>
      </c>
      <c r="G43" s="1482"/>
      <c r="H43" s="1482"/>
      <c r="I43" s="1482"/>
      <c r="J43" s="1482"/>
      <c r="K43" s="1482"/>
      <c r="L43" s="1482"/>
      <c r="M43" s="1482"/>
      <c r="N43" s="1482"/>
      <c r="R43" s="1484" t="str">
        <f>Table25!S39</f>
        <v>ANNE VALERIE KERSTEINE I. VILLANUEVA /  May 17, 2022</v>
      </c>
      <c r="S43" s="1484"/>
      <c r="T43" s="1484"/>
      <c r="U43" s="1484"/>
      <c r="V43" s="1484"/>
      <c r="W43" s="1484"/>
      <c r="X43" s="1484"/>
      <c r="Y43" s="1484"/>
      <c r="Z43" s="1484"/>
      <c r="AA43" s="1484"/>
      <c r="AB43" s="1484"/>
      <c r="AC43" s="1484"/>
      <c r="AD43" s="76"/>
      <c r="AE43" s="76"/>
      <c r="AG43" s="1484" t="str">
        <f>SchInfo!R38</f>
        <v>MICHAEL T. JAMIS   /  March 17, 2023</v>
      </c>
      <c r="AH43" s="1484"/>
      <c r="AI43" s="1484"/>
      <c r="AJ43" s="1484"/>
      <c r="AK43" s="1484"/>
      <c r="AL43" s="1484"/>
      <c r="AM43" s="1484"/>
      <c r="AN43" s="1484"/>
      <c r="AO43" s="1484"/>
      <c r="AP43" s="1484"/>
      <c r="AQ43" s="1484"/>
      <c r="AR43" s="1484"/>
      <c r="AS43" s="76"/>
    </row>
    <row r="44" spans="2:47" s="68" customFormat="1" x14ac:dyDescent="0.3">
      <c r="B44" s="210"/>
      <c r="F44" s="1452" t="s">
        <v>779</v>
      </c>
      <c r="G44" s="1452"/>
      <c r="H44" s="1452"/>
      <c r="I44" s="1452"/>
      <c r="J44" s="1452"/>
      <c r="K44" s="1452"/>
      <c r="L44" s="1452"/>
      <c r="M44" s="1452"/>
      <c r="N44" s="1452"/>
      <c r="O44" s="210"/>
      <c r="P44" s="210"/>
      <c r="Q44" s="210"/>
      <c r="R44" s="1485"/>
      <c r="S44" s="1485"/>
      <c r="T44" s="1485"/>
      <c r="U44" s="1485"/>
      <c r="V44" s="1485"/>
      <c r="W44" s="1485"/>
      <c r="X44" s="1485"/>
      <c r="Y44" s="1485"/>
      <c r="Z44" s="1485"/>
      <c r="AA44" s="1485"/>
      <c r="AB44" s="1485"/>
      <c r="AC44" s="1485"/>
      <c r="AD44" s="76"/>
      <c r="AE44" s="76"/>
      <c r="AF44" s="73"/>
      <c r="AG44" s="1485"/>
      <c r="AH44" s="1485"/>
      <c r="AI44" s="1485"/>
      <c r="AJ44" s="1485"/>
      <c r="AK44" s="1485"/>
      <c r="AL44" s="1485"/>
      <c r="AM44" s="1485"/>
      <c r="AN44" s="1485"/>
      <c r="AO44" s="1485"/>
      <c r="AP44" s="1485"/>
      <c r="AQ44" s="1485"/>
      <c r="AR44" s="1485"/>
      <c r="AS44" s="76"/>
      <c r="AT44" s="73"/>
      <c r="AU44" s="210"/>
    </row>
    <row r="45" spans="2:47" s="73" customFormat="1" ht="21.75" customHeight="1" x14ac:dyDescent="0.3">
      <c r="B45" s="74" t="s">
        <v>784</v>
      </c>
      <c r="F45" s="1482" t="str">
        <f>SchInfo!F40</f>
        <v>Principal IV</v>
      </c>
      <c r="G45" s="1482"/>
      <c r="H45" s="1482"/>
      <c r="I45" s="1482"/>
      <c r="J45" s="1482"/>
      <c r="K45" s="1482"/>
      <c r="L45" s="1482"/>
      <c r="M45" s="1482"/>
      <c r="N45" s="1482"/>
      <c r="R45" s="1452" t="s">
        <v>779</v>
      </c>
      <c r="S45" s="1452"/>
      <c r="T45" s="1452"/>
      <c r="U45" s="1452"/>
      <c r="V45" s="1452"/>
      <c r="W45" s="1452"/>
      <c r="X45" s="1452"/>
      <c r="Y45" s="1452"/>
      <c r="Z45" s="1452"/>
      <c r="AA45" s="1452"/>
      <c r="AB45" s="1452"/>
      <c r="AC45" s="1452"/>
      <c r="AD45" s="220"/>
      <c r="AE45" s="220"/>
      <c r="AF45" s="63"/>
      <c r="AG45" s="1452" t="s">
        <v>779</v>
      </c>
      <c r="AH45" s="1452"/>
      <c r="AI45" s="1452"/>
      <c r="AJ45" s="1452"/>
      <c r="AK45" s="1452"/>
      <c r="AL45" s="1452"/>
      <c r="AM45" s="1452"/>
      <c r="AN45" s="1452"/>
      <c r="AO45" s="1452"/>
      <c r="AP45" s="1452"/>
      <c r="AQ45" s="1452"/>
      <c r="AR45" s="1452"/>
      <c r="AS45" s="220"/>
      <c r="AT45" s="210"/>
    </row>
    <row r="46" spans="2:47" x14ac:dyDescent="0.3">
      <c r="AD46" s="73"/>
      <c r="AE46" s="73"/>
      <c r="AF46" s="73"/>
      <c r="AS46" s="73"/>
    </row>
  </sheetData>
  <sheetProtection algorithmName="SHA-512" hashValue="SLwdPsxnEBKvDYvaXsaq/0si3nzwTc8De11CEuPgA0BxIv+BNzp19rT74rlE85vvgurCNWLhd6WTop1IXPlmJg==" saltValue="7xlWz+IK3lUjmsvZD8U4zA==" spinCount="100000" sheet="1" objects="1" scenarios="1"/>
  <mergeCells count="52">
    <mergeCell ref="C28:AR28"/>
    <mergeCell ref="C29:AR29"/>
    <mergeCell ref="C30:AR30"/>
    <mergeCell ref="C31:AR31"/>
    <mergeCell ref="C33:AR33"/>
    <mergeCell ref="AK16:AR18"/>
    <mergeCell ref="B19:I21"/>
    <mergeCell ref="B4:I4"/>
    <mergeCell ref="B5:I6"/>
    <mergeCell ref="J4:T4"/>
    <mergeCell ref="J5:T5"/>
    <mergeCell ref="B7:I9"/>
    <mergeCell ref="U4:AB4"/>
    <mergeCell ref="U5:AB5"/>
    <mergeCell ref="AC4:AJ4"/>
    <mergeCell ref="AK4:AR4"/>
    <mergeCell ref="AK5:AR6"/>
    <mergeCell ref="AC5:AJ5"/>
    <mergeCell ref="AC19:AJ21"/>
    <mergeCell ref="AK19:AR21"/>
    <mergeCell ref="F43:N43"/>
    <mergeCell ref="F44:N44"/>
    <mergeCell ref="U7:AB9"/>
    <mergeCell ref="B26:AR26"/>
    <mergeCell ref="B22:AR22"/>
    <mergeCell ref="AC7:AJ9"/>
    <mergeCell ref="AK7:AR9"/>
    <mergeCell ref="B10:I12"/>
    <mergeCell ref="U10:AB12"/>
    <mergeCell ref="AC10:AJ12"/>
    <mergeCell ref="AK10:AR12"/>
    <mergeCell ref="B13:I15"/>
    <mergeCell ref="U13:AB15"/>
    <mergeCell ref="AC13:AJ15"/>
    <mergeCell ref="AK13:AR15"/>
    <mergeCell ref="AC16:AJ18"/>
    <mergeCell ref="F45:N45"/>
    <mergeCell ref="B16:I18"/>
    <mergeCell ref="U16:AB18"/>
    <mergeCell ref="C34:AR34"/>
    <mergeCell ref="C35:AR35"/>
    <mergeCell ref="C36:AR36"/>
    <mergeCell ref="B37:AR37"/>
    <mergeCell ref="B38:AR38"/>
    <mergeCell ref="R45:AC45"/>
    <mergeCell ref="AG45:AR45"/>
    <mergeCell ref="B32:AR32"/>
    <mergeCell ref="R43:AC44"/>
    <mergeCell ref="AG43:AR44"/>
    <mergeCell ref="C27:AR27"/>
    <mergeCell ref="B40:AR40"/>
    <mergeCell ref="U19:AB21"/>
  </mergeCells>
  <dataValidations count="1">
    <dataValidation type="decimal" allowBlank="1" showErrorMessage="1" errorTitle="GJHSP SY 2022-2023" error="Please enter valid number between 0-1,000,000.00." sqref="AC7:AJ21" xr:uid="{FD16E9C5-45D9-41EA-A862-A4DBA0A316CA}">
      <formula1>0</formula1>
      <formula2>1000000</formula2>
    </dataValidation>
  </dataValidations>
  <printOptions horizontalCentered="1" verticalCentered="1"/>
  <pageMargins left="0.23622047244094491" right="0.23622047244094491" top="0.19685039370078741" bottom="0.19685039370078741" header="0" footer="0.11811023622047245"/>
  <pageSetup paperSize="14" scale="75" orientation="landscape" r:id="rId1"/>
  <headerFooter alignWithMargins="0">
    <oddFooter>&amp;L&amp;10&amp;F &amp;A&amp;R&amp;10Page 22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37889" r:id="rId4" name="Check Box 1">
              <controlPr defaultSize="0" autoFill="0" autoLine="0" autoPict="0">
                <anchor moveWithCells="1">
                  <from>
                    <xdr:col>9</xdr:col>
                    <xdr:colOff>31750</xdr:colOff>
                    <xdr:row>6</xdr:row>
                    <xdr:rowOff>0</xdr:rowOff>
                  </from>
                  <to>
                    <xdr:col>10</xdr:col>
                    <xdr:colOff>6350</xdr:colOff>
                    <xdr:row>7</xdr:row>
                    <xdr:rowOff>12700</xdr:rowOff>
                  </to>
                </anchor>
              </controlPr>
            </control>
          </mc:Choice>
        </mc:AlternateContent>
        <mc:AlternateContent xmlns:mc="http://schemas.openxmlformats.org/markup-compatibility/2006">
          <mc:Choice Requires="x14">
            <control shapeId="37890" r:id="rId5" name="Check Box 2">
              <controlPr defaultSize="0" autoFill="0" autoLine="0" autoPict="0">
                <anchor moveWithCells="1">
                  <from>
                    <xdr:col>9</xdr:col>
                    <xdr:colOff>31750</xdr:colOff>
                    <xdr:row>7</xdr:row>
                    <xdr:rowOff>0</xdr:rowOff>
                  </from>
                  <to>
                    <xdr:col>10</xdr:col>
                    <xdr:colOff>6350</xdr:colOff>
                    <xdr:row>8</xdr:row>
                    <xdr:rowOff>25400</xdr:rowOff>
                  </to>
                </anchor>
              </controlPr>
            </control>
          </mc:Choice>
        </mc:AlternateContent>
        <mc:AlternateContent xmlns:mc="http://schemas.openxmlformats.org/markup-compatibility/2006">
          <mc:Choice Requires="x14">
            <control shapeId="37891" r:id="rId6" name="Check Box 3">
              <controlPr defaultSize="0" autoFill="0" autoLine="0" autoPict="0">
                <anchor moveWithCells="1">
                  <from>
                    <xdr:col>9</xdr:col>
                    <xdr:colOff>31750</xdr:colOff>
                    <xdr:row>8</xdr:row>
                    <xdr:rowOff>0</xdr:rowOff>
                  </from>
                  <to>
                    <xdr:col>10</xdr:col>
                    <xdr:colOff>6350</xdr:colOff>
                    <xdr:row>9</xdr:row>
                    <xdr:rowOff>25400</xdr:rowOff>
                  </to>
                </anchor>
              </controlPr>
            </control>
          </mc:Choice>
        </mc:AlternateContent>
        <mc:AlternateContent xmlns:mc="http://schemas.openxmlformats.org/markup-compatibility/2006">
          <mc:Choice Requires="x14">
            <control shapeId="37892" r:id="rId7" name="Check Box 4">
              <controlPr defaultSize="0" autoFill="0" autoLine="0" autoPict="0">
                <anchor moveWithCells="1">
                  <from>
                    <xdr:col>15</xdr:col>
                    <xdr:colOff>31750</xdr:colOff>
                    <xdr:row>6</xdr:row>
                    <xdr:rowOff>0</xdr:rowOff>
                  </from>
                  <to>
                    <xdr:col>16</xdr:col>
                    <xdr:colOff>6350</xdr:colOff>
                    <xdr:row>7</xdr:row>
                    <xdr:rowOff>12700</xdr:rowOff>
                  </to>
                </anchor>
              </controlPr>
            </control>
          </mc:Choice>
        </mc:AlternateContent>
        <mc:AlternateContent xmlns:mc="http://schemas.openxmlformats.org/markup-compatibility/2006">
          <mc:Choice Requires="x14">
            <control shapeId="37893" r:id="rId8" name="Check Box 5">
              <controlPr defaultSize="0" autoFill="0" autoLine="0" autoPict="0">
                <anchor moveWithCells="1">
                  <from>
                    <xdr:col>15</xdr:col>
                    <xdr:colOff>31750</xdr:colOff>
                    <xdr:row>7</xdr:row>
                    <xdr:rowOff>0</xdr:rowOff>
                  </from>
                  <to>
                    <xdr:col>16</xdr:col>
                    <xdr:colOff>6350</xdr:colOff>
                    <xdr:row>8</xdr:row>
                    <xdr:rowOff>25400</xdr:rowOff>
                  </to>
                </anchor>
              </controlPr>
            </control>
          </mc:Choice>
        </mc:AlternateContent>
        <mc:AlternateContent xmlns:mc="http://schemas.openxmlformats.org/markup-compatibility/2006">
          <mc:Choice Requires="x14">
            <control shapeId="37894" r:id="rId9" name="Check Box 6">
              <controlPr defaultSize="0" autoFill="0" autoLine="0" autoPict="0">
                <anchor moveWithCells="1">
                  <from>
                    <xdr:col>9</xdr:col>
                    <xdr:colOff>31750</xdr:colOff>
                    <xdr:row>9</xdr:row>
                    <xdr:rowOff>0</xdr:rowOff>
                  </from>
                  <to>
                    <xdr:col>10</xdr:col>
                    <xdr:colOff>6350</xdr:colOff>
                    <xdr:row>10</xdr:row>
                    <xdr:rowOff>25400</xdr:rowOff>
                  </to>
                </anchor>
              </controlPr>
            </control>
          </mc:Choice>
        </mc:AlternateContent>
        <mc:AlternateContent xmlns:mc="http://schemas.openxmlformats.org/markup-compatibility/2006">
          <mc:Choice Requires="x14">
            <control shapeId="37895" r:id="rId10" name="Check Box 7">
              <controlPr defaultSize="0" autoFill="0" autoLine="0" autoPict="0">
                <anchor moveWithCells="1">
                  <from>
                    <xdr:col>9</xdr:col>
                    <xdr:colOff>31750</xdr:colOff>
                    <xdr:row>10</xdr:row>
                    <xdr:rowOff>0</xdr:rowOff>
                  </from>
                  <to>
                    <xdr:col>10</xdr:col>
                    <xdr:colOff>6350</xdr:colOff>
                    <xdr:row>11</xdr:row>
                    <xdr:rowOff>25400</xdr:rowOff>
                  </to>
                </anchor>
              </controlPr>
            </control>
          </mc:Choice>
        </mc:AlternateContent>
        <mc:AlternateContent xmlns:mc="http://schemas.openxmlformats.org/markup-compatibility/2006">
          <mc:Choice Requires="x14">
            <control shapeId="37896" r:id="rId11" name="Check Box 8">
              <controlPr defaultSize="0" autoFill="0" autoLine="0" autoPict="0">
                <anchor moveWithCells="1">
                  <from>
                    <xdr:col>9</xdr:col>
                    <xdr:colOff>31750</xdr:colOff>
                    <xdr:row>11</xdr:row>
                    <xdr:rowOff>0</xdr:rowOff>
                  </from>
                  <to>
                    <xdr:col>10</xdr:col>
                    <xdr:colOff>6350</xdr:colOff>
                    <xdr:row>12</xdr:row>
                    <xdr:rowOff>25400</xdr:rowOff>
                  </to>
                </anchor>
              </controlPr>
            </control>
          </mc:Choice>
        </mc:AlternateContent>
        <mc:AlternateContent xmlns:mc="http://schemas.openxmlformats.org/markup-compatibility/2006">
          <mc:Choice Requires="x14">
            <control shapeId="37897" r:id="rId12" name="Check Box 9">
              <controlPr defaultSize="0" autoFill="0" autoLine="0" autoPict="0">
                <anchor moveWithCells="1">
                  <from>
                    <xdr:col>15</xdr:col>
                    <xdr:colOff>31750</xdr:colOff>
                    <xdr:row>9</xdr:row>
                    <xdr:rowOff>0</xdr:rowOff>
                  </from>
                  <to>
                    <xdr:col>16</xdr:col>
                    <xdr:colOff>6350</xdr:colOff>
                    <xdr:row>10</xdr:row>
                    <xdr:rowOff>25400</xdr:rowOff>
                  </to>
                </anchor>
              </controlPr>
            </control>
          </mc:Choice>
        </mc:AlternateContent>
        <mc:AlternateContent xmlns:mc="http://schemas.openxmlformats.org/markup-compatibility/2006">
          <mc:Choice Requires="x14">
            <control shapeId="37898" r:id="rId13" name="Check Box 10">
              <controlPr defaultSize="0" autoFill="0" autoLine="0" autoPict="0">
                <anchor moveWithCells="1">
                  <from>
                    <xdr:col>15</xdr:col>
                    <xdr:colOff>31750</xdr:colOff>
                    <xdr:row>10</xdr:row>
                    <xdr:rowOff>0</xdr:rowOff>
                  </from>
                  <to>
                    <xdr:col>16</xdr:col>
                    <xdr:colOff>6350</xdr:colOff>
                    <xdr:row>11</xdr:row>
                    <xdr:rowOff>25400</xdr:rowOff>
                  </to>
                </anchor>
              </controlPr>
            </control>
          </mc:Choice>
        </mc:AlternateContent>
        <mc:AlternateContent xmlns:mc="http://schemas.openxmlformats.org/markup-compatibility/2006">
          <mc:Choice Requires="x14">
            <control shapeId="37899" r:id="rId14" name="Check Box 11">
              <controlPr defaultSize="0" autoFill="0" autoLine="0" autoPict="0">
                <anchor moveWithCells="1">
                  <from>
                    <xdr:col>9</xdr:col>
                    <xdr:colOff>31750</xdr:colOff>
                    <xdr:row>12</xdr:row>
                    <xdr:rowOff>0</xdr:rowOff>
                  </from>
                  <to>
                    <xdr:col>10</xdr:col>
                    <xdr:colOff>6350</xdr:colOff>
                    <xdr:row>13</xdr:row>
                    <xdr:rowOff>25400</xdr:rowOff>
                  </to>
                </anchor>
              </controlPr>
            </control>
          </mc:Choice>
        </mc:AlternateContent>
        <mc:AlternateContent xmlns:mc="http://schemas.openxmlformats.org/markup-compatibility/2006">
          <mc:Choice Requires="x14">
            <control shapeId="37900" r:id="rId15" name="Check Box 12">
              <controlPr defaultSize="0" autoFill="0" autoLine="0" autoPict="0">
                <anchor moveWithCells="1">
                  <from>
                    <xdr:col>9</xdr:col>
                    <xdr:colOff>31750</xdr:colOff>
                    <xdr:row>13</xdr:row>
                    <xdr:rowOff>0</xdr:rowOff>
                  </from>
                  <to>
                    <xdr:col>10</xdr:col>
                    <xdr:colOff>6350</xdr:colOff>
                    <xdr:row>14</xdr:row>
                    <xdr:rowOff>25400</xdr:rowOff>
                  </to>
                </anchor>
              </controlPr>
            </control>
          </mc:Choice>
        </mc:AlternateContent>
        <mc:AlternateContent xmlns:mc="http://schemas.openxmlformats.org/markup-compatibility/2006">
          <mc:Choice Requires="x14">
            <control shapeId="37901" r:id="rId16" name="Check Box 13">
              <controlPr defaultSize="0" autoFill="0" autoLine="0" autoPict="0">
                <anchor moveWithCells="1">
                  <from>
                    <xdr:col>9</xdr:col>
                    <xdr:colOff>31750</xdr:colOff>
                    <xdr:row>14</xdr:row>
                    <xdr:rowOff>0</xdr:rowOff>
                  </from>
                  <to>
                    <xdr:col>10</xdr:col>
                    <xdr:colOff>6350</xdr:colOff>
                    <xdr:row>15</xdr:row>
                    <xdr:rowOff>25400</xdr:rowOff>
                  </to>
                </anchor>
              </controlPr>
            </control>
          </mc:Choice>
        </mc:AlternateContent>
        <mc:AlternateContent xmlns:mc="http://schemas.openxmlformats.org/markup-compatibility/2006">
          <mc:Choice Requires="x14">
            <control shapeId="37902" r:id="rId17" name="Check Box 14">
              <controlPr defaultSize="0" autoFill="0" autoLine="0" autoPict="0">
                <anchor moveWithCells="1">
                  <from>
                    <xdr:col>15</xdr:col>
                    <xdr:colOff>31750</xdr:colOff>
                    <xdr:row>12</xdr:row>
                    <xdr:rowOff>0</xdr:rowOff>
                  </from>
                  <to>
                    <xdr:col>16</xdr:col>
                    <xdr:colOff>6350</xdr:colOff>
                    <xdr:row>13</xdr:row>
                    <xdr:rowOff>25400</xdr:rowOff>
                  </to>
                </anchor>
              </controlPr>
            </control>
          </mc:Choice>
        </mc:AlternateContent>
        <mc:AlternateContent xmlns:mc="http://schemas.openxmlformats.org/markup-compatibility/2006">
          <mc:Choice Requires="x14">
            <control shapeId="37903" r:id="rId18" name="Check Box 15">
              <controlPr defaultSize="0" autoFill="0" autoLine="0" autoPict="0">
                <anchor moveWithCells="1">
                  <from>
                    <xdr:col>15</xdr:col>
                    <xdr:colOff>31750</xdr:colOff>
                    <xdr:row>13</xdr:row>
                    <xdr:rowOff>0</xdr:rowOff>
                  </from>
                  <to>
                    <xdr:col>16</xdr:col>
                    <xdr:colOff>6350</xdr:colOff>
                    <xdr:row>14</xdr:row>
                    <xdr:rowOff>25400</xdr:rowOff>
                  </to>
                </anchor>
              </controlPr>
            </control>
          </mc:Choice>
        </mc:AlternateContent>
        <mc:AlternateContent xmlns:mc="http://schemas.openxmlformats.org/markup-compatibility/2006">
          <mc:Choice Requires="x14">
            <control shapeId="37904" r:id="rId19" name="Check Box 16">
              <controlPr defaultSize="0" autoFill="0" autoLine="0" autoPict="0">
                <anchor moveWithCells="1">
                  <from>
                    <xdr:col>9</xdr:col>
                    <xdr:colOff>31750</xdr:colOff>
                    <xdr:row>15</xdr:row>
                    <xdr:rowOff>0</xdr:rowOff>
                  </from>
                  <to>
                    <xdr:col>10</xdr:col>
                    <xdr:colOff>6350</xdr:colOff>
                    <xdr:row>16</xdr:row>
                    <xdr:rowOff>25400</xdr:rowOff>
                  </to>
                </anchor>
              </controlPr>
            </control>
          </mc:Choice>
        </mc:AlternateContent>
        <mc:AlternateContent xmlns:mc="http://schemas.openxmlformats.org/markup-compatibility/2006">
          <mc:Choice Requires="x14">
            <control shapeId="37905" r:id="rId20" name="Check Box 17">
              <controlPr defaultSize="0" autoFill="0" autoLine="0" autoPict="0">
                <anchor moveWithCells="1">
                  <from>
                    <xdr:col>9</xdr:col>
                    <xdr:colOff>31750</xdr:colOff>
                    <xdr:row>16</xdr:row>
                    <xdr:rowOff>0</xdr:rowOff>
                  </from>
                  <to>
                    <xdr:col>10</xdr:col>
                    <xdr:colOff>6350</xdr:colOff>
                    <xdr:row>17</xdr:row>
                    <xdr:rowOff>25400</xdr:rowOff>
                  </to>
                </anchor>
              </controlPr>
            </control>
          </mc:Choice>
        </mc:AlternateContent>
        <mc:AlternateContent xmlns:mc="http://schemas.openxmlformats.org/markup-compatibility/2006">
          <mc:Choice Requires="x14">
            <control shapeId="37906" r:id="rId21" name="Check Box 18">
              <controlPr defaultSize="0" autoFill="0" autoLine="0" autoPict="0">
                <anchor moveWithCells="1">
                  <from>
                    <xdr:col>9</xdr:col>
                    <xdr:colOff>31750</xdr:colOff>
                    <xdr:row>17</xdr:row>
                    <xdr:rowOff>0</xdr:rowOff>
                  </from>
                  <to>
                    <xdr:col>10</xdr:col>
                    <xdr:colOff>6350</xdr:colOff>
                    <xdr:row>18</xdr:row>
                    <xdr:rowOff>25400</xdr:rowOff>
                  </to>
                </anchor>
              </controlPr>
            </control>
          </mc:Choice>
        </mc:AlternateContent>
        <mc:AlternateContent xmlns:mc="http://schemas.openxmlformats.org/markup-compatibility/2006">
          <mc:Choice Requires="x14">
            <control shapeId="37907" r:id="rId22" name="Check Box 19">
              <controlPr defaultSize="0" autoFill="0" autoLine="0" autoPict="0">
                <anchor moveWithCells="1">
                  <from>
                    <xdr:col>15</xdr:col>
                    <xdr:colOff>31750</xdr:colOff>
                    <xdr:row>15</xdr:row>
                    <xdr:rowOff>0</xdr:rowOff>
                  </from>
                  <to>
                    <xdr:col>16</xdr:col>
                    <xdr:colOff>6350</xdr:colOff>
                    <xdr:row>16</xdr:row>
                    <xdr:rowOff>25400</xdr:rowOff>
                  </to>
                </anchor>
              </controlPr>
            </control>
          </mc:Choice>
        </mc:AlternateContent>
        <mc:AlternateContent xmlns:mc="http://schemas.openxmlformats.org/markup-compatibility/2006">
          <mc:Choice Requires="x14">
            <control shapeId="37908" r:id="rId23" name="Check Box 20">
              <controlPr defaultSize="0" autoFill="0" autoLine="0" autoPict="0">
                <anchor moveWithCells="1">
                  <from>
                    <xdr:col>15</xdr:col>
                    <xdr:colOff>31750</xdr:colOff>
                    <xdr:row>16</xdr:row>
                    <xdr:rowOff>0</xdr:rowOff>
                  </from>
                  <to>
                    <xdr:col>16</xdr:col>
                    <xdr:colOff>6350</xdr:colOff>
                    <xdr:row>17</xdr:row>
                    <xdr:rowOff>25400</xdr:rowOff>
                  </to>
                </anchor>
              </controlPr>
            </control>
          </mc:Choice>
        </mc:AlternateContent>
        <mc:AlternateContent xmlns:mc="http://schemas.openxmlformats.org/markup-compatibility/2006">
          <mc:Choice Requires="x14">
            <control shapeId="37909" r:id="rId24" name="Check Box 21">
              <controlPr defaultSize="0" autoFill="0" autoLine="0" autoPict="0">
                <anchor moveWithCells="1">
                  <from>
                    <xdr:col>9</xdr:col>
                    <xdr:colOff>31750</xdr:colOff>
                    <xdr:row>18</xdr:row>
                    <xdr:rowOff>0</xdr:rowOff>
                  </from>
                  <to>
                    <xdr:col>10</xdr:col>
                    <xdr:colOff>6350</xdr:colOff>
                    <xdr:row>19</xdr:row>
                    <xdr:rowOff>25400</xdr:rowOff>
                  </to>
                </anchor>
              </controlPr>
            </control>
          </mc:Choice>
        </mc:AlternateContent>
        <mc:AlternateContent xmlns:mc="http://schemas.openxmlformats.org/markup-compatibility/2006">
          <mc:Choice Requires="x14">
            <control shapeId="37910" r:id="rId25" name="Check Box 22">
              <controlPr defaultSize="0" autoFill="0" autoLine="0" autoPict="0">
                <anchor moveWithCells="1">
                  <from>
                    <xdr:col>9</xdr:col>
                    <xdr:colOff>31750</xdr:colOff>
                    <xdr:row>19</xdr:row>
                    <xdr:rowOff>0</xdr:rowOff>
                  </from>
                  <to>
                    <xdr:col>10</xdr:col>
                    <xdr:colOff>6350</xdr:colOff>
                    <xdr:row>20</xdr:row>
                    <xdr:rowOff>25400</xdr:rowOff>
                  </to>
                </anchor>
              </controlPr>
            </control>
          </mc:Choice>
        </mc:AlternateContent>
        <mc:AlternateContent xmlns:mc="http://schemas.openxmlformats.org/markup-compatibility/2006">
          <mc:Choice Requires="x14">
            <control shapeId="37911" r:id="rId26" name="Check Box 23">
              <controlPr defaultSize="0" autoFill="0" autoLine="0" autoPict="0">
                <anchor moveWithCells="1">
                  <from>
                    <xdr:col>9</xdr:col>
                    <xdr:colOff>31750</xdr:colOff>
                    <xdr:row>20</xdr:row>
                    <xdr:rowOff>0</xdr:rowOff>
                  </from>
                  <to>
                    <xdr:col>10</xdr:col>
                    <xdr:colOff>6350</xdr:colOff>
                    <xdr:row>21</xdr:row>
                    <xdr:rowOff>12700</xdr:rowOff>
                  </to>
                </anchor>
              </controlPr>
            </control>
          </mc:Choice>
        </mc:AlternateContent>
        <mc:AlternateContent xmlns:mc="http://schemas.openxmlformats.org/markup-compatibility/2006">
          <mc:Choice Requires="x14">
            <control shapeId="37912" r:id="rId27" name="Check Box 24">
              <controlPr defaultSize="0" autoFill="0" autoLine="0" autoPict="0">
                <anchor moveWithCells="1">
                  <from>
                    <xdr:col>15</xdr:col>
                    <xdr:colOff>31750</xdr:colOff>
                    <xdr:row>18</xdr:row>
                    <xdr:rowOff>0</xdr:rowOff>
                  </from>
                  <to>
                    <xdr:col>16</xdr:col>
                    <xdr:colOff>6350</xdr:colOff>
                    <xdr:row>19</xdr:row>
                    <xdr:rowOff>25400</xdr:rowOff>
                  </to>
                </anchor>
              </controlPr>
            </control>
          </mc:Choice>
        </mc:AlternateContent>
        <mc:AlternateContent xmlns:mc="http://schemas.openxmlformats.org/markup-compatibility/2006">
          <mc:Choice Requires="x14">
            <control shapeId="37913" r:id="rId28" name="Check Box 25">
              <controlPr defaultSize="0" autoFill="0" autoLine="0" autoPict="0">
                <anchor moveWithCells="1">
                  <from>
                    <xdr:col>15</xdr:col>
                    <xdr:colOff>31750</xdr:colOff>
                    <xdr:row>19</xdr:row>
                    <xdr:rowOff>0</xdr:rowOff>
                  </from>
                  <to>
                    <xdr:col>16</xdr:col>
                    <xdr:colOff>6350</xdr:colOff>
                    <xdr:row>20</xdr:row>
                    <xdr:rowOff>25400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3">
        <x14:dataValidation type="list" allowBlank="1" showInputMessage="1" showErrorMessage="1" errorTitle="GJHSP SY 2022-2023" error="Please select from the list provided." xr:uid="{B3FBF1A2-A93D-48E5-BE85-D9BDAF066F09}">
          <x14:formula1>
            <xm:f>dropdown!$J$1:$J$9</xm:f>
          </x14:formula1>
          <xm:sqref>B7:I21</xm:sqref>
        </x14:dataValidation>
        <x14:dataValidation type="list" allowBlank="1" showInputMessage="1" showErrorMessage="1" errorTitle="GJHSP SY 2022-2023" error="Please select from the list provided." xr:uid="{7CEA1B19-4900-4E5C-89E7-F380DF2B56D0}">
          <x14:formula1>
            <xm:f>dropdown!$M$1:$M$5</xm:f>
          </x14:formula1>
          <xm:sqref>U7:AB21</xm:sqref>
        </x14:dataValidation>
        <x14:dataValidation type="list" allowBlank="1" showInputMessage="1" showErrorMessage="1" errorTitle="GJHSP SY 2022-2023" error="Please select from the list provided." xr:uid="{0A53E256-8885-420F-A8F7-5CB078C58220}">
          <x14:formula1>
            <xm:f>dropdown!$G$1:$G$9</xm:f>
          </x14:formula1>
          <xm:sqref>AK7:AR21</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533A5-DBFD-40DF-BCA1-20B9C0CE230D}">
  <sheetPr codeName="Sheet54"/>
  <dimension ref="A1:BH34"/>
  <sheetViews>
    <sheetView showGridLines="0" topLeftCell="A3" zoomScaleNormal="100" workbookViewId="0">
      <selection activeCell="Z14" sqref="Z14:AG14"/>
    </sheetView>
  </sheetViews>
  <sheetFormatPr defaultColWidth="8" defaultRowHeight="14" x14ac:dyDescent="0.3"/>
  <cols>
    <col min="1" max="1" width="2.08203125" style="399" customWidth="1"/>
    <col min="2" max="33" width="3.58203125" style="399" customWidth="1"/>
    <col min="34" max="41" width="5" style="399" customWidth="1"/>
    <col min="42" max="42" width="2.08203125" style="399" customWidth="1"/>
    <col min="43" max="44" width="3.58203125" style="399" customWidth="1"/>
    <col min="45" max="45" width="2.08203125" style="399" customWidth="1"/>
    <col min="46" max="51" width="3.58203125" style="399" customWidth="1"/>
    <col min="52" max="16384" width="8" style="399"/>
  </cols>
  <sheetData>
    <row r="1" spans="1:55" ht="12" customHeight="1" x14ac:dyDescent="0.3"/>
    <row r="2" spans="1:55" s="44" customFormat="1" ht="15.5" x14ac:dyDescent="0.35">
      <c r="B2" s="415" t="s">
        <v>12714</v>
      </c>
      <c r="C2" s="576"/>
      <c r="D2" s="576"/>
      <c r="E2" s="576"/>
      <c r="F2" s="576"/>
    </row>
    <row r="3" spans="1:55" s="402" customFormat="1" ht="16" thickBot="1" x14ac:dyDescent="0.4">
      <c r="B3" s="419" t="s">
        <v>1098</v>
      </c>
    </row>
    <row r="4" spans="1:55" s="278" customFormat="1" ht="23" customHeight="1" thickTop="1" x14ac:dyDescent="0.3">
      <c r="A4" s="627"/>
      <c r="B4" s="2774" t="s">
        <v>1423</v>
      </c>
      <c r="C4" s="2750"/>
      <c r="D4" s="2750"/>
      <c r="E4" s="2750"/>
      <c r="F4" s="2750"/>
      <c r="G4" s="2750"/>
      <c r="H4" s="2750"/>
      <c r="I4" s="2750"/>
      <c r="J4" s="2775" t="s">
        <v>1424</v>
      </c>
      <c r="K4" s="2751"/>
      <c r="L4" s="2751"/>
      <c r="M4" s="2751"/>
      <c r="N4" s="2751"/>
      <c r="O4" s="2751"/>
      <c r="P4" s="2751"/>
      <c r="Q4" s="2776"/>
      <c r="R4" s="2750" t="s">
        <v>145</v>
      </c>
      <c r="S4" s="2751"/>
      <c r="T4" s="2751"/>
      <c r="U4" s="2751"/>
      <c r="V4" s="2751"/>
      <c r="W4" s="2751"/>
      <c r="X4" s="2751"/>
      <c r="Y4" s="2751"/>
      <c r="Z4" s="2775" t="s">
        <v>76</v>
      </c>
      <c r="AA4" s="2751"/>
      <c r="AB4" s="2751"/>
      <c r="AC4" s="2751"/>
      <c r="AD4" s="2751"/>
      <c r="AE4" s="2751"/>
      <c r="AF4" s="2751"/>
      <c r="AG4" s="2776"/>
      <c r="AH4" s="2750" t="s">
        <v>1425</v>
      </c>
      <c r="AI4" s="2751"/>
      <c r="AJ4" s="2751"/>
      <c r="AK4" s="2751"/>
      <c r="AL4" s="2751"/>
      <c r="AM4" s="2751"/>
      <c r="AN4" s="2751"/>
      <c r="AO4" s="2752"/>
      <c r="AP4" s="627"/>
      <c r="AQ4" s="627"/>
      <c r="AR4" s="627"/>
      <c r="AS4" s="627"/>
      <c r="AT4" s="627"/>
      <c r="AU4" s="627"/>
      <c r="AV4" s="627"/>
      <c r="AW4" s="627"/>
      <c r="AX4" s="627"/>
      <c r="AY4" s="627"/>
      <c r="AZ4" s="627"/>
      <c r="BA4" s="627"/>
      <c r="BB4" s="627"/>
      <c r="BC4" s="627"/>
    </row>
    <row r="5" spans="1:55" s="631" customFormat="1" ht="27" customHeight="1" x14ac:dyDescent="0.3">
      <c r="B5" s="2753" t="s">
        <v>1428</v>
      </c>
      <c r="C5" s="2754"/>
      <c r="D5" s="2754"/>
      <c r="E5" s="2754"/>
      <c r="F5" s="2754"/>
      <c r="G5" s="2754"/>
      <c r="H5" s="2754"/>
      <c r="I5" s="2754"/>
      <c r="J5" s="2757"/>
      <c r="K5" s="2758"/>
      <c r="L5" s="2758"/>
      <c r="M5" s="2758"/>
      <c r="N5" s="2758"/>
      <c r="O5" s="2758"/>
      <c r="P5" s="2758"/>
      <c r="Q5" s="2759"/>
      <c r="R5" s="2763" t="s">
        <v>1399</v>
      </c>
      <c r="S5" s="2758"/>
      <c r="T5" s="2758"/>
      <c r="U5" s="2758"/>
      <c r="V5" s="2758"/>
      <c r="W5" s="2758"/>
      <c r="X5" s="2758"/>
      <c r="Y5" s="2758"/>
      <c r="Z5" s="2764" t="s">
        <v>1401</v>
      </c>
      <c r="AA5" s="2765"/>
      <c r="AB5" s="2765"/>
      <c r="AC5" s="2765"/>
      <c r="AD5" s="2765"/>
      <c r="AE5" s="2765"/>
      <c r="AF5" s="2765"/>
      <c r="AG5" s="2766"/>
      <c r="AH5" s="2754" t="s">
        <v>1429</v>
      </c>
      <c r="AI5" s="2770"/>
      <c r="AJ5" s="2770"/>
      <c r="AK5" s="2770"/>
      <c r="AL5" s="2770"/>
      <c r="AM5" s="2770"/>
      <c r="AN5" s="2770"/>
      <c r="AO5" s="2771"/>
    </row>
    <row r="6" spans="1:55" s="631" customFormat="1" ht="27" customHeight="1" thickBot="1" x14ac:dyDescent="0.35">
      <c r="B6" s="2755"/>
      <c r="C6" s="2756"/>
      <c r="D6" s="2756"/>
      <c r="E6" s="2756"/>
      <c r="F6" s="2756"/>
      <c r="G6" s="2756"/>
      <c r="H6" s="2756"/>
      <c r="I6" s="2756"/>
      <c r="J6" s="2760"/>
      <c r="K6" s="2761"/>
      <c r="L6" s="2761"/>
      <c r="M6" s="2761"/>
      <c r="N6" s="2761"/>
      <c r="O6" s="2761"/>
      <c r="P6" s="2761"/>
      <c r="Q6" s="2762"/>
      <c r="R6" s="2761"/>
      <c r="S6" s="2761"/>
      <c r="T6" s="2761"/>
      <c r="U6" s="2761"/>
      <c r="V6" s="2761"/>
      <c r="W6" s="2761"/>
      <c r="X6" s="2761"/>
      <c r="Y6" s="2761"/>
      <c r="Z6" s="2767"/>
      <c r="AA6" s="2768"/>
      <c r="AB6" s="2768"/>
      <c r="AC6" s="2768"/>
      <c r="AD6" s="2768"/>
      <c r="AE6" s="2768"/>
      <c r="AF6" s="2768"/>
      <c r="AG6" s="2769"/>
      <c r="AH6" s="2772"/>
      <c r="AI6" s="2772"/>
      <c r="AJ6" s="2772"/>
      <c r="AK6" s="2772"/>
      <c r="AL6" s="2772"/>
      <c r="AM6" s="2772"/>
      <c r="AN6" s="2772"/>
      <c r="AO6" s="2773"/>
    </row>
    <row r="7" spans="1:55" s="278" customFormat="1" ht="20" customHeight="1" thickTop="1" x14ac:dyDescent="0.3">
      <c r="B7" s="2788" t="s">
        <v>9711</v>
      </c>
      <c r="C7" s="2778"/>
      <c r="D7" s="2778"/>
      <c r="E7" s="2778"/>
      <c r="F7" s="2778"/>
      <c r="G7" s="2778"/>
      <c r="H7" s="2778"/>
      <c r="I7" s="2778"/>
      <c r="J7" s="2789" t="s">
        <v>12812</v>
      </c>
      <c r="K7" s="2778"/>
      <c r="L7" s="2778"/>
      <c r="M7" s="2778"/>
      <c r="N7" s="2778"/>
      <c r="O7" s="2778"/>
      <c r="P7" s="2778"/>
      <c r="Q7" s="2790"/>
      <c r="R7" s="2791">
        <v>1200</v>
      </c>
      <c r="S7" s="2792"/>
      <c r="T7" s="2792"/>
      <c r="U7" s="2792"/>
      <c r="V7" s="2792"/>
      <c r="W7" s="2792"/>
      <c r="X7" s="2792"/>
      <c r="Y7" s="2792"/>
      <c r="Z7" s="2789" t="s">
        <v>236</v>
      </c>
      <c r="AA7" s="2778"/>
      <c r="AB7" s="2778"/>
      <c r="AC7" s="2778"/>
      <c r="AD7" s="2778"/>
      <c r="AE7" s="2778"/>
      <c r="AF7" s="2778"/>
      <c r="AG7" s="2790"/>
      <c r="AH7" s="2777" t="s">
        <v>9714</v>
      </c>
      <c r="AI7" s="2778"/>
      <c r="AJ7" s="2778"/>
      <c r="AK7" s="2778"/>
      <c r="AL7" s="2778"/>
      <c r="AM7" s="2778"/>
      <c r="AN7" s="2778"/>
      <c r="AO7" s="2779"/>
    </row>
    <row r="8" spans="1:55" s="278" customFormat="1" ht="20" customHeight="1" x14ac:dyDescent="0.3">
      <c r="B8" s="2780" t="s">
        <v>9711</v>
      </c>
      <c r="C8" s="2781"/>
      <c r="D8" s="2781"/>
      <c r="E8" s="2781"/>
      <c r="F8" s="2781"/>
      <c r="G8" s="2781"/>
      <c r="H8" s="2781"/>
      <c r="I8" s="2781"/>
      <c r="J8" s="2782" t="s">
        <v>12813</v>
      </c>
      <c r="K8" s="2781"/>
      <c r="L8" s="2781"/>
      <c r="M8" s="2781"/>
      <c r="N8" s="2781"/>
      <c r="O8" s="2781"/>
      <c r="P8" s="2781"/>
      <c r="Q8" s="2783"/>
      <c r="R8" s="2784">
        <v>1200</v>
      </c>
      <c r="S8" s="2785"/>
      <c r="T8" s="2785"/>
      <c r="U8" s="2785"/>
      <c r="V8" s="2785"/>
      <c r="W8" s="2785"/>
      <c r="X8" s="2785"/>
      <c r="Y8" s="2785"/>
      <c r="Z8" s="2782" t="s">
        <v>236</v>
      </c>
      <c r="AA8" s="2781"/>
      <c r="AB8" s="2781"/>
      <c r="AC8" s="2781"/>
      <c r="AD8" s="2781"/>
      <c r="AE8" s="2781"/>
      <c r="AF8" s="2781"/>
      <c r="AG8" s="2783"/>
      <c r="AH8" s="2786" t="s">
        <v>1083</v>
      </c>
      <c r="AI8" s="2781"/>
      <c r="AJ8" s="2781"/>
      <c r="AK8" s="2781"/>
      <c r="AL8" s="2781"/>
      <c r="AM8" s="2781"/>
      <c r="AN8" s="2781"/>
      <c r="AO8" s="2787"/>
    </row>
    <row r="9" spans="1:55" s="278" customFormat="1" ht="20" customHeight="1" x14ac:dyDescent="0.3">
      <c r="B9" s="2780" t="s">
        <v>9711</v>
      </c>
      <c r="C9" s="2781"/>
      <c r="D9" s="2781"/>
      <c r="E9" s="2781"/>
      <c r="F9" s="2781"/>
      <c r="G9" s="2781"/>
      <c r="H9" s="2781"/>
      <c r="I9" s="2781"/>
      <c r="J9" s="2782" t="s">
        <v>12814</v>
      </c>
      <c r="K9" s="2781"/>
      <c r="L9" s="2781"/>
      <c r="M9" s="2781"/>
      <c r="N9" s="2781"/>
      <c r="O9" s="2781"/>
      <c r="P9" s="2781"/>
      <c r="Q9" s="2783"/>
      <c r="R9" s="2784">
        <v>1200</v>
      </c>
      <c r="S9" s="2785"/>
      <c r="T9" s="2785"/>
      <c r="U9" s="2785"/>
      <c r="V9" s="2785"/>
      <c r="W9" s="2785"/>
      <c r="X9" s="2785"/>
      <c r="Y9" s="2785"/>
      <c r="Z9" s="2782" t="s">
        <v>236</v>
      </c>
      <c r="AA9" s="2781"/>
      <c r="AB9" s="2781"/>
      <c r="AC9" s="2781"/>
      <c r="AD9" s="2781"/>
      <c r="AE9" s="2781"/>
      <c r="AF9" s="2781"/>
      <c r="AG9" s="2783"/>
      <c r="AH9" s="2786" t="s">
        <v>9714</v>
      </c>
      <c r="AI9" s="2781"/>
      <c r="AJ9" s="2781"/>
      <c r="AK9" s="2781"/>
      <c r="AL9" s="2781"/>
      <c r="AM9" s="2781"/>
      <c r="AN9" s="2781"/>
      <c r="AO9" s="2787"/>
    </row>
    <row r="10" spans="1:55" s="278" customFormat="1" ht="20" customHeight="1" x14ac:dyDescent="0.3">
      <c r="B10" s="2780" t="s">
        <v>9711</v>
      </c>
      <c r="C10" s="2781"/>
      <c r="D10" s="2781"/>
      <c r="E10" s="2781"/>
      <c r="F10" s="2781"/>
      <c r="G10" s="2781"/>
      <c r="H10" s="2781"/>
      <c r="I10" s="2781"/>
      <c r="J10" s="2782" t="s">
        <v>12815</v>
      </c>
      <c r="K10" s="2781"/>
      <c r="L10" s="2781"/>
      <c r="M10" s="2781"/>
      <c r="N10" s="2781"/>
      <c r="O10" s="2781"/>
      <c r="P10" s="2781"/>
      <c r="Q10" s="2783"/>
      <c r="R10" s="2784">
        <v>1200</v>
      </c>
      <c r="S10" s="2785"/>
      <c r="T10" s="2785"/>
      <c r="U10" s="2785"/>
      <c r="V10" s="2785"/>
      <c r="W10" s="2785"/>
      <c r="X10" s="2785"/>
      <c r="Y10" s="2785"/>
      <c r="Z10" s="2782" t="s">
        <v>236</v>
      </c>
      <c r="AA10" s="2781"/>
      <c r="AB10" s="2781"/>
      <c r="AC10" s="2781"/>
      <c r="AD10" s="2781"/>
      <c r="AE10" s="2781"/>
      <c r="AF10" s="2781"/>
      <c r="AG10" s="2783"/>
      <c r="AH10" s="2786" t="s">
        <v>1083</v>
      </c>
      <c r="AI10" s="2781"/>
      <c r="AJ10" s="2781"/>
      <c r="AK10" s="2781"/>
      <c r="AL10" s="2781"/>
      <c r="AM10" s="2781"/>
      <c r="AN10" s="2781"/>
      <c r="AO10" s="2787"/>
    </row>
    <row r="11" spans="1:55" s="278" customFormat="1" ht="20" customHeight="1" x14ac:dyDescent="0.3">
      <c r="B11" s="2780" t="s">
        <v>9711</v>
      </c>
      <c r="C11" s="2781"/>
      <c r="D11" s="2781"/>
      <c r="E11" s="2781"/>
      <c r="F11" s="2781"/>
      <c r="G11" s="2781"/>
      <c r="H11" s="2781"/>
      <c r="I11" s="2781"/>
      <c r="J11" s="2782" t="s">
        <v>12816</v>
      </c>
      <c r="K11" s="2781"/>
      <c r="L11" s="2781"/>
      <c r="M11" s="2781"/>
      <c r="N11" s="2781"/>
      <c r="O11" s="2781"/>
      <c r="P11" s="2781"/>
      <c r="Q11" s="2783"/>
      <c r="R11" s="2784">
        <v>1200</v>
      </c>
      <c r="S11" s="2785"/>
      <c r="T11" s="2785"/>
      <c r="U11" s="2785"/>
      <c r="V11" s="2785"/>
      <c r="W11" s="2785"/>
      <c r="X11" s="2785"/>
      <c r="Y11" s="2785"/>
      <c r="Z11" s="2782" t="s">
        <v>236</v>
      </c>
      <c r="AA11" s="2781"/>
      <c r="AB11" s="2781"/>
      <c r="AC11" s="2781"/>
      <c r="AD11" s="2781"/>
      <c r="AE11" s="2781"/>
      <c r="AF11" s="2781"/>
      <c r="AG11" s="2783"/>
      <c r="AH11" s="2786" t="s">
        <v>1083</v>
      </c>
      <c r="AI11" s="2781"/>
      <c r="AJ11" s="2781"/>
      <c r="AK11" s="2781"/>
      <c r="AL11" s="2781"/>
      <c r="AM11" s="2781"/>
      <c r="AN11" s="2781"/>
      <c r="AO11" s="2787"/>
    </row>
    <row r="12" spans="1:55" s="278" customFormat="1" ht="20" customHeight="1" x14ac:dyDescent="0.3">
      <c r="B12" s="2780" t="s">
        <v>9713</v>
      </c>
      <c r="C12" s="2781"/>
      <c r="D12" s="2781"/>
      <c r="E12" s="2781"/>
      <c r="F12" s="2781"/>
      <c r="G12" s="2781"/>
      <c r="H12" s="2781"/>
      <c r="I12" s="2781"/>
      <c r="J12" s="2782" t="s">
        <v>12817</v>
      </c>
      <c r="K12" s="2781"/>
      <c r="L12" s="2781"/>
      <c r="M12" s="2781"/>
      <c r="N12" s="2781"/>
      <c r="O12" s="2781"/>
      <c r="P12" s="2781"/>
      <c r="Q12" s="2783"/>
      <c r="R12" s="2784">
        <v>5000</v>
      </c>
      <c r="S12" s="2785"/>
      <c r="T12" s="2785"/>
      <c r="U12" s="2785"/>
      <c r="V12" s="2785"/>
      <c r="W12" s="2785"/>
      <c r="X12" s="2785"/>
      <c r="Y12" s="2785"/>
      <c r="Z12" s="2782" t="s">
        <v>236</v>
      </c>
      <c r="AA12" s="2781"/>
      <c r="AB12" s="2781"/>
      <c r="AC12" s="2781"/>
      <c r="AD12" s="2781"/>
      <c r="AE12" s="2781"/>
      <c r="AF12" s="2781"/>
      <c r="AG12" s="2783"/>
      <c r="AH12" s="2786" t="s">
        <v>9714</v>
      </c>
      <c r="AI12" s="2781"/>
      <c r="AJ12" s="2781"/>
      <c r="AK12" s="2781"/>
      <c r="AL12" s="2781"/>
      <c r="AM12" s="2781"/>
      <c r="AN12" s="2781"/>
      <c r="AO12" s="2787"/>
    </row>
    <row r="13" spans="1:55" s="278" customFormat="1" ht="20" customHeight="1" x14ac:dyDescent="0.3">
      <c r="B13" s="2780" t="s">
        <v>9711</v>
      </c>
      <c r="C13" s="2781"/>
      <c r="D13" s="2781"/>
      <c r="E13" s="2781"/>
      <c r="F13" s="2781"/>
      <c r="G13" s="2781"/>
      <c r="H13" s="2781"/>
      <c r="I13" s="2781"/>
      <c r="J13" s="2782" t="s">
        <v>12812</v>
      </c>
      <c r="K13" s="2781"/>
      <c r="L13" s="2781"/>
      <c r="M13" s="2781"/>
      <c r="N13" s="2781"/>
      <c r="O13" s="2781"/>
      <c r="P13" s="2781"/>
      <c r="Q13" s="2783"/>
      <c r="R13" s="2784">
        <v>1200</v>
      </c>
      <c r="S13" s="2785"/>
      <c r="T13" s="2785"/>
      <c r="U13" s="2785"/>
      <c r="V13" s="2785"/>
      <c r="W13" s="2785"/>
      <c r="X13" s="2785"/>
      <c r="Y13" s="2785"/>
      <c r="Z13" s="2782" t="s">
        <v>236</v>
      </c>
      <c r="AA13" s="2781"/>
      <c r="AB13" s="2781"/>
      <c r="AC13" s="2781"/>
      <c r="AD13" s="2781"/>
      <c r="AE13" s="2781"/>
      <c r="AF13" s="2781"/>
      <c r="AG13" s="2783"/>
      <c r="AH13" s="2786" t="s">
        <v>1084</v>
      </c>
      <c r="AI13" s="2781"/>
      <c r="AJ13" s="2781"/>
      <c r="AK13" s="2781"/>
      <c r="AL13" s="2781"/>
      <c r="AM13" s="2781"/>
      <c r="AN13" s="2781"/>
      <c r="AO13" s="2787"/>
    </row>
    <row r="14" spans="1:55" s="278" customFormat="1" ht="20" customHeight="1" x14ac:dyDescent="0.3">
      <c r="B14" s="2780"/>
      <c r="C14" s="2781"/>
      <c r="D14" s="2781"/>
      <c r="E14" s="2781"/>
      <c r="F14" s="2781"/>
      <c r="G14" s="2781"/>
      <c r="H14" s="2781"/>
      <c r="I14" s="2781"/>
      <c r="J14" s="2782"/>
      <c r="K14" s="2781"/>
      <c r="L14" s="2781"/>
      <c r="M14" s="2781"/>
      <c r="N14" s="2781"/>
      <c r="O14" s="2781"/>
      <c r="P14" s="2781"/>
      <c r="Q14" s="2783"/>
      <c r="R14" s="2784"/>
      <c r="S14" s="2785"/>
      <c r="T14" s="2785"/>
      <c r="U14" s="2785"/>
      <c r="V14" s="2785"/>
      <c r="W14" s="2785"/>
      <c r="X14" s="2785"/>
      <c r="Y14" s="2785"/>
      <c r="Z14" s="2782"/>
      <c r="AA14" s="2781"/>
      <c r="AB14" s="2781"/>
      <c r="AC14" s="2781"/>
      <c r="AD14" s="2781"/>
      <c r="AE14" s="2781"/>
      <c r="AF14" s="2781"/>
      <c r="AG14" s="2783"/>
      <c r="AH14" s="2786"/>
      <c r="AI14" s="2781"/>
      <c r="AJ14" s="2781"/>
      <c r="AK14" s="2781"/>
      <c r="AL14" s="2781"/>
      <c r="AM14" s="2781"/>
      <c r="AN14" s="2781"/>
      <c r="AO14" s="2787"/>
    </row>
    <row r="15" spans="1:55" s="278" customFormat="1" ht="20" customHeight="1" x14ac:dyDescent="0.3">
      <c r="B15" s="2780"/>
      <c r="C15" s="2781"/>
      <c r="D15" s="2781"/>
      <c r="E15" s="2781"/>
      <c r="F15" s="2781"/>
      <c r="G15" s="2781"/>
      <c r="H15" s="2781"/>
      <c r="I15" s="2781"/>
      <c r="J15" s="2782"/>
      <c r="K15" s="2781"/>
      <c r="L15" s="2781"/>
      <c r="M15" s="2781"/>
      <c r="N15" s="2781"/>
      <c r="O15" s="2781"/>
      <c r="P15" s="2781"/>
      <c r="Q15" s="2783"/>
      <c r="R15" s="2784"/>
      <c r="S15" s="2785"/>
      <c r="T15" s="2785"/>
      <c r="U15" s="2785"/>
      <c r="V15" s="2785"/>
      <c r="W15" s="2785"/>
      <c r="X15" s="2785"/>
      <c r="Y15" s="2785"/>
      <c r="Z15" s="2782"/>
      <c r="AA15" s="2781"/>
      <c r="AB15" s="2781"/>
      <c r="AC15" s="2781"/>
      <c r="AD15" s="2781"/>
      <c r="AE15" s="2781"/>
      <c r="AF15" s="2781"/>
      <c r="AG15" s="2783"/>
      <c r="AH15" s="2786"/>
      <c r="AI15" s="2781"/>
      <c r="AJ15" s="2781"/>
      <c r="AK15" s="2781"/>
      <c r="AL15" s="2781"/>
      <c r="AM15" s="2781"/>
      <c r="AN15" s="2781"/>
      <c r="AO15" s="2787"/>
    </row>
    <row r="16" spans="1:55" s="278" customFormat="1" ht="20" customHeight="1" thickBot="1" x14ac:dyDescent="0.35">
      <c r="B16" s="2793"/>
      <c r="C16" s="2794"/>
      <c r="D16" s="2794"/>
      <c r="E16" s="2794"/>
      <c r="F16" s="2794"/>
      <c r="G16" s="2794"/>
      <c r="H16" s="2794"/>
      <c r="I16" s="2794"/>
      <c r="J16" s="2795"/>
      <c r="K16" s="2794"/>
      <c r="L16" s="2794"/>
      <c r="M16" s="2794"/>
      <c r="N16" s="2794"/>
      <c r="O16" s="2794"/>
      <c r="P16" s="2794"/>
      <c r="Q16" s="2796"/>
      <c r="R16" s="2797"/>
      <c r="S16" s="2798"/>
      <c r="T16" s="2798"/>
      <c r="U16" s="2798"/>
      <c r="V16" s="2798"/>
      <c r="W16" s="2798"/>
      <c r="X16" s="2798"/>
      <c r="Y16" s="2798"/>
      <c r="Z16" s="2795"/>
      <c r="AA16" s="2794"/>
      <c r="AB16" s="2794"/>
      <c r="AC16" s="2794"/>
      <c r="AD16" s="2794"/>
      <c r="AE16" s="2794"/>
      <c r="AF16" s="2794"/>
      <c r="AG16" s="2796"/>
      <c r="AH16" s="2799"/>
      <c r="AI16" s="2794"/>
      <c r="AJ16" s="2794"/>
      <c r="AK16" s="2794"/>
      <c r="AL16" s="2794"/>
      <c r="AM16" s="2794"/>
      <c r="AN16" s="2794"/>
      <c r="AO16" s="2800"/>
    </row>
    <row r="17" spans="1:60" s="627" customFormat="1" ht="14.5" thickTop="1" x14ac:dyDescent="0.35">
      <c r="A17" s="625"/>
      <c r="B17" s="626" t="s">
        <v>150</v>
      </c>
      <c r="C17" s="2748" t="s">
        <v>1430</v>
      </c>
      <c r="D17" s="2748"/>
      <c r="E17" s="2748"/>
      <c r="F17" s="2748"/>
      <c r="G17" s="2748"/>
      <c r="H17" s="2748"/>
      <c r="I17" s="2748"/>
      <c r="J17" s="2748"/>
      <c r="K17" s="2748"/>
      <c r="L17" s="2748"/>
      <c r="M17" s="2748"/>
      <c r="N17" s="2748"/>
      <c r="O17" s="2748"/>
      <c r="P17" s="2748"/>
      <c r="Q17" s="2748"/>
      <c r="R17" s="2748"/>
      <c r="S17" s="2748"/>
      <c r="T17" s="2748"/>
      <c r="U17" s="2748"/>
      <c r="V17" s="2748"/>
      <c r="W17" s="2748"/>
      <c r="X17" s="2748"/>
      <c r="Y17" s="2748"/>
      <c r="Z17" s="2748"/>
      <c r="AA17" s="2748"/>
      <c r="AB17" s="2748"/>
      <c r="AC17" s="2748"/>
      <c r="AD17" s="2748"/>
      <c r="AE17" s="2748"/>
      <c r="AF17" s="2748"/>
      <c r="AG17" s="2748"/>
      <c r="AH17" s="2748"/>
      <c r="AI17" s="2748"/>
      <c r="AJ17" s="2748"/>
      <c r="AK17" s="2748"/>
      <c r="AL17" s="2748"/>
      <c r="AM17" s="2748"/>
      <c r="AN17" s="2748"/>
      <c r="AO17" s="2748"/>
      <c r="AY17" s="625"/>
      <c r="AZ17" s="625"/>
      <c r="BA17" s="625"/>
      <c r="BB17" s="625"/>
      <c r="BC17" s="625"/>
      <c r="BD17" s="625"/>
      <c r="BE17" s="625"/>
      <c r="BF17" s="625"/>
      <c r="BG17" s="625"/>
      <c r="BH17" s="625"/>
    </row>
    <row r="18" spans="1:60" s="627" customFormat="1" ht="15.5" x14ac:dyDescent="0.35">
      <c r="A18" s="628"/>
      <c r="B18" s="629"/>
      <c r="C18" s="630" t="s">
        <v>107</v>
      </c>
      <c r="D18" s="2749" t="s">
        <v>1434</v>
      </c>
      <c r="E18" s="2749"/>
      <c r="F18" s="2749"/>
      <c r="G18" s="2749"/>
      <c r="H18" s="2749"/>
      <c r="I18" s="2749"/>
      <c r="J18" s="2749"/>
      <c r="K18" s="2749"/>
      <c r="L18" s="2749"/>
      <c r="M18" s="2749"/>
      <c r="N18" s="2749"/>
      <c r="O18" s="2749"/>
      <c r="P18" s="2749"/>
      <c r="Q18" s="2749"/>
      <c r="R18" s="2749"/>
      <c r="S18" s="2749"/>
      <c r="T18" s="2749"/>
      <c r="U18" s="2749"/>
      <c r="V18" s="2749"/>
      <c r="W18" s="2749"/>
      <c r="X18" s="2749"/>
      <c r="Y18" s="2749"/>
      <c r="Z18" s="2749"/>
      <c r="AA18" s="2749"/>
      <c r="AB18" s="2749"/>
      <c r="AC18" s="2749"/>
      <c r="AD18" s="2749"/>
      <c r="AE18" s="2749"/>
      <c r="AF18" s="2749"/>
      <c r="AG18" s="2749"/>
      <c r="AH18" s="2749"/>
      <c r="AI18" s="2749"/>
      <c r="AJ18" s="2749"/>
      <c r="AK18" s="2749"/>
      <c r="AL18" s="2749"/>
      <c r="AM18" s="2749"/>
      <c r="AN18" s="2749"/>
      <c r="AO18" s="2749"/>
      <c r="AY18" s="628"/>
      <c r="AZ18" s="628"/>
      <c r="BA18" s="628"/>
      <c r="BB18" s="628"/>
      <c r="BC18" s="628"/>
      <c r="BD18" s="628"/>
      <c r="BE18" s="628"/>
      <c r="BF18" s="628"/>
      <c r="BG18" s="628"/>
      <c r="BH18" s="628"/>
    </row>
    <row r="19" spans="1:60" s="627" customFormat="1" ht="15.5" x14ac:dyDescent="0.35">
      <c r="A19" s="628"/>
      <c r="B19" s="629"/>
      <c r="C19" s="630" t="s">
        <v>108</v>
      </c>
      <c r="D19" s="2749" t="s">
        <v>1435</v>
      </c>
      <c r="E19" s="2749"/>
      <c r="F19" s="2749"/>
      <c r="G19" s="2749"/>
      <c r="H19" s="2749"/>
      <c r="I19" s="2749"/>
      <c r="J19" s="2749"/>
      <c r="K19" s="2749"/>
      <c r="L19" s="2749"/>
      <c r="M19" s="2749"/>
      <c r="N19" s="2749"/>
      <c r="O19" s="2749"/>
      <c r="P19" s="2749"/>
      <c r="Q19" s="2749"/>
      <c r="R19" s="2749"/>
      <c r="S19" s="2749"/>
      <c r="T19" s="2749"/>
      <c r="U19" s="2749"/>
      <c r="V19" s="2749"/>
      <c r="W19" s="2749"/>
      <c r="X19" s="2749"/>
      <c r="Y19" s="2749"/>
      <c r="Z19" s="2749"/>
      <c r="AA19" s="2749"/>
      <c r="AB19" s="2749"/>
      <c r="AC19" s="2749"/>
      <c r="AD19" s="2749"/>
      <c r="AE19" s="2749"/>
      <c r="AF19" s="2749"/>
      <c r="AG19" s="2749"/>
      <c r="AH19" s="2749"/>
      <c r="AI19" s="2749"/>
      <c r="AJ19" s="2749"/>
      <c r="AK19" s="2749"/>
      <c r="AL19" s="2749"/>
      <c r="AM19" s="2749"/>
      <c r="AN19" s="2749"/>
      <c r="AO19" s="2749"/>
      <c r="AY19" s="628"/>
      <c r="AZ19" s="628"/>
      <c r="BA19" s="628"/>
      <c r="BB19" s="628"/>
      <c r="BC19" s="628"/>
      <c r="BD19" s="628"/>
      <c r="BE19" s="628"/>
      <c r="BF19" s="628"/>
      <c r="BG19" s="628"/>
      <c r="BH19" s="628"/>
    </row>
    <row r="20" spans="1:60" s="627" customFormat="1" ht="15.5" x14ac:dyDescent="0.35">
      <c r="A20" s="628"/>
      <c r="B20" s="629"/>
      <c r="C20" s="630" t="s">
        <v>131</v>
      </c>
      <c r="D20" s="2749" t="s">
        <v>1433</v>
      </c>
      <c r="E20" s="2749"/>
      <c r="F20" s="2749"/>
      <c r="G20" s="2749"/>
      <c r="H20" s="2749"/>
      <c r="I20" s="2749"/>
      <c r="J20" s="2749"/>
      <c r="K20" s="2749"/>
      <c r="L20" s="2749"/>
      <c r="M20" s="2749"/>
      <c r="N20" s="2749"/>
      <c r="O20" s="2749"/>
      <c r="P20" s="2749"/>
      <c r="Q20" s="2749"/>
      <c r="R20" s="2749"/>
      <c r="S20" s="2749"/>
      <c r="T20" s="2749"/>
      <c r="U20" s="2749"/>
      <c r="V20" s="2749"/>
      <c r="W20" s="2749"/>
      <c r="X20" s="2749"/>
      <c r="Y20" s="2749"/>
      <c r="Z20" s="2749"/>
      <c r="AA20" s="2749"/>
      <c r="AB20" s="2749"/>
      <c r="AC20" s="2749"/>
      <c r="AD20" s="2749"/>
      <c r="AE20" s="2749"/>
      <c r="AF20" s="2749"/>
      <c r="AG20" s="2749"/>
      <c r="AH20" s="2749"/>
      <c r="AI20" s="2749"/>
      <c r="AJ20" s="2749"/>
      <c r="AK20" s="2749"/>
      <c r="AL20" s="2749"/>
      <c r="AM20" s="2749"/>
      <c r="AN20" s="2749"/>
      <c r="AO20" s="2749"/>
      <c r="AY20" s="628"/>
      <c r="AZ20" s="628"/>
      <c r="BA20" s="628"/>
      <c r="BB20" s="628"/>
      <c r="BC20" s="628"/>
      <c r="BD20" s="628"/>
      <c r="BE20" s="628"/>
      <c r="BF20" s="628"/>
      <c r="BG20" s="628"/>
      <c r="BH20" s="628"/>
    </row>
    <row r="21" spans="1:60" s="627" customFormat="1" ht="15.5" x14ac:dyDescent="0.35">
      <c r="A21" s="628"/>
      <c r="B21" s="629"/>
      <c r="C21" s="630" t="s">
        <v>132</v>
      </c>
      <c r="D21" s="2749" t="s">
        <v>1436</v>
      </c>
      <c r="E21" s="2749"/>
      <c r="F21" s="2749"/>
      <c r="G21" s="2749"/>
      <c r="H21" s="2749"/>
      <c r="I21" s="2749"/>
      <c r="J21" s="2749"/>
      <c r="K21" s="2749"/>
      <c r="L21" s="2749"/>
      <c r="M21" s="2749"/>
      <c r="N21" s="2749"/>
      <c r="O21" s="2749"/>
      <c r="P21" s="2749"/>
      <c r="Q21" s="2749"/>
      <c r="R21" s="2749"/>
      <c r="S21" s="2749"/>
      <c r="T21" s="2749"/>
      <c r="U21" s="2749"/>
      <c r="V21" s="2749"/>
      <c r="W21" s="2749"/>
      <c r="X21" s="2749"/>
      <c r="Y21" s="2749"/>
      <c r="Z21" s="2749"/>
      <c r="AA21" s="2749"/>
      <c r="AB21" s="2749"/>
      <c r="AC21" s="2749"/>
      <c r="AD21" s="2749"/>
      <c r="AE21" s="2749"/>
      <c r="AF21" s="2749"/>
      <c r="AG21" s="2749"/>
      <c r="AH21" s="2749"/>
      <c r="AI21" s="2749"/>
      <c r="AJ21" s="2749"/>
      <c r="AK21" s="2749"/>
      <c r="AL21" s="2749"/>
      <c r="AM21" s="2749"/>
      <c r="AN21" s="2749"/>
      <c r="AO21" s="2749"/>
      <c r="AY21" s="628"/>
      <c r="AZ21" s="628"/>
      <c r="BA21" s="628"/>
      <c r="BB21" s="628"/>
      <c r="BC21" s="628"/>
      <c r="BD21" s="628"/>
      <c r="BE21" s="628"/>
      <c r="BF21" s="628"/>
      <c r="BG21" s="628"/>
      <c r="BH21" s="628"/>
    </row>
    <row r="22" spans="1:60" s="627" customFormat="1" ht="15.5" x14ac:dyDescent="0.35">
      <c r="A22" s="628"/>
      <c r="B22" s="629"/>
      <c r="C22" s="630" t="s">
        <v>133</v>
      </c>
      <c r="D22" s="2749" t="s">
        <v>1437</v>
      </c>
      <c r="E22" s="2749"/>
      <c r="F22" s="2749"/>
      <c r="G22" s="2749"/>
      <c r="H22" s="2749"/>
      <c r="I22" s="2749"/>
      <c r="J22" s="2749"/>
      <c r="K22" s="2749"/>
      <c r="L22" s="2749"/>
      <c r="M22" s="2749"/>
      <c r="N22" s="2749"/>
      <c r="O22" s="2749"/>
      <c r="P22" s="2749"/>
      <c r="Q22" s="2749"/>
      <c r="R22" s="2749"/>
      <c r="S22" s="2749"/>
      <c r="T22" s="2749"/>
      <c r="U22" s="2749"/>
      <c r="V22" s="2749"/>
      <c r="W22" s="2749"/>
      <c r="X22" s="2749"/>
      <c r="Y22" s="2749"/>
      <c r="Z22" s="2749"/>
      <c r="AA22" s="2749"/>
      <c r="AB22" s="2749"/>
      <c r="AC22" s="2749"/>
      <c r="AD22" s="2749"/>
      <c r="AE22" s="2749"/>
      <c r="AF22" s="2749"/>
      <c r="AG22" s="2749"/>
      <c r="AH22" s="2749"/>
      <c r="AI22" s="2749"/>
      <c r="AJ22" s="2749"/>
      <c r="AK22" s="2749"/>
      <c r="AL22" s="2749"/>
      <c r="AM22" s="2749"/>
      <c r="AN22" s="2749"/>
      <c r="AO22" s="2749"/>
      <c r="AY22" s="628"/>
      <c r="AZ22" s="628"/>
      <c r="BA22" s="628"/>
      <c r="BB22" s="628"/>
      <c r="BC22" s="628"/>
      <c r="BD22" s="628"/>
      <c r="BE22" s="628"/>
      <c r="BF22" s="628"/>
      <c r="BG22" s="628"/>
      <c r="BH22" s="628"/>
    </row>
    <row r="23" spans="1:60" s="627" customFormat="1" ht="15.5" x14ac:dyDescent="0.35">
      <c r="A23" s="628"/>
      <c r="B23" s="629"/>
      <c r="C23" s="630" t="s">
        <v>207</v>
      </c>
      <c r="D23" s="2749" t="s">
        <v>1438</v>
      </c>
      <c r="E23" s="2749"/>
      <c r="F23" s="2749"/>
      <c r="G23" s="2749"/>
      <c r="H23" s="2749"/>
      <c r="I23" s="2749"/>
      <c r="J23" s="2749"/>
      <c r="K23" s="2749"/>
      <c r="L23" s="2749"/>
      <c r="M23" s="2749"/>
      <c r="N23" s="2749"/>
      <c r="O23" s="2749"/>
      <c r="P23" s="2749"/>
      <c r="Q23" s="2749"/>
      <c r="R23" s="2749"/>
      <c r="S23" s="2749"/>
      <c r="T23" s="2749"/>
      <c r="U23" s="2749"/>
      <c r="V23" s="2749"/>
      <c r="W23" s="2749"/>
      <c r="X23" s="2749"/>
      <c r="Y23" s="2749"/>
      <c r="Z23" s="2749"/>
      <c r="AA23" s="2749"/>
      <c r="AB23" s="2749"/>
      <c r="AC23" s="2749"/>
      <c r="AD23" s="2749"/>
      <c r="AE23" s="2749"/>
      <c r="AF23" s="2749"/>
      <c r="AG23" s="2749"/>
      <c r="AH23" s="2749"/>
      <c r="AI23" s="2749"/>
      <c r="AJ23" s="2749"/>
      <c r="AK23" s="2749"/>
      <c r="AL23" s="2749"/>
      <c r="AM23" s="2749"/>
      <c r="AN23" s="2749"/>
      <c r="AO23" s="2749"/>
      <c r="AY23" s="628"/>
      <c r="AZ23" s="628"/>
      <c r="BA23" s="628"/>
      <c r="BB23" s="628"/>
      <c r="BC23" s="628"/>
      <c r="BD23" s="628"/>
      <c r="BE23" s="628"/>
      <c r="BF23" s="628"/>
      <c r="BG23" s="628"/>
      <c r="BH23" s="628"/>
    </row>
    <row r="24" spans="1:60" s="627" customFormat="1" ht="15.5" x14ac:dyDescent="0.35">
      <c r="A24" s="628"/>
      <c r="B24" s="629"/>
      <c r="C24" s="630" t="s">
        <v>208</v>
      </c>
      <c r="D24" s="2749" t="s">
        <v>1439</v>
      </c>
      <c r="E24" s="2749"/>
      <c r="F24" s="2749"/>
      <c r="G24" s="2749"/>
      <c r="H24" s="2749"/>
      <c r="I24" s="2749"/>
      <c r="J24" s="2749"/>
      <c r="K24" s="2749"/>
      <c r="L24" s="2749"/>
      <c r="M24" s="2749"/>
      <c r="N24" s="2749"/>
      <c r="O24" s="2749"/>
      <c r="P24" s="2749"/>
      <c r="Q24" s="2749"/>
      <c r="R24" s="2749"/>
      <c r="S24" s="2749"/>
      <c r="T24" s="2749"/>
      <c r="U24" s="2749"/>
      <c r="V24" s="2749"/>
      <c r="W24" s="2749"/>
      <c r="X24" s="2749"/>
      <c r="Y24" s="2749"/>
      <c r="Z24" s="2749"/>
      <c r="AA24" s="2749"/>
      <c r="AB24" s="2749"/>
      <c r="AC24" s="2749"/>
      <c r="AD24" s="2749"/>
      <c r="AE24" s="2749"/>
      <c r="AF24" s="2749"/>
      <c r="AG24" s="2749"/>
      <c r="AH24" s="2749"/>
      <c r="AI24" s="2749"/>
      <c r="AJ24" s="2749"/>
      <c r="AK24" s="2749"/>
      <c r="AL24" s="2749"/>
      <c r="AM24" s="2749"/>
      <c r="AN24" s="2749"/>
      <c r="AO24" s="2749"/>
      <c r="AY24" s="628"/>
      <c r="AZ24" s="628"/>
      <c r="BA24" s="628"/>
      <c r="BB24" s="628"/>
      <c r="BC24" s="628"/>
      <c r="BD24" s="628"/>
      <c r="BE24" s="628"/>
      <c r="BF24" s="628"/>
      <c r="BG24" s="628"/>
      <c r="BH24" s="628"/>
    </row>
    <row r="25" spans="1:60" s="627" customFormat="1" x14ac:dyDescent="0.35">
      <c r="A25" s="625"/>
      <c r="B25" s="626" t="s">
        <v>151</v>
      </c>
      <c r="C25" s="2748" t="s">
        <v>1441</v>
      </c>
      <c r="D25" s="2748"/>
      <c r="E25" s="2748"/>
      <c r="F25" s="2748"/>
      <c r="G25" s="2748"/>
      <c r="H25" s="2748"/>
      <c r="I25" s="2748"/>
      <c r="J25" s="2748"/>
      <c r="K25" s="2748"/>
      <c r="L25" s="2748"/>
      <c r="M25" s="2748"/>
      <c r="N25" s="2748"/>
      <c r="O25" s="2748"/>
      <c r="P25" s="2748"/>
      <c r="Q25" s="2748"/>
      <c r="R25" s="2748"/>
      <c r="S25" s="2748"/>
      <c r="T25" s="2748"/>
      <c r="U25" s="2748"/>
      <c r="V25" s="2748"/>
      <c r="W25" s="2748"/>
      <c r="X25" s="2748"/>
      <c r="Y25" s="2748"/>
      <c r="Z25" s="2748"/>
      <c r="AA25" s="2748"/>
      <c r="AB25" s="2748"/>
      <c r="AC25" s="2748"/>
      <c r="AD25" s="2748"/>
      <c r="AE25" s="2748"/>
      <c r="AF25" s="2748"/>
      <c r="AG25" s="2748"/>
      <c r="AH25" s="2748"/>
      <c r="AI25" s="2748"/>
      <c r="AJ25" s="2748"/>
      <c r="AK25" s="2748"/>
      <c r="AL25" s="2748"/>
      <c r="AM25" s="2748"/>
      <c r="AN25" s="2748"/>
      <c r="AO25" s="2748"/>
      <c r="AY25" s="625"/>
      <c r="AZ25" s="625"/>
      <c r="BA25" s="625"/>
      <c r="BB25" s="625"/>
      <c r="BC25" s="625"/>
      <c r="BD25" s="625"/>
      <c r="BE25" s="625"/>
      <c r="BF25" s="625"/>
      <c r="BG25" s="625"/>
      <c r="BH25" s="625"/>
    </row>
    <row r="26" spans="1:60" s="627" customFormat="1" x14ac:dyDescent="0.35">
      <c r="A26" s="625"/>
      <c r="B26" s="626" t="s">
        <v>152</v>
      </c>
      <c r="C26" s="2748" t="s">
        <v>1432</v>
      </c>
      <c r="D26" s="2748"/>
      <c r="E26" s="2748"/>
      <c r="F26" s="2748"/>
      <c r="G26" s="2748"/>
      <c r="H26" s="2748"/>
      <c r="I26" s="2748"/>
      <c r="J26" s="2748"/>
      <c r="K26" s="2748"/>
      <c r="L26" s="2748"/>
      <c r="M26" s="2748"/>
      <c r="N26" s="2748"/>
      <c r="O26" s="2748"/>
      <c r="P26" s="2748"/>
      <c r="Q26" s="2748"/>
      <c r="R26" s="2748"/>
      <c r="S26" s="2748"/>
      <c r="T26" s="2748"/>
      <c r="U26" s="2748"/>
      <c r="V26" s="2748"/>
      <c r="W26" s="2748"/>
      <c r="X26" s="2748"/>
      <c r="Y26" s="2748"/>
      <c r="Z26" s="2748"/>
      <c r="AA26" s="2748"/>
      <c r="AB26" s="2748"/>
      <c r="AC26" s="2748"/>
      <c r="AD26" s="2748"/>
      <c r="AE26" s="2748"/>
      <c r="AF26" s="2748"/>
      <c r="AG26" s="2748"/>
      <c r="AH26" s="2748"/>
      <c r="AI26" s="2748"/>
      <c r="AJ26" s="2748"/>
      <c r="AK26" s="2748"/>
      <c r="AL26" s="2748"/>
      <c r="AM26" s="2748"/>
      <c r="AN26" s="2748"/>
      <c r="AO26" s="2748"/>
      <c r="AY26" s="625"/>
      <c r="AZ26" s="625"/>
      <c r="BA26" s="625"/>
      <c r="BB26" s="625"/>
      <c r="BC26" s="625"/>
      <c r="BD26" s="625"/>
      <c r="BE26" s="625"/>
      <c r="BF26" s="625"/>
      <c r="BG26" s="625"/>
      <c r="BH26" s="625"/>
    </row>
    <row r="27" spans="1:60" s="627" customFormat="1" x14ac:dyDescent="0.35">
      <c r="A27" s="625"/>
      <c r="B27" s="626" t="s">
        <v>155</v>
      </c>
      <c r="C27" s="2748" t="s">
        <v>1440</v>
      </c>
      <c r="D27" s="2748"/>
      <c r="E27" s="2748"/>
      <c r="F27" s="2748"/>
      <c r="G27" s="2748"/>
      <c r="H27" s="2748"/>
      <c r="I27" s="2748"/>
      <c r="J27" s="2748"/>
      <c r="K27" s="2748"/>
      <c r="L27" s="2748"/>
      <c r="M27" s="2748"/>
      <c r="N27" s="2748"/>
      <c r="O27" s="2748"/>
      <c r="P27" s="2748"/>
      <c r="Q27" s="2748"/>
      <c r="R27" s="2748"/>
      <c r="S27" s="2748"/>
      <c r="T27" s="2748"/>
      <c r="U27" s="2748"/>
      <c r="V27" s="2748"/>
      <c r="W27" s="2748"/>
      <c r="X27" s="2748"/>
      <c r="Y27" s="2748"/>
      <c r="Z27" s="2748"/>
      <c r="AA27" s="2748"/>
      <c r="AB27" s="2748"/>
      <c r="AC27" s="2748"/>
      <c r="AD27" s="2748"/>
      <c r="AE27" s="2748"/>
      <c r="AF27" s="2748"/>
      <c r="AG27" s="2748"/>
      <c r="AH27" s="2748"/>
      <c r="AI27" s="2748"/>
      <c r="AJ27" s="2748"/>
      <c r="AK27" s="2748"/>
      <c r="AL27" s="2748"/>
      <c r="AM27" s="2748"/>
      <c r="AN27" s="2748"/>
      <c r="AO27" s="2748"/>
      <c r="AY27" s="625"/>
      <c r="AZ27" s="625"/>
      <c r="BA27" s="625"/>
      <c r="BB27" s="625"/>
      <c r="BC27" s="625"/>
      <c r="BD27" s="625"/>
      <c r="BE27" s="625"/>
      <c r="BF27" s="625"/>
      <c r="BG27" s="625"/>
      <c r="BH27" s="625"/>
    </row>
    <row r="28" spans="1:60" s="627" customFormat="1" x14ac:dyDescent="0.35">
      <c r="A28" s="625"/>
      <c r="B28" s="626" t="s">
        <v>156</v>
      </c>
      <c r="C28" s="2748" t="s">
        <v>1431</v>
      </c>
      <c r="D28" s="2748"/>
      <c r="E28" s="2748"/>
      <c r="F28" s="2748"/>
      <c r="G28" s="2748"/>
      <c r="H28" s="2748"/>
      <c r="I28" s="2748"/>
      <c r="J28" s="2748"/>
      <c r="K28" s="2748"/>
      <c r="L28" s="2748"/>
      <c r="M28" s="2748"/>
      <c r="N28" s="2748"/>
      <c r="O28" s="2748"/>
      <c r="P28" s="2748"/>
      <c r="Q28" s="2748"/>
      <c r="R28" s="2748"/>
      <c r="S28" s="2748"/>
      <c r="T28" s="2748"/>
      <c r="U28" s="2748"/>
      <c r="V28" s="2748"/>
      <c r="W28" s="2748"/>
      <c r="X28" s="2748"/>
      <c r="Y28" s="2748"/>
      <c r="Z28" s="2748"/>
      <c r="AA28" s="2748"/>
      <c r="AB28" s="2748"/>
      <c r="AC28" s="2748"/>
      <c r="AD28" s="2748"/>
      <c r="AE28" s="2748"/>
      <c r="AF28" s="2748"/>
      <c r="AG28" s="2748"/>
      <c r="AH28" s="2748"/>
      <c r="AI28" s="2748"/>
      <c r="AJ28" s="2748"/>
      <c r="AK28" s="2748"/>
      <c r="AL28" s="2748"/>
      <c r="AM28" s="2748"/>
      <c r="AN28" s="2748"/>
      <c r="AO28" s="2748"/>
      <c r="AY28" s="625"/>
      <c r="AZ28" s="625"/>
      <c r="BA28" s="625"/>
      <c r="BB28" s="625"/>
      <c r="BC28" s="625"/>
      <c r="BD28" s="625"/>
      <c r="BE28" s="625"/>
      <c r="BF28" s="625"/>
      <c r="BG28" s="625"/>
      <c r="BH28" s="625"/>
    </row>
    <row r="29" spans="1:60" s="124" customFormat="1" ht="30.75" customHeight="1" x14ac:dyDescent="0.3">
      <c r="B29" s="227"/>
      <c r="C29" s="227"/>
      <c r="D29" s="227"/>
    </row>
    <row r="30" spans="1:60" s="73" customFormat="1" x14ac:dyDescent="0.3">
      <c r="B30" s="74" t="s">
        <v>913</v>
      </c>
      <c r="P30" s="74" t="s">
        <v>907</v>
      </c>
      <c r="Q30" s="74"/>
      <c r="AD30" s="74" t="s">
        <v>922</v>
      </c>
    </row>
    <row r="31" spans="1:60" s="73" customFormat="1" ht="21.75" customHeight="1" x14ac:dyDescent="0.3">
      <c r="B31" s="74" t="s">
        <v>780</v>
      </c>
      <c r="F31" s="1482" t="str">
        <f>SchInfo!F38</f>
        <v>MELCHESIEDICK Q. BOLANIO/ March 17, 2023</v>
      </c>
      <c r="G31" s="1482"/>
      <c r="H31" s="1482"/>
      <c r="I31" s="1482"/>
      <c r="J31" s="1482"/>
      <c r="K31" s="1482"/>
      <c r="L31" s="1482"/>
      <c r="M31" s="1482"/>
      <c r="N31" s="545"/>
      <c r="P31" s="1484" t="str">
        <f>Table25!S39</f>
        <v>ANNE VALERIE KERSTEINE I. VILLANUEVA /  May 17, 2022</v>
      </c>
      <c r="Q31" s="1484"/>
      <c r="R31" s="1484"/>
      <c r="S31" s="1484"/>
      <c r="T31" s="1484"/>
      <c r="U31" s="1484"/>
      <c r="V31" s="1484"/>
      <c r="W31" s="1484"/>
      <c r="X31" s="1484"/>
      <c r="Y31" s="1484"/>
      <c r="Z31" s="1484"/>
      <c r="AA31" s="1484"/>
      <c r="AD31" s="1484" t="str">
        <f>SchInfo!R38</f>
        <v>MICHAEL T. JAMIS   /  March 17, 2023</v>
      </c>
      <c r="AE31" s="1484"/>
      <c r="AF31" s="1484"/>
      <c r="AG31" s="1484"/>
      <c r="AH31" s="1484"/>
      <c r="AI31" s="1484"/>
      <c r="AJ31" s="1484"/>
      <c r="AK31" s="1484"/>
      <c r="AL31" s="1484"/>
      <c r="AM31" s="1484"/>
      <c r="AN31" s="1484"/>
      <c r="AO31" s="1484"/>
    </row>
    <row r="32" spans="1:60" s="68" customFormat="1" x14ac:dyDescent="0.3">
      <c r="B32" s="210"/>
      <c r="F32" s="1452" t="s">
        <v>779</v>
      </c>
      <c r="G32" s="1452"/>
      <c r="H32" s="1452"/>
      <c r="I32" s="1452"/>
      <c r="J32" s="1452"/>
      <c r="K32" s="1452"/>
      <c r="L32" s="1452"/>
      <c r="M32" s="1452"/>
      <c r="N32" s="220"/>
      <c r="O32" s="210"/>
      <c r="P32" s="1485"/>
      <c r="Q32" s="1485"/>
      <c r="R32" s="1485"/>
      <c r="S32" s="1485"/>
      <c r="T32" s="1485"/>
      <c r="U32" s="1485"/>
      <c r="V32" s="1485"/>
      <c r="W32" s="1485"/>
      <c r="X32" s="1485"/>
      <c r="Y32" s="1485"/>
      <c r="Z32" s="1485"/>
      <c r="AA32" s="1485"/>
      <c r="AB32" s="73"/>
      <c r="AC32" s="73"/>
      <c r="AD32" s="1485"/>
      <c r="AE32" s="1485"/>
      <c r="AF32" s="1485"/>
      <c r="AG32" s="1485"/>
      <c r="AH32" s="1485"/>
      <c r="AI32" s="1485"/>
      <c r="AJ32" s="1485"/>
      <c r="AK32" s="1485"/>
      <c r="AL32" s="1485"/>
      <c r="AM32" s="1485"/>
      <c r="AN32" s="1485"/>
      <c r="AO32" s="1485"/>
      <c r="AP32" s="210"/>
    </row>
    <row r="33" spans="2:41" s="73" customFormat="1" ht="21.75" customHeight="1" x14ac:dyDescent="0.3">
      <c r="B33" s="74" t="s">
        <v>784</v>
      </c>
      <c r="F33" s="1482" t="str">
        <f>SchInfo!F40</f>
        <v>Principal IV</v>
      </c>
      <c r="G33" s="1482"/>
      <c r="H33" s="1482"/>
      <c r="I33" s="1482"/>
      <c r="J33" s="1482"/>
      <c r="K33" s="1482"/>
      <c r="L33" s="1482"/>
      <c r="M33" s="1482"/>
      <c r="N33" s="545"/>
      <c r="P33" s="1452" t="s">
        <v>779</v>
      </c>
      <c r="Q33" s="1452"/>
      <c r="R33" s="1452"/>
      <c r="S33" s="1452"/>
      <c r="T33" s="1452"/>
      <c r="U33" s="1452"/>
      <c r="V33" s="1452"/>
      <c r="W33" s="1452"/>
      <c r="X33" s="1452"/>
      <c r="Y33" s="1452"/>
      <c r="Z33" s="1452"/>
      <c r="AA33" s="1452"/>
      <c r="AB33" s="65"/>
      <c r="AC33" s="63"/>
      <c r="AD33" s="1452" t="s">
        <v>779</v>
      </c>
      <c r="AE33" s="1452"/>
      <c r="AF33" s="1452"/>
      <c r="AG33" s="1452"/>
      <c r="AH33" s="1452"/>
      <c r="AI33" s="1452"/>
      <c r="AJ33" s="1452"/>
      <c r="AK33" s="1452"/>
      <c r="AL33" s="1452"/>
      <c r="AM33" s="1452"/>
      <c r="AN33" s="1452"/>
      <c r="AO33" s="210"/>
    </row>
    <row r="34" spans="2:41" x14ac:dyDescent="0.3">
      <c r="AB34" s="73"/>
      <c r="AC34" s="73"/>
    </row>
  </sheetData>
  <sheetProtection algorithmName="SHA-512" hashValue="THGFZM7vmen5xonNFZ/LYYvmLkqDqctOXlSO+PqSDC4ZSAqSH9nqaUlb9UU0XEwYX4/sQwdEKcQJ1SM+TkDJsA==" saltValue="Ks/5Vm9DFeapMYxqBpLtwA==" spinCount="100000" sheet="1" objects="1" scenarios="1"/>
  <mergeCells count="79">
    <mergeCell ref="B16:I16"/>
    <mergeCell ref="J16:Q16"/>
    <mergeCell ref="R16:Y16"/>
    <mergeCell ref="Z16:AG16"/>
    <mergeCell ref="AH16:AO16"/>
    <mergeCell ref="B15:I15"/>
    <mergeCell ref="J15:Q15"/>
    <mergeCell ref="R15:Y15"/>
    <mergeCell ref="Z15:AG15"/>
    <mergeCell ref="AH15:AO15"/>
    <mergeCell ref="B14:I14"/>
    <mergeCell ref="J14:Q14"/>
    <mergeCell ref="R14:Y14"/>
    <mergeCell ref="Z14:AG14"/>
    <mergeCell ref="AH14:AO14"/>
    <mergeCell ref="B13:I13"/>
    <mergeCell ref="J13:Q13"/>
    <mergeCell ref="R13:Y13"/>
    <mergeCell ref="Z13:AG13"/>
    <mergeCell ref="AH13:AO13"/>
    <mergeCell ref="Z11:AG11"/>
    <mergeCell ref="AH11:AO11"/>
    <mergeCell ref="B12:I12"/>
    <mergeCell ref="J12:Q12"/>
    <mergeCell ref="R12:Y12"/>
    <mergeCell ref="Z12:AG12"/>
    <mergeCell ref="AH12:AO12"/>
    <mergeCell ref="B11:I11"/>
    <mergeCell ref="J11:Q11"/>
    <mergeCell ref="R11:Y11"/>
    <mergeCell ref="AH9:AO9"/>
    <mergeCell ref="B10:I10"/>
    <mergeCell ref="J10:Q10"/>
    <mergeCell ref="R10:Y10"/>
    <mergeCell ref="Z10:AG10"/>
    <mergeCell ref="AH10:AO10"/>
    <mergeCell ref="B9:I9"/>
    <mergeCell ref="J9:Q9"/>
    <mergeCell ref="R9:Y9"/>
    <mergeCell ref="Z9:AG9"/>
    <mergeCell ref="AH7:AO7"/>
    <mergeCell ref="B8:I8"/>
    <mergeCell ref="J8:Q8"/>
    <mergeCell ref="R8:Y8"/>
    <mergeCell ref="Z8:AG8"/>
    <mergeCell ref="AH8:AO8"/>
    <mergeCell ref="B7:I7"/>
    <mergeCell ref="J7:Q7"/>
    <mergeCell ref="R7:Y7"/>
    <mergeCell ref="Z7:AG7"/>
    <mergeCell ref="AH4:AO4"/>
    <mergeCell ref="B5:I6"/>
    <mergeCell ref="J5:Q6"/>
    <mergeCell ref="R5:Y6"/>
    <mergeCell ref="Z5:AG6"/>
    <mergeCell ref="AH5:AO6"/>
    <mergeCell ref="B4:I4"/>
    <mergeCell ref="J4:Q4"/>
    <mergeCell ref="R4:Y4"/>
    <mergeCell ref="Z4:AG4"/>
    <mergeCell ref="F33:M33"/>
    <mergeCell ref="P33:AA33"/>
    <mergeCell ref="AD33:AN33"/>
    <mergeCell ref="F31:M31"/>
    <mergeCell ref="P31:AA32"/>
    <mergeCell ref="F32:M32"/>
    <mergeCell ref="C26:AO26"/>
    <mergeCell ref="C27:AO27"/>
    <mergeCell ref="C28:AO28"/>
    <mergeCell ref="AD31:AO32"/>
    <mergeCell ref="C17:AO17"/>
    <mergeCell ref="D18:AO18"/>
    <mergeCell ref="D19:AO19"/>
    <mergeCell ref="D20:AO20"/>
    <mergeCell ref="D21:AO21"/>
    <mergeCell ref="D22:AO22"/>
    <mergeCell ref="D23:AO23"/>
    <mergeCell ref="D24:AO24"/>
    <mergeCell ref="C25:AO25"/>
  </mergeCells>
  <dataValidations count="1">
    <dataValidation type="decimal" allowBlank="1" showErrorMessage="1" errorTitle="GJHSP SY 2022-2023" error="Please enter valid number between 0-1,000,000.00." sqref="R7:Y16" xr:uid="{3E143081-68D3-49B4-A542-F64FA14335FD}">
      <formula1>0</formula1>
      <formula2>1000000</formula2>
    </dataValidation>
  </dataValidations>
  <printOptions horizontalCentered="1" verticalCentered="1"/>
  <pageMargins left="0.23622047244094491" right="0.23622047244094491" top="0.19685039370078741" bottom="0.19685039370078741" header="0" footer="0.11811023622047245"/>
  <pageSetup paperSize="14" scale="90" orientation="landscape" r:id="rId1"/>
  <headerFooter alignWithMargins="0">
    <oddFooter>&amp;L&amp;10&amp;F &amp;A&amp;R&amp;10Page 23 of 63</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errorTitle="GJHSP SY 2022-2023" error="Please select from the list provided." xr:uid="{62D13F5E-2D7E-4948-B7AD-3F40AEAC936E}">
          <x14:formula1>
            <xm:f>dropdown!$D$13:$D$20</xm:f>
          </x14:formula1>
          <xm:sqref>B7:I16</xm:sqref>
        </x14:dataValidation>
        <x14:dataValidation type="list" allowBlank="1" showInputMessage="1" showErrorMessage="1" errorTitle="GJHSP SY 2022-2023" error="Please select from the list provided." xr:uid="{C0B5A784-F06E-43E2-A6C0-87CA8AC568C2}">
          <x14:formula1>
            <xm:f>dropdown!$G$1:$G$9</xm:f>
          </x14:formula1>
          <xm:sqref>Z7:AG16</xm:sqref>
        </x14:dataValidation>
        <x14:dataValidation type="list" allowBlank="1" showInputMessage="1" showErrorMessage="1" errorTitle="GJHSP SY 2022-2023" error="Please select from the list provided." xr:uid="{49AE2EC0-3815-415E-885F-D171E60DA99A}">
          <x14:formula1>
            <xm:f>dropdown!$G$13:$G$16</xm:f>
          </x14:formula1>
          <xm:sqref>AH7:AO16</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8DD94-0E67-419D-B593-20B93ECA2D6B}">
  <dimension ref="A1:BX35"/>
  <sheetViews>
    <sheetView showGridLines="0" zoomScaleNormal="100" workbookViewId="0">
      <selection activeCell="G9" sqref="G9:K9"/>
    </sheetView>
  </sheetViews>
  <sheetFormatPr defaultColWidth="8" defaultRowHeight="14" x14ac:dyDescent="0.3"/>
  <cols>
    <col min="1" max="1" width="2.08203125" style="399" customWidth="1"/>
    <col min="2" max="51" width="3.58203125" style="399" customWidth="1"/>
    <col min="52" max="52" width="2.08203125" style="399" customWidth="1"/>
    <col min="53" max="16384" width="8" style="399"/>
  </cols>
  <sheetData>
    <row r="1" spans="1:51" ht="12" customHeight="1" x14ac:dyDescent="0.3"/>
    <row r="2" spans="1:51" s="44" customFormat="1" ht="15.5" x14ac:dyDescent="0.35">
      <c r="B2" s="415" t="s">
        <v>12715</v>
      </c>
      <c r="C2" s="576"/>
      <c r="D2" s="576"/>
      <c r="E2" s="576"/>
      <c r="F2" s="576"/>
    </row>
    <row r="3" spans="1:51" s="402" customFormat="1" ht="16" thickBot="1" x14ac:dyDescent="0.4">
      <c r="B3" s="419" t="s">
        <v>1098</v>
      </c>
    </row>
    <row r="4" spans="1:51" s="643" customFormat="1" ht="47.5" customHeight="1" thickTop="1" thickBot="1" x14ac:dyDescent="0.4">
      <c r="B4" s="2846" t="s">
        <v>1442</v>
      </c>
      <c r="C4" s="2840"/>
      <c r="D4" s="2840"/>
      <c r="E4" s="2840"/>
      <c r="F4" s="2840"/>
      <c r="G4" s="2839" t="s">
        <v>1443</v>
      </c>
      <c r="H4" s="2840"/>
      <c r="I4" s="2840"/>
      <c r="J4" s="2840"/>
      <c r="K4" s="2841"/>
      <c r="L4" s="2840" t="s">
        <v>1451</v>
      </c>
      <c r="M4" s="2840"/>
      <c r="N4" s="2840"/>
      <c r="O4" s="2840"/>
      <c r="P4" s="2840"/>
      <c r="Q4" s="2839" t="s">
        <v>1449</v>
      </c>
      <c r="R4" s="2840"/>
      <c r="S4" s="2840"/>
      <c r="T4" s="2840"/>
      <c r="U4" s="2841"/>
      <c r="V4" s="2840" t="s">
        <v>1444</v>
      </c>
      <c r="W4" s="2840"/>
      <c r="X4" s="2840"/>
      <c r="Y4" s="2840"/>
      <c r="Z4" s="2840"/>
      <c r="AA4" s="2839" t="s">
        <v>1452</v>
      </c>
      <c r="AB4" s="2840"/>
      <c r="AC4" s="2840"/>
      <c r="AD4" s="2840"/>
      <c r="AE4" s="2841"/>
      <c r="AF4" s="2839" t="s">
        <v>1455</v>
      </c>
      <c r="AG4" s="2840"/>
      <c r="AH4" s="2840"/>
      <c r="AI4" s="2840"/>
      <c r="AJ4" s="2841"/>
      <c r="AK4" s="2826" t="s">
        <v>1445</v>
      </c>
      <c r="AL4" s="2827"/>
      <c r="AM4" s="2827"/>
      <c r="AN4" s="2827"/>
      <c r="AO4" s="2827"/>
      <c r="AP4" s="2827"/>
      <c r="AQ4" s="2827"/>
      <c r="AR4" s="2827"/>
      <c r="AS4" s="2827"/>
      <c r="AT4" s="2827"/>
      <c r="AU4" s="2827"/>
      <c r="AV4" s="2827"/>
      <c r="AW4" s="2827"/>
      <c r="AX4" s="2827"/>
      <c r="AY4" s="2828"/>
    </row>
    <row r="5" spans="1:51" s="644" customFormat="1" ht="44.25" customHeight="1" thickBot="1" x14ac:dyDescent="0.4">
      <c r="B5" s="2845" t="s">
        <v>1460</v>
      </c>
      <c r="C5" s="2837"/>
      <c r="D5" s="2837"/>
      <c r="E5" s="2837"/>
      <c r="F5" s="2837"/>
      <c r="G5" s="645"/>
      <c r="H5" s="646"/>
      <c r="I5" s="646"/>
      <c r="J5" s="646"/>
      <c r="K5" s="647"/>
      <c r="L5" s="2837" t="s">
        <v>1448</v>
      </c>
      <c r="M5" s="2837"/>
      <c r="N5" s="2837"/>
      <c r="O5" s="2837"/>
      <c r="P5" s="2837"/>
      <c r="Q5" s="2847" t="s">
        <v>1450</v>
      </c>
      <c r="R5" s="2848"/>
      <c r="S5" s="2848"/>
      <c r="T5" s="2848"/>
      <c r="U5" s="2849"/>
      <c r="V5" s="646"/>
      <c r="W5" s="646"/>
      <c r="X5" s="646"/>
      <c r="Y5" s="646"/>
      <c r="Z5" s="646"/>
      <c r="AA5" s="2836" t="s">
        <v>1453</v>
      </c>
      <c r="AB5" s="2837"/>
      <c r="AC5" s="2837"/>
      <c r="AD5" s="2837"/>
      <c r="AE5" s="2838"/>
      <c r="AF5" s="2836" t="s">
        <v>1454</v>
      </c>
      <c r="AG5" s="2837"/>
      <c r="AH5" s="2837"/>
      <c r="AI5" s="2837"/>
      <c r="AJ5" s="2838"/>
      <c r="AK5" s="2829" t="s">
        <v>1446</v>
      </c>
      <c r="AL5" s="2829"/>
      <c r="AM5" s="2829"/>
      <c r="AN5" s="2829"/>
      <c r="AO5" s="2829"/>
      <c r="AP5" s="2830" t="s">
        <v>8</v>
      </c>
      <c r="AQ5" s="2829"/>
      <c r="AR5" s="2829"/>
      <c r="AS5" s="2829"/>
      <c r="AT5" s="2831"/>
      <c r="AU5" s="2832" t="s">
        <v>1447</v>
      </c>
      <c r="AV5" s="2833"/>
      <c r="AW5" s="2833"/>
      <c r="AX5" s="2833"/>
      <c r="AY5" s="2834"/>
    </row>
    <row r="6" spans="1:51" s="278" customFormat="1" ht="20" customHeight="1" thickTop="1" x14ac:dyDescent="0.3">
      <c r="B6" s="2818"/>
      <c r="C6" s="2816"/>
      <c r="D6" s="2816"/>
      <c r="E6" s="2816"/>
      <c r="F6" s="2817"/>
      <c r="G6" s="2815"/>
      <c r="H6" s="2816"/>
      <c r="I6" s="2816"/>
      <c r="J6" s="2816"/>
      <c r="K6" s="2817"/>
      <c r="L6" s="2815"/>
      <c r="M6" s="2816"/>
      <c r="N6" s="2816"/>
      <c r="O6" s="2816"/>
      <c r="P6" s="2817"/>
      <c r="Q6" s="2815"/>
      <c r="R6" s="2816"/>
      <c r="S6" s="2816"/>
      <c r="T6" s="2816"/>
      <c r="U6" s="2817"/>
      <c r="V6" s="2815"/>
      <c r="W6" s="2816"/>
      <c r="X6" s="2816"/>
      <c r="Y6" s="2816"/>
      <c r="Z6" s="2817"/>
      <c r="AA6" s="2815"/>
      <c r="AB6" s="2816"/>
      <c r="AC6" s="2816"/>
      <c r="AD6" s="2816"/>
      <c r="AE6" s="2817"/>
      <c r="AF6" s="2842"/>
      <c r="AG6" s="2843"/>
      <c r="AH6" s="2843"/>
      <c r="AI6" s="2843"/>
      <c r="AJ6" s="2844"/>
      <c r="AK6" s="2815"/>
      <c r="AL6" s="2816"/>
      <c r="AM6" s="2816"/>
      <c r="AN6" s="2816"/>
      <c r="AO6" s="2817"/>
      <c r="AP6" s="2815"/>
      <c r="AQ6" s="2816"/>
      <c r="AR6" s="2816"/>
      <c r="AS6" s="2816"/>
      <c r="AT6" s="2817"/>
      <c r="AU6" s="2815"/>
      <c r="AV6" s="2816"/>
      <c r="AW6" s="2816"/>
      <c r="AX6" s="2816"/>
      <c r="AY6" s="2835"/>
    </row>
    <row r="7" spans="1:51" s="278" customFormat="1" ht="20" customHeight="1" x14ac:dyDescent="0.3">
      <c r="B7" s="2820"/>
      <c r="C7" s="2802"/>
      <c r="D7" s="2802"/>
      <c r="E7" s="2802"/>
      <c r="F7" s="2803"/>
      <c r="G7" s="2801"/>
      <c r="H7" s="2802"/>
      <c r="I7" s="2802"/>
      <c r="J7" s="2802"/>
      <c r="K7" s="2803"/>
      <c r="L7" s="2801"/>
      <c r="M7" s="2802"/>
      <c r="N7" s="2802"/>
      <c r="O7" s="2802"/>
      <c r="P7" s="2803"/>
      <c r="Q7" s="2801"/>
      <c r="R7" s="2802"/>
      <c r="S7" s="2802"/>
      <c r="T7" s="2802"/>
      <c r="U7" s="2803"/>
      <c r="V7" s="2801"/>
      <c r="W7" s="2802"/>
      <c r="X7" s="2802"/>
      <c r="Y7" s="2802"/>
      <c r="Z7" s="2803"/>
      <c r="AA7" s="2801"/>
      <c r="AB7" s="2802"/>
      <c r="AC7" s="2802"/>
      <c r="AD7" s="2802"/>
      <c r="AE7" s="2803"/>
      <c r="AF7" s="2807"/>
      <c r="AG7" s="2808"/>
      <c r="AH7" s="2808"/>
      <c r="AI7" s="2808"/>
      <c r="AJ7" s="2809"/>
      <c r="AK7" s="2801"/>
      <c r="AL7" s="2802"/>
      <c r="AM7" s="2802"/>
      <c r="AN7" s="2802"/>
      <c r="AO7" s="2803"/>
      <c r="AP7" s="2801"/>
      <c r="AQ7" s="2802"/>
      <c r="AR7" s="2802"/>
      <c r="AS7" s="2802"/>
      <c r="AT7" s="2803"/>
      <c r="AU7" s="2801"/>
      <c r="AV7" s="2802"/>
      <c r="AW7" s="2802"/>
      <c r="AX7" s="2802"/>
      <c r="AY7" s="2813"/>
    </row>
    <row r="8" spans="1:51" s="278" customFormat="1" ht="20" customHeight="1" x14ac:dyDescent="0.3">
      <c r="B8" s="2820"/>
      <c r="C8" s="2802"/>
      <c r="D8" s="2802"/>
      <c r="E8" s="2802"/>
      <c r="F8" s="2803"/>
      <c r="G8" s="2801"/>
      <c r="H8" s="2802"/>
      <c r="I8" s="2802"/>
      <c r="J8" s="2802"/>
      <c r="K8" s="2803"/>
      <c r="L8" s="2801"/>
      <c r="M8" s="2802"/>
      <c r="N8" s="2802"/>
      <c r="O8" s="2802"/>
      <c r="P8" s="2803"/>
      <c r="Q8" s="2801"/>
      <c r="R8" s="2802"/>
      <c r="S8" s="2802"/>
      <c r="T8" s="2802"/>
      <c r="U8" s="2803"/>
      <c r="V8" s="2801"/>
      <c r="W8" s="2802"/>
      <c r="X8" s="2802"/>
      <c r="Y8" s="2802"/>
      <c r="Z8" s="2803"/>
      <c r="AA8" s="2801"/>
      <c r="AB8" s="2802"/>
      <c r="AC8" s="2802"/>
      <c r="AD8" s="2802"/>
      <c r="AE8" s="2803"/>
      <c r="AF8" s="2807"/>
      <c r="AG8" s="2808"/>
      <c r="AH8" s="2808"/>
      <c r="AI8" s="2808"/>
      <c r="AJ8" s="2809"/>
      <c r="AK8" s="2801"/>
      <c r="AL8" s="2802"/>
      <c r="AM8" s="2802"/>
      <c r="AN8" s="2802"/>
      <c r="AO8" s="2803"/>
      <c r="AP8" s="2801"/>
      <c r="AQ8" s="2802"/>
      <c r="AR8" s="2802"/>
      <c r="AS8" s="2802"/>
      <c r="AT8" s="2803"/>
      <c r="AU8" s="2801"/>
      <c r="AV8" s="2802"/>
      <c r="AW8" s="2802"/>
      <c r="AX8" s="2802"/>
      <c r="AY8" s="2813"/>
    </row>
    <row r="9" spans="1:51" s="278" customFormat="1" ht="20" customHeight="1" x14ac:dyDescent="0.3">
      <c r="B9" s="2820"/>
      <c r="C9" s="2802"/>
      <c r="D9" s="2802"/>
      <c r="E9" s="2802"/>
      <c r="F9" s="2803"/>
      <c r="G9" s="2801"/>
      <c r="H9" s="2802"/>
      <c r="I9" s="2802"/>
      <c r="J9" s="2802"/>
      <c r="K9" s="2803"/>
      <c r="L9" s="2801"/>
      <c r="M9" s="2802"/>
      <c r="N9" s="2802"/>
      <c r="O9" s="2802"/>
      <c r="P9" s="2803"/>
      <c r="Q9" s="2801"/>
      <c r="R9" s="2802"/>
      <c r="S9" s="2802"/>
      <c r="T9" s="2802"/>
      <c r="U9" s="2803"/>
      <c r="V9" s="2801"/>
      <c r="W9" s="2802"/>
      <c r="X9" s="2802"/>
      <c r="Y9" s="2802"/>
      <c r="Z9" s="2803"/>
      <c r="AA9" s="2801"/>
      <c r="AB9" s="2802"/>
      <c r="AC9" s="2802"/>
      <c r="AD9" s="2802"/>
      <c r="AE9" s="2803"/>
      <c r="AF9" s="2807"/>
      <c r="AG9" s="2808"/>
      <c r="AH9" s="2808"/>
      <c r="AI9" s="2808"/>
      <c r="AJ9" s="2809"/>
      <c r="AK9" s="2801"/>
      <c r="AL9" s="2802"/>
      <c r="AM9" s="2802"/>
      <c r="AN9" s="2802"/>
      <c r="AO9" s="2803"/>
      <c r="AP9" s="2801"/>
      <c r="AQ9" s="2802"/>
      <c r="AR9" s="2802"/>
      <c r="AS9" s="2802"/>
      <c r="AT9" s="2803"/>
      <c r="AU9" s="2801"/>
      <c r="AV9" s="2802"/>
      <c r="AW9" s="2802"/>
      <c r="AX9" s="2802"/>
      <c r="AY9" s="2813"/>
    </row>
    <row r="10" spans="1:51" s="278" customFormat="1" ht="20" customHeight="1" x14ac:dyDescent="0.3">
      <c r="B10" s="2820"/>
      <c r="C10" s="2802"/>
      <c r="D10" s="2802"/>
      <c r="E10" s="2802"/>
      <c r="F10" s="2803"/>
      <c r="G10" s="2801"/>
      <c r="H10" s="2802"/>
      <c r="I10" s="2802"/>
      <c r="J10" s="2802"/>
      <c r="K10" s="2803"/>
      <c r="L10" s="2801"/>
      <c r="M10" s="2802"/>
      <c r="N10" s="2802"/>
      <c r="O10" s="2802"/>
      <c r="P10" s="2803"/>
      <c r="Q10" s="2801"/>
      <c r="R10" s="2802"/>
      <c r="S10" s="2802"/>
      <c r="T10" s="2802"/>
      <c r="U10" s="2803"/>
      <c r="V10" s="2801"/>
      <c r="W10" s="2802"/>
      <c r="X10" s="2802"/>
      <c r="Y10" s="2802"/>
      <c r="Z10" s="2803"/>
      <c r="AA10" s="2801"/>
      <c r="AB10" s="2802"/>
      <c r="AC10" s="2802"/>
      <c r="AD10" s="2802"/>
      <c r="AE10" s="2803"/>
      <c r="AF10" s="2807"/>
      <c r="AG10" s="2808"/>
      <c r="AH10" s="2808"/>
      <c r="AI10" s="2808"/>
      <c r="AJ10" s="2809"/>
      <c r="AK10" s="2801"/>
      <c r="AL10" s="2802"/>
      <c r="AM10" s="2802"/>
      <c r="AN10" s="2802"/>
      <c r="AO10" s="2803"/>
      <c r="AP10" s="2801"/>
      <c r="AQ10" s="2802"/>
      <c r="AR10" s="2802"/>
      <c r="AS10" s="2802"/>
      <c r="AT10" s="2803"/>
      <c r="AU10" s="2801"/>
      <c r="AV10" s="2802"/>
      <c r="AW10" s="2802"/>
      <c r="AX10" s="2802"/>
      <c r="AY10" s="2813"/>
    </row>
    <row r="11" spans="1:51" s="278" customFormat="1" ht="20" customHeight="1" x14ac:dyDescent="0.3">
      <c r="B11" s="2820"/>
      <c r="C11" s="2802"/>
      <c r="D11" s="2802"/>
      <c r="E11" s="2802"/>
      <c r="F11" s="2803"/>
      <c r="G11" s="2801"/>
      <c r="H11" s="2802"/>
      <c r="I11" s="2802"/>
      <c r="J11" s="2802"/>
      <c r="K11" s="2803"/>
      <c r="L11" s="2801"/>
      <c r="M11" s="2802"/>
      <c r="N11" s="2802"/>
      <c r="O11" s="2802"/>
      <c r="P11" s="2803"/>
      <c r="Q11" s="2801"/>
      <c r="R11" s="2802"/>
      <c r="S11" s="2802"/>
      <c r="T11" s="2802"/>
      <c r="U11" s="2803"/>
      <c r="V11" s="2801"/>
      <c r="W11" s="2802"/>
      <c r="X11" s="2802"/>
      <c r="Y11" s="2802"/>
      <c r="Z11" s="2803"/>
      <c r="AA11" s="2801"/>
      <c r="AB11" s="2802"/>
      <c r="AC11" s="2802"/>
      <c r="AD11" s="2802"/>
      <c r="AE11" s="2803"/>
      <c r="AF11" s="2807"/>
      <c r="AG11" s="2808"/>
      <c r="AH11" s="2808"/>
      <c r="AI11" s="2808"/>
      <c r="AJ11" s="2809"/>
      <c r="AK11" s="2801"/>
      <c r="AL11" s="2802"/>
      <c r="AM11" s="2802"/>
      <c r="AN11" s="2802"/>
      <c r="AO11" s="2803"/>
      <c r="AP11" s="2801"/>
      <c r="AQ11" s="2802"/>
      <c r="AR11" s="2802"/>
      <c r="AS11" s="2802"/>
      <c r="AT11" s="2803"/>
      <c r="AU11" s="2801"/>
      <c r="AV11" s="2802"/>
      <c r="AW11" s="2802"/>
      <c r="AX11" s="2802"/>
      <c r="AY11" s="2813"/>
    </row>
    <row r="12" spans="1:51" s="278" customFormat="1" ht="20" customHeight="1" x14ac:dyDescent="0.3">
      <c r="B12" s="2820"/>
      <c r="C12" s="2802"/>
      <c r="D12" s="2802"/>
      <c r="E12" s="2802"/>
      <c r="F12" s="2803"/>
      <c r="G12" s="2801"/>
      <c r="H12" s="2802"/>
      <c r="I12" s="2802"/>
      <c r="J12" s="2802"/>
      <c r="K12" s="2803"/>
      <c r="L12" s="2801"/>
      <c r="M12" s="2802"/>
      <c r="N12" s="2802"/>
      <c r="O12" s="2802"/>
      <c r="P12" s="2803"/>
      <c r="Q12" s="2801"/>
      <c r="R12" s="2802"/>
      <c r="S12" s="2802"/>
      <c r="T12" s="2802"/>
      <c r="U12" s="2803"/>
      <c r="V12" s="2801"/>
      <c r="W12" s="2802"/>
      <c r="X12" s="2802"/>
      <c r="Y12" s="2802"/>
      <c r="Z12" s="2803"/>
      <c r="AA12" s="2801"/>
      <c r="AB12" s="2802"/>
      <c r="AC12" s="2802"/>
      <c r="AD12" s="2802"/>
      <c r="AE12" s="2803"/>
      <c r="AF12" s="2807"/>
      <c r="AG12" s="2808"/>
      <c r="AH12" s="2808"/>
      <c r="AI12" s="2808"/>
      <c r="AJ12" s="2809"/>
      <c r="AK12" s="2801"/>
      <c r="AL12" s="2802"/>
      <c r="AM12" s="2802"/>
      <c r="AN12" s="2802"/>
      <c r="AO12" s="2803"/>
      <c r="AP12" s="2801"/>
      <c r="AQ12" s="2802"/>
      <c r="AR12" s="2802"/>
      <c r="AS12" s="2802"/>
      <c r="AT12" s="2803"/>
      <c r="AU12" s="2801"/>
      <c r="AV12" s="2802"/>
      <c r="AW12" s="2802"/>
      <c r="AX12" s="2802"/>
      <c r="AY12" s="2813"/>
    </row>
    <row r="13" spans="1:51" s="278" customFormat="1" ht="20" customHeight="1" x14ac:dyDescent="0.3">
      <c r="B13" s="2820"/>
      <c r="C13" s="2802"/>
      <c r="D13" s="2802"/>
      <c r="E13" s="2802"/>
      <c r="F13" s="2803"/>
      <c r="G13" s="2801"/>
      <c r="H13" s="2802"/>
      <c r="I13" s="2802"/>
      <c r="J13" s="2802"/>
      <c r="K13" s="2803"/>
      <c r="L13" s="2801"/>
      <c r="M13" s="2802"/>
      <c r="N13" s="2802"/>
      <c r="O13" s="2802"/>
      <c r="P13" s="2803"/>
      <c r="Q13" s="2801"/>
      <c r="R13" s="2802"/>
      <c r="S13" s="2802"/>
      <c r="T13" s="2802"/>
      <c r="U13" s="2803"/>
      <c r="V13" s="2801"/>
      <c r="W13" s="2802"/>
      <c r="X13" s="2802"/>
      <c r="Y13" s="2802"/>
      <c r="Z13" s="2803"/>
      <c r="AA13" s="2801"/>
      <c r="AB13" s="2802"/>
      <c r="AC13" s="2802"/>
      <c r="AD13" s="2802"/>
      <c r="AE13" s="2803"/>
      <c r="AF13" s="2807"/>
      <c r="AG13" s="2808"/>
      <c r="AH13" s="2808"/>
      <c r="AI13" s="2808"/>
      <c r="AJ13" s="2809"/>
      <c r="AK13" s="2801"/>
      <c r="AL13" s="2802"/>
      <c r="AM13" s="2802"/>
      <c r="AN13" s="2802"/>
      <c r="AO13" s="2803"/>
      <c r="AP13" s="2801"/>
      <c r="AQ13" s="2802"/>
      <c r="AR13" s="2802"/>
      <c r="AS13" s="2802"/>
      <c r="AT13" s="2803"/>
      <c r="AU13" s="2801"/>
      <c r="AV13" s="2802"/>
      <c r="AW13" s="2802"/>
      <c r="AX13" s="2802"/>
      <c r="AY13" s="2813"/>
    </row>
    <row r="14" spans="1:51" s="278" customFormat="1" ht="20" customHeight="1" thickBot="1" x14ac:dyDescent="0.35">
      <c r="B14" s="2819"/>
      <c r="C14" s="2805"/>
      <c r="D14" s="2805"/>
      <c r="E14" s="2805"/>
      <c r="F14" s="2806"/>
      <c r="G14" s="2804"/>
      <c r="H14" s="2805"/>
      <c r="I14" s="2805"/>
      <c r="J14" s="2805"/>
      <c r="K14" s="2806"/>
      <c r="L14" s="2804"/>
      <c r="M14" s="2805"/>
      <c r="N14" s="2805"/>
      <c r="O14" s="2805"/>
      <c r="P14" s="2806"/>
      <c r="Q14" s="2804"/>
      <c r="R14" s="2805"/>
      <c r="S14" s="2805"/>
      <c r="T14" s="2805"/>
      <c r="U14" s="2806"/>
      <c r="V14" s="2804"/>
      <c r="W14" s="2805"/>
      <c r="X14" s="2805"/>
      <c r="Y14" s="2805"/>
      <c r="Z14" s="2806"/>
      <c r="AA14" s="2804"/>
      <c r="AB14" s="2805"/>
      <c r="AC14" s="2805"/>
      <c r="AD14" s="2805"/>
      <c r="AE14" s="2806"/>
      <c r="AF14" s="2810"/>
      <c r="AG14" s="2811"/>
      <c r="AH14" s="2811"/>
      <c r="AI14" s="2811"/>
      <c r="AJ14" s="2812"/>
      <c r="AK14" s="2804"/>
      <c r="AL14" s="2805"/>
      <c r="AM14" s="2805"/>
      <c r="AN14" s="2805"/>
      <c r="AO14" s="2806"/>
      <c r="AP14" s="2804"/>
      <c r="AQ14" s="2805"/>
      <c r="AR14" s="2805"/>
      <c r="AS14" s="2805"/>
      <c r="AT14" s="2806"/>
      <c r="AU14" s="2804"/>
      <c r="AV14" s="2805"/>
      <c r="AW14" s="2805"/>
      <c r="AX14" s="2805"/>
      <c r="AY14" s="2814"/>
    </row>
    <row r="15" spans="1:51" s="278" customFormat="1" ht="14.5" thickTop="1" x14ac:dyDescent="0.3">
      <c r="A15" s="632"/>
      <c r="B15" s="633" t="s">
        <v>150</v>
      </c>
      <c r="C15" s="2825" t="s">
        <v>1462</v>
      </c>
      <c r="D15" s="2825"/>
      <c r="E15" s="2825"/>
      <c r="F15" s="2825"/>
      <c r="G15" s="2825"/>
      <c r="H15" s="2825"/>
      <c r="I15" s="2825"/>
      <c r="J15" s="2825"/>
      <c r="K15" s="2825"/>
      <c r="L15" s="2825"/>
      <c r="M15" s="2825"/>
      <c r="N15" s="2825"/>
      <c r="O15" s="2825"/>
      <c r="P15" s="2825"/>
      <c r="Q15" s="2825"/>
      <c r="R15" s="2825"/>
      <c r="S15" s="2825"/>
      <c r="T15" s="2825"/>
      <c r="U15" s="2825"/>
      <c r="V15" s="2825"/>
      <c r="W15" s="2825"/>
      <c r="X15" s="2825"/>
      <c r="Y15" s="2825"/>
      <c r="Z15" s="2825"/>
      <c r="AA15" s="2825"/>
      <c r="AB15" s="2825"/>
      <c r="AC15" s="2825"/>
      <c r="AD15" s="2825"/>
      <c r="AE15" s="2825"/>
      <c r="AF15" s="2825"/>
      <c r="AG15" s="2825"/>
      <c r="AH15" s="2825"/>
      <c r="AI15" s="2825"/>
      <c r="AJ15" s="2825"/>
      <c r="AK15" s="2825"/>
      <c r="AL15" s="2825"/>
      <c r="AM15" s="2825"/>
      <c r="AN15" s="2825"/>
      <c r="AO15" s="2825"/>
      <c r="AP15" s="2825"/>
      <c r="AQ15" s="2825"/>
      <c r="AR15" s="2825"/>
      <c r="AS15" s="2825"/>
      <c r="AT15" s="2825"/>
      <c r="AU15" s="2825"/>
      <c r="AV15" s="2825"/>
      <c r="AW15" s="2825"/>
      <c r="AX15" s="2825"/>
      <c r="AY15" s="2825"/>
    </row>
    <row r="16" spans="1:51" s="278" customFormat="1" x14ac:dyDescent="0.3">
      <c r="B16" s="634"/>
      <c r="C16" s="635" t="s">
        <v>107</v>
      </c>
      <c r="D16" s="2758" t="s">
        <v>1463</v>
      </c>
      <c r="E16" s="2758"/>
      <c r="F16" s="2758"/>
      <c r="G16" s="2758"/>
      <c r="H16" s="2758"/>
      <c r="I16" s="2758"/>
      <c r="J16" s="2758"/>
      <c r="K16" s="2758"/>
      <c r="L16" s="2758"/>
      <c r="M16" s="2758"/>
      <c r="N16" s="2758"/>
      <c r="O16" s="2758"/>
      <c r="P16" s="2758"/>
      <c r="Q16" s="2758"/>
      <c r="R16" s="2758"/>
      <c r="S16" s="2758"/>
      <c r="T16" s="2758"/>
      <c r="U16" s="2758"/>
      <c r="V16" s="2758"/>
      <c r="W16" s="2758"/>
      <c r="X16" s="2758"/>
      <c r="Y16" s="2758"/>
      <c r="Z16" s="2758"/>
      <c r="AA16" s="2758"/>
      <c r="AB16" s="2758"/>
      <c r="AC16" s="2758"/>
      <c r="AD16" s="2758"/>
      <c r="AE16" s="2758"/>
      <c r="AF16" s="2758"/>
      <c r="AG16" s="2758"/>
      <c r="AH16" s="2758"/>
      <c r="AI16" s="2758"/>
      <c r="AJ16" s="2758"/>
      <c r="AK16" s="2758"/>
      <c r="AL16" s="2758"/>
      <c r="AM16" s="2758"/>
      <c r="AN16" s="2758"/>
      <c r="AO16" s="2758"/>
      <c r="AP16" s="2758"/>
      <c r="AQ16" s="2758"/>
      <c r="AR16" s="2758"/>
      <c r="AS16" s="2758"/>
      <c r="AT16" s="2758"/>
      <c r="AU16" s="2758"/>
      <c r="AV16" s="2758"/>
      <c r="AW16" s="2758"/>
      <c r="AX16" s="2758"/>
      <c r="AY16" s="2758"/>
    </row>
    <row r="17" spans="1:51" s="278" customFormat="1" x14ac:dyDescent="0.3">
      <c r="B17" s="635"/>
      <c r="C17" s="635" t="s">
        <v>108</v>
      </c>
      <c r="D17" s="2758" t="s">
        <v>1464</v>
      </c>
      <c r="E17" s="2758"/>
      <c r="F17" s="2758"/>
      <c r="G17" s="2758"/>
      <c r="H17" s="2758"/>
      <c r="I17" s="2758"/>
      <c r="J17" s="2758"/>
      <c r="K17" s="2758"/>
      <c r="L17" s="2758"/>
      <c r="M17" s="2758"/>
      <c r="N17" s="2758"/>
      <c r="O17" s="2758"/>
      <c r="P17" s="2758"/>
      <c r="Q17" s="2758"/>
      <c r="R17" s="2758"/>
      <c r="S17" s="2758"/>
      <c r="T17" s="2758"/>
      <c r="U17" s="2758"/>
      <c r="V17" s="2758"/>
      <c r="W17" s="2758"/>
      <c r="X17" s="2758"/>
      <c r="Y17" s="2758"/>
      <c r="Z17" s="2758"/>
      <c r="AA17" s="2758"/>
      <c r="AB17" s="2758"/>
      <c r="AC17" s="2758"/>
      <c r="AD17" s="2758"/>
      <c r="AE17" s="2758"/>
      <c r="AF17" s="2758"/>
      <c r="AG17" s="2758"/>
      <c r="AH17" s="2758"/>
      <c r="AI17" s="2758"/>
      <c r="AJ17" s="2758"/>
      <c r="AK17" s="2758"/>
      <c r="AL17" s="2758"/>
      <c r="AM17" s="2758"/>
      <c r="AN17" s="2758"/>
      <c r="AO17" s="2758"/>
      <c r="AP17" s="2758"/>
      <c r="AQ17" s="2758"/>
      <c r="AR17" s="2758"/>
      <c r="AS17" s="2758"/>
      <c r="AT17" s="2758"/>
      <c r="AU17" s="2758"/>
      <c r="AV17" s="2758"/>
      <c r="AW17" s="2758"/>
      <c r="AX17" s="2758"/>
      <c r="AY17" s="2758"/>
    </row>
    <row r="18" spans="1:51" s="278" customFormat="1" x14ac:dyDescent="0.3">
      <c r="B18" s="635"/>
      <c r="C18" s="635" t="s">
        <v>131</v>
      </c>
      <c r="D18" s="2758" t="s">
        <v>1465</v>
      </c>
      <c r="E18" s="2758"/>
      <c r="F18" s="2758"/>
      <c r="G18" s="2758"/>
      <c r="H18" s="2758"/>
      <c r="I18" s="2758"/>
      <c r="J18" s="2758"/>
      <c r="K18" s="2758"/>
      <c r="L18" s="2758"/>
      <c r="M18" s="2758"/>
      <c r="N18" s="2758"/>
      <c r="O18" s="2758"/>
      <c r="P18" s="2758"/>
      <c r="Q18" s="2758"/>
      <c r="R18" s="2758"/>
      <c r="S18" s="2758"/>
      <c r="T18" s="2758"/>
      <c r="U18" s="2758"/>
      <c r="V18" s="2758"/>
      <c r="W18" s="2758"/>
      <c r="X18" s="2758"/>
      <c r="Y18" s="2758"/>
      <c r="Z18" s="2758"/>
      <c r="AA18" s="2758"/>
      <c r="AB18" s="2758"/>
      <c r="AC18" s="2758"/>
      <c r="AD18" s="2758"/>
      <c r="AE18" s="2758"/>
      <c r="AF18" s="2758"/>
      <c r="AG18" s="2758"/>
      <c r="AH18" s="2758"/>
      <c r="AI18" s="2758"/>
      <c r="AJ18" s="2758"/>
      <c r="AK18" s="2758"/>
      <c r="AL18" s="2758"/>
      <c r="AM18" s="2758"/>
      <c r="AN18" s="2758"/>
      <c r="AO18" s="2758"/>
      <c r="AP18" s="2758"/>
      <c r="AQ18" s="2758"/>
      <c r="AR18" s="2758"/>
      <c r="AS18" s="2758"/>
      <c r="AT18" s="2758"/>
      <c r="AU18" s="2758"/>
      <c r="AV18" s="2758"/>
      <c r="AW18" s="2758"/>
      <c r="AX18" s="2758"/>
      <c r="AY18" s="2758"/>
    </row>
    <row r="19" spans="1:51" s="278" customFormat="1" x14ac:dyDescent="0.3">
      <c r="B19" s="635"/>
      <c r="C19" s="635" t="s">
        <v>132</v>
      </c>
      <c r="D19" s="2758" t="s">
        <v>1466</v>
      </c>
      <c r="E19" s="2758"/>
      <c r="F19" s="2758"/>
      <c r="G19" s="2758"/>
      <c r="H19" s="2758"/>
      <c r="I19" s="2758"/>
      <c r="J19" s="2758"/>
      <c r="K19" s="2758"/>
      <c r="L19" s="2758"/>
      <c r="M19" s="2758"/>
      <c r="N19" s="2758"/>
      <c r="O19" s="2758"/>
      <c r="P19" s="2758"/>
      <c r="Q19" s="2758"/>
      <c r="R19" s="2758"/>
      <c r="S19" s="2758"/>
      <c r="T19" s="2758"/>
      <c r="U19" s="2758"/>
      <c r="V19" s="2758"/>
      <c r="W19" s="2758"/>
      <c r="X19" s="2758"/>
      <c r="Y19" s="2758"/>
      <c r="Z19" s="2758"/>
      <c r="AA19" s="2758"/>
      <c r="AB19" s="2758"/>
      <c r="AC19" s="2758"/>
      <c r="AD19" s="2758"/>
      <c r="AE19" s="2758"/>
      <c r="AF19" s="2758"/>
      <c r="AG19" s="2758"/>
      <c r="AH19" s="2758"/>
      <c r="AI19" s="2758"/>
      <c r="AJ19" s="2758"/>
      <c r="AK19" s="2758"/>
      <c r="AL19" s="2758"/>
      <c r="AM19" s="2758"/>
      <c r="AN19" s="2758"/>
      <c r="AO19" s="2758"/>
      <c r="AP19" s="2758"/>
      <c r="AQ19" s="2758"/>
      <c r="AR19" s="2758"/>
      <c r="AS19" s="2758"/>
      <c r="AT19" s="2758"/>
      <c r="AU19" s="2758"/>
      <c r="AV19" s="2758"/>
      <c r="AW19" s="2758"/>
      <c r="AX19" s="2758"/>
      <c r="AY19" s="2758"/>
    </row>
    <row r="20" spans="1:51" s="278" customFormat="1" x14ac:dyDescent="0.3">
      <c r="B20" s="635"/>
      <c r="C20" s="635" t="s">
        <v>133</v>
      </c>
      <c r="D20" s="2758" t="s">
        <v>1467</v>
      </c>
      <c r="E20" s="2758"/>
      <c r="F20" s="2758"/>
      <c r="G20" s="2758"/>
      <c r="H20" s="2758"/>
      <c r="I20" s="2758"/>
      <c r="J20" s="2758"/>
      <c r="K20" s="2758"/>
      <c r="L20" s="2758"/>
      <c r="M20" s="2758"/>
      <c r="N20" s="2758"/>
      <c r="O20" s="2758"/>
      <c r="P20" s="2758"/>
      <c r="Q20" s="2758"/>
      <c r="R20" s="2758"/>
      <c r="S20" s="2758"/>
      <c r="T20" s="2758"/>
      <c r="U20" s="2758"/>
      <c r="V20" s="2758"/>
      <c r="W20" s="2758"/>
      <c r="X20" s="2758"/>
      <c r="Y20" s="2758"/>
      <c r="Z20" s="2758"/>
      <c r="AA20" s="2758"/>
      <c r="AB20" s="2758"/>
      <c r="AC20" s="2758"/>
      <c r="AD20" s="2758"/>
      <c r="AE20" s="2758"/>
      <c r="AF20" s="2758"/>
      <c r="AG20" s="2758"/>
      <c r="AH20" s="2758"/>
      <c r="AI20" s="2758"/>
      <c r="AJ20" s="2758"/>
      <c r="AK20" s="2758"/>
      <c r="AL20" s="2758"/>
      <c r="AM20" s="2758"/>
      <c r="AN20" s="2758"/>
      <c r="AO20" s="2758"/>
      <c r="AP20" s="2758"/>
      <c r="AQ20" s="2758"/>
      <c r="AR20" s="2758"/>
      <c r="AS20" s="2758"/>
      <c r="AT20" s="2758"/>
      <c r="AU20" s="2758"/>
      <c r="AV20" s="2758"/>
      <c r="AW20" s="2758"/>
      <c r="AX20" s="2758"/>
      <c r="AY20" s="2758"/>
    </row>
    <row r="21" spans="1:51" s="278" customFormat="1" x14ac:dyDescent="0.3">
      <c r="A21" s="632"/>
      <c r="B21" s="633" t="s">
        <v>151</v>
      </c>
      <c r="C21" s="2825" t="s">
        <v>1468</v>
      </c>
      <c r="D21" s="2825"/>
      <c r="E21" s="2825"/>
      <c r="F21" s="2825"/>
      <c r="G21" s="2825"/>
      <c r="H21" s="2825"/>
      <c r="I21" s="2825"/>
      <c r="J21" s="2825"/>
      <c r="K21" s="2825"/>
      <c r="L21" s="2825"/>
      <c r="M21" s="2825"/>
      <c r="N21" s="2825"/>
      <c r="O21" s="2825"/>
      <c r="P21" s="2825"/>
      <c r="Q21" s="2825"/>
      <c r="R21" s="2825"/>
      <c r="S21" s="2825"/>
      <c r="T21" s="2825"/>
      <c r="U21" s="2825"/>
      <c r="V21" s="2825"/>
      <c r="W21" s="2825"/>
      <c r="X21" s="2825"/>
      <c r="Y21" s="2825"/>
      <c r="Z21" s="2825"/>
      <c r="AA21" s="2825"/>
      <c r="AB21" s="2825"/>
      <c r="AC21" s="2825"/>
      <c r="AD21" s="2825"/>
      <c r="AE21" s="2825"/>
      <c r="AF21" s="2825"/>
      <c r="AG21" s="2825"/>
      <c r="AH21" s="2825"/>
      <c r="AI21" s="2825"/>
      <c r="AJ21" s="2825"/>
      <c r="AK21" s="2825"/>
      <c r="AL21" s="2825"/>
      <c r="AM21" s="2825"/>
      <c r="AN21" s="2825"/>
      <c r="AO21" s="2825"/>
      <c r="AP21" s="2825"/>
      <c r="AQ21" s="2825"/>
      <c r="AR21" s="2825"/>
      <c r="AS21" s="2825"/>
      <c r="AT21" s="2825"/>
      <c r="AU21" s="2825"/>
      <c r="AV21" s="2825"/>
      <c r="AW21" s="2825"/>
      <c r="AX21" s="2825"/>
      <c r="AY21" s="2825"/>
    </row>
    <row r="22" spans="1:51" s="278" customFormat="1" x14ac:dyDescent="0.3">
      <c r="A22" s="632"/>
      <c r="B22" s="633" t="s">
        <v>152</v>
      </c>
      <c r="C22" s="2825" t="s">
        <v>1469</v>
      </c>
      <c r="D22" s="2825"/>
      <c r="E22" s="2825"/>
      <c r="F22" s="2825"/>
      <c r="G22" s="2825"/>
      <c r="H22" s="2825"/>
      <c r="I22" s="2825"/>
      <c r="J22" s="2825"/>
      <c r="K22" s="2825"/>
      <c r="L22" s="2825"/>
      <c r="M22" s="2825"/>
      <c r="N22" s="2825"/>
      <c r="O22" s="2825"/>
      <c r="P22" s="2825"/>
      <c r="Q22" s="2825"/>
      <c r="R22" s="2825"/>
      <c r="S22" s="2825"/>
      <c r="T22" s="2825"/>
      <c r="U22" s="2825"/>
      <c r="V22" s="2825"/>
      <c r="W22" s="2825"/>
      <c r="X22" s="2825"/>
      <c r="Y22" s="2825"/>
      <c r="Z22" s="2825"/>
      <c r="AA22" s="2825"/>
      <c r="AB22" s="2825"/>
      <c r="AC22" s="2825"/>
      <c r="AD22" s="2825"/>
      <c r="AE22" s="2825"/>
      <c r="AF22" s="2825"/>
      <c r="AG22" s="2825"/>
      <c r="AH22" s="2825"/>
      <c r="AI22" s="2825"/>
      <c r="AJ22" s="2825"/>
      <c r="AK22" s="2825"/>
      <c r="AL22" s="2825"/>
      <c r="AM22" s="2825"/>
      <c r="AN22" s="2825"/>
      <c r="AO22" s="2825"/>
      <c r="AP22" s="2825"/>
      <c r="AQ22" s="2825"/>
      <c r="AR22" s="2825"/>
      <c r="AS22" s="2825"/>
      <c r="AT22" s="2825"/>
      <c r="AU22" s="2825"/>
      <c r="AV22" s="2825"/>
      <c r="AW22" s="2825"/>
      <c r="AX22" s="2825"/>
      <c r="AY22" s="2825"/>
    </row>
    <row r="23" spans="1:51" s="278" customFormat="1" x14ac:dyDescent="0.3">
      <c r="A23" s="632"/>
      <c r="B23" s="633" t="s">
        <v>155</v>
      </c>
      <c r="C23" s="2825" t="s">
        <v>1470</v>
      </c>
      <c r="D23" s="2825"/>
      <c r="E23" s="2825"/>
      <c r="F23" s="2825"/>
      <c r="G23" s="2825"/>
      <c r="H23" s="2825"/>
      <c r="I23" s="2825"/>
      <c r="J23" s="2825"/>
      <c r="K23" s="2825"/>
      <c r="L23" s="2825"/>
      <c r="M23" s="2825"/>
      <c r="N23" s="2825"/>
      <c r="O23" s="2825"/>
      <c r="P23" s="2825"/>
      <c r="Q23" s="2825"/>
      <c r="R23" s="2825"/>
      <c r="S23" s="2825"/>
      <c r="T23" s="2825"/>
      <c r="U23" s="2825"/>
      <c r="V23" s="2825"/>
      <c r="W23" s="2825"/>
      <c r="X23" s="2825"/>
      <c r="Y23" s="2825"/>
      <c r="Z23" s="2825"/>
      <c r="AA23" s="2825"/>
      <c r="AB23" s="2825"/>
      <c r="AC23" s="2825"/>
      <c r="AD23" s="2825"/>
      <c r="AE23" s="2825"/>
      <c r="AF23" s="2825"/>
      <c r="AG23" s="2825"/>
      <c r="AH23" s="2825"/>
      <c r="AI23" s="2825"/>
      <c r="AJ23" s="2825"/>
      <c r="AK23" s="2825"/>
      <c r="AL23" s="2825"/>
      <c r="AM23" s="2825"/>
      <c r="AN23" s="2825"/>
      <c r="AO23" s="2825"/>
      <c r="AP23" s="2825"/>
      <c r="AQ23" s="2825"/>
      <c r="AR23" s="2825"/>
      <c r="AS23" s="2825"/>
      <c r="AT23" s="2825"/>
      <c r="AU23" s="2825"/>
      <c r="AV23" s="2825"/>
      <c r="AW23" s="2825"/>
      <c r="AX23" s="2825"/>
      <c r="AY23" s="2825"/>
    </row>
    <row r="24" spans="1:51" s="278" customFormat="1" x14ac:dyDescent="0.3">
      <c r="A24" s="632"/>
      <c r="B24" s="633" t="s">
        <v>156</v>
      </c>
      <c r="C24" s="2825" t="s">
        <v>1471</v>
      </c>
      <c r="D24" s="2825"/>
      <c r="E24" s="2825"/>
      <c r="F24" s="2825"/>
      <c r="G24" s="2825"/>
      <c r="H24" s="2825"/>
      <c r="I24" s="2825"/>
      <c r="J24" s="2825"/>
      <c r="K24" s="2825"/>
      <c r="L24" s="2825"/>
      <c r="M24" s="2825"/>
      <c r="N24" s="2825"/>
      <c r="O24" s="2825"/>
      <c r="P24" s="2825"/>
      <c r="Q24" s="2825"/>
      <c r="R24" s="2825"/>
      <c r="S24" s="2825"/>
      <c r="T24" s="2825"/>
      <c r="U24" s="2825"/>
      <c r="V24" s="2825"/>
      <c r="W24" s="2825"/>
      <c r="X24" s="2825"/>
      <c r="Y24" s="2825"/>
      <c r="Z24" s="2825"/>
      <c r="AA24" s="2825"/>
      <c r="AB24" s="2825"/>
      <c r="AC24" s="2825"/>
      <c r="AD24" s="2825"/>
      <c r="AE24" s="2825"/>
      <c r="AF24" s="2825"/>
      <c r="AG24" s="2825"/>
      <c r="AH24" s="2825"/>
      <c r="AI24" s="2825"/>
      <c r="AJ24" s="2825"/>
      <c r="AK24" s="2825"/>
      <c r="AL24" s="2825"/>
      <c r="AM24" s="2825"/>
      <c r="AN24" s="2825"/>
      <c r="AO24" s="2825"/>
      <c r="AP24" s="2825"/>
      <c r="AQ24" s="2825"/>
      <c r="AR24" s="2825"/>
      <c r="AS24" s="2825"/>
      <c r="AT24" s="2825"/>
      <c r="AU24" s="2825"/>
      <c r="AV24" s="2825"/>
      <c r="AW24" s="2825"/>
      <c r="AX24" s="2825"/>
      <c r="AY24" s="2825"/>
    </row>
    <row r="25" spans="1:51" s="278" customFormat="1" x14ac:dyDescent="0.3">
      <c r="A25" s="632"/>
      <c r="B25" s="633" t="s">
        <v>157</v>
      </c>
      <c r="C25" s="2825" t="s">
        <v>1472</v>
      </c>
      <c r="D25" s="2825"/>
      <c r="E25" s="2825"/>
      <c r="F25" s="2825"/>
      <c r="G25" s="2825"/>
      <c r="H25" s="2825"/>
      <c r="I25" s="2825"/>
      <c r="J25" s="2825"/>
      <c r="K25" s="2825"/>
      <c r="L25" s="2825"/>
      <c r="M25" s="2825"/>
      <c r="N25" s="2825"/>
      <c r="O25" s="2825"/>
      <c r="P25" s="2825"/>
      <c r="Q25" s="2825"/>
      <c r="R25" s="2825"/>
      <c r="S25" s="2825"/>
      <c r="T25" s="2825"/>
      <c r="U25" s="2825"/>
      <c r="V25" s="2825"/>
      <c r="W25" s="2825"/>
      <c r="X25" s="2825"/>
      <c r="Y25" s="2825"/>
      <c r="Z25" s="2825"/>
      <c r="AA25" s="2825"/>
      <c r="AB25" s="2825"/>
      <c r="AC25" s="2825"/>
      <c r="AD25" s="2825"/>
      <c r="AE25" s="2825"/>
      <c r="AF25" s="2825"/>
      <c r="AG25" s="2825"/>
      <c r="AH25" s="2825"/>
      <c r="AI25" s="2825"/>
      <c r="AJ25" s="2825"/>
      <c r="AK25" s="2825"/>
      <c r="AL25" s="2825"/>
      <c r="AM25" s="2825"/>
      <c r="AN25" s="2825"/>
      <c r="AO25" s="2825"/>
      <c r="AP25" s="2825"/>
      <c r="AQ25" s="2825"/>
      <c r="AR25" s="2825"/>
      <c r="AS25" s="2825"/>
      <c r="AT25" s="2825"/>
      <c r="AU25" s="2825"/>
      <c r="AV25" s="2825"/>
      <c r="AW25" s="2825"/>
      <c r="AX25" s="2825"/>
      <c r="AY25" s="2825"/>
    </row>
    <row r="26" spans="1:51" s="278" customFormat="1" x14ac:dyDescent="0.3">
      <c r="A26" s="632"/>
      <c r="B26" s="633" t="s">
        <v>159</v>
      </c>
      <c r="C26" s="2825" t="s">
        <v>1473</v>
      </c>
      <c r="D26" s="2825"/>
      <c r="E26" s="2825"/>
      <c r="F26" s="2825"/>
      <c r="G26" s="2825"/>
      <c r="H26" s="2825"/>
      <c r="I26" s="2825"/>
      <c r="J26" s="2825"/>
      <c r="K26" s="2825"/>
      <c r="L26" s="2825"/>
      <c r="M26" s="2825"/>
      <c r="N26" s="2825"/>
      <c r="O26" s="2825"/>
      <c r="P26" s="2825"/>
      <c r="Q26" s="2825"/>
      <c r="R26" s="2825"/>
      <c r="S26" s="2825"/>
      <c r="T26" s="2825"/>
      <c r="U26" s="2825"/>
      <c r="V26" s="2825"/>
      <c r="W26" s="2825"/>
      <c r="X26" s="2825"/>
      <c r="Y26" s="2825"/>
      <c r="Z26" s="2825"/>
      <c r="AA26" s="2825"/>
      <c r="AB26" s="2825"/>
      <c r="AC26" s="2825"/>
      <c r="AD26" s="2825"/>
      <c r="AE26" s="2825"/>
      <c r="AF26" s="2825"/>
      <c r="AG26" s="2825"/>
      <c r="AH26" s="2825"/>
      <c r="AI26" s="2825"/>
      <c r="AJ26" s="2825"/>
      <c r="AK26" s="2825"/>
      <c r="AL26" s="2825"/>
      <c r="AM26" s="2825"/>
      <c r="AN26" s="2825"/>
      <c r="AO26" s="2825"/>
      <c r="AP26" s="2825"/>
      <c r="AQ26" s="2825"/>
      <c r="AR26" s="2825"/>
      <c r="AS26" s="2825"/>
      <c r="AT26" s="2825"/>
      <c r="AU26" s="2825"/>
      <c r="AV26" s="2825"/>
      <c r="AW26" s="2825"/>
      <c r="AX26" s="2825"/>
      <c r="AY26" s="2825"/>
    </row>
    <row r="27" spans="1:51" s="278" customFormat="1" x14ac:dyDescent="0.3">
      <c r="A27" s="632"/>
      <c r="B27" s="633" t="s">
        <v>153</v>
      </c>
      <c r="C27" s="2825" t="s">
        <v>1474</v>
      </c>
      <c r="D27" s="2825"/>
      <c r="E27" s="2825"/>
      <c r="F27" s="2825"/>
      <c r="G27" s="2825"/>
      <c r="H27" s="2825"/>
      <c r="I27" s="2825"/>
      <c r="J27" s="2825"/>
      <c r="K27" s="2825"/>
      <c r="L27" s="2825"/>
      <c r="M27" s="2825"/>
      <c r="N27" s="2825"/>
      <c r="O27" s="2825"/>
      <c r="P27" s="2825"/>
      <c r="Q27" s="2825"/>
      <c r="R27" s="2825"/>
      <c r="S27" s="2825"/>
      <c r="T27" s="2825"/>
      <c r="U27" s="2825"/>
      <c r="V27" s="2825"/>
      <c r="W27" s="2825"/>
      <c r="X27" s="2825"/>
      <c r="Y27" s="2825"/>
      <c r="Z27" s="2825"/>
      <c r="AA27" s="2825"/>
      <c r="AB27" s="2825"/>
      <c r="AC27" s="2825"/>
      <c r="AD27" s="2825"/>
      <c r="AE27" s="2825"/>
      <c r="AF27" s="2825"/>
      <c r="AG27" s="2825"/>
      <c r="AH27" s="2825"/>
      <c r="AI27" s="2825"/>
      <c r="AJ27" s="2825"/>
      <c r="AK27" s="2825"/>
      <c r="AL27" s="2825"/>
      <c r="AM27" s="2825"/>
      <c r="AN27" s="2825"/>
      <c r="AO27" s="2825"/>
      <c r="AP27" s="2825"/>
      <c r="AQ27" s="2825"/>
      <c r="AR27" s="2825"/>
      <c r="AS27" s="2825"/>
      <c r="AT27" s="2825"/>
      <c r="AU27" s="2825"/>
      <c r="AV27" s="2825"/>
      <c r="AW27" s="2825"/>
      <c r="AX27" s="2825"/>
      <c r="AY27" s="2825"/>
    </row>
    <row r="28" spans="1:51" s="278" customFormat="1" ht="14" customHeight="1" x14ac:dyDescent="0.3">
      <c r="B28" s="636"/>
      <c r="C28" s="636"/>
      <c r="D28" s="636"/>
      <c r="E28" s="636"/>
      <c r="F28" s="636"/>
      <c r="G28" s="636"/>
      <c r="H28" s="636"/>
      <c r="I28" s="636"/>
      <c r="J28" s="636"/>
      <c r="K28" s="636"/>
      <c r="L28" s="636"/>
      <c r="M28" s="636"/>
      <c r="N28" s="636"/>
      <c r="O28" s="636"/>
      <c r="P28" s="636"/>
      <c r="Q28" s="636"/>
      <c r="R28" s="636"/>
      <c r="S28" s="636"/>
      <c r="T28" s="636"/>
      <c r="U28" s="636"/>
      <c r="V28" s="636"/>
      <c r="W28" s="636"/>
      <c r="X28" s="636"/>
    </row>
    <row r="29" spans="1:51" s="637" customFormat="1" ht="18" x14ac:dyDescent="0.4">
      <c r="B29" s="2824" t="s">
        <v>1461</v>
      </c>
      <c r="C29" s="2824"/>
      <c r="D29" s="2824"/>
      <c r="E29" s="2824"/>
      <c r="F29" s="2824"/>
      <c r="G29" s="2824"/>
      <c r="H29" s="2824"/>
      <c r="I29" s="2824"/>
      <c r="J29" s="2824"/>
      <c r="K29" s="2824"/>
      <c r="L29" s="2824"/>
      <c r="M29" s="2824"/>
      <c r="N29" s="2824"/>
      <c r="O29" s="2824"/>
      <c r="P29" s="2824"/>
      <c r="Q29" s="2824"/>
      <c r="R29" s="2824"/>
      <c r="S29" s="2824"/>
      <c r="T29" s="2824"/>
      <c r="U29" s="2824"/>
      <c r="V29" s="2824"/>
      <c r="W29" s="2824"/>
      <c r="X29" s="2824"/>
      <c r="Y29" s="2824"/>
      <c r="Z29" s="2824"/>
      <c r="AA29" s="2824"/>
      <c r="AB29" s="2824"/>
      <c r="AC29" s="2824"/>
      <c r="AD29" s="2824"/>
      <c r="AE29" s="2824"/>
      <c r="AF29" s="2824"/>
      <c r="AG29" s="2824"/>
      <c r="AH29" s="2824"/>
      <c r="AI29" s="2824"/>
      <c r="AJ29" s="2824"/>
      <c r="AK29" s="2824"/>
      <c r="AL29" s="2824"/>
      <c r="AM29" s="2824"/>
      <c r="AN29" s="2824"/>
      <c r="AO29" s="2824"/>
      <c r="AP29" s="2824"/>
      <c r="AQ29" s="2824"/>
      <c r="AR29" s="2824"/>
      <c r="AS29" s="2824"/>
      <c r="AT29" s="2824"/>
      <c r="AU29" s="2824"/>
      <c r="AV29" s="2824"/>
      <c r="AW29" s="2824"/>
      <c r="AX29" s="2824"/>
      <c r="AY29" s="2824"/>
    </row>
    <row r="30" spans="1:51" s="278" customFormat="1" x14ac:dyDescent="0.3">
      <c r="B30" s="638"/>
      <c r="C30" s="639"/>
      <c r="D30" s="638"/>
      <c r="E30" s="638"/>
      <c r="F30" s="638"/>
      <c r="G30" s="638"/>
      <c r="H30" s="638"/>
      <c r="I30" s="638"/>
      <c r="J30" s="638"/>
      <c r="K30" s="638"/>
      <c r="L30" s="638"/>
      <c r="M30" s="638"/>
      <c r="N30" s="638"/>
      <c r="O30" s="638"/>
      <c r="P30" s="638"/>
      <c r="Q30" s="638"/>
      <c r="R30" s="638"/>
      <c r="S30" s="638"/>
      <c r="T30" s="638"/>
      <c r="U30" s="638"/>
      <c r="V30" s="638"/>
      <c r="W30" s="638"/>
      <c r="X30" s="638"/>
    </row>
    <row r="31" spans="1:51" s="278" customFormat="1" ht="30.75" customHeight="1" x14ac:dyDescent="0.3">
      <c r="A31" s="640"/>
      <c r="B31" s="641"/>
      <c r="C31" s="641"/>
      <c r="D31" s="641"/>
      <c r="E31" s="640"/>
      <c r="F31" s="640"/>
      <c r="G31" s="640"/>
      <c r="H31" s="640"/>
      <c r="I31" s="640"/>
      <c r="J31" s="640"/>
      <c r="K31" s="640"/>
      <c r="L31" s="640"/>
      <c r="M31" s="640"/>
      <c r="N31" s="640"/>
      <c r="O31" s="640"/>
      <c r="P31" s="640"/>
      <c r="Q31" s="640"/>
      <c r="R31" s="640"/>
      <c r="S31" s="640"/>
      <c r="T31" s="640"/>
      <c r="U31" s="640"/>
      <c r="V31" s="640"/>
      <c r="W31" s="640"/>
      <c r="X31" s="640"/>
      <c r="Y31" s="640"/>
      <c r="Z31" s="640"/>
      <c r="AA31" s="640"/>
      <c r="AB31" s="640"/>
      <c r="AC31" s="640"/>
      <c r="AD31" s="640"/>
      <c r="AE31" s="640"/>
      <c r="AF31" s="640"/>
      <c r="AG31" s="640"/>
      <c r="AH31" s="640"/>
      <c r="AI31" s="640"/>
      <c r="AJ31" s="640"/>
      <c r="AK31" s="640"/>
      <c r="AL31" s="640"/>
      <c r="AM31" s="640"/>
      <c r="AN31" s="640"/>
      <c r="AO31" s="640"/>
      <c r="AP31" s="640"/>
    </row>
    <row r="32" spans="1:51" s="278" customFormat="1" ht="20" customHeight="1" x14ac:dyDescent="0.3">
      <c r="B32" s="631" t="s">
        <v>913</v>
      </c>
      <c r="S32" s="631" t="s">
        <v>907</v>
      </c>
      <c r="AJ32" s="631" t="s">
        <v>922</v>
      </c>
    </row>
    <row r="33" spans="1:76" s="278" customFormat="1" ht="20" customHeight="1" x14ac:dyDescent="0.3">
      <c r="B33" s="631" t="s">
        <v>780</v>
      </c>
      <c r="F33" s="2822" t="str">
        <f>SchInfo!F38</f>
        <v>MELCHESIEDICK Q. BOLANIO/ March 17, 2023</v>
      </c>
      <c r="G33" s="2822"/>
      <c r="H33" s="2822"/>
      <c r="I33" s="2822"/>
      <c r="J33" s="2822"/>
      <c r="K33" s="2822"/>
      <c r="L33" s="2822"/>
      <c r="M33" s="2822"/>
      <c r="N33" s="2822"/>
      <c r="O33" s="2822"/>
      <c r="P33" s="2822"/>
      <c r="S33" s="2821" t="str">
        <f>Table25!S39</f>
        <v>ANNE VALERIE KERSTEINE I. VILLANUEVA /  May 17, 2022</v>
      </c>
      <c r="T33" s="2821"/>
      <c r="U33" s="2821"/>
      <c r="V33" s="2821"/>
      <c r="W33" s="2821"/>
      <c r="X33" s="2821"/>
      <c r="Y33" s="2821"/>
      <c r="Z33" s="2821"/>
      <c r="AA33" s="2821"/>
      <c r="AB33" s="2821"/>
      <c r="AC33" s="2821"/>
      <c r="AD33" s="2821"/>
      <c r="AE33" s="2821"/>
      <c r="AF33" s="2821"/>
      <c r="AG33" s="2821"/>
      <c r="AJ33" s="2821" t="str">
        <f>SchInfo!R38</f>
        <v>MICHAEL T. JAMIS   /  March 17, 2023</v>
      </c>
      <c r="AK33" s="2821"/>
      <c r="AL33" s="2821"/>
      <c r="AM33" s="2821"/>
      <c r="AN33" s="2821"/>
      <c r="AO33" s="2821"/>
      <c r="AP33" s="2821"/>
      <c r="AQ33" s="2821"/>
      <c r="AR33" s="2821"/>
      <c r="AS33" s="2821"/>
      <c r="AT33" s="2821"/>
      <c r="AU33" s="2821"/>
      <c r="AV33" s="2821"/>
      <c r="AW33" s="2821"/>
      <c r="AX33" s="2821"/>
    </row>
    <row r="34" spans="1:76" s="278" customFormat="1" ht="20" customHeight="1" x14ac:dyDescent="0.3">
      <c r="A34" s="642"/>
      <c r="B34" s="642"/>
      <c r="C34" s="642"/>
      <c r="D34" s="642"/>
      <c r="E34" s="642"/>
      <c r="F34" s="2823" t="s">
        <v>779</v>
      </c>
      <c r="G34" s="2823"/>
      <c r="H34" s="2823"/>
      <c r="I34" s="2823"/>
      <c r="J34" s="2823"/>
      <c r="K34" s="2823"/>
      <c r="L34" s="2823"/>
      <c r="M34" s="2823"/>
      <c r="N34" s="2823"/>
      <c r="O34" s="2823"/>
      <c r="P34" s="2823"/>
      <c r="Q34" s="642"/>
      <c r="S34" s="2822"/>
      <c r="T34" s="2822"/>
      <c r="U34" s="2822"/>
      <c r="V34" s="2822"/>
      <c r="W34" s="2822"/>
      <c r="X34" s="2822"/>
      <c r="Y34" s="2822"/>
      <c r="Z34" s="2822"/>
      <c r="AA34" s="2822"/>
      <c r="AB34" s="2822"/>
      <c r="AC34" s="2822"/>
      <c r="AD34" s="2822"/>
      <c r="AE34" s="2822"/>
      <c r="AF34" s="2822"/>
      <c r="AG34" s="2822"/>
      <c r="AJ34" s="2822"/>
      <c r="AK34" s="2822"/>
      <c r="AL34" s="2822"/>
      <c r="AM34" s="2822"/>
      <c r="AN34" s="2822"/>
      <c r="AO34" s="2822"/>
      <c r="AP34" s="2822"/>
      <c r="AQ34" s="2822"/>
      <c r="AR34" s="2822"/>
      <c r="AS34" s="2822"/>
      <c r="AT34" s="2822"/>
      <c r="AU34" s="2822"/>
      <c r="AV34" s="2822"/>
      <c r="AW34" s="2822"/>
      <c r="AX34" s="2822"/>
      <c r="BK34" s="642"/>
      <c r="BL34" s="642"/>
      <c r="BM34" s="642"/>
      <c r="BN34" s="642"/>
      <c r="BO34" s="642"/>
      <c r="BP34" s="642"/>
      <c r="BQ34" s="642"/>
      <c r="BR34" s="642"/>
      <c r="BS34" s="642"/>
      <c r="BT34" s="642"/>
      <c r="BU34" s="642"/>
      <c r="BV34" s="642"/>
      <c r="BW34" s="642"/>
      <c r="BX34" s="642"/>
    </row>
    <row r="35" spans="1:76" s="278" customFormat="1" ht="20" customHeight="1" x14ac:dyDescent="0.3">
      <c r="B35" s="631" t="s">
        <v>784</v>
      </c>
      <c r="F35" s="2822" t="str">
        <f>SchInfo!F40</f>
        <v>Principal IV</v>
      </c>
      <c r="G35" s="2822"/>
      <c r="H35" s="2822"/>
      <c r="I35" s="2822"/>
      <c r="J35" s="2822"/>
      <c r="K35" s="2822"/>
      <c r="L35" s="2822"/>
      <c r="M35" s="2822"/>
      <c r="N35" s="2822"/>
      <c r="O35" s="2822"/>
      <c r="P35" s="2822"/>
      <c r="S35" s="2823" t="s">
        <v>779</v>
      </c>
      <c r="T35" s="2823"/>
      <c r="U35" s="2823"/>
      <c r="V35" s="2823"/>
      <c r="W35" s="2823"/>
      <c r="X35" s="2823"/>
      <c r="Y35" s="2823"/>
      <c r="Z35" s="2823"/>
      <c r="AA35" s="2823"/>
      <c r="AB35" s="2823"/>
      <c r="AC35" s="2823"/>
      <c r="AD35" s="2823"/>
      <c r="AE35" s="2823"/>
      <c r="AF35" s="2823"/>
      <c r="AG35" s="2823"/>
      <c r="AJ35" s="2823" t="s">
        <v>779</v>
      </c>
      <c r="AK35" s="2823"/>
      <c r="AL35" s="2823"/>
      <c r="AM35" s="2823"/>
      <c r="AN35" s="2823"/>
      <c r="AO35" s="2823"/>
      <c r="AP35" s="2823"/>
      <c r="AQ35" s="2823"/>
      <c r="AR35" s="2823"/>
      <c r="AS35" s="2823"/>
      <c r="AT35" s="2823"/>
      <c r="AU35" s="2823"/>
      <c r="AV35" s="2823"/>
      <c r="AW35" s="2823"/>
      <c r="AX35" s="2823"/>
    </row>
  </sheetData>
  <sheetProtection algorithmName="SHA-512" hashValue="IyKee3zq/nYxCDADhL9oM5cfSJbE7RLFXxfFioouAHKFZ9dLjosbB1mtuIWf2HNWFLzh96jtjvrorQlbFEI65Q==" saltValue="8BcDR9N5+mSTvvUJ8JVNCg==" spinCount="100000" sheet="1" objects="1" scenarios="1" selectLockedCells="1"/>
  <mergeCells count="127">
    <mergeCell ref="B5:F5"/>
    <mergeCell ref="B4:F4"/>
    <mergeCell ref="G4:K4"/>
    <mergeCell ref="L5:P5"/>
    <mergeCell ref="L4:P4"/>
    <mergeCell ref="Q5:U5"/>
    <mergeCell ref="Q4:U4"/>
    <mergeCell ref="V4:Z4"/>
    <mergeCell ref="AA5:AE5"/>
    <mergeCell ref="AA4:AE4"/>
    <mergeCell ref="AK4:AY4"/>
    <mergeCell ref="AK5:AO5"/>
    <mergeCell ref="AP5:AT5"/>
    <mergeCell ref="AU5:AY5"/>
    <mergeCell ref="AK7:AO7"/>
    <mergeCell ref="AK6:AO6"/>
    <mergeCell ref="AU6:AY6"/>
    <mergeCell ref="AU7:AY7"/>
    <mergeCell ref="AF5:AJ5"/>
    <mergeCell ref="AF4:AJ4"/>
    <mergeCell ref="AP6:AT6"/>
    <mergeCell ref="AP7:AT7"/>
    <mergeCell ref="AF6:AJ6"/>
    <mergeCell ref="AF7:AJ7"/>
    <mergeCell ref="S33:AG34"/>
    <mergeCell ref="S35:AG35"/>
    <mergeCell ref="AJ33:AX34"/>
    <mergeCell ref="AJ35:AX35"/>
    <mergeCell ref="B29:AY29"/>
    <mergeCell ref="C26:AY26"/>
    <mergeCell ref="F34:P34"/>
    <mergeCell ref="F35:P35"/>
    <mergeCell ref="C15:AY15"/>
    <mergeCell ref="D16:AY16"/>
    <mergeCell ref="D17:AY17"/>
    <mergeCell ref="D19:AY19"/>
    <mergeCell ref="D20:AY20"/>
    <mergeCell ref="D18:AY18"/>
    <mergeCell ref="F33:P33"/>
    <mergeCell ref="C21:AY21"/>
    <mergeCell ref="C22:AY22"/>
    <mergeCell ref="C23:AY23"/>
    <mergeCell ref="C24:AY24"/>
    <mergeCell ref="C25:AY25"/>
    <mergeCell ref="C27:AY27"/>
    <mergeCell ref="B6:F6"/>
    <mergeCell ref="G6:K6"/>
    <mergeCell ref="B14:F14"/>
    <mergeCell ref="B7:F7"/>
    <mergeCell ref="B8:F8"/>
    <mergeCell ref="B9:F9"/>
    <mergeCell ref="B10:F10"/>
    <mergeCell ref="B11:F11"/>
    <mergeCell ref="B12:F12"/>
    <mergeCell ref="B13:F13"/>
    <mergeCell ref="G7:K7"/>
    <mergeCell ref="G8:K8"/>
    <mergeCell ref="G9:K9"/>
    <mergeCell ref="G10:K10"/>
    <mergeCell ref="G11:K11"/>
    <mergeCell ref="G12:K12"/>
    <mergeCell ref="G13:K13"/>
    <mergeCell ref="G14:K14"/>
    <mergeCell ref="L6:P6"/>
    <mergeCell ref="L7:P7"/>
    <mergeCell ref="L8:P8"/>
    <mergeCell ref="L9:P9"/>
    <mergeCell ref="L10:P10"/>
    <mergeCell ref="L11:P11"/>
    <mergeCell ref="L12:P12"/>
    <mergeCell ref="L13:P13"/>
    <mergeCell ref="L14:P14"/>
    <mergeCell ref="AA6:AE6"/>
    <mergeCell ref="AA7:AE7"/>
    <mergeCell ref="AA8:AE8"/>
    <mergeCell ref="AA9:AE9"/>
    <mergeCell ref="AA10:AE10"/>
    <mergeCell ref="Q11:U11"/>
    <mergeCell ref="Q12:U12"/>
    <mergeCell ref="Q13:U13"/>
    <mergeCell ref="Q14:U14"/>
    <mergeCell ref="V6:Z6"/>
    <mergeCell ref="V7:Z7"/>
    <mergeCell ref="V8:Z8"/>
    <mergeCell ref="V9:Z9"/>
    <mergeCell ref="V10:Z10"/>
    <mergeCell ref="V11:Z11"/>
    <mergeCell ref="V12:Z12"/>
    <mergeCell ref="V13:Z13"/>
    <mergeCell ref="V14:Z14"/>
    <mergeCell ref="Q6:U6"/>
    <mergeCell ref="Q7:U7"/>
    <mergeCell ref="Q8:U8"/>
    <mergeCell ref="Q9:U9"/>
    <mergeCell ref="Q10:U10"/>
    <mergeCell ref="AA11:AE11"/>
    <mergeCell ref="AU13:AY13"/>
    <mergeCell ref="AU14:AY14"/>
    <mergeCell ref="AU8:AY8"/>
    <mergeCell ref="AU9:AY9"/>
    <mergeCell ref="AU10:AY10"/>
    <mergeCell ref="AU11:AY11"/>
    <mergeCell ref="AU12:AY12"/>
    <mergeCell ref="AP8:AT8"/>
    <mergeCell ref="AP9:AT9"/>
    <mergeCell ref="AP10:AT10"/>
    <mergeCell ref="AP11:AT11"/>
    <mergeCell ref="AP12:AT12"/>
    <mergeCell ref="AP13:AT13"/>
    <mergeCell ref="AP14:AT14"/>
    <mergeCell ref="AA12:AE12"/>
    <mergeCell ref="AA13:AE13"/>
    <mergeCell ref="AA14:AE14"/>
    <mergeCell ref="AK13:AO13"/>
    <mergeCell ref="AK14:AO14"/>
    <mergeCell ref="AK8:AO8"/>
    <mergeCell ref="AK9:AO9"/>
    <mergeCell ref="AK10:AO10"/>
    <mergeCell ref="AK11:AO11"/>
    <mergeCell ref="AK12:AO12"/>
    <mergeCell ref="AF8:AJ8"/>
    <mergeCell ref="AF9:AJ9"/>
    <mergeCell ref="AF10:AJ10"/>
    <mergeCell ref="AF11:AJ11"/>
    <mergeCell ref="AF12:AJ12"/>
    <mergeCell ref="AF13:AJ13"/>
    <mergeCell ref="AF14:AJ14"/>
  </mergeCells>
  <phoneticPr fontId="41" type="noConversion"/>
  <dataValidations count="1">
    <dataValidation type="date" allowBlank="1" showInputMessage="1" showErrorMessage="1" errorTitle="GJHSP 2022-2023" error="Please enter date until October 31, 2022 in M/D/YYYY or D/M/YYYY depending on your computer's date." sqref="AF6:AJ14" xr:uid="{653B7BB4-C36B-446F-B00F-A7CF44FAAEA9}">
      <formula1>1</formula1>
      <formula2>44865</formula2>
    </dataValidation>
  </dataValidations>
  <printOptions horizontalCentered="1" verticalCentered="1"/>
  <pageMargins left="0.23622047244094491" right="0.23622047244094491" top="0.19685039370078741" bottom="0.19685039370078741" header="0" footer="0.11811023622047245"/>
  <pageSetup paperSize="14" scale="80" orientation="landscape" r:id="rId1"/>
  <headerFooter alignWithMargins="0">
    <oddFooter>&amp;L&amp;10&amp;F &amp;A&amp;R&amp;10Page 24 of 63</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errorTitle="GJHSP SY 2022-2023" error="Please select from the list provided." xr:uid="{6B576060-DC03-4768-A61A-8432542773CE}">
          <x14:formula1>
            <xm:f>dropdown!$J$13:$J$17</xm:f>
          </x14:formula1>
          <xm:sqref>B6:F14</xm:sqref>
        </x14:dataValidation>
        <x14:dataValidation type="list" allowBlank="1" showInputMessage="1" showErrorMessage="1" errorTitle="GJHSP SY 2022-2023" error="Please select from the list provided." xr:uid="{46955CE4-A387-4BE7-8FDB-2B5338D0DD12}">
          <x14:formula1>
            <xm:f>dropdown!$M$13:$M$16</xm:f>
          </x14:formula1>
          <xm:sqref>AA6:AE14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1F5D2-AA10-4D2D-B945-47832986E655}">
  <dimension ref="A1:BH31"/>
  <sheetViews>
    <sheetView showGridLines="0" zoomScaleNormal="100" workbookViewId="0">
      <selection activeCell="Z8" sqref="Z8:AG8"/>
    </sheetView>
  </sheetViews>
  <sheetFormatPr defaultColWidth="8" defaultRowHeight="14" x14ac:dyDescent="0.3"/>
  <cols>
    <col min="1" max="1" width="2.08203125" style="399" customWidth="1"/>
    <col min="2" max="9" width="3.58203125" style="399" customWidth="1"/>
    <col min="10" max="17" width="5.08203125" style="399" customWidth="1"/>
    <col min="18" max="41" width="3.58203125" style="399" customWidth="1"/>
    <col min="42" max="42" width="2.08203125" style="399" customWidth="1"/>
    <col min="43" max="44" width="3.58203125" style="399" customWidth="1"/>
    <col min="45" max="45" width="2.08203125" style="399" customWidth="1"/>
    <col min="46" max="51" width="3.58203125" style="399" customWidth="1"/>
    <col min="52" max="16384" width="8" style="399"/>
  </cols>
  <sheetData>
    <row r="1" spans="1:55" ht="12" customHeight="1" x14ac:dyDescent="0.3"/>
    <row r="2" spans="1:55" s="44" customFormat="1" ht="15.5" x14ac:dyDescent="0.35">
      <c r="B2" s="415" t="s">
        <v>12716</v>
      </c>
      <c r="C2" s="576"/>
      <c r="D2" s="576"/>
      <c r="E2" s="576"/>
      <c r="F2" s="576"/>
    </row>
    <row r="3" spans="1:55" s="402" customFormat="1" ht="16" thickBot="1" x14ac:dyDescent="0.4">
      <c r="B3" s="419" t="s">
        <v>1098</v>
      </c>
    </row>
    <row r="4" spans="1:55" s="278" customFormat="1" ht="23" customHeight="1" x14ac:dyDescent="0.3">
      <c r="A4" s="627"/>
      <c r="B4" s="2870" t="s">
        <v>1475</v>
      </c>
      <c r="C4" s="2871"/>
      <c r="D4" s="2871"/>
      <c r="E4" s="2871"/>
      <c r="F4" s="2871"/>
      <c r="G4" s="2871"/>
      <c r="H4" s="2871"/>
      <c r="I4" s="2872"/>
      <c r="J4" s="2873" t="s">
        <v>1425</v>
      </c>
      <c r="K4" s="2874"/>
      <c r="L4" s="2874"/>
      <c r="M4" s="2874"/>
      <c r="N4" s="2874"/>
      <c r="O4" s="2874"/>
      <c r="P4" s="2874"/>
      <c r="Q4" s="2875"/>
      <c r="R4" s="2871" t="s">
        <v>1451</v>
      </c>
      <c r="S4" s="2874"/>
      <c r="T4" s="2874"/>
      <c r="U4" s="2874"/>
      <c r="V4" s="2874"/>
      <c r="W4" s="2874"/>
      <c r="X4" s="2874"/>
      <c r="Y4" s="2875"/>
      <c r="Z4" s="2873" t="s">
        <v>1449</v>
      </c>
      <c r="AA4" s="2874"/>
      <c r="AB4" s="2874"/>
      <c r="AC4" s="2874"/>
      <c r="AD4" s="2874"/>
      <c r="AE4" s="2874"/>
      <c r="AF4" s="2874"/>
      <c r="AG4" s="2874"/>
      <c r="AH4" s="2873" t="s">
        <v>1477</v>
      </c>
      <c r="AI4" s="2874"/>
      <c r="AJ4" s="2874"/>
      <c r="AK4" s="2874"/>
      <c r="AL4" s="2874"/>
      <c r="AM4" s="2874"/>
      <c r="AN4" s="2874"/>
      <c r="AO4" s="2876"/>
      <c r="AP4" s="627"/>
      <c r="AQ4" s="627"/>
      <c r="AR4" s="627"/>
      <c r="AS4" s="627"/>
      <c r="AT4" s="627"/>
      <c r="AU4" s="627"/>
      <c r="AV4" s="627"/>
      <c r="AW4" s="627"/>
      <c r="AX4" s="627"/>
      <c r="AY4" s="627"/>
      <c r="AZ4" s="627"/>
      <c r="BA4" s="627"/>
      <c r="BB4" s="627"/>
      <c r="BC4" s="627"/>
    </row>
    <row r="5" spans="1:55" s="631" customFormat="1" ht="27" customHeight="1" x14ac:dyDescent="0.3">
      <c r="B5" s="2764" t="s">
        <v>1476</v>
      </c>
      <c r="C5" s="2754"/>
      <c r="D5" s="2754"/>
      <c r="E5" s="2754"/>
      <c r="F5" s="2754"/>
      <c r="G5" s="2754"/>
      <c r="H5" s="2754"/>
      <c r="I5" s="2877"/>
      <c r="J5" s="2881" t="s">
        <v>1429</v>
      </c>
      <c r="K5" s="2770"/>
      <c r="L5" s="2770"/>
      <c r="M5" s="2770"/>
      <c r="N5" s="2770"/>
      <c r="O5" s="2770"/>
      <c r="P5" s="2770"/>
      <c r="Q5" s="2882"/>
      <c r="R5" s="2763" t="s">
        <v>12792</v>
      </c>
      <c r="S5" s="2758"/>
      <c r="T5" s="2758"/>
      <c r="U5" s="2758"/>
      <c r="V5" s="2758"/>
      <c r="W5" s="2758"/>
      <c r="X5" s="2758"/>
      <c r="Y5" s="2886"/>
      <c r="Z5" s="2881"/>
      <c r="AA5" s="2765"/>
      <c r="AB5" s="2765"/>
      <c r="AC5" s="2765"/>
      <c r="AD5" s="2765"/>
      <c r="AE5" s="2765"/>
      <c r="AF5" s="2765"/>
      <c r="AG5" s="2765"/>
      <c r="AH5" s="2881"/>
      <c r="AI5" s="2770"/>
      <c r="AJ5" s="2770"/>
      <c r="AK5" s="2770"/>
      <c r="AL5" s="2770"/>
      <c r="AM5" s="2770"/>
      <c r="AN5" s="2770"/>
      <c r="AO5" s="2891"/>
    </row>
    <row r="6" spans="1:55" s="631" customFormat="1" ht="27" customHeight="1" thickBot="1" x14ac:dyDescent="0.35">
      <c r="B6" s="2878"/>
      <c r="C6" s="2879"/>
      <c r="D6" s="2879"/>
      <c r="E6" s="2879"/>
      <c r="F6" s="2879"/>
      <c r="G6" s="2879"/>
      <c r="H6" s="2879"/>
      <c r="I6" s="2880"/>
      <c r="J6" s="2883"/>
      <c r="K6" s="2884"/>
      <c r="L6" s="2884"/>
      <c r="M6" s="2884"/>
      <c r="N6" s="2884"/>
      <c r="O6" s="2884"/>
      <c r="P6" s="2884"/>
      <c r="Q6" s="2885"/>
      <c r="R6" s="2887"/>
      <c r="S6" s="2887"/>
      <c r="T6" s="2887"/>
      <c r="U6" s="2887"/>
      <c r="V6" s="2887"/>
      <c r="W6" s="2887"/>
      <c r="X6" s="2887"/>
      <c r="Y6" s="2888"/>
      <c r="Z6" s="2889"/>
      <c r="AA6" s="2890"/>
      <c r="AB6" s="2890"/>
      <c r="AC6" s="2890"/>
      <c r="AD6" s="2890"/>
      <c r="AE6" s="2890"/>
      <c r="AF6" s="2890"/>
      <c r="AG6" s="2890"/>
      <c r="AH6" s="2883"/>
      <c r="AI6" s="2884"/>
      <c r="AJ6" s="2884"/>
      <c r="AK6" s="2884"/>
      <c r="AL6" s="2884"/>
      <c r="AM6" s="2884"/>
      <c r="AN6" s="2884"/>
      <c r="AO6" s="2892"/>
    </row>
    <row r="7" spans="1:55" s="278" customFormat="1" ht="20" customHeight="1" x14ac:dyDescent="0.3">
      <c r="B7" s="2864"/>
      <c r="C7" s="2865"/>
      <c r="D7" s="2865"/>
      <c r="E7" s="2865"/>
      <c r="F7" s="2865"/>
      <c r="G7" s="2865"/>
      <c r="H7" s="2865"/>
      <c r="I7" s="2866"/>
      <c r="J7" s="2867"/>
      <c r="K7" s="2865"/>
      <c r="L7" s="2865"/>
      <c r="M7" s="2865"/>
      <c r="N7" s="2865"/>
      <c r="O7" s="2865"/>
      <c r="P7" s="2865"/>
      <c r="Q7" s="2866"/>
      <c r="R7" s="2868"/>
      <c r="S7" s="2865"/>
      <c r="T7" s="2865"/>
      <c r="U7" s="2865"/>
      <c r="V7" s="2865"/>
      <c r="W7" s="2865"/>
      <c r="X7" s="2865"/>
      <c r="Y7" s="2866"/>
      <c r="Z7" s="2868"/>
      <c r="AA7" s="2865"/>
      <c r="AB7" s="2865"/>
      <c r="AC7" s="2865"/>
      <c r="AD7" s="2865"/>
      <c r="AE7" s="2865"/>
      <c r="AF7" s="2865"/>
      <c r="AG7" s="2865"/>
      <c r="AH7" s="2868"/>
      <c r="AI7" s="2865"/>
      <c r="AJ7" s="2865"/>
      <c r="AK7" s="2865"/>
      <c r="AL7" s="2865"/>
      <c r="AM7" s="2865"/>
      <c r="AN7" s="2865"/>
      <c r="AO7" s="2869"/>
    </row>
    <row r="8" spans="1:55" s="278" customFormat="1" ht="20" customHeight="1" x14ac:dyDescent="0.3">
      <c r="B8" s="2852"/>
      <c r="C8" s="2853"/>
      <c r="D8" s="2853"/>
      <c r="E8" s="2853"/>
      <c r="F8" s="2853"/>
      <c r="G8" s="2853"/>
      <c r="H8" s="2853"/>
      <c r="I8" s="2854"/>
      <c r="J8" s="2855"/>
      <c r="K8" s="2853"/>
      <c r="L8" s="2853"/>
      <c r="M8" s="2853"/>
      <c r="N8" s="2853"/>
      <c r="O8" s="2853"/>
      <c r="P8" s="2853"/>
      <c r="Q8" s="2854"/>
      <c r="R8" s="2856"/>
      <c r="S8" s="2853"/>
      <c r="T8" s="2853"/>
      <c r="U8" s="2853"/>
      <c r="V8" s="2853"/>
      <c r="W8" s="2853"/>
      <c r="X8" s="2853"/>
      <c r="Y8" s="2854"/>
      <c r="Z8" s="2856"/>
      <c r="AA8" s="2853"/>
      <c r="AB8" s="2853"/>
      <c r="AC8" s="2853"/>
      <c r="AD8" s="2853"/>
      <c r="AE8" s="2853"/>
      <c r="AF8" s="2853"/>
      <c r="AG8" s="2853"/>
      <c r="AH8" s="2856"/>
      <c r="AI8" s="2853"/>
      <c r="AJ8" s="2853"/>
      <c r="AK8" s="2853"/>
      <c r="AL8" s="2853"/>
      <c r="AM8" s="2853"/>
      <c r="AN8" s="2853"/>
      <c r="AO8" s="2857"/>
    </row>
    <row r="9" spans="1:55" s="278" customFormat="1" ht="20" customHeight="1" x14ac:dyDescent="0.3">
      <c r="B9" s="2852"/>
      <c r="C9" s="2853"/>
      <c r="D9" s="2853"/>
      <c r="E9" s="2853"/>
      <c r="F9" s="2853"/>
      <c r="G9" s="2853"/>
      <c r="H9" s="2853"/>
      <c r="I9" s="2854"/>
      <c r="J9" s="2855"/>
      <c r="K9" s="2853"/>
      <c r="L9" s="2853"/>
      <c r="M9" s="2853"/>
      <c r="N9" s="2853"/>
      <c r="O9" s="2853"/>
      <c r="P9" s="2853"/>
      <c r="Q9" s="2854"/>
      <c r="R9" s="2856"/>
      <c r="S9" s="2853"/>
      <c r="T9" s="2853"/>
      <c r="U9" s="2853"/>
      <c r="V9" s="2853"/>
      <c r="W9" s="2853"/>
      <c r="X9" s="2853"/>
      <c r="Y9" s="2854"/>
      <c r="Z9" s="2856"/>
      <c r="AA9" s="2853"/>
      <c r="AB9" s="2853"/>
      <c r="AC9" s="2853"/>
      <c r="AD9" s="2853"/>
      <c r="AE9" s="2853"/>
      <c r="AF9" s="2853"/>
      <c r="AG9" s="2853"/>
      <c r="AH9" s="2856"/>
      <c r="AI9" s="2853"/>
      <c r="AJ9" s="2853"/>
      <c r="AK9" s="2853"/>
      <c r="AL9" s="2853"/>
      <c r="AM9" s="2853"/>
      <c r="AN9" s="2853"/>
      <c r="AO9" s="2857"/>
    </row>
    <row r="10" spans="1:55" s="278" customFormat="1" ht="20" customHeight="1" x14ac:dyDescent="0.3">
      <c r="B10" s="2852"/>
      <c r="C10" s="2853"/>
      <c r="D10" s="2853"/>
      <c r="E10" s="2853"/>
      <c r="F10" s="2853"/>
      <c r="G10" s="2853"/>
      <c r="H10" s="2853"/>
      <c r="I10" s="2854"/>
      <c r="J10" s="2855"/>
      <c r="K10" s="2853"/>
      <c r="L10" s="2853"/>
      <c r="M10" s="2853"/>
      <c r="N10" s="2853"/>
      <c r="O10" s="2853"/>
      <c r="P10" s="2853"/>
      <c r="Q10" s="2854"/>
      <c r="R10" s="2856"/>
      <c r="S10" s="2853"/>
      <c r="T10" s="2853"/>
      <c r="U10" s="2853"/>
      <c r="V10" s="2853"/>
      <c r="W10" s="2853"/>
      <c r="X10" s="2853"/>
      <c r="Y10" s="2854"/>
      <c r="Z10" s="2856"/>
      <c r="AA10" s="2853"/>
      <c r="AB10" s="2853"/>
      <c r="AC10" s="2853"/>
      <c r="AD10" s="2853"/>
      <c r="AE10" s="2853"/>
      <c r="AF10" s="2853"/>
      <c r="AG10" s="2853"/>
      <c r="AH10" s="2856"/>
      <c r="AI10" s="2853"/>
      <c r="AJ10" s="2853"/>
      <c r="AK10" s="2853"/>
      <c r="AL10" s="2853"/>
      <c r="AM10" s="2853"/>
      <c r="AN10" s="2853"/>
      <c r="AO10" s="2857"/>
    </row>
    <row r="11" spans="1:55" s="278" customFormat="1" ht="20" customHeight="1" x14ac:dyDescent="0.3">
      <c r="B11" s="2852"/>
      <c r="C11" s="2853"/>
      <c r="D11" s="2853"/>
      <c r="E11" s="2853"/>
      <c r="F11" s="2853"/>
      <c r="G11" s="2853"/>
      <c r="H11" s="2853"/>
      <c r="I11" s="2854"/>
      <c r="J11" s="2855"/>
      <c r="K11" s="2853"/>
      <c r="L11" s="2853"/>
      <c r="M11" s="2853"/>
      <c r="N11" s="2853"/>
      <c r="O11" s="2853"/>
      <c r="P11" s="2853"/>
      <c r="Q11" s="2854"/>
      <c r="R11" s="2856"/>
      <c r="S11" s="2853"/>
      <c r="T11" s="2853"/>
      <c r="U11" s="2853"/>
      <c r="V11" s="2853"/>
      <c r="W11" s="2853"/>
      <c r="X11" s="2853"/>
      <c r="Y11" s="2854"/>
      <c r="Z11" s="2856"/>
      <c r="AA11" s="2853"/>
      <c r="AB11" s="2853"/>
      <c r="AC11" s="2853"/>
      <c r="AD11" s="2853"/>
      <c r="AE11" s="2853"/>
      <c r="AF11" s="2853"/>
      <c r="AG11" s="2853"/>
      <c r="AH11" s="2856"/>
      <c r="AI11" s="2853"/>
      <c r="AJ11" s="2853"/>
      <c r="AK11" s="2853"/>
      <c r="AL11" s="2853"/>
      <c r="AM11" s="2853"/>
      <c r="AN11" s="2853"/>
      <c r="AO11" s="2857"/>
    </row>
    <row r="12" spans="1:55" s="278" customFormat="1" ht="20" customHeight="1" x14ac:dyDescent="0.3">
      <c r="B12" s="2852"/>
      <c r="C12" s="2853"/>
      <c r="D12" s="2853"/>
      <c r="E12" s="2853"/>
      <c r="F12" s="2853"/>
      <c r="G12" s="2853"/>
      <c r="H12" s="2853"/>
      <c r="I12" s="2854"/>
      <c r="J12" s="2855"/>
      <c r="K12" s="2853"/>
      <c r="L12" s="2853"/>
      <c r="M12" s="2853"/>
      <c r="N12" s="2853"/>
      <c r="O12" s="2853"/>
      <c r="P12" s="2853"/>
      <c r="Q12" s="2854"/>
      <c r="R12" s="2856"/>
      <c r="S12" s="2853"/>
      <c r="T12" s="2853"/>
      <c r="U12" s="2853"/>
      <c r="V12" s="2853"/>
      <c r="W12" s="2853"/>
      <c r="X12" s="2853"/>
      <c r="Y12" s="2854"/>
      <c r="Z12" s="2856"/>
      <c r="AA12" s="2853"/>
      <c r="AB12" s="2853"/>
      <c r="AC12" s="2853"/>
      <c r="AD12" s="2853"/>
      <c r="AE12" s="2853"/>
      <c r="AF12" s="2853"/>
      <c r="AG12" s="2853"/>
      <c r="AH12" s="2856"/>
      <c r="AI12" s="2853"/>
      <c r="AJ12" s="2853"/>
      <c r="AK12" s="2853"/>
      <c r="AL12" s="2853"/>
      <c r="AM12" s="2853"/>
      <c r="AN12" s="2853"/>
      <c r="AO12" s="2857"/>
    </row>
    <row r="13" spans="1:55" s="278" customFormat="1" ht="20" customHeight="1" x14ac:dyDescent="0.3">
      <c r="B13" s="2852"/>
      <c r="C13" s="2853"/>
      <c r="D13" s="2853"/>
      <c r="E13" s="2853"/>
      <c r="F13" s="2853"/>
      <c r="G13" s="2853"/>
      <c r="H13" s="2853"/>
      <c r="I13" s="2854"/>
      <c r="J13" s="2855"/>
      <c r="K13" s="2853"/>
      <c r="L13" s="2853"/>
      <c r="M13" s="2853"/>
      <c r="N13" s="2853"/>
      <c r="O13" s="2853"/>
      <c r="P13" s="2853"/>
      <c r="Q13" s="2854"/>
      <c r="R13" s="2856"/>
      <c r="S13" s="2853"/>
      <c r="T13" s="2853"/>
      <c r="U13" s="2853"/>
      <c r="V13" s="2853"/>
      <c r="W13" s="2853"/>
      <c r="X13" s="2853"/>
      <c r="Y13" s="2854"/>
      <c r="Z13" s="2856"/>
      <c r="AA13" s="2853"/>
      <c r="AB13" s="2853"/>
      <c r="AC13" s="2853"/>
      <c r="AD13" s="2853"/>
      <c r="AE13" s="2853"/>
      <c r="AF13" s="2853"/>
      <c r="AG13" s="2853"/>
      <c r="AH13" s="2856"/>
      <c r="AI13" s="2853"/>
      <c r="AJ13" s="2853"/>
      <c r="AK13" s="2853"/>
      <c r="AL13" s="2853"/>
      <c r="AM13" s="2853"/>
      <c r="AN13" s="2853"/>
      <c r="AO13" s="2857"/>
    </row>
    <row r="14" spans="1:55" s="278" customFormat="1" ht="20" customHeight="1" x14ac:dyDescent="0.3">
      <c r="B14" s="2852"/>
      <c r="C14" s="2853"/>
      <c r="D14" s="2853"/>
      <c r="E14" s="2853"/>
      <c r="F14" s="2853"/>
      <c r="G14" s="2853"/>
      <c r="H14" s="2853"/>
      <c r="I14" s="2854"/>
      <c r="J14" s="2855"/>
      <c r="K14" s="2853"/>
      <c r="L14" s="2853"/>
      <c r="M14" s="2853"/>
      <c r="N14" s="2853"/>
      <c r="O14" s="2853"/>
      <c r="P14" s="2853"/>
      <c r="Q14" s="2854"/>
      <c r="R14" s="2856"/>
      <c r="S14" s="2853"/>
      <c r="T14" s="2853"/>
      <c r="U14" s="2853"/>
      <c r="V14" s="2853"/>
      <c r="W14" s="2853"/>
      <c r="X14" s="2853"/>
      <c r="Y14" s="2854"/>
      <c r="Z14" s="2856"/>
      <c r="AA14" s="2853"/>
      <c r="AB14" s="2853"/>
      <c r="AC14" s="2853"/>
      <c r="AD14" s="2853"/>
      <c r="AE14" s="2853"/>
      <c r="AF14" s="2853"/>
      <c r="AG14" s="2853"/>
      <c r="AH14" s="2856"/>
      <c r="AI14" s="2853"/>
      <c r="AJ14" s="2853"/>
      <c r="AK14" s="2853"/>
      <c r="AL14" s="2853"/>
      <c r="AM14" s="2853"/>
      <c r="AN14" s="2853"/>
      <c r="AO14" s="2857"/>
    </row>
    <row r="15" spans="1:55" s="278" customFormat="1" ht="20" customHeight="1" x14ac:dyDescent="0.3">
      <c r="B15" s="2852"/>
      <c r="C15" s="2853"/>
      <c r="D15" s="2853"/>
      <c r="E15" s="2853"/>
      <c r="F15" s="2853"/>
      <c r="G15" s="2853"/>
      <c r="H15" s="2853"/>
      <c r="I15" s="2854"/>
      <c r="J15" s="2855"/>
      <c r="K15" s="2853"/>
      <c r="L15" s="2853"/>
      <c r="M15" s="2853"/>
      <c r="N15" s="2853"/>
      <c r="O15" s="2853"/>
      <c r="P15" s="2853"/>
      <c r="Q15" s="2854"/>
      <c r="R15" s="2856"/>
      <c r="S15" s="2853"/>
      <c r="T15" s="2853"/>
      <c r="U15" s="2853"/>
      <c r="V15" s="2853"/>
      <c r="W15" s="2853"/>
      <c r="X15" s="2853"/>
      <c r="Y15" s="2854"/>
      <c r="Z15" s="2856"/>
      <c r="AA15" s="2853"/>
      <c r="AB15" s="2853"/>
      <c r="AC15" s="2853"/>
      <c r="AD15" s="2853"/>
      <c r="AE15" s="2853"/>
      <c r="AF15" s="2853"/>
      <c r="AG15" s="2853"/>
      <c r="AH15" s="2856"/>
      <c r="AI15" s="2853"/>
      <c r="AJ15" s="2853"/>
      <c r="AK15" s="2853"/>
      <c r="AL15" s="2853"/>
      <c r="AM15" s="2853"/>
      <c r="AN15" s="2853"/>
      <c r="AO15" s="2857"/>
    </row>
    <row r="16" spans="1:55" s="278" customFormat="1" ht="20" customHeight="1" thickBot="1" x14ac:dyDescent="0.35">
      <c r="B16" s="2858"/>
      <c r="C16" s="2859"/>
      <c r="D16" s="2859"/>
      <c r="E16" s="2859"/>
      <c r="F16" s="2859"/>
      <c r="G16" s="2859"/>
      <c r="H16" s="2859"/>
      <c r="I16" s="2860"/>
      <c r="J16" s="2861"/>
      <c r="K16" s="2859"/>
      <c r="L16" s="2859"/>
      <c r="M16" s="2859"/>
      <c r="N16" s="2859"/>
      <c r="O16" s="2859"/>
      <c r="P16" s="2859"/>
      <c r="Q16" s="2860"/>
      <c r="R16" s="2862"/>
      <c r="S16" s="2859"/>
      <c r="T16" s="2859"/>
      <c r="U16" s="2859"/>
      <c r="V16" s="2859"/>
      <c r="W16" s="2859"/>
      <c r="X16" s="2859"/>
      <c r="Y16" s="2860"/>
      <c r="Z16" s="2862"/>
      <c r="AA16" s="2859"/>
      <c r="AB16" s="2859"/>
      <c r="AC16" s="2859"/>
      <c r="AD16" s="2859"/>
      <c r="AE16" s="2859"/>
      <c r="AF16" s="2859"/>
      <c r="AG16" s="2859"/>
      <c r="AH16" s="2862"/>
      <c r="AI16" s="2859"/>
      <c r="AJ16" s="2859"/>
      <c r="AK16" s="2859"/>
      <c r="AL16" s="2859"/>
      <c r="AM16" s="2859"/>
      <c r="AN16" s="2859"/>
      <c r="AO16" s="2863"/>
    </row>
    <row r="17" spans="1:60" s="649" customFormat="1" x14ac:dyDescent="0.3">
      <c r="A17" s="278"/>
      <c r="B17" s="648" t="s">
        <v>150</v>
      </c>
      <c r="C17" s="2850" t="s">
        <v>1475</v>
      </c>
      <c r="D17" s="2850"/>
      <c r="E17" s="2850"/>
      <c r="F17" s="2850"/>
      <c r="G17" s="2850"/>
      <c r="H17" s="2850"/>
      <c r="I17" s="2850"/>
      <c r="J17" s="2850"/>
      <c r="K17" s="2850"/>
      <c r="L17" s="2850"/>
      <c r="M17" s="2850"/>
      <c r="N17" s="2850"/>
      <c r="O17" s="2850"/>
      <c r="P17" s="2850"/>
      <c r="Q17" s="2850"/>
      <c r="R17" s="2850"/>
      <c r="S17" s="2850"/>
      <c r="T17" s="2850"/>
      <c r="U17" s="2850"/>
      <c r="V17" s="2850"/>
      <c r="W17" s="2850"/>
      <c r="X17" s="2850"/>
      <c r="Y17" s="2850"/>
      <c r="Z17" s="2850"/>
      <c r="AA17" s="2850"/>
      <c r="AB17" s="2850"/>
      <c r="AC17" s="2850"/>
      <c r="AD17" s="2850"/>
      <c r="AE17" s="2850"/>
      <c r="AF17" s="2850"/>
      <c r="AG17" s="2850"/>
      <c r="AH17" s="2850"/>
      <c r="AI17" s="2850"/>
      <c r="AJ17" s="2850"/>
      <c r="AK17" s="2850"/>
      <c r="AL17" s="2850"/>
      <c r="AM17" s="2850"/>
      <c r="AN17" s="2850"/>
      <c r="AO17" s="2850"/>
      <c r="AP17" s="278"/>
      <c r="AQ17" s="278"/>
      <c r="AR17" s="278"/>
      <c r="AS17" s="278"/>
      <c r="AT17" s="278"/>
      <c r="AU17" s="278"/>
      <c r="AV17" s="278"/>
      <c r="AW17" s="278"/>
      <c r="AX17" s="278"/>
      <c r="AY17" s="278"/>
      <c r="AZ17" s="278"/>
      <c r="BA17" s="278"/>
      <c r="BB17" s="278"/>
      <c r="BC17" s="278"/>
      <c r="BD17" s="278"/>
      <c r="BE17" s="278"/>
      <c r="BF17" s="278"/>
      <c r="BG17" s="278"/>
      <c r="BH17" s="278"/>
    </row>
    <row r="18" spans="1:60" s="649" customFormat="1" x14ac:dyDescent="0.3">
      <c r="A18" s="278"/>
      <c r="B18" s="650"/>
      <c r="C18" s="651" t="s">
        <v>107</v>
      </c>
      <c r="D18" s="2765" t="s">
        <v>1479</v>
      </c>
      <c r="E18" s="2765"/>
      <c r="F18" s="2765"/>
      <c r="G18" s="2765"/>
      <c r="H18" s="2765"/>
      <c r="I18" s="2765"/>
      <c r="J18" s="2765"/>
      <c r="K18" s="2765"/>
      <c r="L18" s="2765"/>
      <c r="M18" s="2765"/>
      <c r="N18" s="2765"/>
      <c r="O18" s="2765"/>
      <c r="P18" s="2765"/>
      <c r="Q18" s="2765"/>
      <c r="R18" s="2765"/>
      <c r="S18" s="2765"/>
      <c r="T18" s="2765"/>
      <c r="U18" s="2765"/>
      <c r="V18" s="2765"/>
      <c r="W18" s="2765"/>
      <c r="X18" s="2765"/>
      <c r="Y18" s="2765"/>
      <c r="Z18" s="2765"/>
      <c r="AA18" s="2765"/>
      <c r="AB18" s="2765"/>
      <c r="AC18" s="2765"/>
      <c r="AD18" s="2765"/>
      <c r="AE18" s="2765"/>
      <c r="AF18" s="2765"/>
      <c r="AG18" s="2765"/>
      <c r="AH18" s="2765"/>
      <c r="AI18" s="2765"/>
      <c r="AJ18" s="2765"/>
      <c r="AK18" s="2765"/>
      <c r="AL18" s="2765"/>
      <c r="AM18" s="2765"/>
      <c r="AN18" s="2765"/>
      <c r="AO18" s="2765"/>
      <c r="AP18" s="278"/>
      <c r="AQ18" s="278"/>
      <c r="AR18" s="278"/>
      <c r="AS18" s="278"/>
      <c r="AT18" s="278"/>
      <c r="AU18" s="278"/>
      <c r="AV18" s="278"/>
      <c r="AW18" s="278"/>
      <c r="AX18" s="278"/>
      <c r="AY18" s="278"/>
      <c r="AZ18" s="278"/>
      <c r="BA18" s="278"/>
      <c r="BB18" s="278"/>
      <c r="BC18" s="278"/>
      <c r="BD18" s="278"/>
      <c r="BE18" s="278"/>
      <c r="BF18" s="278"/>
      <c r="BG18" s="278"/>
      <c r="BH18" s="278"/>
    </row>
    <row r="19" spans="1:60" s="649" customFormat="1" x14ac:dyDescent="0.3">
      <c r="A19" s="278"/>
      <c r="B19" s="650"/>
      <c r="C19" s="651" t="s">
        <v>108</v>
      </c>
      <c r="D19" s="2765" t="s">
        <v>1480</v>
      </c>
      <c r="E19" s="2765"/>
      <c r="F19" s="2765"/>
      <c r="G19" s="2765"/>
      <c r="H19" s="2765"/>
      <c r="I19" s="2765"/>
      <c r="J19" s="2765"/>
      <c r="K19" s="2765"/>
      <c r="L19" s="2765"/>
      <c r="M19" s="2765"/>
      <c r="N19" s="2765"/>
      <c r="O19" s="2765"/>
      <c r="P19" s="2765"/>
      <c r="Q19" s="2765"/>
      <c r="R19" s="2765"/>
      <c r="S19" s="2765"/>
      <c r="T19" s="2765"/>
      <c r="U19" s="2765"/>
      <c r="V19" s="2765"/>
      <c r="W19" s="2765"/>
      <c r="X19" s="2765"/>
      <c r="Y19" s="2765"/>
      <c r="Z19" s="2765"/>
      <c r="AA19" s="2765"/>
      <c r="AB19" s="2765"/>
      <c r="AC19" s="2765"/>
      <c r="AD19" s="2765"/>
      <c r="AE19" s="2765"/>
      <c r="AF19" s="2765"/>
      <c r="AG19" s="2765"/>
      <c r="AH19" s="2765"/>
      <c r="AI19" s="2765"/>
      <c r="AJ19" s="2765"/>
      <c r="AK19" s="2765"/>
      <c r="AL19" s="2765"/>
      <c r="AM19" s="2765"/>
      <c r="AN19" s="2765"/>
      <c r="AO19" s="2765"/>
      <c r="AP19" s="278"/>
      <c r="AQ19" s="278"/>
      <c r="AR19" s="278"/>
      <c r="AS19" s="278"/>
      <c r="AT19" s="278"/>
      <c r="AU19" s="278"/>
      <c r="AV19" s="278"/>
      <c r="AW19" s="278"/>
      <c r="AX19" s="278"/>
      <c r="AY19" s="278"/>
      <c r="AZ19" s="278"/>
      <c r="BA19" s="278"/>
      <c r="BB19" s="278"/>
      <c r="BC19" s="278"/>
      <c r="BD19" s="278"/>
      <c r="BE19" s="278"/>
      <c r="BF19" s="278"/>
      <c r="BG19" s="278"/>
      <c r="BH19" s="278"/>
    </row>
    <row r="20" spans="1:60" s="654" customFormat="1" x14ac:dyDescent="0.35">
      <c r="A20" s="652"/>
      <c r="B20" s="653" t="s">
        <v>151</v>
      </c>
      <c r="C20" s="2851" t="s">
        <v>1481</v>
      </c>
      <c r="D20" s="2851"/>
      <c r="E20" s="2851"/>
      <c r="F20" s="2851"/>
      <c r="G20" s="2851"/>
      <c r="H20" s="2851"/>
      <c r="I20" s="2851"/>
      <c r="J20" s="2851"/>
      <c r="K20" s="2851"/>
      <c r="L20" s="2851"/>
      <c r="M20" s="2851"/>
      <c r="N20" s="2851"/>
      <c r="O20" s="2851"/>
      <c r="P20" s="2851"/>
      <c r="Q20" s="2851"/>
      <c r="R20" s="2851"/>
      <c r="S20" s="2851"/>
      <c r="T20" s="2851"/>
      <c r="U20" s="2851"/>
      <c r="V20" s="2851"/>
      <c r="W20" s="2851"/>
      <c r="X20" s="2851"/>
      <c r="Y20" s="2851"/>
      <c r="Z20" s="2851"/>
      <c r="AA20" s="2851"/>
      <c r="AB20" s="2851"/>
      <c r="AC20" s="2851"/>
      <c r="AD20" s="2851"/>
      <c r="AE20" s="2851"/>
      <c r="AF20" s="2851"/>
      <c r="AG20" s="2851"/>
      <c r="AH20" s="2851"/>
      <c r="AI20" s="2851"/>
      <c r="AJ20" s="2851"/>
      <c r="AK20" s="2851"/>
      <c r="AL20" s="2851"/>
      <c r="AM20" s="2851"/>
      <c r="AN20" s="2851"/>
      <c r="AO20" s="2851"/>
      <c r="AP20" s="652"/>
      <c r="AQ20" s="652"/>
      <c r="AR20" s="652"/>
      <c r="AS20" s="652"/>
      <c r="AT20" s="652"/>
      <c r="AU20" s="652"/>
      <c r="AV20" s="652"/>
      <c r="AW20" s="652"/>
      <c r="AX20" s="652"/>
      <c r="AY20" s="652"/>
      <c r="AZ20" s="652"/>
      <c r="BA20" s="652"/>
      <c r="BB20" s="652"/>
      <c r="BC20" s="652"/>
      <c r="BD20" s="652"/>
      <c r="BE20" s="652"/>
      <c r="BF20" s="652"/>
      <c r="BG20" s="652"/>
      <c r="BH20" s="652"/>
    </row>
    <row r="21" spans="1:60" s="278" customFormat="1" x14ac:dyDescent="0.3">
      <c r="A21" s="632"/>
      <c r="B21" s="633" t="s">
        <v>152</v>
      </c>
      <c r="C21" s="2825" t="s">
        <v>1469</v>
      </c>
      <c r="D21" s="2825"/>
      <c r="E21" s="2825"/>
      <c r="F21" s="2825"/>
      <c r="G21" s="2825"/>
      <c r="H21" s="2825"/>
      <c r="I21" s="2825"/>
      <c r="J21" s="2825"/>
      <c r="K21" s="2825"/>
      <c r="L21" s="2825"/>
      <c r="M21" s="2825"/>
      <c r="N21" s="2825"/>
      <c r="O21" s="2825"/>
      <c r="P21" s="2825"/>
      <c r="Q21" s="2825"/>
      <c r="R21" s="2825"/>
      <c r="S21" s="2825"/>
      <c r="T21" s="2825"/>
      <c r="U21" s="2825"/>
      <c r="V21" s="2825"/>
      <c r="W21" s="2825"/>
      <c r="X21" s="2825"/>
      <c r="Y21" s="2825"/>
      <c r="Z21" s="2825"/>
      <c r="AA21" s="2825"/>
      <c r="AB21" s="2825"/>
      <c r="AC21" s="2825"/>
      <c r="AD21" s="2825"/>
      <c r="AE21" s="2825"/>
      <c r="AF21" s="2825"/>
      <c r="AG21" s="2825"/>
      <c r="AH21" s="2825"/>
      <c r="AI21" s="2825"/>
      <c r="AJ21" s="2825"/>
      <c r="AK21" s="2825"/>
      <c r="AL21" s="2825"/>
      <c r="AM21" s="2825"/>
      <c r="AN21" s="2825"/>
      <c r="AO21" s="2825"/>
      <c r="AP21" s="655"/>
      <c r="AQ21" s="655"/>
      <c r="AR21" s="655"/>
      <c r="AS21" s="655"/>
      <c r="AT21" s="655"/>
      <c r="AU21" s="655"/>
      <c r="AV21" s="655"/>
      <c r="AW21" s="655"/>
      <c r="AX21" s="655"/>
      <c r="AY21" s="655"/>
    </row>
    <row r="22" spans="1:60" s="654" customFormat="1" x14ac:dyDescent="0.35">
      <c r="A22" s="652"/>
      <c r="B22" s="653" t="s">
        <v>155</v>
      </c>
      <c r="C22" s="2851" t="s">
        <v>1482</v>
      </c>
      <c r="D22" s="2851"/>
      <c r="E22" s="2851"/>
      <c r="F22" s="2851"/>
      <c r="G22" s="2851"/>
      <c r="H22" s="2851"/>
      <c r="I22" s="2851"/>
      <c r="J22" s="2851"/>
      <c r="K22" s="2851"/>
      <c r="L22" s="2851"/>
      <c r="M22" s="2851"/>
      <c r="N22" s="2851"/>
      <c r="O22" s="2851"/>
      <c r="P22" s="2851"/>
      <c r="Q22" s="2851"/>
      <c r="R22" s="2851"/>
      <c r="S22" s="2851"/>
      <c r="T22" s="2851"/>
      <c r="U22" s="2851"/>
      <c r="V22" s="2851"/>
      <c r="W22" s="2851"/>
      <c r="X22" s="2851"/>
      <c r="Y22" s="2851"/>
      <c r="Z22" s="2851"/>
      <c r="AA22" s="2851"/>
      <c r="AB22" s="2851"/>
      <c r="AC22" s="2851"/>
      <c r="AD22" s="2851"/>
      <c r="AE22" s="2851"/>
      <c r="AF22" s="2851"/>
      <c r="AG22" s="2851"/>
      <c r="AH22" s="2851"/>
      <c r="AI22" s="2851"/>
      <c r="AJ22" s="2851"/>
      <c r="AK22" s="2851"/>
      <c r="AL22" s="2851"/>
      <c r="AM22" s="2851"/>
      <c r="AN22" s="2851"/>
      <c r="AO22" s="2851"/>
      <c r="AP22" s="652"/>
      <c r="AQ22" s="652"/>
      <c r="AR22" s="652"/>
      <c r="AS22" s="652"/>
      <c r="AT22" s="652"/>
      <c r="AU22" s="652"/>
      <c r="AV22" s="652"/>
      <c r="AW22" s="652"/>
      <c r="AX22" s="652"/>
      <c r="AY22" s="652"/>
      <c r="AZ22" s="652"/>
      <c r="BA22" s="652"/>
      <c r="BB22" s="652"/>
      <c r="BC22" s="652"/>
      <c r="BD22" s="652"/>
      <c r="BE22" s="652"/>
      <c r="BF22" s="652"/>
      <c r="BG22" s="652"/>
      <c r="BH22" s="652"/>
    </row>
    <row r="23" spans="1:60" s="654" customFormat="1" x14ac:dyDescent="0.35">
      <c r="A23" s="652"/>
      <c r="B23" s="653" t="s">
        <v>156</v>
      </c>
      <c r="C23" s="2851" t="s">
        <v>1483</v>
      </c>
      <c r="D23" s="2851"/>
      <c r="E23" s="2851"/>
      <c r="F23" s="2851"/>
      <c r="G23" s="2851"/>
      <c r="H23" s="2851"/>
      <c r="I23" s="2851"/>
      <c r="J23" s="2851"/>
      <c r="K23" s="2851"/>
      <c r="L23" s="2851"/>
      <c r="M23" s="2851"/>
      <c r="N23" s="2851"/>
      <c r="O23" s="2851"/>
      <c r="P23" s="2851"/>
      <c r="Q23" s="2851"/>
      <c r="R23" s="2851"/>
      <c r="S23" s="2851"/>
      <c r="T23" s="2851"/>
      <c r="U23" s="2851"/>
      <c r="V23" s="2851"/>
      <c r="W23" s="2851"/>
      <c r="X23" s="2851"/>
      <c r="Y23" s="2851"/>
      <c r="Z23" s="2851"/>
      <c r="AA23" s="2851"/>
      <c r="AB23" s="2851"/>
      <c r="AC23" s="2851"/>
      <c r="AD23" s="2851"/>
      <c r="AE23" s="2851"/>
      <c r="AF23" s="2851"/>
      <c r="AG23" s="2851"/>
      <c r="AH23" s="2851"/>
      <c r="AI23" s="2851"/>
      <c r="AJ23" s="2851"/>
      <c r="AK23" s="2851"/>
      <c r="AL23" s="2851"/>
      <c r="AM23" s="2851"/>
      <c r="AN23" s="2851"/>
      <c r="AO23" s="2851"/>
      <c r="AP23" s="652"/>
      <c r="AQ23" s="652"/>
      <c r="AR23" s="652"/>
      <c r="AS23" s="652"/>
      <c r="AT23" s="652"/>
      <c r="AU23" s="652"/>
      <c r="AV23" s="652"/>
      <c r="AW23" s="652"/>
      <c r="AX23" s="652"/>
      <c r="AY23" s="652"/>
      <c r="AZ23" s="652"/>
      <c r="BA23" s="652"/>
      <c r="BB23" s="652"/>
      <c r="BC23" s="652"/>
      <c r="BD23" s="652"/>
      <c r="BE23" s="652"/>
      <c r="BF23" s="652"/>
      <c r="BG23" s="652"/>
      <c r="BH23" s="652"/>
    </row>
    <row r="24" spans="1:60" s="658" customFormat="1" ht="14.5" customHeight="1" x14ac:dyDescent="0.35">
      <c r="A24" s="656"/>
      <c r="B24" s="657"/>
      <c r="C24" s="656"/>
      <c r="E24" s="656"/>
      <c r="F24" s="656"/>
      <c r="G24" s="656"/>
      <c r="H24" s="656"/>
      <c r="I24" s="656"/>
      <c r="J24" s="656"/>
      <c r="K24" s="656"/>
      <c r="L24" s="656"/>
      <c r="M24" s="656"/>
      <c r="N24" s="656"/>
      <c r="O24" s="656"/>
      <c r="P24" s="656"/>
      <c r="Q24" s="656"/>
      <c r="R24" s="656"/>
      <c r="S24" s="656"/>
      <c r="T24" s="656"/>
      <c r="U24" s="656"/>
      <c r="V24" s="656"/>
      <c r="W24" s="656"/>
      <c r="X24" s="656"/>
      <c r="Y24" s="656"/>
      <c r="Z24" s="656"/>
      <c r="AA24" s="656"/>
      <c r="AB24" s="656"/>
      <c r="AC24" s="656"/>
      <c r="AD24" s="656"/>
      <c r="AE24" s="656"/>
      <c r="AF24" s="656"/>
      <c r="AG24" s="656"/>
      <c r="AH24" s="656"/>
      <c r="AI24" s="656"/>
      <c r="AJ24" s="656"/>
      <c r="AK24" s="656"/>
      <c r="AL24" s="656"/>
      <c r="AM24" s="656"/>
      <c r="AN24" s="656"/>
      <c r="AO24" s="656"/>
      <c r="AP24" s="656"/>
      <c r="AQ24" s="656"/>
      <c r="AR24" s="656"/>
      <c r="AS24" s="656"/>
      <c r="AT24" s="656"/>
      <c r="AU24" s="656"/>
      <c r="AV24" s="656"/>
      <c r="AW24" s="656"/>
      <c r="AX24" s="656"/>
      <c r="AY24" s="656"/>
      <c r="AZ24" s="656"/>
      <c r="BA24" s="656"/>
      <c r="BB24" s="656"/>
      <c r="BC24" s="656"/>
      <c r="BD24" s="656"/>
      <c r="BE24" s="656"/>
      <c r="BF24" s="656"/>
      <c r="BG24" s="656"/>
      <c r="BH24" s="656"/>
    </row>
    <row r="25" spans="1:60" s="637" customFormat="1" ht="18" x14ac:dyDescent="0.4">
      <c r="B25" s="641" t="s">
        <v>1478</v>
      </c>
      <c r="C25" s="641"/>
      <c r="D25" s="641"/>
      <c r="E25" s="641"/>
      <c r="F25" s="641"/>
      <c r="G25" s="641"/>
      <c r="H25" s="641"/>
      <c r="I25" s="641"/>
      <c r="J25" s="641"/>
      <c r="K25" s="641"/>
      <c r="L25" s="641"/>
      <c r="M25" s="641"/>
      <c r="N25" s="641"/>
      <c r="O25" s="641"/>
      <c r="P25" s="641"/>
      <c r="Q25" s="641"/>
      <c r="R25" s="641"/>
      <c r="S25" s="641"/>
      <c r="T25" s="641"/>
      <c r="U25" s="641"/>
      <c r="V25" s="641"/>
      <c r="W25" s="641"/>
      <c r="X25" s="641"/>
      <c r="Y25" s="641"/>
      <c r="Z25" s="641"/>
      <c r="AA25" s="641"/>
      <c r="AB25" s="641"/>
      <c r="AC25" s="641"/>
      <c r="AD25" s="641"/>
      <c r="AE25" s="641"/>
      <c r="AF25" s="641"/>
      <c r="AG25" s="641"/>
      <c r="AH25" s="641"/>
      <c r="AI25" s="641"/>
      <c r="AJ25" s="641"/>
      <c r="AK25" s="641"/>
      <c r="AL25" s="641"/>
      <c r="AM25" s="641"/>
      <c r="AN25" s="641"/>
      <c r="AO25" s="641"/>
      <c r="AP25" s="641"/>
      <c r="AQ25" s="641"/>
      <c r="AR25" s="641"/>
      <c r="AS25" s="641"/>
      <c r="AT25" s="641"/>
      <c r="AU25" s="641"/>
      <c r="AV25" s="641"/>
      <c r="AW25" s="641"/>
      <c r="AX25" s="641"/>
      <c r="AY25" s="641"/>
    </row>
    <row r="26" spans="1:60" s="124" customFormat="1" ht="30.75" customHeight="1" x14ac:dyDescent="0.3">
      <c r="B26" s="227"/>
      <c r="C26" s="227"/>
      <c r="D26" s="227"/>
    </row>
    <row r="27" spans="1:60" s="73" customFormat="1" x14ac:dyDescent="0.3">
      <c r="B27" s="74" t="s">
        <v>913</v>
      </c>
      <c r="P27" s="74" t="s">
        <v>907</v>
      </c>
      <c r="Q27" s="74"/>
      <c r="AD27" s="74" t="s">
        <v>922</v>
      </c>
    </row>
    <row r="28" spans="1:60" s="73" customFormat="1" ht="21.75" customHeight="1" x14ac:dyDescent="0.3">
      <c r="B28" s="74" t="s">
        <v>780</v>
      </c>
      <c r="F28" s="1482" t="str">
        <f>SchInfo!F38</f>
        <v>MELCHESIEDICK Q. BOLANIO/ March 17, 2023</v>
      </c>
      <c r="G28" s="1482"/>
      <c r="H28" s="1482"/>
      <c r="I28" s="1482"/>
      <c r="J28" s="1482"/>
      <c r="K28" s="1482"/>
      <c r="L28" s="1482"/>
      <c r="M28" s="1482"/>
      <c r="N28" s="545"/>
      <c r="P28" s="1484" t="str">
        <f>Table25!S39</f>
        <v>ANNE VALERIE KERSTEINE I. VILLANUEVA /  May 17, 2022</v>
      </c>
      <c r="Q28" s="1484"/>
      <c r="R28" s="1484"/>
      <c r="S28" s="1484"/>
      <c r="T28" s="1484"/>
      <c r="U28" s="1484"/>
      <c r="V28" s="1484"/>
      <c r="W28" s="1484"/>
      <c r="X28" s="1484"/>
      <c r="Y28" s="1484"/>
      <c r="Z28" s="1484"/>
      <c r="AA28" s="1484"/>
      <c r="AD28" s="1484" t="str">
        <f>SchInfo!R38</f>
        <v>MICHAEL T. JAMIS   /  March 17, 2023</v>
      </c>
      <c r="AE28" s="1484"/>
      <c r="AF28" s="1484"/>
      <c r="AG28" s="1484"/>
      <c r="AH28" s="1484"/>
      <c r="AI28" s="1484"/>
      <c r="AJ28" s="1484"/>
      <c r="AK28" s="1484"/>
      <c r="AL28" s="1484"/>
      <c r="AM28" s="1484"/>
      <c r="AN28" s="1484"/>
      <c r="AO28" s="1484"/>
    </row>
    <row r="29" spans="1:60" s="68" customFormat="1" x14ac:dyDescent="0.3">
      <c r="B29" s="210"/>
      <c r="F29" s="1452" t="s">
        <v>779</v>
      </c>
      <c r="G29" s="1452"/>
      <c r="H29" s="1452"/>
      <c r="I29" s="1452"/>
      <c r="J29" s="1452"/>
      <c r="K29" s="1452"/>
      <c r="L29" s="1452"/>
      <c r="M29" s="1452"/>
      <c r="N29" s="220"/>
      <c r="O29" s="210"/>
      <c r="P29" s="1485"/>
      <c r="Q29" s="1485"/>
      <c r="R29" s="1485"/>
      <c r="S29" s="1485"/>
      <c r="T29" s="1485"/>
      <c r="U29" s="1485"/>
      <c r="V29" s="1485"/>
      <c r="W29" s="1485"/>
      <c r="X29" s="1485"/>
      <c r="Y29" s="1485"/>
      <c r="Z29" s="1485"/>
      <c r="AA29" s="1485"/>
      <c r="AB29" s="73"/>
      <c r="AC29" s="73"/>
      <c r="AD29" s="1485"/>
      <c r="AE29" s="1485"/>
      <c r="AF29" s="1485"/>
      <c r="AG29" s="1485"/>
      <c r="AH29" s="1485"/>
      <c r="AI29" s="1485"/>
      <c r="AJ29" s="1485"/>
      <c r="AK29" s="1485"/>
      <c r="AL29" s="1485"/>
      <c r="AM29" s="1485"/>
      <c r="AN29" s="1485"/>
      <c r="AO29" s="1485"/>
      <c r="AP29" s="210"/>
    </row>
    <row r="30" spans="1:60" s="73" customFormat="1" ht="21.75" customHeight="1" x14ac:dyDescent="0.3">
      <c r="B30" s="74" t="s">
        <v>784</v>
      </c>
      <c r="F30" s="1482" t="str">
        <f>SchInfo!F40</f>
        <v>Principal IV</v>
      </c>
      <c r="G30" s="1482"/>
      <c r="H30" s="1482"/>
      <c r="I30" s="1482"/>
      <c r="J30" s="1482"/>
      <c r="K30" s="1482"/>
      <c r="L30" s="1482"/>
      <c r="M30" s="1482"/>
      <c r="N30" s="545"/>
      <c r="P30" s="1452" t="s">
        <v>779</v>
      </c>
      <c r="Q30" s="1452"/>
      <c r="R30" s="1452"/>
      <c r="S30" s="1452"/>
      <c r="T30" s="1452"/>
      <c r="U30" s="1452"/>
      <c r="V30" s="1452"/>
      <c r="W30" s="1452"/>
      <c r="X30" s="1452"/>
      <c r="Y30" s="1452"/>
      <c r="Z30" s="1452"/>
      <c r="AA30" s="1452"/>
      <c r="AB30" s="65"/>
      <c r="AC30" s="63"/>
      <c r="AD30" s="1452" t="s">
        <v>779</v>
      </c>
      <c r="AE30" s="1452"/>
      <c r="AF30" s="1452"/>
      <c r="AG30" s="1452"/>
      <c r="AH30" s="1452"/>
      <c r="AI30" s="1452"/>
      <c r="AJ30" s="1452"/>
      <c r="AK30" s="1452"/>
      <c r="AL30" s="1452"/>
      <c r="AM30" s="1452"/>
      <c r="AN30" s="1452"/>
      <c r="AO30" s="210"/>
    </row>
    <row r="31" spans="1:60" x14ac:dyDescent="0.3">
      <c r="AB31" s="73"/>
      <c r="AC31" s="73"/>
    </row>
  </sheetData>
  <sheetProtection algorithmName="SHA-512" hashValue="eCuZEOWkFHABREUab+sV310HsNE1y8+yvfqUVBSlfqdiHltcnZ60eP50srN1fpJWwAY1Iy8jLpc13ojg/jAnww==" saltValue="UV04j4MCedcFK/3EBE3gjw==" spinCount="100000" sheet="1" objects="1" scenarios="1"/>
  <mergeCells count="74">
    <mergeCell ref="B5:I6"/>
    <mergeCell ref="J5:Q6"/>
    <mergeCell ref="R5:Y6"/>
    <mergeCell ref="Z5:AG6"/>
    <mergeCell ref="AH5:AO6"/>
    <mergeCell ref="B4:I4"/>
    <mergeCell ref="J4:Q4"/>
    <mergeCell ref="R4:Y4"/>
    <mergeCell ref="Z4:AG4"/>
    <mergeCell ref="AH4:AO4"/>
    <mergeCell ref="B8:I8"/>
    <mergeCell ref="J8:Q8"/>
    <mergeCell ref="R8:Y8"/>
    <mergeCell ref="Z8:AG8"/>
    <mergeCell ref="AH8:AO8"/>
    <mergeCell ref="B7:I7"/>
    <mergeCell ref="J7:Q7"/>
    <mergeCell ref="R7:Y7"/>
    <mergeCell ref="Z7:AG7"/>
    <mergeCell ref="AH7:AO7"/>
    <mergeCell ref="B10:I10"/>
    <mergeCell ref="J10:Q10"/>
    <mergeCell ref="R10:Y10"/>
    <mergeCell ref="Z10:AG10"/>
    <mergeCell ref="AH10:AO10"/>
    <mergeCell ref="B9:I9"/>
    <mergeCell ref="J9:Q9"/>
    <mergeCell ref="R9:Y9"/>
    <mergeCell ref="Z9:AG9"/>
    <mergeCell ref="AH9:AO9"/>
    <mergeCell ref="B12:I12"/>
    <mergeCell ref="J12:Q12"/>
    <mergeCell ref="R12:Y12"/>
    <mergeCell ref="Z12:AG12"/>
    <mergeCell ref="AH12:AO12"/>
    <mergeCell ref="B11:I11"/>
    <mergeCell ref="J11:Q11"/>
    <mergeCell ref="R11:Y11"/>
    <mergeCell ref="Z11:AG11"/>
    <mergeCell ref="AH11:AO11"/>
    <mergeCell ref="B14:I14"/>
    <mergeCell ref="J14:Q14"/>
    <mergeCell ref="R14:Y14"/>
    <mergeCell ref="Z14:AG14"/>
    <mergeCell ref="AH14:AO14"/>
    <mergeCell ref="B13:I13"/>
    <mergeCell ref="J13:Q13"/>
    <mergeCell ref="R13:Y13"/>
    <mergeCell ref="Z13:AG13"/>
    <mergeCell ref="AH13:AO13"/>
    <mergeCell ref="F30:M30"/>
    <mergeCell ref="P30:AA30"/>
    <mergeCell ref="AD30:AN30"/>
    <mergeCell ref="B15:I15"/>
    <mergeCell ref="J15:Q15"/>
    <mergeCell ref="R15:Y15"/>
    <mergeCell ref="Z15:AG15"/>
    <mergeCell ref="AH15:AO15"/>
    <mergeCell ref="B16:I16"/>
    <mergeCell ref="J16:Q16"/>
    <mergeCell ref="R16:Y16"/>
    <mergeCell ref="Z16:AG16"/>
    <mergeCell ref="AH16:AO16"/>
    <mergeCell ref="C22:AO22"/>
    <mergeCell ref="C23:AO23"/>
    <mergeCell ref="F28:M28"/>
    <mergeCell ref="P28:AA29"/>
    <mergeCell ref="AD28:AO29"/>
    <mergeCell ref="F29:M29"/>
    <mergeCell ref="C17:AO17"/>
    <mergeCell ref="D18:AO18"/>
    <mergeCell ref="D19:AO19"/>
    <mergeCell ref="C20:AO20"/>
    <mergeCell ref="C21:AO21"/>
  </mergeCells>
  <dataValidations count="1">
    <dataValidation type="whole" allowBlank="1" showInputMessage="1" showErrorMessage="1" errorTitle="GJHSP SY 2022-2023" error="Please enter valid number between 0-999." sqref="AH7:AO16" xr:uid="{6AC42B9E-10D4-47E0-8278-DBEB1E222FBF}">
      <formula1>0</formula1>
      <formula2>999</formula2>
    </dataValidation>
  </dataValidations>
  <printOptions horizontalCentered="1" verticalCentered="1"/>
  <pageMargins left="0.23622047244094491" right="0.23622047244094491" top="0.19685039370078741" bottom="0.19685039370078741" header="0" footer="0.11811023622047245"/>
  <pageSetup paperSize="14" scale="90" orientation="landscape" r:id="rId1"/>
  <headerFooter alignWithMargins="0">
    <oddFooter>&amp;L&amp;10&amp;F &amp;A&amp;R&amp;10Page 25 of 63</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errorTitle="GJHSP SY 2022-2023" error="Please select from the list provided." xr:uid="{96D947A6-1993-4B0D-B535-B1D92D72291A}">
          <x14:formula1>
            <xm:f>dropdown!$D$24:$D$26</xm:f>
          </x14:formula1>
          <xm:sqref>B7:I16</xm:sqref>
        </x14:dataValidation>
        <x14:dataValidation type="list" allowBlank="1" showInputMessage="1" showErrorMessage="1" errorTitle="GJHSP SY 2022-2023" error="Please select from the list provided." xr:uid="{03E8D9C5-5A86-4838-AA6C-E1C2E1174056}">
          <x14:formula1>
            <xm:f>dropdown!$G$13:$G$16</xm:f>
          </x14:formula1>
          <xm:sqref>J7:Q16</xm:sqref>
        </x14:dataValidation>
      </x14:dataValidations>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dimension ref="B1:BP32"/>
  <sheetViews>
    <sheetView showGridLines="0" topLeftCell="A20" zoomScaleNormal="100" workbookViewId="0">
      <selection activeCell="AQ13" sqref="AQ13"/>
    </sheetView>
  </sheetViews>
  <sheetFormatPr defaultColWidth="9" defaultRowHeight="15.5" x14ac:dyDescent="0.35"/>
  <cols>
    <col min="1" max="1" width="2.08203125" style="44" customWidth="1"/>
    <col min="2" max="49" width="3.58203125" style="44" customWidth="1"/>
    <col min="50" max="50" width="2.08203125" style="44" customWidth="1"/>
    <col min="51" max="58" width="3.58203125" style="44" customWidth="1"/>
    <col min="59" max="16384" width="9" style="44"/>
  </cols>
  <sheetData>
    <row r="1" spans="2:49" ht="12" customHeight="1" x14ac:dyDescent="0.35"/>
    <row r="2" spans="2:49" ht="16.5" customHeight="1" x14ac:dyDescent="0.35">
      <c r="B2" s="2914" t="s">
        <v>1510</v>
      </c>
      <c r="C2" s="2914"/>
      <c r="D2" s="2914"/>
      <c r="E2" s="2914"/>
      <c r="F2" s="2914"/>
      <c r="G2" s="2914"/>
      <c r="H2" s="2914"/>
      <c r="I2" s="2914"/>
      <c r="J2" s="2914"/>
      <c r="K2" s="2914"/>
      <c r="L2" s="2914"/>
      <c r="M2" s="2914"/>
      <c r="N2" s="2914"/>
      <c r="O2" s="2914"/>
      <c r="P2" s="2914"/>
      <c r="Q2" s="2914"/>
      <c r="R2" s="2914"/>
      <c r="S2" s="2914"/>
      <c r="T2" s="2914"/>
      <c r="U2" s="659"/>
      <c r="V2" s="659"/>
      <c r="W2" s="49" t="s">
        <v>12718</v>
      </c>
      <c r="Y2" s="49"/>
      <c r="Z2" s="49"/>
      <c r="AA2" s="49"/>
      <c r="AB2" s="49"/>
      <c r="AC2" s="49"/>
      <c r="AD2" s="49"/>
      <c r="AE2" s="49"/>
      <c r="AF2" s="49"/>
      <c r="AG2" s="49"/>
      <c r="AH2" s="49"/>
      <c r="AI2" s="49"/>
      <c r="AJ2" s="49"/>
      <c r="AK2" s="49"/>
      <c r="AL2" s="49"/>
      <c r="AM2" s="49"/>
      <c r="AN2" s="49"/>
      <c r="AO2" s="594"/>
    </row>
    <row r="3" spans="2:49" ht="16" thickBot="1" x14ac:dyDescent="0.4">
      <c r="B3" s="2915" t="s">
        <v>12717</v>
      </c>
      <c r="C3" s="2915"/>
      <c r="D3" s="2915"/>
      <c r="E3" s="2915"/>
      <c r="F3" s="2915"/>
      <c r="G3" s="2915"/>
      <c r="H3" s="2915"/>
      <c r="I3" s="2915"/>
      <c r="J3" s="2915"/>
      <c r="K3" s="2915"/>
      <c r="L3" s="2915"/>
      <c r="M3" s="2915"/>
      <c r="N3" s="2915"/>
      <c r="O3" s="2915"/>
      <c r="P3" s="2915"/>
      <c r="Q3" s="2915"/>
      <c r="R3" s="2915"/>
      <c r="S3" s="2915"/>
      <c r="T3" s="660"/>
      <c r="U3" s="660"/>
      <c r="V3" s="660"/>
      <c r="W3" s="661" t="s">
        <v>1091</v>
      </c>
      <c r="Y3" s="49"/>
      <c r="Z3" s="49"/>
      <c r="AA3" s="49"/>
      <c r="AB3" s="49"/>
      <c r="AC3" s="49"/>
      <c r="AD3" s="49"/>
      <c r="AE3" s="49"/>
      <c r="AF3" s="49"/>
      <c r="AG3" s="49"/>
      <c r="AH3" s="49"/>
      <c r="AI3" s="49"/>
      <c r="AJ3" s="49"/>
      <c r="AK3" s="49"/>
      <c r="AL3" s="49"/>
      <c r="AM3" s="49"/>
      <c r="AN3" s="49"/>
      <c r="AO3" s="594"/>
    </row>
    <row r="4" spans="2:49" ht="8.15" customHeight="1" thickTop="1" x14ac:dyDescent="0.35">
      <c r="B4" s="2908" t="s">
        <v>236</v>
      </c>
      <c r="C4" s="2909"/>
      <c r="D4" s="2909"/>
      <c r="E4" s="2909"/>
      <c r="F4" s="2909"/>
      <c r="G4" s="2909"/>
      <c r="H4" s="2909"/>
      <c r="I4" s="2909"/>
      <c r="J4" s="2304" t="s">
        <v>304</v>
      </c>
      <c r="K4" s="2909"/>
      <c r="L4" s="2909"/>
      <c r="M4" s="2909"/>
      <c r="N4" s="2909"/>
      <c r="O4" s="2909"/>
      <c r="P4" s="2909"/>
      <c r="Q4" s="2912"/>
      <c r="W4" s="662"/>
      <c r="X4" s="596"/>
      <c r="Y4" s="596"/>
      <c r="Z4" s="596"/>
      <c r="AA4" s="596"/>
      <c r="AB4" s="596"/>
      <c r="AC4" s="596"/>
      <c r="AD4" s="596"/>
      <c r="AE4" s="596"/>
      <c r="AF4" s="596"/>
      <c r="AG4" s="596"/>
      <c r="AH4" s="596"/>
      <c r="AI4" s="596"/>
      <c r="AJ4" s="663"/>
      <c r="AK4" s="663"/>
      <c r="AL4" s="663"/>
      <c r="AM4" s="663"/>
      <c r="AN4" s="663"/>
      <c r="AO4" s="663"/>
      <c r="AP4" s="663"/>
      <c r="AQ4" s="663"/>
      <c r="AR4" s="663"/>
      <c r="AS4" s="663"/>
      <c r="AT4" s="663"/>
      <c r="AU4" s="663"/>
      <c r="AV4" s="663"/>
      <c r="AW4" s="664"/>
    </row>
    <row r="5" spans="2:49" ht="20.149999999999999" customHeight="1" thickBot="1" x14ac:dyDescent="0.4">
      <c r="B5" s="2910"/>
      <c r="C5" s="2911"/>
      <c r="D5" s="2911"/>
      <c r="E5" s="2911"/>
      <c r="F5" s="2911"/>
      <c r="G5" s="2911"/>
      <c r="H5" s="2911"/>
      <c r="I5" s="2911"/>
      <c r="J5" s="1610"/>
      <c r="K5" s="2911"/>
      <c r="L5" s="2911"/>
      <c r="M5" s="2911"/>
      <c r="N5" s="2911"/>
      <c r="O5" s="2911"/>
      <c r="P5" s="2911"/>
      <c r="Q5" s="2913"/>
      <c r="W5" s="665"/>
      <c r="X5" s="666" t="s">
        <v>150</v>
      </c>
      <c r="Y5" s="72" t="s">
        <v>305</v>
      </c>
      <c r="Z5" s="415"/>
      <c r="AA5" s="415"/>
      <c r="AB5" s="415"/>
      <c r="AC5" s="415"/>
      <c r="AD5" s="415"/>
      <c r="AE5" s="415"/>
      <c r="AF5" s="415"/>
      <c r="AG5" s="415"/>
      <c r="AH5" s="415"/>
      <c r="AI5" s="415"/>
      <c r="AJ5" s="415"/>
      <c r="AK5" s="415"/>
      <c r="AL5" s="415"/>
      <c r="AM5" s="415"/>
      <c r="AN5" s="415"/>
      <c r="AO5" s="415"/>
      <c r="AP5" s="415"/>
      <c r="AQ5" s="415"/>
      <c r="AR5" s="415"/>
      <c r="AS5" s="415"/>
      <c r="AT5" s="415"/>
      <c r="AU5" s="415"/>
      <c r="AV5" s="415"/>
      <c r="AW5" s="667"/>
    </row>
    <row r="6" spans="2:49" ht="20.149999999999999" customHeight="1" thickTop="1" x14ac:dyDescent="0.35">
      <c r="B6" s="2919" t="s">
        <v>237</v>
      </c>
      <c r="C6" s="2920"/>
      <c r="D6" s="2920"/>
      <c r="E6" s="2920"/>
      <c r="F6" s="2920"/>
      <c r="G6" s="2920"/>
      <c r="H6" s="2920"/>
      <c r="I6" s="2921"/>
      <c r="J6" s="2916">
        <v>2442000</v>
      </c>
      <c r="K6" s="2917"/>
      <c r="L6" s="2917"/>
      <c r="M6" s="2917"/>
      <c r="N6" s="2917"/>
      <c r="O6" s="2917"/>
      <c r="P6" s="2917"/>
      <c r="Q6" s="2918"/>
      <c r="W6" s="412"/>
      <c r="AB6" s="679" t="b">
        <v>1</v>
      </c>
      <c r="AC6" s="402" t="s">
        <v>20</v>
      </c>
      <c r="AD6" s="398"/>
      <c r="AE6" s="398"/>
      <c r="AF6" s="398"/>
      <c r="AI6" s="399"/>
      <c r="AJ6" s="425"/>
      <c r="AK6" s="399"/>
      <c r="AL6" s="399"/>
      <c r="AM6" s="399"/>
      <c r="AN6" s="399"/>
      <c r="AO6" s="399"/>
      <c r="AP6" s="399"/>
      <c r="AQ6" s="399"/>
      <c r="AR6" s="399"/>
      <c r="AS6" s="399"/>
      <c r="AT6" s="399"/>
      <c r="AU6" s="399"/>
      <c r="AV6" s="399"/>
      <c r="AW6" s="483"/>
    </row>
    <row r="7" spans="2:49" ht="20.149999999999999" customHeight="1" x14ac:dyDescent="0.35">
      <c r="B7" s="2922" t="s">
        <v>238</v>
      </c>
      <c r="C7" s="2923"/>
      <c r="D7" s="2923"/>
      <c r="E7" s="2923"/>
      <c r="F7" s="2923"/>
      <c r="G7" s="2923"/>
      <c r="H7" s="2923"/>
      <c r="I7" s="2924"/>
      <c r="J7" s="2905">
        <v>2442000</v>
      </c>
      <c r="K7" s="2906"/>
      <c r="L7" s="2906"/>
      <c r="M7" s="2906"/>
      <c r="N7" s="2906"/>
      <c r="O7" s="2906"/>
      <c r="P7" s="2906"/>
      <c r="Q7" s="2907"/>
      <c r="W7" s="412"/>
      <c r="AB7" s="679" t="b">
        <v>0</v>
      </c>
      <c r="AC7" s="402" t="s">
        <v>137</v>
      </c>
      <c r="AD7" s="398"/>
      <c r="AE7" s="425"/>
      <c r="AF7" s="402"/>
      <c r="AG7" s="425"/>
      <c r="AH7" s="402"/>
      <c r="AK7" s="425"/>
      <c r="AL7" s="425"/>
      <c r="AM7" s="425"/>
      <c r="AN7" s="425"/>
      <c r="AO7" s="425"/>
      <c r="AP7" s="425"/>
      <c r="AQ7" s="425"/>
      <c r="AR7" s="425"/>
      <c r="AS7" s="425"/>
      <c r="AT7" s="425"/>
      <c r="AU7" s="399"/>
      <c r="AV7" s="399"/>
      <c r="AW7" s="483"/>
    </row>
    <row r="8" spans="2:49" ht="20.149999999999999" customHeight="1" thickBot="1" x14ac:dyDescent="0.4">
      <c r="B8" s="2896" t="s">
        <v>239</v>
      </c>
      <c r="C8" s="2897"/>
      <c r="D8" s="2897"/>
      <c r="E8" s="2897"/>
      <c r="F8" s="2897"/>
      <c r="G8" s="2897"/>
      <c r="H8" s="2897"/>
      <c r="I8" s="2898"/>
      <c r="J8" s="2900">
        <v>2442000</v>
      </c>
      <c r="K8" s="2901"/>
      <c r="L8" s="2901"/>
      <c r="M8" s="2901"/>
      <c r="N8" s="2901"/>
      <c r="O8" s="2901"/>
      <c r="P8" s="2901"/>
      <c r="Q8" s="2902"/>
      <c r="W8" s="412"/>
      <c r="X8" s="398"/>
      <c r="AB8" s="398"/>
      <c r="AC8" s="398"/>
      <c r="AE8" s="441" t="b">
        <v>0</v>
      </c>
      <c r="AF8" s="402" t="s">
        <v>22</v>
      </c>
      <c r="AG8" s="425"/>
      <c r="AK8" s="399"/>
      <c r="AL8" s="399"/>
      <c r="AM8" s="399"/>
      <c r="AN8" s="399"/>
      <c r="AO8" s="399"/>
      <c r="AP8" s="399"/>
      <c r="AQ8" s="399"/>
      <c r="AR8" s="399"/>
      <c r="AW8" s="404"/>
    </row>
    <row r="9" spans="2:49" ht="20.149999999999999" customHeight="1" thickTop="1" x14ac:dyDescent="0.35">
      <c r="B9" s="2899" t="s">
        <v>150</v>
      </c>
      <c r="C9" s="2893" t="s">
        <v>240</v>
      </c>
      <c r="D9" s="2893"/>
      <c r="E9" s="2893"/>
      <c r="F9" s="2893"/>
      <c r="G9" s="2893"/>
      <c r="H9" s="2893"/>
      <c r="I9" s="2893"/>
      <c r="J9" s="2893"/>
      <c r="K9" s="2893"/>
      <c r="L9" s="2893"/>
      <c r="M9" s="2893"/>
      <c r="N9" s="2893"/>
      <c r="O9" s="2893"/>
      <c r="P9" s="2893"/>
      <c r="Q9" s="2893"/>
      <c r="W9" s="412"/>
      <c r="AE9" s="441" t="b">
        <v>0</v>
      </c>
      <c r="AF9" s="402" t="s">
        <v>21</v>
      </c>
      <c r="AW9" s="405"/>
    </row>
    <row r="10" spans="2:49" ht="20.149999999999999" customHeight="1" x14ac:dyDescent="0.35">
      <c r="B10" s="2899"/>
      <c r="C10" s="2893"/>
      <c r="D10" s="2893"/>
      <c r="E10" s="2893"/>
      <c r="F10" s="2893"/>
      <c r="G10" s="2893"/>
      <c r="H10" s="2893"/>
      <c r="I10" s="2893"/>
      <c r="J10" s="2893"/>
      <c r="K10" s="2893"/>
      <c r="L10" s="2893"/>
      <c r="M10" s="2893"/>
      <c r="N10" s="2893"/>
      <c r="O10" s="2893"/>
      <c r="P10" s="2893"/>
      <c r="Q10" s="2893"/>
      <c r="W10" s="412"/>
      <c r="X10" s="398"/>
      <c r="AB10" s="425"/>
      <c r="AC10" s="402"/>
      <c r="AE10" s="441" t="b">
        <v>0</v>
      </c>
      <c r="AF10" s="402" t="s">
        <v>1093</v>
      </c>
      <c r="AG10" s="425"/>
      <c r="AH10" s="402"/>
      <c r="AI10" s="399"/>
      <c r="AJ10" s="2903"/>
      <c r="AK10" s="2622"/>
      <c r="AL10" s="2622"/>
      <c r="AM10" s="2622"/>
      <c r="AN10" s="2622"/>
      <c r="AO10" s="2622"/>
      <c r="AP10" s="230" t="str">
        <f>IF(AND(electrical_offgrid_others=TRUE,ISBLANK(electrical_offgrid_others_specify)), "Please specify.", IF(AND(electrical_offgrid_others=FALSE,electrical_offgrid_others_specify&gt;0), "Please check Others if you have entries.",""))</f>
        <v/>
      </c>
      <c r="AQ10" s="425"/>
      <c r="AR10" s="425"/>
      <c r="AS10" s="425"/>
      <c r="AT10" s="425"/>
      <c r="AU10" s="400"/>
      <c r="AV10" s="400"/>
      <c r="AW10" s="483"/>
    </row>
    <row r="11" spans="2:49" ht="20.149999999999999" customHeight="1" x14ac:dyDescent="0.35">
      <c r="B11" s="2899"/>
      <c r="C11" s="2893"/>
      <c r="D11" s="2893"/>
      <c r="E11" s="2893"/>
      <c r="F11" s="2893"/>
      <c r="G11" s="2893"/>
      <c r="H11" s="2893"/>
      <c r="I11" s="2893"/>
      <c r="J11" s="2893"/>
      <c r="K11" s="2893"/>
      <c r="L11" s="2893"/>
      <c r="M11" s="2893"/>
      <c r="N11" s="2893"/>
      <c r="O11" s="2893"/>
      <c r="P11" s="2893"/>
      <c r="Q11" s="2893"/>
      <c r="W11" s="412"/>
      <c r="X11" s="398"/>
      <c r="AB11" s="441" t="b">
        <v>0</v>
      </c>
      <c r="AC11" s="402" t="s">
        <v>19</v>
      </c>
      <c r="AD11" s="425"/>
      <c r="AE11" s="402"/>
      <c r="AF11" s="402"/>
      <c r="AG11" s="425"/>
      <c r="AH11" s="402"/>
      <c r="AI11" s="399"/>
      <c r="AJ11" s="425"/>
      <c r="AK11" s="425"/>
      <c r="AL11" s="425"/>
      <c r="AM11" s="425"/>
      <c r="AN11" s="425"/>
      <c r="AO11" s="425"/>
      <c r="AP11" s="425"/>
      <c r="AQ11" s="425"/>
      <c r="AR11" s="425"/>
      <c r="AS11" s="425"/>
      <c r="AT11" s="425"/>
      <c r="AU11" s="400"/>
      <c r="AV11" s="400"/>
      <c r="AW11" s="483"/>
    </row>
    <row r="12" spans="2:49" ht="20.149999999999999" customHeight="1" x14ac:dyDescent="0.4">
      <c r="B12" s="2899"/>
      <c r="C12" s="2893"/>
      <c r="D12" s="2893"/>
      <c r="E12" s="2893"/>
      <c r="F12" s="2893"/>
      <c r="G12" s="2893"/>
      <c r="H12" s="2893"/>
      <c r="I12" s="2893"/>
      <c r="J12" s="2893"/>
      <c r="K12" s="2893"/>
      <c r="L12" s="2893"/>
      <c r="M12" s="2893"/>
      <c r="N12" s="2893"/>
      <c r="O12" s="2893"/>
      <c r="P12" s="2893"/>
      <c r="Q12" s="2893"/>
      <c r="W12" s="412"/>
      <c r="X12" s="587" t="s">
        <v>151</v>
      </c>
      <c r="Y12" s="44" t="s">
        <v>1146</v>
      </c>
      <c r="Z12" s="594"/>
      <c r="AA12" s="668"/>
      <c r="AB12" s="403"/>
      <c r="AC12" s="668"/>
      <c r="AD12" s="403"/>
      <c r="AE12" s="403"/>
      <c r="AF12" s="399"/>
      <c r="AH12" s="399"/>
      <c r="AI12" s="668"/>
      <c r="AJ12" s="668"/>
      <c r="AK12" s="668"/>
      <c r="AL12" s="668"/>
      <c r="AM12" s="668"/>
      <c r="AN12" s="668"/>
      <c r="AO12" s="668"/>
      <c r="AP12" s="402"/>
      <c r="AQ12" s="2904">
        <v>40583.33</v>
      </c>
      <c r="AR12" s="2904"/>
      <c r="AS12" s="2904"/>
      <c r="AT12" s="2904"/>
      <c r="AU12" s="2904"/>
      <c r="AV12" s="2904"/>
      <c r="AW12" s="483"/>
    </row>
    <row r="13" spans="2:49" ht="20.149999999999999" customHeight="1" x14ac:dyDescent="0.4">
      <c r="B13" s="232" t="s">
        <v>151</v>
      </c>
      <c r="C13" s="2893" t="s">
        <v>455</v>
      </c>
      <c r="D13" s="2893"/>
      <c r="E13" s="2893"/>
      <c r="F13" s="2893"/>
      <c r="G13" s="2893"/>
      <c r="H13" s="2893"/>
      <c r="I13" s="2893"/>
      <c r="J13" s="2893"/>
      <c r="K13" s="2893"/>
      <c r="L13" s="2893"/>
      <c r="M13" s="2893"/>
      <c r="N13" s="2893"/>
      <c r="O13" s="2893"/>
      <c r="P13" s="2893"/>
      <c r="Q13" s="2893"/>
      <c r="W13" s="412"/>
      <c r="X13" s="587" t="s">
        <v>152</v>
      </c>
      <c r="Y13" s="44" t="s">
        <v>306</v>
      </c>
      <c r="Z13" s="594"/>
      <c r="AA13" s="668"/>
      <c r="AB13" s="403"/>
      <c r="AC13" s="668"/>
      <c r="AD13" s="403"/>
      <c r="AE13" s="403"/>
      <c r="AF13" s="399"/>
      <c r="AH13" s="399"/>
      <c r="AI13" s="668"/>
      <c r="AJ13" s="668"/>
      <c r="AK13" s="668"/>
      <c r="AL13" s="668"/>
      <c r="AM13" s="668"/>
      <c r="AN13" s="668"/>
      <c r="AO13" s="668"/>
      <c r="AP13" s="668"/>
      <c r="AQ13" s="668"/>
      <c r="AR13" s="668"/>
      <c r="AS13" s="668"/>
      <c r="AT13" s="668"/>
      <c r="AU13" s="399"/>
      <c r="AV13" s="399"/>
      <c r="AW13" s="483"/>
    </row>
    <row r="14" spans="2:49" ht="17.25" customHeight="1" x14ac:dyDescent="0.4">
      <c r="B14" s="669"/>
      <c r="C14" s="2893"/>
      <c r="D14" s="2893"/>
      <c r="E14" s="2893"/>
      <c r="F14" s="2893"/>
      <c r="G14" s="2893"/>
      <c r="H14" s="2893"/>
      <c r="I14" s="2893"/>
      <c r="J14" s="2893"/>
      <c r="K14" s="2893"/>
      <c r="L14" s="2893"/>
      <c r="M14" s="2893"/>
      <c r="N14" s="2893"/>
      <c r="O14" s="2893"/>
      <c r="P14" s="2893"/>
      <c r="Q14" s="2893"/>
      <c r="W14" s="412"/>
      <c r="Y14" s="594"/>
      <c r="AB14" s="680" t="b">
        <v>1</v>
      </c>
      <c r="AC14" s="403" t="s">
        <v>57</v>
      </c>
      <c r="AD14" s="668"/>
      <c r="AE14" s="403"/>
      <c r="AF14" s="403"/>
      <c r="AH14" s="680" t="b">
        <v>0</v>
      </c>
      <c r="AI14" s="403" t="s">
        <v>58</v>
      </c>
      <c r="AJ14" s="668"/>
      <c r="AK14" s="668"/>
      <c r="AL14" s="668"/>
      <c r="AM14" s="668"/>
      <c r="AN14" s="668"/>
      <c r="AO14" s="668"/>
      <c r="AP14" s="668"/>
      <c r="AQ14" s="668"/>
      <c r="AR14" s="668"/>
      <c r="AS14" s="668"/>
      <c r="AT14" s="668"/>
      <c r="AU14" s="399"/>
      <c r="AV14" s="399"/>
      <c r="AW14" s="483"/>
    </row>
    <row r="15" spans="2:49" ht="20.149999999999999" customHeight="1" x14ac:dyDescent="0.4">
      <c r="B15" s="232" t="s">
        <v>152</v>
      </c>
      <c r="C15" s="2893" t="s">
        <v>456</v>
      </c>
      <c r="D15" s="2893"/>
      <c r="E15" s="2893"/>
      <c r="F15" s="2893"/>
      <c r="G15" s="2893"/>
      <c r="H15" s="2893"/>
      <c r="I15" s="2893"/>
      <c r="J15" s="2893"/>
      <c r="K15" s="2893"/>
      <c r="L15" s="2893"/>
      <c r="M15" s="2893"/>
      <c r="N15" s="2893"/>
      <c r="O15" s="2893"/>
      <c r="P15" s="2893"/>
      <c r="Q15" s="2893"/>
      <c r="W15" s="412"/>
      <c r="Y15" s="594"/>
      <c r="AB15" s="680" t="b">
        <v>0</v>
      </c>
      <c r="AC15" s="403" t="s">
        <v>60</v>
      </c>
      <c r="AD15" s="668"/>
      <c r="AE15" s="403"/>
      <c r="AF15" s="403"/>
      <c r="AH15" s="680" t="b">
        <v>0</v>
      </c>
      <c r="AI15" s="403" t="s">
        <v>61</v>
      </c>
      <c r="AJ15" s="668"/>
      <c r="AK15" s="668"/>
      <c r="AL15" s="668"/>
      <c r="AM15" s="668"/>
      <c r="AN15" s="668"/>
      <c r="AO15" s="668"/>
      <c r="AP15" s="668"/>
      <c r="AQ15" s="668"/>
      <c r="AR15" s="668"/>
      <c r="AS15" s="668"/>
      <c r="AT15" s="668"/>
      <c r="AU15" s="399"/>
      <c r="AV15" s="399"/>
      <c r="AW15" s="483"/>
    </row>
    <row r="16" spans="2:49" ht="20" x14ac:dyDescent="0.4">
      <c r="B16" s="232"/>
      <c r="C16" s="2893"/>
      <c r="D16" s="2893"/>
      <c r="E16" s="2893"/>
      <c r="F16" s="2893"/>
      <c r="G16" s="2893"/>
      <c r="H16" s="2893"/>
      <c r="I16" s="2893"/>
      <c r="J16" s="2893"/>
      <c r="K16" s="2893"/>
      <c r="L16" s="2893"/>
      <c r="M16" s="2893"/>
      <c r="N16" s="2893"/>
      <c r="O16" s="2893"/>
      <c r="P16" s="2893"/>
      <c r="Q16" s="2893"/>
      <c r="W16" s="412"/>
      <c r="Y16" s="594"/>
      <c r="AB16" s="680" t="b">
        <v>0</v>
      </c>
      <c r="AC16" s="403" t="s">
        <v>59</v>
      </c>
      <c r="AD16" s="668"/>
      <c r="AE16" s="403"/>
      <c r="AF16" s="403"/>
      <c r="AH16" s="680" t="b">
        <v>0</v>
      </c>
      <c r="AI16" s="402" t="s">
        <v>1093</v>
      </c>
      <c r="AJ16" s="425"/>
      <c r="AK16" s="402"/>
      <c r="AL16" s="399"/>
      <c r="AM16" s="2622"/>
      <c r="AN16" s="2622"/>
      <c r="AO16" s="2622"/>
      <c r="AP16" s="2622"/>
      <c r="AQ16" s="2622"/>
      <c r="AR16" s="2622"/>
      <c r="AS16" s="681" t="str">
        <f>IF(AND(electrical_funding_sources_others=TRUE,ISBLANK(electrical_funding_source_others_specify)),"Please specify.",IF(AND(electrical_funding_sources_others=FALSE,electrical_funding_source_others_specify&gt;0),"Please check Others if you have entries.",""))</f>
        <v/>
      </c>
      <c r="AT16" s="668"/>
      <c r="AU16" s="399"/>
      <c r="AV16" s="399"/>
      <c r="AW16" s="483"/>
    </row>
    <row r="17" spans="2:68" ht="20" x14ac:dyDescent="0.4">
      <c r="B17" s="232" t="s">
        <v>155</v>
      </c>
      <c r="C17" s="2893" t="s">
        <v>457</v>
      </c>
      <c r="D17" s="2893"/>
      <c r="E17" s="2893"/>
      <c r="F17" s="2893"/>
      <c r="G17" s="2893"/>
      <c r="H17" s="2893"/>
      <c r="I17" s="2893"/>
      <c r="J17" s="2893"/>
      <c r="K17" s="2893"/>
      <c r="L17" s="2893"/>
      <c r="M17" s="2893"/>
      <c r="N17" s="2893"/>
      <c r="O17" s="2893"/>
      <c r="P17" s="2893"/>
      <c r="Q17" s="2893"/>
      <c r="W17" s="412"/>
      <c r="X17" s="587" t="s">
        <v>155</v>
      </c>
      <c r="Y17" s="44" t="s">
        <v>1147</v>
      </c>
      <c r="AB17" s="668"/>
      <c r="AC17" s="403"/>
      <c r="AD17" s="668"/>
      <c r="AE17" s="403"/>
      <c r="AF17" s="403"/>
      <c r="AH17" s="668"/>
      <c r="AI17" s="403"/>
      <c r="AJ17" s="668"/>
      <c r="AK17" s="668"/>
      <c r="AL17" s="668"/>
      <c r="AM17" s="668"/>
      <c r="AN17" s="2622">
        <v>24</v>
      </c>
      <c r="AO17" s="2622"/>
      <c r="AP17" s="2622"/>
      <c r="AQ17" s="2622"/>
      <c r="AR17" s="2622"/>
      <c r="AS17" s="2622"/>
      <c r="AT17" s="668"/>
      <c r="AU17" s="399"/>
      <c r="AV17" s="399"/>
      <c r="AW17" s="483"/>
    </row>
    <row r="18" spans="2:68" ht="7.5" customHeight="1" thickBot="1" x14ac:dyDescent="0.4">
      <c r="B18" s="670"/>
      <c r="C18" s="2893"/>
      <c r="D18" s="2893"/>
      <c r="E18" s="2893"/>
      <c r="F18" s="2893"/>
      <c r="G18" s="2893"/>
      <c r="H18" s="2893"/>
      <c r="I18" s="2893"/>
      <c r="J18" s="2893"/>
      <c r="K18" s="2893"/>
      <c r="L18" s="2893"/>
      <c r="M18" s="2893"/>
      <c r="N18" s="2893"/>
      <c r="O18" s="2893"/>
      <c r="P18" s="2893"/>
      <c r="Q18" s="2893"/>
      <c r="W18" s="395"/>
      <c r="X18" s="396"/>
      <c r="Y18" s="671"/>
      <c r="Z18" s="671"/>
      <c r="AA18" s="671"/>
      <c r="AB18" s="672"/>
      <c r="AC18" s="408"/>
      <c r="AD18" s="672"/>
      <c r="AE18" s="408"/>
      <c r="AF18" s="408"/>
      <c r="AG18" s="573"/>
      <c r="AH18" s="573"/>
      <c r="AI18" s="672"/>
      <c r="AJ18" s="672"/>
      <c r="AK18" s="672"/>
      <c r="AL18" s="672"/>
      <c r="AM18" s="672"/>
      <c r="AN18" s="672"/>
      <c r="AO18" s="672"/>
      <c r="AP18" s="672"/>
      <c r="AQ18" s="672"/>
      <c r="AR18" s="672"/>
      <c r="AS18" s="672"/>
      <c r="AT18" s="672"/>
      <c r="AU18" s="619"/>
      <c r="AV18" s="619"/>
      <c r="AW18" s="574"/>
    </row>
    <row r="19" spans="2:68" ht="29" customHeight="1" thickTop="1" x14ac:dyDescent="0.35">
      <c r="B19" s="670"/>
      <c r="C19" s="2893"/>
      <c r="D19" s="2893"/>
      <c r="E19" s="2893"/>
      <c r="F19" s="2893"/>
      <c r="G19" s="2893"/>
      <c r="H19" s="2893"/>
      <c r="I19" s="2893"/>
      <c r="J19" s="2893"/>
      <c r="K19" s="2893"/>
      <c r="L19" s="2893"/>
      <c r="M19" s="2893"/>
      <c r="N19" s="2893"/>
      <c r="O19" s="2893"/>
      <c r="P19" s="2893"/>
      <c r="Q19" s="2893"/>
      <c r="W19" s="232" t="s">
        <v>150</v>
      </c>
      <c r="X19" s="2893" t="s">
        <v>1148</v>
      </c>
      <c r="Y19" s="2893"/>
      <c r="Z19" s="2893"/>
      <c r="AA19" s="2893"/>
      <c r="AB19" s="2893"/>
      <c r="AC19" s="2893"/>
      <c r="AD19" s="2893"/>
      <c r="AE19" s="2893"/>
      <c r="AF19" s="2893"/>
      <c r="AG19" s="2893"/>
      <c r="AH19" s="2893"/>
      <c r="AI19" s="2893"/>
      <c r="AJ19" s="2893"/>
      <c r="AK19" s="2893"/>
      <c r="AL19" s="2893"/>
      <c r="AM19" s="2893"/>
      <c r="AN19" s="2893"/>
      <c r="AO19" s="2893"/>
      <c r="AP19" s="2893"/>
      <c r="AQ19" s="2893"/>
      <c r="AR19" s="2893"/>
      <c r="AS19" s="2893"/>
      <c r="AT19" s="2893"/>
      <c r="AU19" s="2893"/>
      <c r="AV19" s="2893"/>
      <c r="AW19" s="2893"/>
    </row>
    <row r="20" spans="2:68" ht="29" customHeight="1" x14ac:dyDescent="0.35">
      <c r="R20" s="673"/>
      <c r="S20" s="673"/>
      <c r="T20" s="673"/>
      <c r="U20" s="673"/>
      <c r="V20" s="673"/>
      <c r="W20" s="232" t="s">
        <v>151</v>
      </c>
      <c r="X20" s="2893" t="s">
        <v>1149</v>
      </c>
      <c r="Y20" s="2893"/>
      <c r="Z20" s="2893"/>
      <c r="AA20" s="2893"/>
      <c r="AB20" s="2893"/>
      <c r="AC20" s="2893"/>
      <c r="AD20" s="2893"/>
      <c r="AE20" s="2893"/>
      <c r="AF20" s="2893"/>
      <c r="AG20" s="2893"/>
      <c r="AH20" s="2893"/>
      <c r="AI20" s="2893"/>
      <c r="AJ20" s="2893"/>
      <c r="AK20" s="2893"/>
      <c r="AL20" s="2893"/>
      <c r="AM20" s="2893"/>
      <c r="AN20" s="2893"/>
      <c r="AO20" s="2893"/>
      <c r="AP20" s="2893"/>
      <c r="AQ20" s="2893"/>
      <c r="AR20" s="2893"/>
      <c r="AS20" s="2893"/>
      <c r="AT20" s="2893"/>
      <c r="AU20" s="2893"/>
      <c r="AV20" s="2893"/>
      <c r="AW20" s="2893"/>
    </row>
    <row r="21" spans="2:68" ht="15.75" customHeight="1" x14ac:dyDescent="0.35">
      <c r="B21" s="49"/>
      <c r="C21" s="49"/>
      <c r="D21" s="49"/>
      <c r="E21" s="49"/>
      <c r="F21" s="49"/>
      <c r="G21" s="49"/>
      <c r="H21" s="49"/>
      <c r="I21" s="49"/>
      <c r="J21" s="49"/>
      <c r="K21" s="49"/>
      <c r="L21" s="49"/>
      <c r="M21" s="49"/>
      <c r="N21" s="49"/>
      <c r="O21" s="49"/>
      <c r="P21" s="49"/>
      <c r="Q21" s="49"/>
      <c r="W21" s="674" t="s">
        <v>152</v>
      </c>
      <c r="X21" s="2894" t="s">
        <v>379</v>
      </c>
      <c r="Y21" s="2894"/>
      <c r="Z21" s="2894"/>
      <c r="AA21" s="2894"/>
      <c r="AB21" s="2894"/>
      <c r="AC21" s="2894"/>
      <c r="AD21" s="2894"/>
      <c r="AE21" s="2894"/>
      <c r="AF21" s="2894"/>
      <c r="AG21" s="2894"/>
      <c r="AH21" s="2894"/>
      <c r="AI21" s="2894"/>
      <c r="AJ21" s="2894"/>
      <c r="AK21" s="2894"/>
      <c r="AL21" s="2894"/>
      <c r="AM21" s="2894"/>
      <c r="AN21" s="2894"/>
      <c r="AO21" s="2894"/>
      <c r="AP21" s="2894"/>
      <c r="AQ21" s="2894"/>
      <c r="AR21" s="2894"/>
      <c r="AS21" s="2894"/>
      <c r="AT21" s="2894"/>
      <c r="AU21" s="2894"/>
      <c r="AV21" s="2894"/>
      <c r="AW21" s="2894"/>
    </row>
    <row r="22" spans="2:68" ht="30.75" customHeight="1" x14ac:dyDescent="0.35">
      <c r="B22" s="398"/>
      <c r="D22" s="398"/>
      <c r="F22" s="398"/>
      <c r="H22" s="398"/>
      <c r="J22" s="398"/>
      <c r="L22" s="398"/>
      <c r="N22" s="398"/>
      <c r="P22" s="398"/>
      <c r="Q22" s="399"/>
      <c r="R22" s="400"/>
      <c r="S22" s="400"/>
      <c r="T22" s="400"/>
      <c r="U22" s="400"/>
      <c r="V22" s="400"/>
      <c r="W22" s="398"/>
      <c r="Y22" s="398"/>
      <c r="AA22" s="398"/>
      <c r="AC22" s="398"/>
      <c r="AG22" s="398"/>
      <c r="AJ22" s="398"/>
      <c r="AL22" s="398"/>
      <c r="AM22" s="401"/>
      <c r="AN22" s="401"/>
      <c r="AO22" s="401"/>
      <c r="AP22" s="401"/>
      <c r="AQ22" s="401"/>
      <c r="AR22" s="401"/>
      <c r="AS22" s="401"/>
      <c r="AT22" s="401"/>
      <c r="AU22" s="401"/>
      <c r="AV22" s="401"/>
      <c r="AW22" s="401"/>
      <c r="AX22" s="401"/>
    </row>
    <row r="23" spans="2:68" x14ac:dyDescent="0.35">
      <c r="B23" s="60" t="s">
        <v>800</v>
      </c>
      <c r="AJ23" s="60" t="s">
        <v>799</v>
      </c>
    </row>
    <row r="24" spans="2:68" s="73" customFormat="1" ht="21.75" customHeight="1" x14ac:dyDescent="0.35">
      <c r="B24" s="1759" t="s">
        <v>12820</v>
      </c>
      <c r="C24" s="1759"/>
      <c r="D24" s="1759"/>
      <c r="E24" s="1759"/>
      <c r="F24" s="1759"/>
      <c r="G24" s="1759"/>
      <c r="H24" s="1759"/>
      <c r="I24" s="1759"/>
      <c r="J24" s="1759"/>
      <c r="K24" s="1759"/>
      <c r="L24" s="1759"/>
      <c r="M24" s="1759"/>
      <c r="N24" s="1759"/>
      <c r="O24" s="1759"/>
      <c r="P24" s="1759"/>
      <c r="AJ24" s="1759" t="s">
        <v>12818</v>
      </c>
      <c r="AK24" s="1759"/>
      <c r="AL24" s="1759"/>
      <c r="AM24" s="1759"/>
      <c r="AN24" s="1759"/>
      <c r="AO24" s="1759"/>
      <c r="AP24" s="1759"/>
      <c r="AQ24" s="1759"/>
      <c r="AR24" s="1759"/>
      <c r="AS24" s="1759"/>
      <c r="AT24" s="1759"/>
      <c r="AU24" s="1759"/>
      <c r="AV24" s="1759"/>
      <c r="AW24" s="1759"/>
      <c r="AX24" s="132"/>
    </row>
    <row r="25" spans="2:68" s="68" customFormat="1" ht="13.5" x14ac:dyDescent="0.3">
      <c r="B25" s="1452" t="s">
        <v>779</v>
      </c>
      <c r="C25" s="1452"/>
      <c r="D25" s="1452"/>
      <c r="E25" s="1452"/>
      <c r="F25" s="1452"/>
      <c r="G25" s="1452"/>
      <c r="H25" s="1452"/>
      <c r="I25" s="1452"/>
      <c r="J25" s="1452"/>
      <c r="K25" s="1452"/>
      <c r="L25" s="1452"/>
      <c r="M25" s="1452"/>
      <c r="N25" s="1452"/>
      <c r="O25" s="1452"/>
      <c r="P25" s="1452"/>
      <c r="Q25" s="64"/>
      <c r="R25" s="64"/>
      <c r="S25" s="64"/>
      <c r="T25" s="64"/>
      <c r="U25" s="64"/>
      <c r="V25" s="64"/>
      <c r="W25" s="64"/>
      <c r="X25" s="64"/>
      <c r="Y25" s="64"/>
      <c r="Z25" s="64"/>
      <c r="AA25" s="64"/>
      <c r="AB25" s="64"/>
      <c r="AC25" s="64"/>
      <c r="AD25" s="64"/>
      <c r="AE25" s="64"/>
      <c r="AF25" s="64"/>
      <c r="AG25" s="64"/>
      <c r="AH25" s="64"/>
      <c r="AI25" s="64"/>
      <c r="AJ25" s="2895" t="s">
        <v>779</v>
      </c>
      <c r="AK25" s="2895"/>
      <c r="AL25" s="2895"/>
      <c r="AM25" s="2895"/>
      <c r="AN25" s="2895"/>
      <c r="AO25" s="2895"/>
      <c r="AP25" s="2895"/>
      <c r="AQ25" s="2895"/>
      <c r="AR25" s="2895"/>
      <c r="AS25" s="2895"/>
      <c r="AT25" s="2895"/>
      <c r="AU25" s="2895"/>
      <c r="AV25" s="2895"/>
      <c r="AW25" s="2895"/>
      <c r="AX25" s="220"/>
    </row>
    <row r="26" spans="2:68" ht="21.75" customHeight="1" x14ac:dyDescent="0.35">
      <c r="B26" s="60" t="s">
        <v>784</v>
      </c>
      <c r="F26" s="1759" t="s">
        <v>12821</v>
      </c>
      <c r="G26" s="1759"/>
      <c r="H26" s="1759"/>
      <c r="I26" s="1759"/>
      <c r="J26" s="1759"/>
      <c r="K26" s="1759"/>
      <c r="L26" s="1759"/>
      <c r="M26" s="1759"/>
      <c r="N26" s="1759"/>
      <c r="O26" s="1759"/>
      <c r="P26" s="1759"/>
      <c r="AJ26" s="60" t="s">
        <v>784</v>
      </c>
      <c r="AN26" s="1759" t="s">
        <v>12819</v>
      </c>
      <c r="AO26" s="1759"/>
      <c r="AP26" s="1759"/>
      <c r="AQ26" s="1759"/>
      <c r="AR26" s="1759"/>
      <c r="AS26" s="1759"/>
      <c r="AT26" s="1759"/>
      <c r="AU26" s="1759"/>
      <c r="AV26" s="1759"/>
      <c r="AW26" s="1759"/>
      <c r="AX26" s="132"/>
    </row>
    <row r="27" spans="2:68" ht="30.75" customHeight="1" x14ac:dyDescent="0.35">
      <c r="B27" s="60"/>
    </row>
    <row r="28" spans="2:68" ht="30.75" customHeight="1" x14ac:dyDescent="0.35">
      <c r="B28" s="675"/>
      <c r="C28" s="675"/>
      <c r="D28" s="675"/>
      <c r="E28" s="675"/>
      <c r="F28" s="675"/>
      <c r="G28" s="675"/>
      <c r="H28" s="675"/>
      <c r="I28" s="675"/>
      <c r="J28" s="675"/>
      <c r="K28" s="675"/>
      <c r="L28" s="675"/>
      <c r="M28" s="675"/>
      <c r="N28" s="675"/>
      <c r="O28" s="675"/>
      <c r="P28" s="675"/>
      <c r="Q28" s="49"/>
      <c r="W28" s="675"/>
      <c r="X28" s="675"/>
      <c r="Y28" s="675"/>
      <c r="Z28" s="675"/>
      <c r="AA28" s="675"/>
      <c r="AB28" s="675"/>
      <c r="AC28" s="675"/>
      <c r="AD28" s="675"/>
      <c r="AE28" s="675"/>
      <c r="AF28" s="675"/>
      <c r="AG28" s="675"/>
      <c r="AH28" s="675"/>
      <c r="AI28" s="675"/>
      <c r="AJ28" s="675"/>
      <c r="AK28" s="675"/>
      <c r="AL28" s="675"/>
      <c r="AM28" s="675"/>
      <c r="AN28" s="675"/>
      <c r="AO28" s="675"/>
      <c r="AP28" s="675"/>
      <c r="AQ28" s="675"/>
      <c r="AR28" s="675"/>
      <c r="AS28" s="675"/>
      <c r="AT28" s="675"/>
    </row>
    <row r="29" spans="2:68" x14ac:dyDescent="0.35">
      <c r="B29" s="60" t="s">
        <v>913</v>
      </c>
      <c r="AJ29" s="60" t="s">
        <v>922</v>
      </c>
    </row>
    <row r="30" spans="2:68" ht="21.75" customHeight="1" x14ac:dyDescent="0.35">
      <c r="B30" s="60" t="s">
        <v>780</v>
      </c>
      <c r="F30" s="1581" t="str">
        <f>SchInfo!F38</f>
        <v>MELCHESIEDICK Q. BOLANIO/ March 17, 2023</v>
      </c>
      <c r="G30" s="1581"/>
      <c r="H30" s="1581"/>
      <c r="I30" s="1581"/>
      <c r="J30" s="1581"/>
      <c r="K30" s="1581"/>
      <c r="L30" s="1581"/>
      <c r="M30" s="1581"/>
      <c r="N30" s="1581"/>
      <c r="O30" s="1581"/>
      <c r="P30" s="1581"/>
      <c r="AJ30" s="1582" t="str">
        <f>SchInfo!R38</f>
        <v>MICHAEL T. JAMIS   /  March 17, 2023</v>
      </c>
      <c r="AK30" s="1582"/>
      <c r="AL30" s="1582"/>
      <c r="AM30" s="1582"/>
      <c r="AN30" s="1582"/>
      <c r="AO30" s="1582"/>
      <c r="AP30" s="1582"/>
      <c r="AQ30" s="1582"/>
      <c r="AR30" s="1582"/>
      <c r="AS30" s="1582"/>
      <c r="AT30" s="1582"/>
      <c r="AU30" s="1582"/>
      <c r="AV30" s="1582"/>
      <c r="AW30" s="1582"/>
      <c r="AX30" s="676"/>
    </row>
    <row r="31" spans="2:68" s="677" customFormat="1" x14ac:dyDescent="0.35">
      <c r="B31" s="65"/>
      <c r="F31" s="1452" t="s">
        <v>779</v>
      </c>
      <c r="G31" s="1452"/>
      <c r="H31" s="1452"/>
      <c r="I31" s="1452"/>
      <c r="J31" s="1452"/>
      <c r="K31" s="1452"/>
      <c r="L31" s="1452"/>
      <c r="M31" s="1452"/>
      <c r="N31" s="1452"/>
      <c r="O31" s="1452"/>
      <c r="P31" s="1452"/>
      <c r="Q31" s="63"/>
      <c r="R31" s="63"/>
      <c r="S31" s="63"/>
      <c r="T31" s="138"/>
      <c r="U31" s="138"/>
      <c r="V31" s="138"/>
      <c r="W31" s="138"/>
      <c r="X31" s="138"/>
      <c r="Y31" s="138"/>
      <c r="Z31" s="138"/>
      <c r="AA31" s="138"/>
      <c r="AB31" s="138"/>
      <c r="AC31" s="138"/>
      <c r="AD31" s="138"/>
      <c r="AE31" s="138"/>
      <c r="AF31" s="138"/>
      <c r="AG31" s="138"/>
      <c r="AH31" s="138"/>
      <c r="AI31" s="138"/>
      <c r="AJ31" s="1583"/>
      <c r="AK31" s="1583"/>
      <c r="AL31" s="1583"/>
      <c r="AM31" s="1583"/>
      <c r="AN31" s="1583"/>
      <c r="AO31" s="1583"/>
      <c r="AP31" s="1583"/>
      <c r="AQ31" s="1583"/>
      <c r="AR31" s="1583"/>
      <c r="AS31" s="1583"/>
      <c r="AT31" s="1583"/>
      <c r="AU31" s="1583"/>
      <c r="AV31" s="1583"/>
      <c r="AW31" s="1583"/>
      <c r="AX31" s="676"/>
      <c r="AY31" s="63"/>
      <c r="AZ31" s="678"/>
      <c r="BA31" s="678"/>
      <c r="BB31" s="678"/>
      <c r="BC31" s="678"/>
      <c r="BD31" s="678"/>
      <c r="BE31" s="678"/>
      <c r="BF31" s="678"/>
      <c r="BG31" s="678"/>
      <c r="BH31" s="678"/>
      <c r="BI31" s="678"/>
      <c r="BJ31" s="678"/>
      <c r="BK31" s="678"/>
      <c r="BL31" s="678"/>
      <c r="BM31" s="678"/>
      <c r="BN31" s="678"/>
      <c r="BO31" s="678"/>
      <c r="BP31" s="678"/>
    </row>
    <row r="32" spans="2:68" ht="21.75" customHeight="1" x14ac:dyDescent="0.35">
      <c r="B32" s="60" t="s">
        <v>782</v>
      </c>
      <c r="F32" s="1581" t="str">
        <f>SchInfo!F40</f>
        <v>Principal IV</v>
      </c>
      <c r="G32" s="1581"/>
      <c r="H32" s="1581"/>
      <c r="I32" s="1581"/>
      <c r="J32" s="1581"/>
      <c r="K32" s="1581"/>
      <c r="L32" s="1581"/>
      <c r="M32" s="1581"/>
      <c r="N32" s="1581"/>
      <c r="O32" s="1581"/>
      <c r="P32" s="1581"/>
      <c r="AJ32" s="1452" t="s">
        <v>779</v>
      </c>
      <c r="AK32" s="1452"/>
      <c r="AL32" s="1452"/>
      <c r="AM32" s="1452"/>
      <c r="AN32" s="1452"/>
      <c r="AO32" s="1452"/>
      <c r="AP32" s="1452"/>
      <c r="AQ32" s="1452"/>
      <c r="AR32" s="1452"/>
      <c r="AS32" s="1452"/>
      <c r="AT32" s="1452"/>
      <c r="AU32" s="1452"/>
      <c r="AV32" s="1452"/>
      <c r="AW32" s="1452"/>
      <c r="AX32" s="220"/>
    </row>
  </sheetData>
  <sheetProtection algorithmName="SHA-512" hashValue="asK1sm61XDNSHXNPa5nSvy6eSuDnH6zy94PmJdr1/yNEyX45+CbxdZgphdXsrHjpNCEok+xqJ5EPaH0oQQ46Pg==" saltValue="lvOdk0ukbFqtCCsvHQIpcg==" spinCount="100000" sheet="1" objects="1" scenarios="1"/>
  <mergeCells count="33">
    <mergeCell ref="J7:Q7"/>
    <mergeCell ref="B4:I5"/>
    <mergeCell ref="J4:Q5"/>
    <mergeCell ref="B2:T2"/>
    <mergeCell ref="B3:S3"/>
    <mergeCell ref="J6:Q6"/>
    <mergeCell ref="B6:I6"/>
    <mergeCell ref="B7:I7"/>
    <mergeCell ref="X19:AW19"/>
    <mergeCell ref="B8:I8"/>
    <mergeCell ref="C17:Q19"/>
    <mergeCell ref="B9:B12"/>
    <mergeCell ref="J8:Q8"/>
    <mergeCell ref="C9:Q12"/>
    <mergeCell ref="C13:Q14"/>
    <mergeCell ref="C15:Q16"/>
    <mergeCell ref="AJ10:AO10"/>
    <mergeCell ref="AM16:AR16"/>
    <mergeCell ref="AN17:AS17"/>
    <mergeCell ref="AQ12:AV12"/>
    <mergeCell ref="X20:AW20"/>
    <mergeCell ref="X21:AW21"/>
    <mergeCell ref="F32:P32"/>
    <mergeCell ref="AJ32:AW32"/>
    <mergeCell ref="F26:P26"/>
    <mergeCell ref="AN26:AW26"/>
    <mergeCell ref="F31:P31"/>
    <mergeCell ref="AJ30:AW31"/>
    <mergeCell ref="F30:P30"/>
    <mergeCell ref="B25:P25"/>
    <mergeCell ref="AJ25:AW25"/>
    <mergeCell ref="AJ24:AW24"/>
    <mergeCell ref="B24:P24"/>
  </mergeCells>
  <dataValidations count="3">
    <dataValidation type="decimal" allowBlank="1" showErrorMessage="1" errorTitle="GJSHP SY 2022-2023" error="Please enter valid number between 0-20,000,000.00" sqref="J6:Q8" xr:uid="{16C760A0-403C-4E7B-A787-9900FB067AED}">
      <formula1>0</formula1>
      <formula2>20000000</formula2>
    </dataValidation>
    <dataValidation type="whole" allowBlank="1" showErrorMessage="1" errorTitle="GJHSP SY 2022-2023" error="Please enter valid number between 0-24." sqref="AN17:AS17" xr:uid="{FE8CDBA0-5ACE-4922-94BF-C53C7B774041}">
      <formula1>0</formula1>
      <formula2>24</formula2>
    </dataValidation>
    <dataValidation type="decimal" allowBlank="1" showInputMessage="1" showErrorMessage="1" errorTitle="GJSHP SY 2022-2023" error="Please enter valid number between 0 – 1,000,000.00._x000a_" sqref="AQ12:AV12" xr:uid="{7A7FA5A7-E14B-42D8-9093-2204E9A53810}">
      <formula1>0</formula1>
      <formula2>1000000</formula2>
    </dataValidation>
  </dataValidations>
  <printOptions horizontalCentered="1" verticalCentered="1"/>
  <pageMargins left="0.23622047244094491" right="0.23622047244094491" top="0.19685039370078741" bottom="0.19685039370078741" header="0" footer="0.11811023622047245"/>
  <pageSetup paperSize="14" scale="85" orientation="landscape" r:id="rId1"/>
  <headerFooter alignWithMargins="0">
    <oddFooter>&amp;L&amp;10&amp;F &amp;A&amp;R&amp;10Page 26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30721" r:id="rId4" name="Check Box 1">
              <controlPr defaultSize="0" autoFill="0" autoLine="0" autoPict="0">
                <anchor moveWithCells="1">
                  <from>
                    <xdr:col>26</xdr:col>
                    <xdr:colOff>266700</xdr:colOff>
                    <xdr:row>5</xdr:row>
                    <xdr:rowOff>0</xdr:rowOff>
                  </from>
                  <to>
                    <xdr:col>27</xdr:col>
                    <xdr:colOff>190500</xdr:colOff>
                    <xdr:row>5</xdr:row>
                    <xdr:rowOff>215900</xdr:rowOff>
                  </to>
                </anchor>
              </controlPr>
            </control>
          </mc:Choice>
        </mc:AlternateContent>
        <mc:AlternateContent xmlns:mc="http://schemas.openxmlformats.org/markup-compatibility/2006">
          <mc:Choice Requires="x14">
            <control shapeId="30722" r:id="rId5" name="Check Box 2">
              <controlPr defaultSize="0" autoFill="0" autoLine="0" autoPict="0">
                <anchor moveWithCells="1">
                  <from>
                    <xdr:col>26</xdr:col>
                    <xdr:colOff>266700</xdr:colOff>
                    <xdr:row>6</xdr:row>
                    <xdr:rowOff>31750</xdr:rowOff>
                  </from>
                  <to>
                    <xdr:col>27</xdr:col>
                    <xdr:colOff>215900</xdr:colOff>
                    <xdr:row>6</xdr:row>
                    <xdr:rowOff>234950</xdr:rowOff>
                  </to>
                </anchor>
              </controlPr>
            </control>
          </mc:Choice>
        </mc:AlternateContent>
        <mc:AlternateContent xmlns:mc="http://schemas.openxmlformats.org/markup-compatibility/2006">
          <mc:Choice Requires="x14">
            <control shapeId="30723" r:id="rId6" name="Check Box 3">
              <controlPr defaultSize="0" autoFill="0" autoLine="0" autoPict="0">
                <anchor moveWithCells="1">
                  <from>
                    <xdr:col>29</xdr:col>
                    <xdr:colOff>266700</xdr:colOff>
                    <xdr:row>7</xdr:row>
                    <xdr:rowOff>12700</xdr:rowOff>
                  </from>
                  <to>
                    <xdr:col>30</xdr:col>
                    <xdr:colOff>215900</xdr:colOff>
                    <xdr:row>7</xdr:row>
                    <xdr:rowOff>222250</xdr:rowOff>
                  </to>
                </anchor>
              </controlPr>
            </control>
          </mc:Choice>
        </mc:AlternateContent>
        <mc:AlternateContent xmlns:mc="http://schemas.openxmlformats.org/markup-compatibility/2006">
          <mc:Choice Requires="x14">
            <control shapeId="30724" r:id="rId7" name="Check Box 4">
              <controlPr defaultSize="0" autoFill="0" autoLine="0" autoPict="0">
                <anchor moveWithCells="1">
                  <from>
                    <xdr:col>29</xdr:col>
                    <xdr:colOff>266700</xdr:colOff>
                    <xdr:row>7</xdr:row>
                    <xdr:rowOff>254000</xdr:rowOff>
                  </from>
                  <to>
                    <xdr:col>30</xdr:col>
                    <xdr:colOff>196850</xdr:colOff>
                    <xdr:row>8</xdr:row>
                    <xdr:rowOff>222250</xdr:rowOff>
                  </to>
                </anchor>
              </controlPr>
            </control>
          </mc:Choice>
        </mc:AlternateContent>
        <mc:AlternateContent xmlns:mc="http://schemas.openxmlformats.org/markup-compatibility/2006">
          <mc:Choice Requires="x14">
            <control shapeId="30725" r:id="rId8" name="Check Box 5">
              <controlPr defaultSize="0" autoFill="0" autoLine="0" autoPict="0">
                <anchor moveWithCells="1">
                  <from>
                    <xdr:col>29</xdr:col>
                    <xdr:colOff>266700</xdr:colOff>
                    <xdr:row>8</xdr:row>
                    <xdr:rowOff>254000</xdr:rowOff>
                  </from>
                  <to>
                    <xdr:col>30</xdr:col>
                    <xdr:colOff>196850</xdr:colOff>
                    <xdr:row>9</xdr:row>
                    <xdr:rowOff>222250</xdr:rowOff>
                  </to>
                </anchor>
              </controlPr>
            </control>
          </mc:Choice>
        </mc:AlternateContent>
        <mc:AlternateContent xmlns:mc="http://schemas.openxmlformats.org/markup-compatibility/2006">
          <mc:Choice Requires="x14">
            <control shapeId="30726" r:id="rId9" name="Check Box 6">
              <controlPr defaultSize="0" autoFill="0" autoLine="0" autoPict="0">
                <anchor moveWithCells="1">
                  <from>
                    <xdr:col>26</xdr:col>
                    <xdr:colOff>266700</xdr:colOff>
                    <xdr:row>10</xdr:row>
                    <xdr:rowOff>0</xdr:rowOff>
                  </from>
                  <to>
                    <xdr:col>27</xdr:col>
                    <xdr:colOff>184150</xdr:colOff>
                    <xdr:row>10</xdr:row>
                    <xdr:rowOff>222250</xdr:rowOff>
                  </to>
                </anchor>
              </controlPr>
            </control>
          </mc:Choice>
        </mc:AlternateContent>
        <mc:AlternateContent xmlns:mc="http://schemas.openxmlformats.org/markup-compatibility/2006">
          <mc:Choice Requires="x14">
            <control shapeId="30727" r:id="rId10" name="Check Box 7">
              <controlPr defaultSize="0" autoFill="0" autoLine="0" autoPict="0">
                <anchor moveWithCells="1">
                  <from>
                    <xdr:col>26</xdr:col>
                    <xdr:colOff>266700</xdr:colOff>
                    <xdr:row>13</xdr:row>
                    <xdr:rowOff>0</xdr:rowOff>
                  </from>
                  <to>
                    <xdr:col>27</xdr:col>
                    <xdr:colOff>203200</xdr:colOff>
                    <xdr:row>14</xdr:row>
                    <xdr:rowOff>6350</xdr:rowOff>
                  </to>
                </anchor>
              </controlPr>
            </control>
          </mc:Choice>
        </mc:AlternateContent>
        <mc:AlternateContent xmlns:mc="http://schemas.openxmlformats.org/markup-compatibility/2006">
          <mc:Choice Requires="x14">
            <control shapeId="30728" r:id="rId11" name="Check Box 8">
              <controlPr defaultSize="0" autoFill="0" autoLine="0" autoPict="0">
                <anchor moveWithCells="1">
                  <from>
                    <xdr:col>26</xdr:col>
                    <xdr:colOff>266700</xdr:colOff>
                    <xdr:row>14</xdr:row>
                    <xdr:rowOff>0</xdr:rowOff>
                  </from>
                  <to>
                    <xdr:col>27</xdr:col>
                    <xdr:colOff>215900</xdr:colOff>
                    <xdr:row>15</xdr:row>
                    <xdr:rowOff>0</xdr:rowOff>
                  </to>
                </anchor>
              </controlPr>
            </control>
          </mc:Choice>
        </mc:AlternateContent>
        <mc:AlternateContent xmlns:mc="http://schemas.openxmlformats.org/markup-compatibility/2006">
          <mc:Choice Requires="x14">
            <control shapeId="30729" r:id="rId12" name="Check Box 9">
              <controlPr defaultSize="0" autoFill="0" autoLine="0" autoPict="0">
                <anchor moveWithCells="1">
                  <from>
                    <xdr:col>26</xdr:col>
                    <xdr:colOff>266700</xdr:colOff>
                    <xdr:row>15</xdr:row>
                    <xdr:rowOff>0</xdr:rowOff>
                  </from>
                  <to>
                    <xdr:col>27</xdr:col>
                    <xdr:colOff>215900</xdr:colOff>
                    <xdr:row>15</xdr:row>
                    <xdr:rowOff>215900</xdr:rowOff>
                  </to>
                </anchor>
              </controlPr>
            </control>
          </mc:Choice>
        </mc:AlternateContent>
        <mc:AlternateContent xmlns:mc="http://schemas.openxmlformats.org/markup-compatibility/2006">
          <mc:Choice Requires="x14">
            <control shapeId="30730" r:id="rId13" name="Check Box 10">
              <controlPr defaultSize="0" autoFill="0" autoLine="0" autoPict="0">
                <anchor moveWithCells="1">
                  <from>
                    <xdr:col>32</xdr:col>
                    <xdr:colOff>266700</xdr:colOff>
                    <xdr:row>13</xdr:row>
                    <xdr:rowOff>0</xdr:rowOff>
                  </from>
                  <to>
                    <xdr:col>33</xdr:col>
                    <xdr:colOff>190500</xdr:colOff>
                    <xdr:row>14</xdr:row>
                    <xdr:rowOff>0</xdr:rowOff>
                  </to>
                </anchor>
              </controlPr>
            </control>
          </mc:Choice>
        </mc:AlternateContent>
        <mc:AlternateContent xmlns:mc="http://schemas.openxmlformats.org/markup-compatibility/2006">
          <mc:Choice Requires="x14">
            <control shapeId="30731" r:id="rId14" name="Check Box 11">
              <controlPr defaultSize="0" autoFill="0" autoLine="0" autoPict="0">
                <anchor moveWithCells="1">
                  <from>
                    <xdr:col>32</xdr:col>
                    <xdr:colOff>266700</xdr:colOff>
                    <xdr:row>14</xdr:row>
                    <xdr:rowOff>0</xdr:rowOff>
                  </from>
                  <to>
                    <xdr:col>33</xdr:col>
                    <xdr:colOff>215900</xdr:colOff>
                    <xdr:row>14</xdr:row>
                    <xdr:rowOff>228600</xdr:rowOff>
                  </to>
                </anchor>
              </controlPr>
            </control>
          </mc:Choice>
        </mc:AlternateContent>
        <mc:AlternateContent xmlns:mc="http://schemas.openxmlformats.org/markup-compatibility/2006">
          <mc:Choice Requires="x14">
            <control shapeId="30732" r:id="rId15" name="Check Box 12">
              <controlPr defaultSize="0" autoFill="0" autoLine="0" autoPict="0">
                <anchor moveWithCells="1">
                  <from>
                    <xdr:col>32</xdr:col>
                    <xdr:colOff>266700</xdr:colOff>
                    <xdr:row>15</xdr:row>
                    <xdr:rowOff>0</xdr:rowOff>
                  </from>
                  <to>
                    <xdr:col>33</xdr:col>
                    <xdr:colOff>177800</xdr:colOff>
                    <xdr:row>15</xdr:row>
                    <xdr:rowOff>228600</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1"/>
  <dimension ref="B1:BZ72"/>
  <sheetViews>
    <sheetView showGridLines="0" zoomScaleNormal="100" workbookViewId="0">
      <selection activeCell="U21" sqref="U21:AC21"/>
    </sheetView>
  </sheetViews>
  <sheetFormatPr defaultRowHeight="15.5" x14ac:dyDescent="0.35"/>
  <cols>
    <col min="1" max="1" width="2.08203125" style="98" customWidth="1"/>
    <col min="2" max="51" width="3.58203125" style="98" customWidth="1"/>
    <col min="52" max="52" width="2.08203125" style="98" customWidth="1"/>
    <col min="53" max="257" width="3.58203125" style="98" customWidth="1"/>
    <col min="258" max="273" width="9" style="98"/>
    <col min="274" max="274" width="1.6640625" style="98" customWidth="1"/>
    <col min="275" max="281" width="3.58203125" style="98" customWidth="1"/>
    <col min="282" max="282" width="3.33203125" style="98" customWidth="1"/>
    <col min="283" max="513" width="3.58203125" style="98" customWidth="1"/>
    <col min="514" max="529" width="9" style="98"/>
    <col min="530" max="530" width="1.6640625" style="98" customWidth="1"/>
    <col min="531" max="537" width="3.58203125" style="98" customWidth="1"/>
    <col min="538" max="538" width="3.33203125" style="98" customWidth="1"/>
    <col min="539" max="769" width="3.58203125" style="98" customWidth="1"/>
    <col min="770" max="785" width="9" style="98"/>
    <col min="786" max="786" width="1.6640625" style="98" customWidth="1"/>
    <col min="787" max="793" width="3.58203125" style="98" customWidth="1"/>
    <col min="794" max="794" width="3.33203125" style="98" customWidth="1"/>
    <col min="795" max="1025" width="3.58203125" style="98" customWidth="1"/>
    <col min="1026" max="1041" width="9" style="98"/>
    <col min="1042" max="1042" width="1.6640625" style="98" customWidth="1"/>
    <col min="1043" max="1049" width="3.58203125" style="98" customWidth="1"/>
    <col min="1050" max="1050" width="3.33203125" style="98" customWidth="1"/>
    <col min="1051" max="1281" width="3.58203125" style="98" customWidth="1"/>
    <col min="1282" max="1297" width="9" style="98"/>
    <col min="1298" max="1298" width="1.6640625" style="98" customWidth="1"/>
    <col min="1299" max="1305" width="3.58203125" style="98" customWidth="1"/>
    <col min="1306" max="1306" width="3.33203125" style="98" customWidth="1"/>
    <col min="1307" max="1537" width="3.58203125" style="98" customWidth="1"/>
    <col min="1538" max="1553" width="9" style="98"/>
    <col min="1554" max="1554" width="1.6640625" style="98" customWidth="1"/>
    <col min="1555" max="1561" width="3.58203125" style="98" customWidth="1"/>
    <col min="1562" max="1562" width="3.33203125" style="98" customWidth="1"/>
    <col min="1563" max="1793" width="3.58203125" style="98" customWidth="1"/>
    <col min="1794" max="1809" width="9" style="98"/>
    <col min="1810" max="1810" width="1.6640625" style="98" customWidth="1"/>
    <col min="1811" max="1817" width="3.58203125" style="98" customWidth="1"/>
    <col min="1818" max="1818" width="3.33203125" style="98" customWidth="1"/>
    <col min="1819" max="2049" width="3.58203125" style="98" customWidth="1"/>
    <col min="2050" max="2065" width="9" style="98"/>
    <col min="2066" max="2066" width="1.6640625" style="98" customWidth="1"/>
    <col min="2067" max="2073" width="3.58203125" style="98" customWidth="1"/>
    <col min="2074" max="2074" width="3.33203125" style="98" customWidth="1"/>
    <col min="2075" max="2305" width="3.58203125" style="98" customWidth="1"/>
    <col min="2306" max="2321" width="9" style="98"/>
    <col min="2322" max="2322" width="1.6640625" style="98" customWidth="1"/>
    <col min="2323" max="2329" width="3.58203125" style="98" customWidth="1"/>
    <col min="2330" max="2330" width="3.33203125" style="98" customWidth="1"/>
    <col min="2331" max="2561" width="3.58203125" style="98" customWidth="1"/>
    <col min="2562" max="2577" width="9" style="98"/>
    <col min="2578" max="2578" width="1.6640625" style="98" customWidth="1"/>
    <col min="2579" max="2585" width="3.58203125" style="98" customWidth="1"/>
    <col min="2586" max="2586" width="3.33203125" style="98" customWidth="1"/>
    <col min="2587" max="2817" width="3.58203125" style="98" customWidth="1"/>
    <col min="2818" max="2833" width="9" style="98"/>
    <col min="2834" max="2834" width="1.6640625" style="98" customWidth="1"/>
    <col min="2835" max="2841" width="3.58203125" style="98" customWidth="1"/>
    <col min="2842" max="2842" width="3.33203125" style="98" customWidth="1"/>
    <col min="2843" max="3073" width="3.58203125" style="98" customWidth="1"/>
    <col min="3074" max="3089" width="9" style="98"/>
    <col min="3090" max="3090" width="1.6640625" style="98" customWidth="1"/>
    <col min="3091" max="3097" width="3.58203125" style="98" customWidth="1"/>
    <col min="3098" max="3098" width="3.33203125" style="98" customWidth="1"/>
    <col min="3099" max="3329" width="3.58203125" style="98" customWidth="1"/>
    <col min="3330" max="3345" width="9" style="98"/>
    <col min="3346" max="3346" width="1.6640625" style="98" customWidth="1"/>
    <col min="3347" max="3353" width="3.58203125" style="98" customWidth="1"/>
    <col min="3354" max="3354" width="3.33203125" style="98" customWidth="1"/>
    <col min="3355" max="3585" width="3.58203125" style="98" customWidth="1"/>
    <col min="3586" max="3601" width="9" style="98"/>
    <col min="3602" max="3602" width="1.6640625" style="98" customWidth="1"/>
    <col min="3603" max="3609" width="3.58203125" style="98" customWidth="1"/>
    <col min="3610" max="3610" width="3.33203125" style="98" customWidth="1"/>
    <col min="3611" max="3841" width="3.58203125" style="98" customWidth="1"/>
    <col min="3842" max="3857" width="9" style="98"/>
    <col min="3858" max="3858" width="1.6640625" style="98" customWidth="1"/>
    <col min="3859" max="3865" width="3.58203125" style="98" customWidth="1"/>
    <col min="3866" max="3866" width="3.33203125" style="98" customWidth="1"/>
    <col min="3867" max="4097" width="3.58203125" style="98" customWidth="1"/>
    <col min="4098" max="4113" width="9" style="98"/>
    <col min="4114" max="4114" width="1.6640625" style="98" customWidth="1"/>
    <col min="4115" max="4121" width="3.58203125" style="98" customWidth="1"/>
    <col min="4122" max="4122" width="3.33203125" style="98" customWidth="1"/>
    <col min="4123" max="4353" width="3.58203125" style="98" customWidth="1"/>
    <col min="4354" max="4369" width="9" style="98"/>
    <col min="4370" max="4370" width="1.6640625" style="98" customWidth="1"/>
    <col min="4371" max="4377" width="3.58203125" style="98" customWidth="1"/>
    <col min="4378" max="4378" width="3.33203125" style="98" customWidth="1"/>
    <col min="4379" max="4609" width="3.58203125" style="98" customWidth="1"/>
    <col min="4610" max="4625" width="9" style="98"/>
    <col min="4626" max="4626" width="1.6640625" style="98" customWidth="1"/>
    <col min="4627" max="4633" width="3.58203125" style="98" customWidth="1"/>
    <col min="4634" max="4634" width="3.33203125" style="98" customWidth="1"/>
    <col min="4635" max="4865" width="3.58203125" style="98" customWidth="1"/>
    <col min="4866" max="4881" width="9" style="98"/>
    <col min="4882" max="4882" width="1.6640625" style="98" customWidth="1"/>
    <col min="4883" max="4889" width="3.58203125" style="98" customWidth="1"/>
    <col min="4890" max="4890" width="3.33203125" style="98" customWidth="1"/>
    <col min="4891" max="5121" width="3.58203125" style="98" customWidth="1"/>
    <col min="5122" max="5137" width="9" style="98"/>
    <col min="5138" max="5138" width="1.6640625" style="98" customWidth="1"/>
    <col min="5139" max="5145" width="3.58203125" style="98" customWidth="1"/>
    <col min="5146" max="5146" width="3.33203125" style="98" customWidth="1"/>
    <col min="5147" max="5377" width="3.58203125" style="98" customWidth="1"/>
    <col min="5378" max="5393" width="9" style="98"/>
    <col min="5394" max="5394" width="1.6640625" style="98" customWidth="1"/>
    <col min="5395" max="5401" width="3.58203125" style="98" customWidth="1"/>
    <col min="5402" max="5402" width="3.33203125" style="98" customWidth="1"/>
    <col min="5403" max="5633" width="3.58203125" style="98" customWidth="1"/>
    <col min="5634" max="5649" width="9" style="98"/>
    <col min="5650" max="5650" width="1.6640625" style="98" customWidth="1"/>
    <col min="5651" max="5657" width="3.58203125" style="98" customWidth="1"/>
    <col min="5658" max="5658" width="3.33203125" style="98" customWidth="1"/>
    <col min="5659" max="5889" width="3.58203125" style="98" customWidth="1"/>
    <col min="5890" max="5905" width="9" style="98"/>
    <col min="5906" max="5906" width="1.6640625" style="98" customWidth="1"/>
    <col min="5907" max="5913" width="3.58203125" style="98" customWidth="1"/>
    <col min="5914" max="5914" width="3.33203125" style="98" customWidth="1"/>
    <col min="5915" max="6145" width="3.58203125" style="98" customWidth="1"/>
    <col min="6146" max="6161" width="9" style="98"/>
    <col min="6162" max="6162" width="1.6640625" style="98" customWidth="1"/>
    <col min="6163" max="6169" width="3.58203125" style="98" customWidth="1"/>
    <col min="6170" max="6170" width="3.33203125" style="98" customWidth="1"/>
    <col min="6171" max="6401" width="3.58203125" style="98" customWidth="1"/>
    <col min="6402" max="6417" width="9" style="98"/>
    <col min="6418" max="6418" width="1.6640625" style="98" customWidth="1"/>
    <col min="6419" max="6425" width="3.58203125" style="98" customWidth="1"/>
    <col min="6426" max="6426" width="3.33203125" style="98" customWidth="1"/>
    <col min="6427" max="6657" width="3.58203125" style="98" customWidth="1"/>
    <col min="6658" max="6673" width="9" style="98"/>
    <col min="6674" max="6674" width="1.6640625" style="98" customWidth="1"/>
    <col min="6675" max="6681" width="3.58203125" style="98" customWidth="1"/>
    <col min="6682" max="6682" width="3.33203125" style="98" customWidth="1"/>
    <col min="6683" max="6913" width="3.58203125" style="98" customWidth="1"/>
    <col min="6914" max="6929" width="9" style="98"/>
    <col min="6930" max="6930" width="1.6640625" style="98" customWidth="1"/>
    <col min="6931" max="6937" width="3.58203125" style="98" customWidth="1"/>
    <col min="6938" max="6938" width="3.33203125" style="98" customWidth="1"/>
    <col min="6939" max="7169" width="3.58203125" style="98" customWidth="1"/>
    <col min="7170" max="7185" width="9" style="98"/>
    <col min="7186" max="7186" width="1.6640625" style="98" customWidth="1"/>
    <col min="7187" max="7193" width="3.58203125" style="98" customWidth="1"/>
    <col min="7194" max="7194" width="3.33203125" style="98" customWidth="1"/>
    <col min="7195" max="7425" width="3.58203125" style="98" customWidth="1"/>
    <col min="7426" max="7441" width="9" style="98"/>
    <col min="7442" max="7442" width="1.6640625" style="98" customWidth="1"/>
    <col min="7443" max="7449" width="3.58203125" style="98" customWidth="1"/>
    <col min="7450" max="7450" width="3.33203125" style="98" customWidth="1"/>
    <col min="7451" max="7681" width="3.58203125" style="98" customWidth="1"/>
    <col min="7682" max="7697" width="9" style="98"/>
    <col min="7698" max="7698" width="1.6640625" style="98" customWidth="1"/>
    <col min="7699" max="7705" width="3.58203125" style="98" customWidth="1"/>
    <col min="7706" max="7706" width="3.33203125" style="98" customWidth="1"/>
    <col min="7707" max="7937" width="3.58203125" style="98" customWidth="1"/>
    <col min="7938" max="7953" width="9" style="98"/>
    <col min="7954" max="7954" width="1.6640625" style="98" customWidth="1"/>
    <col min="7955" max="7961" width="3.58203125" style="98" customWidth="1"/>
    <col min="7962" max="7962" width="3.33203125" style="98" customWidth="1"/>
    <col min="7963" max="8193" width="3.58203125" style="98" customWidth="1"/>
    <col min="8194" max="8209" width="9" style="98"/>
    <col min="8210" max="8210" width="1.6640625" style="98" customWidth="1"/>
    <col min="8211" max="8217" width="3.58203125" style="98" customWidth="1"/>
    <col min="8218" max="8218" width="3.33203125" style="98" customWidth="1"/>
    <col min="8219" max="8449" width="3.58203125" style="98" customWidth="1"/>
    <col min="8450" max="8465" width="9" style="98"/>
    <col min="8466" max="8466" width="1.6640625" style="98" customWidth="1"/>
    <col min="8467" max="8473" width="3.58203125" style="98" customWidth="1"/>
    <col min="8474" max="8474" width="3.33203125" style="98" customWidth="1"/>
    <col min="8475" max="8705" width="3.58203125" style="98" customWidth="1"/>
    <col min="8706" max="8721" width="9" style="98"/>
    <col min="8722" max="8722" width="1.6640625" style="98" customWidth="1"/>
    <col min="8723" max="8729" width="3.58203125" style="98" customWidth="1"/>
    <col min="8730" max="8730" width="3.33203125" style="98" customWidth="1"/>
    <col min="8731" max="8961" width="3.58203125" style="98" customWidth="1"/>
    <col min="8962" max="8977" width="9" style="98"/>
    <col min="8978" max="8978" width="1.6640625" style="98" customWidth="1"/>
    <col min="8979" max="8985" width="3.58203125" style="98" customWidth="1"/>
    <col min="8986" max="8986" width="3.33203125" style="98" customWidth="1"/>
    <col min="8987" max="9217" width="3.58203125" style="98" customWidth="1"/>
    <col min="9218" max="9233" width="9" style="98"/>
    <col min="9234" max="9234" width="1.6640625" style="98" customWidth="1"/>
    <col min="9235" max="9241" width="3.58203125" style="98" customWidth="1"/>
    <col min="9242" max="9242" width="3.33203125" style="98" customWidth="1"/>
    <col min="9243" max="9473" width="3.58203125" style="98" customWidth="1"/>
    <col min="9474" max="9489" width="9" style="98"/>
    <col min="9490" max="9490" width="1.6640625" style="98" customWidth="1"/>
    <col min="9491" max="9497" width="3.58203125" style="98" customWidth="1"/>
    <col min="9498" max="9498" width="3.33203125" style="98" customWidth="1"/>
    <col min="9499" max="9729" width="3.58203125" style="98" customWidth="1"/>
    <col min="9730" max="9745" width="9" style="98"/>
    <col min="9746" max="9746" width="1.6640625" style="98" customWidth="1"/>
    <col min="9747" max="9753" width="3.58203125" style="98" customWidth="1"/>
    <col min="9754" max="9754" width="3.33203125" style="98" customWidth="1"/>
    <col min="9755" max="9985" width="3.58203125" style="98" customWidth="1"/>
    <col min="9986" max="10001" width="9" style="98"/>
    <col min="10002" max="10002" width="1.6640625" style="98" customWidth="1"/>
    <col min="10003" max="10009" width="3.58203125" style="98" customWidth="1"/>
    <col min="10010" max="10010" width="3.33203125" style="98" customWidth="1"/>
    <col min="10011" max="10241" width="3.58203125" style="98" customWidth="1"/>
    <col min="10242" max="10257" width="9" style="98"/>
    <col min="10258" max="10258" width="1.6640625" style="98" customWidth="1"/>
    <col min="10259" max="10265" width="3.58203125" style="98" customWidth="1"/>
    <col min="10266" max="10266" width="3.33203125" style="98" customWidth="1"/>
    <col min="10267" max="10497" width="3.58203125" style="98" customWidth="1"/>
    <col min="10498" max="10513" width="9" style="98"/>
    <col min="10514" max="10514" width="1.6640625" style="98" customWidth="1"/>
    <col min="10515" max="10521" width="3.58203125" style="98" customWidth="1"/>
    <col min="10522" max="10522" width="3.33203125" style="98" customWidth="1"/>
    <col min="10523" max="10753" width="3.58203125" style="98" customWidth="1"/>
    <col min="10754" max="10769" width="9" style="98"/>
    <col min="10770" max="10770" width="1.6640625" style="98" customWidth="1"/>
    <col min="10771" max="10777" width="3.58203125" style="98" customWidth="1"/>
    <col min="10778" max="10778" width="3.33203125" style="98" customWidth="1"/>
    <col min="10779" max="11009" width="3.58203125" style="98" customWidth="1"/>
    <col min="11010" max="11025" width="9" style="98"/>
    <col min="11026" max="11026" width="1.6640625" style="98" customWidth="1"/>
    <col min="11027" max="11033" width="3.58203125" style="98" customWidth="1"/>
    <col min="11034" max="11034" width="3.33203125" style="98" customWidth="1"/>
    <col min="11035" max="11265" width="3.58203125" style="98" customWidth="1"/>
    <col min="11266" max="11281" width="9" style="98"/>
    <col min="11282" max="11282" width="1.6640625" style="98" customWidth="1"/>
    <col min="11283" max="11289" width="3.58203125" style="98" customWidth="1"/>
    <col min="11290" max="11290" width="3.33203125" style="98" customWidth="1"/>
    <col min="11291" max="11521" width="3.58203125" style="98" customWidth="1"/>
    <col min="11522" max="11537" width="9" style="98"/>
    <col min="11538" max="11538" width="1.6640625" style="98" customWidth="1"/>
    <col min="11539" max="11545" width="3.58203125" style="98" customWidth="1"/>
    <col min="11546" max="11546" width="3.33203125" style="98" customWidth="1"/>
    <col min="11547" max="11777" width="3.58203125" style="98" customWidth="1"/>
    <col min="11778" max="11793" width="9" style="98"/>
    <col min="11794" max="11794" width="1.6640625" style="98" customWidth="1"/>
    <col min="11795" max="11801" width="3.58203125" style="98" customWidth="1"/>
    <col min="11802" max="11802" width="3.33203125" style="98" customWidth="1"/>
    <col min="11803" max="12033" width="3.58203125" style="98" customWidth="1"/>
    <col min="12034" max="12049" width="9" style="98"/>
    <col min="12050" max="12050" width="1.6640625" style="98" customWidth="1"/>
    <col min="12051" max="12057" width="3.58203125" style="98" customWidth="1"/>
    <col min="12058" max="12058" width="3.33203125" style="98" customWidth="1"/>
    <col min="12059" max="12289" width="3.58203125" style="98" customWidth="1"/>
    <col min="12290" max="12305" width="9" style="98"/>
    <col min="12306" max="12306" width="1.6640625" style="98" customWidth="1"/>
    <col min="12307" max="12313" width="3.58203125" style="98" customWidth="1"/>
    <col min="12314" max="12314" width="3.33203125" style="98" customWidth="1"/>
    <col min="12315" max="12545" width="3.58203125" style="98" customWidth="1"/>
    <col min="12546" max="12561" width="9" style="98"/>
    <col min="12562" max="12562" width="1.6640625" style="98" customWidth="1"/>
    <col min="12563" max="12569" width="3.58203125" style="98" customWidth="1"/>
    <col min="12570" max="12570" width="3.33203125" style="98" customWidth="1"/>
    <col min="12571" max="12801" width="3.58203125" style="98" customWidth="1"/>
    <col min="12802" max="12817" width="9" style="98"/>
    <col min="12818" max="12818" width="1.6640625" style="98" customWidth="1"/>
    <col min="12819" max="12825" width="3.58203125" style="98" customWidth="1"/>
    <col min="12826" max="12826" width="3.33203125" style="98" customWidth="1"/>
    <col min="12827" max="13057" width="3.58203125" style="98" customWidth="1"/>
    <col min="13058" max="13073" width="9" style="98"/>
    <col min="13074" max="13074" width="1.6640625" style="98" customWidth="1"/>
    <col min="13075" max="13081" width="3.58203125" style="98" customWidth="1"/>
    <col min="13082" max="13082" width="3.33203125" style="98" customWidth="1"/>
    <col min="13083" max="13313" width="3.58203125" style="98" customWidth="1"/>
    <col min="13314" max="13329" width="9" style="98"/>
    <col min="13330" max="13330" width="1.6640625" style="98" customWidth="1"/>
    <col min="13331" max="13337" width="3.58203125" style="98" customWidth="1"/>
    <col min="13338" max="13338" width="3.33203125" style="98" customWidth="1"/>
    <col min="13339" max="13569" width="3.58203125" style="98" customWidth="1"/>
    <col min="13570" max="13585" width="9" style="98"/>
    <col min="13586" max="13586" width="1.6640625" style="98" customWidth="1"/>
    <col min="13587" max="13593" width="3.58203125" style="98" customWidth="1"/>
    <col min="13594" max="13594" width="3.33203125" style="98" customWidth="1"/>
    <col min="13595" max="13825" width="3.58203125" style="98" customWidth="1"/>
    <col min="13826" max="13841" width="9" style="98"/>
    <col min="13842" max="13842" width="1.6640625" style="98" customWidth="1"/>
    <col min="13843" max="13849" width="3.58203125" style="98" customWidth="1"/>
    <col min="13850" max="13850" width="3.33203125" style="98" customWidth="1"/>
    <col min="13851" max="14081" width="3.58203125" style="98" customWidth="1"/>
    <col min="14082" max="14097" width="9" style="98"/>
    <col min="14098" max="14098" width="1.6640625" style="98" customWidth="1"/>
    <col min="14099" max="14105" width="3.58203125" style="98" customWidth="1"/>
    <col min="14106" max="14106" width="3.33203125" style="98" customWidth="1"/>
    <col min="14107" max="14337" width="3.58203125" style="98" customWidth="1"/>
    <col min="14338" max="14353" width="9" style="98"/>
    <col min="14354" max="14354" width="1.6640625" style="98" customWidth="1"/>
    <col min="14355" max="14361" width="3.58203125" style="98" customWidth="1"/>
    <col min="14362" max="14362" width="3.33203125" style="98" customWidth="1"/>
    <col min="14363" max="14593" width="3.58203125" style="98" customWidth="1"/>
    <col min="14594" max="14609" width="9" style="98"/>
    <col min="14610" max="14610" width="1.6640625" style="98" customWidth="1"/>
    <col min="14611" max="14617" width="3.58203125" style="98" customWidth="1"/>
    <col min="14618" max="14618" width="3.33203125" style="98" customWidth="1"/>
    <col min="14619" max="14849" width="3.58203125" style="98" customWidth="1"/>
    <col min="14850" max="14865" width="9" style="98"/>
    <col min="14866" max="14866" width="1.6640625" style="98" customWidth="1"/>
    <col min="14867" max="14873" width="3.58203125" style="98" customWidth="1"/>
    <col min="14874" max="14874" width="3.33203125" style="98" customWidth="1"/>
    <col min="14875" max="15105" width="3.58203125" style="98" customWidth="1"/>
    <col min="15106" max="15121" width="9" style="98"/>
    <col min="15122" max="15122" width="1.6640625" style="98" customWidth="1"/>
    <col min="15123" max="15129" width="3.58203125" style="98" customWidth="1"/>
    <col min="15130" max="15130" width="3.33203125" style="98" customWidth="1"/>
    <col min="15131" max="15361" width="3.58203125" style="98" customWidth="1"/>
    <col min="15362" max="15377" width="9" style="98"/>
    <col min="15378" max="15378" width="1.6640625" style="98" customWidth="1"/>
    <col min="15379" max="15385" width="3.58203125" style="98" customWidth="1"/>
    <col min="15386" max="15386" width="3.33203125" style="98" customWidth="1"/>
    <col min="15387" max="15617" width="3.58203125" style="98" customWidth="1"/>
    <col min="15618" max="15633" width="9" style="98"/>
    <col min="15634" max="15634" width="1.6640625" style="98" customWidth="1"/>
    <col min="15635" max="15641" width="3.58203125" style="98" customWidth="1"/>
    <col min="15642" max="15642" width="3.33203125" style="98" customWidth="1"/>
    <col min="15643" max="15873" width="3.58203125" style="98" customWidth="1"/>
    <col min="15874" max="15889" width="9" style="98"/>
    <col min="15890" max="15890" width="1.6640625" style="98" customWidth="1"/>
    <col min="15891" max="15897" width="3.58203125" style="98" customWidth="1"/>
    <col min="15898" max="15898" width="3.33203125" style="98" customWidth="1"/>
    <col min="15899" max="16129" width="3.58203125" style="98" customWidth="1"/>
    <col min="16130" max="16145" width="9" style="98"/>
    <col min="16146" max="16146" width="1.6640625" style="98" customWidth="1"/>
    <col min="16147" max="16153" width="3.58203125" style="98" customWidth="1"/>
    <col min="16154" max="16154" width="3.33203125" style="98" customWidth="1"/>
    <col min="16155" max="16384" width="3.58203125" style="98" customWidth="1"/>
  </cols>
  <sheetData>
    <row r="1" spans="2:51" ht="12" customHeight="1" x14ac:dyDescent="0.35"/>
    <row r="2" spans="2:51" s="403" customFormat="1" x14ac:dyDescent="0.35">
      <c r="B2" s="215" t="s">
        <v>12719</v>
      </c>
      <c r="D2" s="215"/>
      <c r="E2" s="215"/>
      <c r="F2" s="215"/>
      <c r="G2" s="215"/>
      <c r="H2" s="215"/>
      <c r="I2" s="731"/>
      <c r="J2" s="731"/>
      <c r="K2" s="731"/>
      <c r="L2" s="731"/>
      <c r="M2" s="731"/>
      <c r="N2" s="731"/>
      <c r="O2" s="731"/>
      <c r="P2" s="731"/>
      <c r="Q2" s="731"/>
      <c r="R2" s="731"/>
      <c r="S2" s="731"/>
      <c r="T2" s="731"/>
      <c r="U2" s="731"/>
      <c r="V2" s="731"/>
      <c r="W2" s="731"/>
      <c r="X2" s="731"/>
      <c r="Y2" s="731"/>
      <c r="Z2" s="731"/>
      <c r="AA2" s="731"/>
      <c r="AB2" s="731"/>
      <c r="AC2" s="731"/>
      <c r="AD2" s="731"/>
      <c r="AE2" s="731"/>
      <c r="AF2" s="731"/>
      <c r="AG2" s="731"/>
      <c r="AH2" s="731"/>
      <c r="AI2" s="731"/>
    </row>
    <row r="3" spans="2:51" s="403" customFormat="1" ht="18" customHeight="1" thickBot="1" x14ac:dyDescent="0.4">
      <c r="B3" s="419" t="s">
        <v>1091</v>
      </c>
      <c r="D3" s="215"/>
      <c r="E3" s="215"/>
      <c r="F3" s="215"/>
      <c r="G3" s="215"/>
      <c r="H3" s="215"/>
      <c r="I3" s="731"/>
      <c r="J3" s="731"/>
      <c r="K3" s="731"/>
      <c r="L3" s="731"/>
      <c r="M3" s="731"/>
      <c r="N3" s="731"/>
      <c r="O3" s="731"/>
      <c r="P3" s="731"/>
      <c r="Q3" s="731"/>
      <c r="R3" s="731"/>
      <c r="S3" s="731"/>
      <c r="T3" s="731"/>
      <c r="U3" s="731"/>
      <c r="V3" s="731"/>
      <c r="W3" s="731"/>
      <c r="X3" s="731"/>
      <c r="Y3" s="731"/>
      <c r="Z3" s="731"/>
      <c r="AA3" s="731"/>
      <c r="AB3" s="731"/>
      <c r="AC3" s="731"/>
      <c r="AD3" s="731"/>
      <c r="AE3" s="731"/>
      <c r="AF3" s="731"/>
      <c r="AG3" s="731"/>
      <c r="AH3" s="731"/>
    </row>
    <row r="4" spans="2:51" s="403" customFormat="1" ht="10" customHeight="1" thickTop="1" x14ac:dyDescent="0.35">
      <c r="B4" s="464"/>
      <c r="C4" s="467"/>
      <c r="D4" s="467"/>
      <c r="E4" s="467"/>
      <c r="F4" s="467"/>
      <c r="G4" s="467"/>
      <c r="H4" s="467"/>
      <c r="I4" s="467"/>
      <c r="J4" s="467"/>
      <c r="K4" s="467"/>
      <c r="L4" s="467"/>
      <c r="M4" s="467"/>
      <c r="N4" s="467"/>
      <c r="O4" s="467"/>
      <c r="P4" s="467"/>
      <c r="Q4" s="467"/>
      <c r="R4" s="467"/>
      <c r="S4" s="467"/>
      <c r="T4" s="467"/>
      <c r="U4" s="467"/>
      <c r="V4" s="467"/>
      <c r="W4" s="467"/>
      <c r="X4" s="467"/>
      <c r="Y4" s="467"/>
      <c r="Z4" s="467"/>
      <c r="AA4" s="467"/>
      <c r="AB4" s="467"/>
      <c r="AC4" s="467"/>
      <c r="AD4" s="467"/>
      <c r="AE4" s="467"/>
      <c r="AF4" s="467"/>
      <c r="AG4" s="467"/>
      <c r="AH4" s="467"/>
      <c r="AI4" s="467"/>
      <c r="AJ4" s="467"/>
      <c r="AK4" s="467"/>
      <c r="AL4" s="467"/>
      <c r="AM4" s="467"/>
      <c r="AN4" s="735"/>
      <c r="AO4" s="735"/>
      <c r="AP4" s="735"/>
      <c r="AQ4" s="735"/>
      <c r="AR4" s="735"/>
      <c r="AS4" s="736"/>
      <c r="AT4" s="736"/>
      <c r="AU4" s="736"/>
      <c r="AV4" s="736"/>
      <c r="AW4" s="736"/>
      <c r="AX4" s="736"/>
      <c r="AY4" s="468"/>
    </row>
    <row r="5" spans="2:51" s="400" customFormat="1" ht="19.5" customHeight="1" x14ac:dyDescent="0.35">
      <c r="B5" s="699"/>
      <c r="C5" s="400" t="s">
        <v>798</v>
      </c>
      <c r="E5" s="734"/>
      <c r="F5" s="734"/>
      <c r="G5" s="734"/>
      <c r="H5" s="734"/>
      <c r="I5" s="734"/>
      <c r="J5" s="734"/>
      <c r="K5" s="734"/>
      <c r="L5" s="734"/>
      <c r="M5" s="734"/>
      <c r="N5" s="734"/>
      <c r="O5" s="700"/>
      <c r="T5" s="154" t="s">
        <v>1145</v>
      </c>
      <c r="V5" s="196"/>
      <c r="AC5" s="2948">
        <v>37707</v>
      </c>
      <c r="AD5" s="2948"/>
      <c r="AE5" s="2948"/>
      <c r="AF5" s="2948"/>
      <c r="AG5" s="2948"/>
      <c r="AH5" s="399"/>
      <c r="AK5" s="400" t="s">
        <v>355</v>
      </c>
      <c r="AN5" s="72"/>
      <c r="AO5" s="158"/>
      <c r="AP5" s="158"/>
      <c r="AQ5" s="158"/>
      <c r="AR5" s="158"/>
      <c r="AS5" s="158"/>
      <c r="AU5" s="158"/>
      <c r="AV5" s="158"/>
      <c r="AW5" s="158"/>
      <c r="AX5" s="158"/>
      <c r="AY5" s="469"/>
    </row>
    <row r="6" spans="2:51" s="400" customFormat="1" ht="19.5" customHeight="1" x14ac:dyDescent="0.35">
      <c r="B6" s="699"/>
      <c r="C6" s="708" t="s">
        <v>1123</v>
      </c>
      <c r="D6" s="708"/>
      <c r="E6" s="729"/>
      <c r="F6" s="729"/>
      <c r="G6" s="729"/>
      <c r="H6" s="729"/>
      <c r="I6" s="729"/>
      <c r="J6" s="729"/>
      <c r="K6" s="729"/>
      <c r="L6" s="729"/>
      <c r="M6" s="729"/>
      <c r="N6" s="729"/>
      <c r="O6" s="730"/>
      <c r="T6" s="403"/>
      <c r="U6" s="403"/>
      <c r="V6" s="403"/>
      <c r="W6" s="215"/>
      <c r="X6" s="215"/>
      <c r="Y6" s="215"/>
      <c r="Z6" s="215"/>
      <c r="AA6" s="215"/>
      <c r="AB6" s="731"/>
      <c r="AC6" s="731"/>
      <c r="AD6" s="731"/>
      <c r="AE6" s="731"/>
      <c r="AF6" s="731"/>
      <c r="AK6" s="708"/>
      <c r="AL6" s="400" t="s">
        <v>354</v>
      </c>
      <c r="AN6" s="72"/>
      <c r="AO6" s="158"/>
      <c r="AY6" s="469"/>
    </row>
    <row r="7" spans="2:51" s="400" customFormat="1" ht="19.5" customHeight="1" thickBot="1" x14ac:dyDescent="0.4">
      <c r="B7" s="699"/>
      <c r="D7" s="708"/>
      <c r="E7" s="737" t="b">
        <v>1</v>
      </c>
      <c r="F7" s="400" t="s">
        <v>339</v>
      </c>
      <c r="G7" s="708"/>
      <c r="H7" s="708"/>
      <c r="I7" s="737" t="b">
        <v>0</v>
      </c>
      <c r="J7" s="400" t="s">
        <v>341</v>
      </c>
      <c r="K7" s="708"/>
      <c r="L7" s="708"/>
      <c r="M7" s="708"/>
      <c r="N7" s="732"/>
      <c r="O7" s="708"/>
      <c r="P7" s="697"/>
      <c r="Q7" s="697"/>
      <c r="T7" s="400" t="s">
        <v>1125</v>
      </c>
      <c r="U7" s="700"/>
      <c r="W7" s="733"/>
      <c r="X7" s="733"/>
      <c r="Y7" s="733"/>
      <c r="Z7" s="733"/>
      <c r="AA7" s="733"/>
      <c r="AB7" s="733"/>
      <c r="AC7" s="733"/>
      <c r="AD7" s="733"/>
      <c r="AE7" s="733"/>
      <c r="AF7" s="733"/>
      <c r="AG7" s="733"/>
      <c r="AM7" s="441" t="b">
        <v>0</v>
      </c>
      <c r="AN7" s="400" t="s">
        <v>65</v>
      </c>
      <c r="AO7" s="709"/>
      <c r="AQ7" s="441"/>
      <c r="AR7" s="400" t="s">
        <v>11</v>
      </c>
      <c r="AY7" s="469"/>
    </row>
    <row r="8" spans="2:51" s="400" customFormat="1" ht="19.5" customHeight="1" thickTop="1" x14ac:dyDescent="0.35">
      <c r="B8" s="699"/>
      <c r="D8" s="708"/>
      <c r="E8" s="737" t="b">
        <v>0</v>
      </c>
      <c r="F8" s="400" t="s">
        <v>60</v>
      </c>
      <c r="G8" s="708"/>
      <c r="H8" s="708"/>
      <c r="I8" s="737" t="b">
        <v>0</v>
      </c>
      <c r="J8" s="400" t="s">
        <v>340</v>
      </c>
      <c r="K8" s="708"/>
      <c r="L8" s="708"/>
      <c r="M8" s="708"/>
      <c r="N8" s="708"/>
      <c r="O8" s="708"/>
      <c r="T8" s="2949" t="s">
        <v>100</v>
      </c>
      <c r="U8" s="2950"/>
      <c r="V8" s="2950"/>
      <c r="W8" s="2950"/>
      <c r="X8" s="2950"/>
      <c r="Y8" s="2950"/>
      <c r="Z8" s="2950"/>
      <c r="AA8" s="2950"/>
      <c r="AB8" s="2950"/>
      <c r="AC8" s="2950"/>
      <c r="AD8" s="2951"/>
      <c r="AE8" s="2928" t="s">
        <v>353</v>
      </c>
      <c r="AF8" s="2929"/>
      <c r="AG8" s="2930"/>
      <c r="AL8" s="400" t="s">
        <v>382</v>
      </c>
      <c r="AM8" s="697"/>
      <c r="AN8" s="402"/>
      <c r="AO8" s="707"/>
      <c r="AP8" s="707"/>
      <c r="AQ8" s="707"/>
      <c r="AR8" s="707"/>
      <c r="AS8" s="707"/>
      <c r="AU8" s="707"/>
      <c r="AV8" s="707"/>
      <c r="AW8" s="707"/>
      <c r="AX8" s="707"/>
      <c r="AY8" s="469"/>
    </row>
    <row r="9" spans="2:51" s="400" customFormat="1" ht="19.5" customHeight="1" thickBot="1" x14ac:dyDescent="0.4">
      <c r="B9" s="699"/>
      <c r="C9" s="400" t="s">
        <v>342</v>
      </c>
      <c r="D9" s="709"/>
      <c r="E9" s="709"/>
      <c r="F9" s="700"/>
      <c r="G9" s="700"/>
      <c r="H9" s="697"/>
      <c r="I9" s="441" t="b">
        <v>1</v>
      </c>
      <c r="J9" s="400" t="s">
        <v>65</v>
      </c>
      <c r="K9" s="700"/>
      <c r="M9" s="441"/>
      <c r="N9" s="400" t="s">
        <v>11</v>
      </c>
      <c r="T9" s="2952"/>
      <c r="U9" s="2953"/>
      <c r="V9" s="2953"/>
      <c r="W9" s="2953"/>
      <c r="X9" s="2953"/>
      <c r="Y9" s="2953"/>
      <c r="Z9" s="2953"/>
      <c r="AA9" s="2953"/>
      <c r="AB9" s="2953"/>
      <c r="AC9" s="2953"/>
      <c r="AD9" s="2954"/>
      <c r="AE9" s="2931"/>
      <c r="AF9" s="2932"/>
      <c r="AG9" s="2933"/>
      <c r="AL9" s="80"/>
      <c r="AM9" s="441" t="b">
        <v>0</v>
      </c>
      <c r="AN9" s="400" t="s">
        <v>65</v>
      </c>
      <c r="AO9" s="709"/>
      <c r="AQ9" s="441"/>
      <c r="AR9" s="400" t="s">
        <v>11</v>
      </c>
      <c r="AS9" s="707"/>
      <c r="AU9" s="707"/>
      <c r="AV9" s="707"/>
      <c r="AW9" s="707"/>
      <c r="AX9" s="707"/>
      <c r="AY9" s="469"/>
    </row>
    <row r="10" spans="2:51" s="400" customFormat="1" ht="19.5" customHeight="1" thickTop="1" x14ac:dyDescent="0.35">
      <c r="B10" s="699"/>
      <c r="D10" s="712" t="s">
        <v>1124</v>
      </c>
      <c r="E10" s="709"/>
      <c r="F10" s="700"/>
      <c r="G10" s="700"/>
      <c r="H10" s="700"/>
      <c r="I10" s="700"/>
      <c r="J10" s="700"/>
      <c r="K10" s="700"/>
      <c r="L10" s="700"/>
      <c r="M10" s="700"/>
      <c r="N10" s="700"/>
      <c r="T10" s="738" t="b">
        <v>0</v>
      </c>
      <c r="U10" s="714" t="s">
        <v>348</v>
      </c>
      <c r="V10" s="715"/>
      <c r="W10" s="716"/>
      <c r="X10" s="716"/>
      <c r="Y10" s="716"/>
      <c r="Z10" s="716"/>
      <c r="AA10" s="716"/>
      <c r="AB10" s="717"/>
      <c r="AC10" s="716"/>
      <c r="AD10" s="718"/>
      <c r="AE10" s="2958"/>
      <c r="AF10" s="2959"/>
      <c r="AG10" s="2960"/>
      <c r="AH10" s="1408" t="str">
        <f>IF(AND(schsite_mode_donation=FALSE,schsite_modeyr_donation&gt;0),"Please check Donation if you have an entry.",IF(AND(schsite_mode_donation=TRUE,ISBLANK(schsite_modeyr_donation)),"Please specify Year acquired.",""))</f>
        <v/>
      </c>
      <c r="AY10" s="469"/>
    </row>
    <row r="11" spans="2:51" s="400" customFormat="1" ht="19.5" customHeight="1" x14ac:dyDescent="0.35">
      <c r="B11" s="699"/>
      <c r="C11" s="700"/>
      <c r="E11" s="441" t="b">
        <v>1</v>
      </c>
      <c r="F11" s="402" t="s">
        <v>370</v>
      </c>
      <c r="G11" s="700"/>
      <c r="H11" s="700"/>
      <c r="I11" s="700"/>
      <c r="J11" s="700"/>
      <c r="K11" s="700"/>
      <c r="L11" s="700"/>
      <c r="M11" s="700"/>
      <c r="N11" s="700"/>
      <c r="T11" s="739" t="b">
        <v>1</v>
      </c>
      <c r="U11" s="719" t="s">
        <v>349</v>
      </c>
      <c r="V11" s="720"/>
      <c r="W11" s="721"/>
      <c r="X11" s="721"/>
      <c r="Y11" s="721"/>
      <c r="Z11" s="721"/>
      <c r="AA11" s="721"/>
      <c r="AB11" s="721"/>
      <c r="AC11" s="721"/>
      <c r="AD11" s="722"/>
      <c r="AE11" s="2945">
        <v>1993</v>
      </c>
      <c r="AF11" s="2946"/>
      <c r="AG11" s="2947"/>
      <c r="AH11" s="2925" t="str">
        <f>IF(AND(schsite_mode_purchase=FALSE,schsite_modeyr_purchase&gt;0),"Please check Purchase if you have an entry.",IF(AND(schsite_mode_purchase=TRUE,ISBLANK(schsite_modeyr_purchase)),"Please specify Year acquired.",""))</f>
        <v/>
      </c>
      <c r="AI11" s="2926"/>
      <c r="AJ11" s="2926"/>
      <c r="AK11" s="400" t="s">
        <v>366</v>
      </c>
      <c r="AN11" s="72"/>
      <c r="AO11" s="158"/>
      <c r="AP11" s="158"/>
      <c r="AQ11" s="158"/>
      <c r="AR11" s="158"/>
      <c r="AS11" s="158"/>
      <c r="AU11" s="158"/>
      <c r="AV11" s="158"/>
      <c r="AW11" s="158"/>
      <c r="AX11" s="158"/>
      <c r="AY11" s="698"/>
    </row>
    <row r="12" spans="2:51" s="400" customFormat="1" ht="19.5" customHeight="1" x14ac:dyDescent="0.35">
      <c r="B12" s="699"/>
      <c r="C12" s="700"/>
      <c r="E12" s="441" t="b">
        <v>0</v>
      </c>
      <c r="F12" s="402" t="s">
        <v>371</v>
      </c>
      <c r="G12" s="700"/>
      <c r="H12" s="700"/>
      <c r="I12" s="700"/>
      <c r="J12" s="700"/>
      <c r="K12" s="700"/>
      <c r="L12" s="700"/>
      <c r="M12" s="700"/>
      <c r="N12" s="700"/>
      <c r="T12" s="739" t="b">
        <v>0</v>
      </c>
      <c r="U12" s="719" t="s">
        <v>350</v>
      </c>
      <c r="V12" s="723"/>
      <c r="W12" s="723"/>
      <c r="X12" s="723"/>
      <c r="Y12" s="723"/>
      <c r="Z12" s="723"/>
      <c r="AA12" s="723"/>
      <c r="AB12" s="723"/>
      <c r="AC12" s="723"/>
      <c r="AD12" s="724"/>
      <c r="AE12" s="2961"/>
      <c r="AF12" s="2962"/>
      <c r="AG12" s="2963"/>
      <c r="AH12" s="2925" t="str">
        <f>IF(AND(schsite_mode_usufruct_agree=FALSE,schsite_modeyr_usufruct_agree&gt;0),"Please check Usufruct Agreement if you have an entry.",IF(AND(schsite_mode_usufruct_agree=TRUE,ISBLANK(schsite_modeyr_usufruct_agree)),"Please specify Year acquired.",""))</f>
        <v/>
      </c>
      <c r="AI12" s="2926"/>
      <c r="AJ12" s="2926"/>
      <c r="AK12" s="2926"/>
      <c r="AL12" s="400" t="s">
        <v>354</v>
      </c>
      <c r="AN12" s="72"/>
      <c r="AO12" s="158"/>
      <c r="AY12" s="698"/>
    </row>
    <row r="13" spans="2:51" s="400" customFormat="1" ht="19.5" customHeight="1" x14ac:dyDescent="0.35">
      <c r="B13" s="699"/>
      <c r="C13" s="700"/>
      <c r="E13" s="441" t="b">
        <v>0</v>
      </c>
      <c r="F13" s="402" t="s">
        <v>365</v>
      </c>
      <c r="G13" s="700"/>
      <c r="H13" s="700"/>
      <c r="I13" s="700"/>
      <c r="J13" s="700"/>
      <c r="K13" s="700"/>
      <c r="L13" s="700"/>
      <c r="M13" s="700"/>
      <c r="N13" s="700"/>
      <c r="T13" s="739" t="b">
        <v>0</v>
      </c>
      <c r="U13" s="719" t="s">
        <v>351</v>
      </c>
      <c r="V13" s="723"/>
      <c r="W13" s="723"/>
      <c r="X13" s="723"/>
      <c r="Y13" s="723"/>
      <c r="Z13" s="723"/>
      <c r="AA13" s="723"/>
      <c r="AB13" s="723"/>
      <c r="AC13" s="723"/>
      <c r="AD13" s="724"/>
      <c r="AE13" s="2961"/>
      <c r="AF13" s="2962"/>
      <c r="AG13" s="2963"/>
      <c r="AH13" s="2925" t="str">
        <f>IF(AND(schsite_mode_expropriation=FALSE,schsite_modeyr_expropriation&gt;0),"Please check Expropriation if you have an entry.",IF(AND(schsite_mode_expropriation=TRUE,ISBLANK(schsite_modeyr_expropriation)),"Please specify Year acquired.",""))</f>
        <v/>
      </c>
      <c r="AI13" s="2926"/>
      <c r="AJ13" s="2926"/>
      <c r="AK13" s="2926"/>
      <c r="AL13" s="2926"/>
      <c r="AM13" s="441" t="b">
        <v>0</v>
      </c>
      <c r="AN13" s="400" t="s">
        <v>65</v>
      </c>
      <c r="AO13" s="709"/>
      <c r="AQ13" s="441"/>
      <c r="AR13" s="400" t="s">
        <v>11</v>
      </c>
      <c r="AS13" s="707"/>
      <c r="AU13" s="709"/>
      <c r="AV13" s="158"/>
      <c r="AW13" s="158"/>
      <c r="AX13" s="158"/>
      <c r="AY13" s="698"/>
    </row>
    <row r="14" spans="2:51" s="400" customFormat="1" ht="19.5" customHeight="1" x14ac:dyDescent="0.35">
      <c r="B14" s="699"/>
      <c r="C14" s="700"/>
      <c r="E14" s="441" t="b">
        <v>0</v>
      </c>
      <c r="F14" s="402" t="s">
        <v>343</v>
      </c>
      <c r="G14" s="700"/>
      <c r="H14" s="700"/>
      <c r="I14" s="700"/>
      <c r="J14" s="700"/>
      <c r="K14" s="700"/>
      <c r="L14" s="700"/>
      <c r="M14" s="700"/>
      <c r="N14" s="700"/>
      <c r="T14" s="739" t="b">
        <v>1</v>
      </c>
      <c r="U14" s="719" t="s">
        <v>352</v>
      </c>
      <c r="V14" s="721"/>
      <c r="W14" s="721"/>
      <c r="X14" s="721"/>
      <c r="Y14" s="721"/>
      <c r="Z14" s="721"/>
      <c r="AA14" s="721"/>
      <c r="AB14" s="721"/>
      <c r="AC14" s="721"/>
      <c r="AD14" s="722"/>
      <c r="AE14" s="2945">
        <v>1991</v>
      </c>
      <c r="AF14" s="2946"/>
      <c r="AG14" s="2947"/>
      <c r="AH14" s="2925" t="str">
        <f>IF(AND(schsite_mode_exchange_swapping=FALSE,schsite_modeyr_exchange_swapping&gt;0),"Please check Deed of Exchange if you have an entry.",IF(AND(schsite_mode_exchange_swapping=TRUE,ISBLANK(schsite_modeyr_exchange_swapping)),"Please specify Year acquired.",""))</f>
        <v/>
      </c>
      <c r="AI14" s="2926"/>
      <c r="AJ14" s="2926"/>
      <c r="AK14" s="2926"/>
      <c r="AL14" s="400" t="s">
        <v>383</v>
      </c>
      <c r="AM14" s="697"/>
      <c r="AN14" s="402"/>
      <c r="AO14" s="707"/>
      <c r="AP14" s="707"/>
      <c r="AQ14" s="707"/>
      <c r="AR14" s="707"/>
      <c r="AS14" s="707"/>
      <c r="AU14" s="707"/>
      <c r="AV14" s="707"/>
      <c r="AW14" s="707"/>
      <c r="AX14" s="707"/>
      <c r="AY14" s="698"/>
    </row>
    <row r="15" spans="2:51" s="400" customFormat="1" ht="19.5" customHeight="1" x14ac:dyDescent="0.35">
      <c r="B15" s="699"/>
      <c r="C15" s="700"/>
      <c r="E15" s="441" t="b">
        <v>0</v>
      </c>
      <c r="F15" s="402" t="s">
        <v>344</v>
      </c>
      <c r="G15" s="700"/>
      <c r="H15" s="700"/>
      <c r="I15" s="700"/>
      <c r="J15" s="700"/>
      <c r="K15" s="700"/>
      <c r="L15" s="700"/>
      <c r="M15" s="700"/>
      <c r="N15" s="700"/>
      <c r="T15" s="739" t="b">
        <v>0</v>
      </c>
      <c r="U15" s="719" t="s">
        <v>344</v>
      </c>
      <c r="V15" s="721"/>
      <c r="W15" s="721"/>
      <c r="X15" s="721"/>
      <c r="Y15" s="721"/>
      <c r="Z15" s="721"/>
      <c r="AA15" s="721"/>
      <c r="AB15" s="721"/>
      <c r="AC15" s="721"/>
      <c r="AD15" s="722"/>
      <c r="AE15" s="2945"/>
      <c r="AF15" s="2946"/>
      <c r="AG15" s="2947"/>
      <c r="AH15" s="2925" t="str">
        <f>IF(AND(schsite_mode_pres_proc=FALSE,schsite_modeyr_pres_proc&gt;0),"Please check Presidential Proclamation if you have an entry.",IF(AND(schsite_mode_pres_proc=TRUE,ISBLANK(schsite_modeyr_pres_proc)),"Please specify Year acquired.",""))</f>
        <v/>
      </c>
      <c r="AI15" s="2926"/>
      <c r="AJ15" s="2926"/>
      <c r="AK15" s="2926"/>
      <c r="AL15" s="2926"/>
      <c r="AM15" s="441" t="b">
        <v>0</v>
      </c>
      <c r="AN15" s="400" t="s">
        <v>65</v>
      </c>
      <c r="AO15" s="709"/>
      <c r="AQ15" s="441"/>
      <c r="AR15" s="400" t="s">
        <v>11</v>
      </c>
      <c r="AS15" s="707"/>
      <c r="AU15" s="707"/>
      <c r="AV15" s="707"/>
      <c r="AW15" s="707"/>
      <c r="AX15" s="707"/>
      <c r="AY15" s="698"/>
    </row>
    <row r="16" spans="2:51" s="400" customFormat="1" ht="19.5" customHeight="1" x14ac:dyDescent="0.35">
      <c r="B16" s="699"/>
      <c r="C16" s="700"/>
      <c r="E16" s="441" t="b">
        <v>1</v>
      </c>
      <c r="F16" s="402" t="s">
        <v>101</v>
      </c>
      <c r="G16" s="700"/>
      <c r="H16" s="700"/>
      <c r="I16" s="700"/>
      <c r="J16" s="700"/>
      <c r="K16" s="700"/>
      <c r="L16" s="700"/>
      <c r="M16" s="700"/>
      <c r="N16" s="700"/>
      <c r="T16" s="739" t="b">
        <v>0</v>
      </c>
      <c r="U16" s="719" t="s">
        <v>343</v>
      </c>
      <c r="V16" s="349"/>
      <c r="W16" s="721"/>
      <c r="X16" s="721"/>
      <c r="Y16" s="721"/>
      <c r="Z16" s="721"/>
      <c r="AA16" s="721"/>
      <c r="AB16" s="725"/>
      <c r="AC16" s="721"/>
      <c r="AD16" s="722"/>
      <c r="AE16" s="2945"/>
      <c r="AF16" s="2946"/>
      <c r="AG16" s="2947"/>
      <c r="AH16" s="1409" t="str">
        <f>IF(AND(schsite_mode_spl_patent=FALSE,schsite_modeyr_spl_patent&gt;0),"Please check Special Patent if you have an entry.",IF(AND(schsite_mode_spl_patent=TRUE,ISBLANK(schsite_modeyr_spl_patent)),"Please specify Year acquired.",""))</f>
        <v/>
      </c>
      <c r="AY16" s="698"/>
    </row>
    <row r="17" spans="2:77" s="400" customFormat="1" ht="19.5" customHeight="1" x14ac:dyDescent="0.35">
      <c r="B17" s="699"/>
      <c r="C17" s="700"/>
      <c r="E17" s="441" t="b">
        <v>1</v>
      </c>
      <c r="F17" s="402" t="s">
        <v>102</v>
      </c>
      <c r="G17" s="700"/>
      <c r="H17" s="700"/>
      <c r="I17" s="700"/>
      <c r="J17" s="700"/>
      <c r="K17" s="700"/>
      <c r="L17" s="700"/>
      <c r="M17" s="700"/>
      <c r="N17" s="700"/>
      <c r="T17" s="740" t="b">
        <v>0</v>
      </c>
      <c r="U17" s="2934" t="s">
        <v>369</v>
      </c>
      <c r="V17" s="2934"/>
      <c r="W17" s="2934"/>
      <c r="X17" s="2934"/>
      <c r="Y17" s="2934"/>
      <c r="Z17" s="2934"/>
      <c r="AA17" s="2934"/>
      <c r="AB17" s="2934"/>
      <c r="AC17" s="2934"/>
      <c r="AD17" s="2935"/>
      <c r="AE17" s="2938"/>
      <c r="AF17" s="2939"/>
      <c r="AG17" s="2940"/>
      <c r="AH17" s="2925" t="str">
        <f>IF(AND(schsite_mode_cloa=FALSE,schsite_modeyr_cloa&gt;0),"Please check CLOA if you have an entry.",IF(AND(schsite_mode_cloa=TRUE,ISBLANK(schsite_modeyr_cloa)),"Please specify Year acquired.",""))</f>
        <v/>
      </c>
      <c r="AI17" s="2926"/>
      <c r="AJ17" s="2926"/>
      <c r="AK17" s="400" t="s">
        <v>1126</v>
      </c>
      <c r="AL17" s="707"/>
      <c r="AM17" s="154"/>
      <c r="AP17" s="696"/>
      <c r="AQ17" s="696"/>
      <c r="AR17" s="707"/>
      <c r="AS17" s="707"/>
      <c r="AY17" s="698"/>
    </row>
    <row r="18" spans="2:77" s="400" customFormat="1" ht="19.5" customHeight="1" x14ac:dyDescent="0.35">
      <c r="B18" s="699"/>
      <c r="C18" s="700"/>
      <c r="E18" s="441" t="b">
        <v>0</v>
      </c>
      <c r="F18" s="402" t="s">
        <v>103</v>
      </c>
      <c r="G18" s="700"/>
      <c r="H18" s="700"/>
      <c r="I18" s="700"/>
      <c r="J18" s="700"/>
      <c r="K18" s="700"/>
      <c r="L18" s="700"/>
      <c r="M18" s="700"/>
      <c r="N18" s="700"/>
      <c r="T18" s="713"/>
      <c r="U18" s="2936"/>
      <c r="V18" s="2936"/>
      <c r="W18" s="2936"/>
      <c r="X18" s="2936"/>
      <c r="Y18" s="2936"/>
      <c r="Z18" s="2936"/>
      <c r="AA18" s="2936"/>
      <c r="AB18" s="2936"/>
      <c r="AC18" s="2936"/>
      <c r="AD18" s="2937"/>
      <c r="AE18" s="2955"/>
      <c r="AF18" s="2956"/>
      <c r="AG18" s="2957"/>
      <c r="AH18" s="2925"/>
      <c r="AI18" s="2926"/>
      <c r="AJ18" s="2926"/>
      <c r="AL18" s="696"/>
      <c r="AM18" s="441" t="b">
        <v>1</v>
      </c>
      <c r="AN18" s="402" t="s">
        <v>356</v>
      </c>
      <c r="AY18" s="698"/>
    </row>
    <row r="19" spans="2:77" s="400" customFormat="1" ht="19.5" customHeight="1" x14ac:dyDescent="0.35">
      <c r="B19" s="699"/>
      <c r="C19" s="700"/>
      <c r="E19" s="441" t="b">
        <v>0</v>
      </c>
      <c r="F19" s="402" t="s">
        <v>345</v>
      </c>
      <c r="G19" s="700"/>
      <c r="H19" s="700"/>
      <c r="I19" s="700"/>
      <c r="J19" s="700"/>
      <c r="K19" s="700"/>
      <c r="L19" s="700"/>
      <c r="M19" s="700"/>
      <c r="N19" s="700"/>
      <c r="T19" s="739" t="b">
        <v>0</v>
      </c>
      <c r="U19" s="719" t="s">
        <v>346</v>
      </c>
      <c r="V19" s="349"/>
      <c r="W19" s="721"/>
      <c r="X19" s="721"/>
      <c r="Y19" s="721"/>
      <c r="Z19" s="721"/>
      <c r="AA19" s="721"/>
      <c r="AB19" s="725"/>
      <c r="AC19" s="721"/>
      <c r="AD19" s="722"/>
      <c r="AE19" s="2945"/>
      <c r="AF19" s="2946"/>
      <c r="AG19" s="2947"/>
      <c r="AH19" s="2925" t="str">
        <f>IF(AND(schsite_mode_slup=FALSE,schsite_modeyr_slup&gt;0),"Please check SLUP if you have an entry.",IF(AND(schsite_mode_slup=TRUE,ISBLANK(schsite_modeyr_slup)),"Please specify Year acquired.",""))</f>
        <v/>
      </c>
      <c r="AI19" s="2926"/>
      <c r="AJ19" s="2926"/>
      <c r="AK19" s="2926"/>
      <c r="AL19" s="2926"/>
      <c r="AM19" s="441" t="b">
        <v>0</v>
      </c>
      <c r="AN19" s="402" t="s">
        <v>105</v>
      </c>
      <c r="AO19" s="402"/>
      <c r="AY19" s="698"/>
    </row>
    <row r="20" spans="2:77" s="400" customFormat="1" ht="19.5" customHeight="1" x14ac:dyDescent="0.35">
      <c r="B20" s="699"/>
      <c r="C20" s="700"/>
      <c r="E20" s="441" t="b">
        <v>0</v>
      </c>
      <c r="F20" s="402" t="s">
        <v>346</v>
      </c>
      <c r="G20" s="700"/>
      <c r="H20" s="700"/>
      <c r="I20" s="700"/>
      <c r="J20" s="700"/>
      <c r="K20" s="700"/>
      <c r="L20" s="700"/>
      <c r="M20" s="700"/>
      <c r="N20" s="700"/>
      <c r="T20" s="741" t="b">
        <v>0</v>
      </c>
      <c r="U20" s="726" t="s">
        <v>1093</v>
      </c>
      <c r="V20" s="727"/>
      <c r="W20" s="727"/>
      <c r="X20" s="727"/>
      <c r="Y20" s="727"/>
      <c r="Z20" s="727"/>
      <c r="AA20" s="727"/>
      <c r="AB20" s="727"/>
      <c r="AC20" s="727"/>
      <c r="AD20" s="728"/>
      <c r="AE20" s="2938"/>
      <c r="AF20" s="2939"/>
      <c r="AG20" s="2940"/>
      <c r="AL20" s="696"/>
      <c r="AM20" s="441" t="b">
        <v>0</v>
      </c>
      <c r="AN20" s="402" t="s">
        <v>357</v>
      </c>
      <c r="AO20" s="402"/>
      <c r="AP20" s="705"/>
      <c r="AY20" s="698"/>
    </row>
    <row r="21" spans="2:77" s="400" customFormat="1" ht="19.5" customHeight="1" x14ac:dyDescent="0.35">
      <c r="B21" s="699"/>
      <c r="E21" s="680" t="b">
        <v>0</v>
      </c>
      <c r="F21" s="402" t="s">
        <v>104</v>
      </c>
      <c r="T21" s="711"/>
      <c r="U21" s="2944"/>
      <c r="V21" s="2944"/>
      <c r="W21" s="2944"/>
      <c r="X21" s="2944"/>
      <c r="Y21" s="2944"/>
      <c r="Z21" s="2944"/>
      <c r="AA21" s="2944"/>
      <c r="AB21" s="2944"/>
      <c r="AC21" s="2944"/>
      <c r="AD21" s="710"/>
      <c r="AE21" s="2941"/>
      <c r="AF21" s="2942"/>
      <c r="AG21" s="2943"/>
      <c r="AM21" s="441" t="b">
        <v>0</v>
      </c>
      <c r="AN21" s="402" t="s">
        <v>1093</v>
      </c>
      <c r="AO21" s="425"/>
      <c r="AP21" s="402"/>
      <c r="AQ21" s="399"/>
      <c r="AR21" s="2944"/>
      <c r="AS21" s="2944"/>
      <c r="AT21" s="2944"/>
      <c r="AU21" s="2944"/>
      <c r="AV21" s="2944"/>
      <c r="AW21" s="695"/>
      <c r="AX21" s="399"/>
      <c r="AY21" s="698"/>
    </row>
    <row r="22" spans="2:77" s="400" customFormat="1" ht="3" customHeight="1" thickBot="1" x14ac:dyDescent="0.4">
      <c r="B22" s="699"/>
      <c r="C22" s="700"/>
      <c r="E22" s="441"/>
      <c r="F22" s="402"/>
      <c r="G22" s="700"/>
      <c r="H22" s="700"/>
      <c r="I22" s="700"/>
      <c r="J22" s="700"/>
      <c r="K22" s="700"/>
      <c r="L22" s="700"/>
      <c r="M22" s="700"/>
      <c r="N22" s="700"/>
      <c r="T22" s="701"/>
      <c r="U22" s="493"/>
      <c r="V22" s="493"/>
      <c r="W22" s="493"/>
      <c r="X22" s="493"/>
      <c r="Y22" s="493"/>
      <c r="Z22" s="493"/>
      <c r="AA22" s="493"/>
      <c r="AB22" s="493"/>
      <c r="AC22" s="493"/>
      <c r="AD22" s="702"/>
      <c r="AE22" s="703"/>
      <c r="AF22" s="703"/>
      <c r="AG22" s="704"/>
      <c r="AM22" s="697"/>
      <c r="AN22" s="402"/>
      <c r="AO22" s="402"/>
      <c r="AQ22" s="705"/>
      <c r="AR22" s="705"/>
      <c r="AS22" s="706"/>
      <c r="AT22" s="706"/>
      <c r="AU22" s="706"/>
      <c r="AV22" s="706"/>
      <c r="AW22" s="706"/>
      <c r="AX22" s="706"/>
      <c r="AY22" s="698"/>
    </row>
    <row r="23" spans="2:77" s="400" customFormat="1" ht="19.5" customHeight="1" thickTop="1" x14ac:dyDescent="0.35">
      <c r="B23" s="699"/>
      <c r="C23" s="700"/>
      <c r="E23" s="441" t="b">
        <v>0</v>
      </c>
      <c r="F23" s="402" t="s">
        <v>423</v>
      </c>
      <c r="G23" s="700"/>
      <c r="H23" s="700"/>
      <c r="I23" s="700"/>
      <c r="J23" s="700"/>
      <c r="K23" s="700"/>
      <c r="L23" s="700"/>
      <c r="M23" s="700"/>
      <c r="N23" s="700"/>
      <c r="U23" s="742" t="str">
        <f>IF(AND(schsite_mode_others=TRUE,ISBLANK(schsite_mode_others_specify)),"Please specify.",IF(AND(schsite_mode_others=TRUE,ISBLANK(schsite_mode_others_specify&gt;0)),"",IF(AND(schsite_mode_others=FALSE,ISBLANK(schsite_mode_others_specify),schsite_modeyr_others&gt;0),"Please specify.",IF(AND(schsite_mode_others=TRUE,ISBLANK(schsite_mode_others_specify)),"Please specify.",IF(AND(schsite_mode_others=TRUE,ISBLANK(schsite_mode_others_specify&gt;0)),"",IF(AND(schsite_mode_others=FALSE,ISBLANK(schsite_mode_others_specify),schsite_modeyr_others&gt;0),"Please specify.",IF(AND(schsite_mode_others=TRUE,schsite_mode_others_specify&gt;0,ISBLANK(schsite_modeyr_others)),"Please specify Year acquired.",IF(AND(schsite_mode_others=FALSE,schsite_mode_others_specify&gt;0,schsite_modeyr_others&gt;0),"Please check Others if you have entries.",IF(AND(schsite_mode_others=FALSE,schsite_mode_others_specify&gt;0,ISBLANK(schsite_modeyr_others)),"Please check Others if you have entries and specify Year acquired.","")))))))))</f>
        <v/>
      </c>
      <c r="AR23" s="743" t="str">
        <f>IF(AND(schsite_leg_own_others=TRUE,ISBLANK(schsite_leg_own_others_specify)),"Please specify.",IF(AND(schsite_leg_own_others=FALSE,(schsite_leg_own_others_specify&gt;0)),"Please check Others if you have entries.",""))</f>
        <v/>
      </c>
      <c r="AY23" s="698"/>
    </row>
    <row r="24" spans="2:77" s="399" customFormat="1" ht="19.5" customHeight="1" x14ac:dyDescent="0.3">
      <c r="B24" s="699"/>
      <c r="C24" s="400"/>
      <c r="D24" s="400"/>
      <c r="E24" s="441" t="b">
        <v>0</v>
      </c>
      <c r="F24" s="402" t="s">
        <v>347</v>
      </c>
      <c r="G24" s="400"/>
      <c r="H24" s="400"/>
      <c r="I24" s="400"/>
      <c r="J24" s="400"/>
      <c r="K24" s="400"/>
      <c r="L24" s="400"/>
      <c r="M24" s="400"/>
      <c r="N24" s="400"/>
      <c r="O24" s="400"/>
      <c r="R24" s="400"/>
      <c r="S24" s="400"/>
      <c r="T24" s="400"/>
      <c r="U24" s="400"/>
      <c r="V24" s="400"/>
      <c r="W24" s="400"/>
      <c r="X24" s="400"/>
      <c r="Y24" s="400"/>
      <c r="Z24" s="400"/>
      <c r="AA24" s="400"/>
      <c r="AB24" s="400"/>
      <c r="AC24" s="400"/>
      <c r="AD24" s="400"/>
      <c r="AE24" s="400"/>
      <c r="AF24" s="400"/>
      <c r="AG24" s="400"/>
      <c r="AH24" s="400"/>
      <c r="AI24" s="400"/>
      <c r="AJ24" s="400"/>
      <c r="AK24" s="400" t="s">
        <v>1127</v>
      </c>
      <c r="AL24" s="707"/>
      <c r="AM24" s="154"/>
      <c r="AN24" s="400"/>
      <c r="AO24" s="402"/>
      <c r="AP24" s="400"/>
      <c r="AQ24" s="400"/>
      <c r="AR24" s="400"/>
      <c r="AS24" s="400"/>
      <c r="AT24" s="400"/>
      <c r="AU24" s="400"/>
      <c r="AV24" s="400"/>
      <c r="AW24" s="400"/>
      <c r="AX24" s="400"/>
      <c r="AY24" s="698"/>
    </row>
    <row r="25" spans="2:77" s="399" customFormat="1" ht="19.5" customHeight="1" x14ac:dyDescent="0.3">
      <c r="B25" s="699"/>
      <c r="E25" s="441" t="b">
        <v>0</v>
      </c>
      <c r="F25" s="476" t="s">
        <v>1505</v>
      </c>
      <c r="R25" s="400"/>
      <c r="S25" s="400"/>
      <c r="T25" s="400"/>
      <c r="U25" s="400"/>
      <c r="V25" s="400"/>
      <c r="W25" s="400"/>
      <c r="X25" s="400"/>
      <c r="Y25" s="400"/>
      <c r="Z25" s="400"/>
      <c r="AA25" s="400"/>
      <c r="AB25" s="400"/>
      <c r="AC25" s="400"/>
      <c r="AD25" s="400"/>
      <c r="AE25" s="400"/>
      <c r="AF25" s="400"/>
      <c r="AG25" s="400"/>
      <c r="AH25" s="400"/>
      <c r="AI25" s="400"/>
      <c r="AJ25" s="400"/>
      <c r="AK25" s="400"/>
      <c r="AL25" s="696"/>
      <c r="AM25" s="441" t="b">
        <v>0</v>
      </c>
      <c r="AN25" s="402" t="s">
        <v>367</v>
      </c>
      <c r="AO25" s="402"/>
      <c r="AP25" s="400"/>
      <c r="AQ25" s="400"/>
      <c r="AR25" s="400"/>
      <c r="AS25" s="400"/>
      <c r="AT25" s="400"/>
      <c r="AU25" s="400"/>
      <c r="AV25" s="400"/>
      <c r="AW25" s="400"/>
      <c r="AX25" s="400"/>
      <c r="AY25" s="698"/>
    </row>
    <row r="26" spans="2:77" s="399" customFormat="1" ht="19.5" customHeight="1" x14ac:dyDescent="0.3">
      <c r="B26" s="699"/>
      <c r="E26" s="441" t="b">
        <v>0</v>
      </c>
      <c r="F26" s="402" t="s">
        <v>1093</v>
      </c>
      <c r="G26" s="425"/>
      <c r="H26" s="402"/>
      <c r="J26" s="2944"/>
      <c r="K26" s="2944"/>
      <c r="L26" s="2944"/>
      <c r="M26" s="2944"/>
      <c r="N26" s="2944"/>
      <c r="O26" s="230" t="str">
        <f>IF(AND(schsite_ownership_wdocu_yes_others=TRUE,ISBLANK(schsite_ownership_wdocu_others_specify)),"Please specify.",IF(AND(schsite_ownership_wdocu_yes_others=FALSE,(schsite_ownership_wdocu_others_specify&gt;0)),"Please check Others if you have entries.",""))</f>
        <v/>
      </c>
      <c r="R26" s="400"/>
      <c r="S26" s="400"/>
      <c r="T26" s="400"/>
      <c r="U26" s="400"/>
      <c r="V26" s="400"/>
      <c r="W26" s="400"/>
      <c r="X26" s="400"/>
      <c r="Y26" s="400"/>
      <c r="Z26" s="400"/>
      <c r="AA26" s="400"/>
      <c r="AB26" s="400"/>
      <c r="AC26" s="400"/>
      <c r="AD26" s="400"/>
      <c r="AE26" s="400"/>
      <c r="AF26" s="400"/>
      <c r="AG26" s="400"/>
      <c r="AH26" s="400"/>
      <c r="AI26" s="400"/>
      <c r="AJ26" s="400"/>
      <c r="AK26" s="400"/>
      <c r="AL26" s="696"/>
      <c r="AM26" s="441" t="b">
        <v>0</v>
      </c>
      <c r="AN26" s="402" t="s">
        <v>368</v>
      </c>
      <c r="AO26" s="402"/>
      <c r="AP26" s="400"/>
      <c r="AQ26" s="400"/>
      <c r="AR26" s="400"/>
      <c r="AS26" s="400"/>
      <c r="AT26" s="400"/>
      <c r="AU26" s="400"/>
      <c r="AV26" s="400"/>
      <c r="AW26" s="400"/>
      <c r="AX26" s="400"/>
      <c r="AY26" s="698"/>
    </row>
    <row r="27" spans="2:77" s="399" customFormat="1" ht="10" customHeight="1" thickBot="1" x14ac:dyDescent="0.35">
      <c r="B27" s="682"/>
      <c r="C27" s="683"/>
      <c r="D27" s="683"/>
      <c r="E27" s="683"/>
      <c r="F27" s="683"/>
      <c r="G27" s="683"/>
      <c r="H27" s="683"/>
      <c r="I27" s="683"/>
      <c r="J27" s="683"/>
      <c r="K27" s="683"/>
      <c r="L27" s="683"/>
      <c r="M27" s="683"/>
      <c r="N27" s="683"/>
      <c r="O27" s="683"/>
      <c r="P27" s="683"/>
      <c r="Q27" s="683"/>
      <c r="R27" s="683"/>
      <c r="S27" s="683"/>
      <c r="T27" s="683"/>
      <c r="U27" s="683"/>
      <c r="V27" s="683"/>
      <c r="W27" s="683"/>
      <c r="X27" s="683"/>
      <c r="Y27" s="683"/>
      <c r="Z27" s="683"/>
      <c r="AA27" s="683"/>
      <c r="AB27" s="683"/>
      <c r="AC27" s="683"/>
      <c r="AD27" s="683"/>
      <c r="AE27" s="683"/>
      <c r="AF27" s="683"/>
      <c r="AG27" s="683"/>
      <c r="AH27" s="683"/>
      <c r="AI27" s="683"/>
      <c r="AJ27" s="683"/>
      <c r="AK27" s="683"/>
      <c r="AL27" s="683"/>
      <c r="AM27" s="683"/>
      <c r="AN27" s="619"/>
      <c r="AO27" s="619"/>
      <c r="AP27" s="619"/>
      <c r="AQ27" s="619"/>
      <c r="AR27" s="619"/>
      <c r="AS27" s="619"/>
      <c r="AT27" s="619"/>
      <c r="AU27" s="619"/>
      <c r="AV27" s="619"/>
      <c r="AW27" s="684"/>
      <c r="AX27" s="684"/>
      <c r="AY27" s="574"/>
    </row>
    <row r="28" spans="2:77" s="399" customFormat="1" ht="9" customHeight="1" thickTop="1" x14ac:dyDescent="0.3">
      <c r="B28" s="97"/>
      <c r="C28" s="685"/>
      <c r="D28" s="686"/>
      <c r="E28" s="686"/>
      <c r="F28" s="686"/>
      <c r="G28" s="686"/>
      <c r="H28" s="686"/>
      <c r="I28" s="686"/>
      <c r="J28" s="686"/>
      <c r="K28" s="686"/>
      <c r="L28" s="686"/>
      <c r="M28" s="97"/>
      <c r="N28" s="97"/>
      <c r="O28" s="97"/>
      <c r="P28" s="97"/>
      <c r="Q28" s="97"/>
      <c r="R28" s="97"/>
      <c r="S28" s="97"/>
      <c r="T28" s="97"/>
      <c r="U28" s="97"/>
      <c r="V28" s="97"/>
      <c r="W28" s="97"/>
      <c r="X28" s="97"/>
      <c r="Y28" s="97"/>
      <c r="Z28" s="97"/>
      <c r="AA28" s="97"/>
      <c r="AB28" s="97"/>
      <c r="AC28" s="97"/>
      <c r="AD28" s="97"/>
      <c r="AE28" s="97"/>
      <c r="AF28" s="97"/>
      <c r="AG28" s="97"/>
      <c r="AH28" s="97"/>
      <c r="AI28" s="97"/>
      <c r="AJ28" s="402"/>
      <c r="AK28" s="97"/>
      <c r="AL28" s="97"/>
      <c r="AM28" s="97"/>
      <c r="AN28" s="97"/>
      <c r="AO28" s="97"/>
      <c r="AP28" s="97"/>
      <c r="AQ28" s="97"/>
      <c r="AR28" s="97"/>
      <c r="AS28" s="97"/>
      <c r="AT28" s="97"/>
      <c r="AU28" s="97"/>
      <c r="AV28" s="97"/>
      <c r="AW28" s="97"/>
      <c r="AX28" s="97"/>
      <c r="AY28" s="97"/>
    </row>
    <row r="29" spans="2:77" s="399" customFormat="1" ht="14" x14ac:dyDescent="0.3">
      <c r="B29" s="232" t="s">
        <v>150</v>
      </c>
      <c r="C29" s="2927" t="s">
        <v>466</v>
      </c>
      <c r="D29" s="2927"/>
      <c r="E29" s="2927"/>
      <c r="F29" s="2927"/>
      <c r="G29" s="2927"/>
      <c r="H29" s="2927"/>
      <c r="I29" s="2927"/>
      <c r="J29" s="2927"/>
      <c r="K29" s="2927"/>
      <c r="L29" s="2927"/>
      <c r="M29" s="2927"/>
      <c r="N29" s="2927"/>
      <c r="O29" s="2927"/>
      <c r="P29" s="2927"/>
      <c r="Q29" s="2927"/>
      <c r="R29" s="2927"/>
      <c r="S29" s="2927"/>
      <c r="T29" s="2927"/>
      <c r="U29" s="2927"/>
      <c r="V29" s="2927"/>
      <c r="W29" s="2927"/>
      <c r="X29" s="2927"/>
      <c r="Y29" s="2927"/>
      <c r="Z29" s="2927"/>
      <c r="AA29" s="2927"/>
      <c r="AB29" s="2927"/>
      <c r="AC29" s="2927"/>
      <c r="AD29" s="2927"/>
      <c r="AE29" s="2927"/>
      <c r="AF29" s="2927"/>
      <c r="AG29" s="2927"/>
      <c r="AH29" s="2927"/>
      <c r="AI29" s="2927"/>
      <c r="AJ29" s="2927"/>
      <c r="AK29" s="2927"/>
      <c r="AL29" s="2927"/>
      <c r="AM29" s="2927"/>
      <c r="AN29" s="2927"/>
      <c r="AO29" s="2927"/>
      <c r="AP29" s="2927"/>
      <c r="AQ29" s="2927"/>
      <c r="AR29" s="2927"/>
      <c r="AS29" s="2927"/>
      <c r="AT29" s="2927"/>
      <c r="AU29" s="2927"/>
      <c r="AV29" s="2927"/>
      <c r="AW29" s="2927"/>
      <c r="AX29" s="2927"/>
      <c r="AY29" s="2927"/>
    </row>
    <row r="30" spans="2:77" s="97" customFormat="1" x14ac:dyDescent="0.35">
      <c r="B30" s="670"/>
      <c r="C30" s="687" t="s">
        <v>358</v>
      </c>
      <c r="E30" s="688"/>
      <c r="F30" s="688"/>
      <c r="G30" s="688"/>
      <c r="H30" s="688"/>
      <c r="I30" s="688"/>
      <c r="J30" s="688"/>
      <c r="K30" s="688"/>
      <c r="L30" s="688"/>
      <c r="M30" s="688"/>
      <c r="N30" s="688"/>
      <c r="O30" s="688"/>
      <c r="P30" s="688"/>
      <c r="Q30" s="688"/>
      <c r="R30" s="688"/>
      <c r="S30" s="688"/>
      <c r="T30" s="688"/>
      <c r="U30" s="688"/>
      <c r="V30" s="688"/>
      <c r="W30" s="688"/>
      <c r="X30" s="688"/>
      <c r="Y30" s="688"/>
      <c r="Z30" s="688"/>
      <c r="AA30" s="688"/>
      <c r="AB30" s="688"/>
      <c r="AC30" s="688"/>
      <c r="AD30" s="688"/>
      <c r="AE30" s="688"/>
      <c r="AF30" s="688"/>
      <c r="AG30" s="688"/>
      <c r="AH30" s="688"/>
      <c r="AI30" s="688"/>
      <c r="AJ30" s="688"/>
      <c r="AK30" s="688"/>
      <c r="AL30" s="688"/>
      <c r="AM30" s="688"/>
      <c r="AN30" s="688"/>
      <c r="AO30" s="688"/>
      <c r="AP30" s="688"/>
      <c r="AQ30" s="688"/>
      <c r="AR30" s="688"/>
      <c r="AS30" s="688"/>
      <c r="AT30" s="688"/>
      <c r="AU30" s="688"/>
      <c r="AV30" s="688"/>
      <c r="AW30" s="688"/>
      <c r="AX30" s="688"/>
      <c r="AY30" s="688"/>
      <c r="BG30" s="403"/>
      <c r="BY30" s="689"/>
    </row>
    <row r="31" spans="2:77" s="97" customFormat="1" ht="14" x14ac:dyDescent="0.3">
      <c r="B31" s="687"/>
      <c r="C31" s="687"/>
      <c r="D31" s="2927" t="s">
        <v>467</v>
      </c>
      <c r="E31" s="2927"/>
      <c r="F31" s="2927"/>
      <c r="G31" s="2927"/>
      <c r="H31" s="2927"/>
      <c r="I31" s="2927"/>
      <c r="J31" s="2927"/>
      <c r="K31" s="2927"/>
      <c r="L31" s="2927"/>
      <c r="M31" s="2927"/>
      <c r="N31" s="2927"/>
      <c r="O31" s="2927"/>
      <c r="P31" s="2927"/>
      <c r="Q31" s="2927"/>
      <c r="R31" s="2927"/>
      <c r="S31" s="2927"/>
      <c r="T31" s="2927"/>
      <c r="U31" s="2927"/>
      <c r="V31" s="2927"/>
      <c r="W31" s="2927"/>
      <c r="X31" s="2927"/>
      <c r="Y31" s="2927"/>
      <c r="Z31" s="2927"/>
      <c r="AA31" s="2927"/>
      <c r="AB31" s="2927"/>
      <c r="AC31" s="2927"/>
      <c r="AD31" s="2927"/>
      <c r="AE31" s="2927"/>
      <c r="AF31" s="2927"/>
      <c r="AG31" s="2927"/>
      <c r="AH31" s="2927"/>
      <c r="AI31" s="2927"/>
      <c r="AJ31" s="2927"/>
      <c r="AK31" s="2927"/>
      <c r="AL31" s="2927"/>
      <c r="AM31" s="2927"/>
      <c r="AN31" s="2927"/>
      <c r="AO31" s="2927"/>
      <c r="AP31" s="2927"/>
      <c r="AQ31" s="2927"/>
      <c r="AR31" s="2927"/>
      <c r="AS31" s="2927"/>
      <c r="AT31" s="2927"/>
      <c r="AU31" s="2927"/>
      <c r="AV31" s="2927"/>
      <c r="AW31" s="2927"/>
      <c r="AX31" s="2927"/>
      <c r="AY31" s="2927"/>
      <c r="AZ31" s="688"/>
      <c r="BA31" s="688"/>
      <c r="BB31" s="688"/>
      <c r="BC31" s="688"/>
      <c r="BD31" s="688"/>
      <c r="BE31" s="688"/>
      <c r="BF31" s="688"/>
      <c r="BG31" s="688"/>
      <c r="BH31" s="688"/>
      <c r="BI31" s="688"/>
      <c r="BJ31" s="688"/>
      <c r="BK31" s="688"/>
      <c r="BL31" s="688"/>
      <c r="BM31" s="688"/>
      <c r="BN31" s="688"/>
      <c r="BY31" s="689"/>
    </row>
    <row r="32" spans="2:77" s="97" customFormat="1" ht="14" x14ac:dyDescent="0.3">
      <c r="B32" s="687"/>
      <c r="C32" s="687"/>
      <c r="D32" s="690" t="s">
        <v>107</v>
      </c>
      <c r="E32" s="2893" t="s">
        <v>468</v>
      </c>
      <c r="F32" s="2893"/>
      <c r="G32" s="2893"/>
      <c r="H32" s="2893"/>
      <c r="I32" s="2893"/>
      <c r="J32" s="2893"/>
      <c r="K32" s="2893"/>
      <c r="L32" s="2893"/>
      <c r="M32" s="2893"/>
      <c r="N32" s="2893"/>
      <c r="O32" s="2893"/>
      <c r="P32" s="2893"/>
      <c r="Q32" s="2893"/>
      <c r="R32" s="2893"/>
      <c r="S32" s="2893"/>
      <c r="T32" s="2893"/>
      <c r="U32" s="2893"/>
      <c r="V32" s="2893"/>
      <c r="W32" s="2893"/>
      <c r="X32" s="2893"/>
      <c r="Y32" s="2893"/>
      <c r="Z32" s="2893"/>
      <c r="AA32" s="2893"/>
      <c r="AB32" s="2893"/>
      <c r="AC32" s="2893"/>
      <c r="AD32" s="2893"/>
      <c r="AE32" s="2893"/>
      <c r="AF32" s="2893"/>
      <c r="AG32" s="2893"/>
      <c r="AH32" s="2893"/>
      <c r="AI32" s="2893"/>
      <c r="AJ32" s="2893"/>
      <c r="AK32" s="2893"/>
      <c r="AL32" s="2893"/>
      <c r="AM32" s="2893"/>
      <c r="AN32" s="2893"/>
      <c r="AO32" s="2893"/>
      <c r="AP32" s="2893"/>
      <c r="AQ32" s="2893"/>
      <c r="AR32" s="2893"/>
      <c r="AS32" s="2893"/>
      <c r="AT32" s="2893"/>
      <c r="AU32" s="2893"/>
      <c r="AV32" s="2893"/>
      <c r="AW32" s="2893"/>
      <c r="AX32" s="2893"/>
      <c r="AY32" s="2893"/>
      <c r="AZ32" s="688"/>
      <c r="BA32" s="688"/>
      <c r="BB32" s="688"/>
      <c r="BC32" s="688"/>
      <c r="BD32" s="688"/>
      <c r="BE32" s="688"/>
      <c r="BF32" s="688"/>
      <c r="BG32" s="688"/>
      <c r="BH32" s="688"/>
      <c r="BI32" s="688"/>
      <c r="BJ32" s="688"/>
      <c r="BK32" s="688"/>
      <c r="BL32" s="688"/>
      <c r="BM32" s="688"/>
      <c r="BN32" s="688"/>
      <c r="BY32" s="689"/>
    </row>
    <row r="33" spans="2:78" s="97" customFormat="1" ht="14" x14ac:dyDescent="0.3">
      <c r="B33" s="687"/>
      <c r="C33" s="687"/>
      <c r="D33" s="690" t="s">
        <v>108</v>
      </c>
      <c r="E33" s="2893" t="s">
        <v>469</v>
      </c>
      <c r="F33" s="2893"/>
      <c r="G33" s="2893"/>
      <c r="H33" s="2893"/>
      <c r="I33" s="2893"/>
      <c r="J33" s="2893"/>
      <c r="K33" s="2893"/>
      <c r="L33" s="2893"/>
      <c r="M33" s="2893"/>
      <c r="N33" s="2893"/>
      <c r="O33" s="2893"/>
      <c r="P33" s="2893"/>
      <c r="Q33" s="2893"/>
      <c r="R33" s="2893"/>
      <c r="S33" s="2893"/>
      <c r="T33" s="2893"/>
      <c r="U33" s="2893"/>
      <c r="V33" s="2893"/>
      <c r="W33" s="2893"/>
      <c r="X33" s="2893"/>
      <c r="Y33" s="2893"/>
      <c r="Z33" s="2893"/>
      <c r="AA33" s="2893"/>
      <c r="AB33" s="2893"/>
      <c r="AC33" s="2893"/>
      <c r="AD33" s="2893"/>
      <c r="AE33" s="2893"/>
      <c r="AF33" s="2893"/>
      <c r="AG33" s="2893"/>
      <c r="AH33" s="2893"/>
      <c r="AI33" s="2893"/>
      <c r="AJ33" s="2893"/>
      <c r="AK33" s="2893"/>
      <c r="AL33" s="2893"/>
      <c r="AM33" s="2893"/>
      <c r="AN33" s="2893"/>
      <c r="AO33" s="2893"/>
      <c r="AP33" s="2893"/>
      <c r="AQ33" s="2893"/>
      <c r="AR33" s="2893"/>
      <c r="AS33" s="2893"/>
      <c r="AT33" s="2893"/>
      <c r="AU33" s="2893"/>
      <c r="AV33" s="2893"/>
      <c r="AW33" s="2893"/>
      <c r="AX33" s="2893"/>
      <c r="AY33" s="2893"/>
      <c r="AZ33" s="688"/>
      <c r="BA33" s="688"/>
      <c r="BB33" s="688"/>
      <c r="BC33" s="688"/>
      <c r="BD33" s="688"/>
      <c r="BE33" s="688"/>
      <c r="BF33" s="688"/>
      <c r="BG33" s="688"/>
      <c r="BH33" s="688"/>
      <c r="BI33" s="688"/>
      <c r="BJ33" s="688"/>
      <c r="BK33" s="688"/>
      <c r="BL33" s="688"/>
      <c r="BM33" s="688"/>
      <c r="BN33" s="688"/>
      <c r="BY33" s="689"/>
    </row>
    <row r="34" spans="2:78" s="97" customFormat="1" ht="14" x14ac:dyDescent="0.3">
      <c r="B34" s="687"/>
      <c r="C34" s="687"/>
      <c r="D34" s="690" t="s">
        <v>131</v>
      </c>
      <c r="E34" s="2893" t="s">
        <v>470</v>
      </c>
      <c r="F34" s="2893"/>
      <c r="G34" s="2893"/>
      <c r="H34" s="2893"/>
      <c r="I34" s="2893"/>
      <c r="J34" s="2893"/>
      <c r="K34" s="2893"/>
      <c r="L34" s="2893"/>
      <c r="M34" s="2893"/>
      <c r="N34" s="2893"/>
      <c r="O34" s="2893"/>
      <c r="P34" s="2893"/>
      <c r="Q34" s="2893"/>
      <c r="R34" s="2893"/>
      <c r="S34" s="2893"/>
      <c r="T34" s="2893"/>
      <c r="U34" s="2893"/>
      <c r="V34" s="2893"/>
      <c r="W34" s="2893"/>
      <c r="X34" s="2893"/>
      <c r="Y34" s="2893"/>
      <c r="Z34" s="2893"/>
      <c r="AA34" s="2893"/>
      <c r="AB34" s="2893"/>
      <c r="AC34" s="2893"/>
      <c r="AD34" s="2893"/>
      <c r="AE34" s="2893"/>
      <c r="AF34" s="2893"/>
      <c r="AG34" s="2893"/>
      <c r="AH34" s="2893"/>
      <c r="AI34" s="2893"/>
      <c r="AJ34" s="2893"/>
      <c r="AK34" s="2893"/>
      <c r="AL34" s="2893"/>
      <c r="AM34" s="2893"/>
      <c r="AN34" s="2893"/>
      <c r="AO34" s="2893"/>
      <c r="AP34" s="2893"/>
      <c r="AQ34" s="2893"/>
      <c r="AR34" s="2893"/>
      <c r="AS34" s="2893"/>
      <c r="AT34" s="2893"/>
      <c r="AU34" s="2893"/>
      <c r="AV34" s="2893"/>
      <c r="AW34" s="2893"/>
      <c r="AX34" s="2893"/>
      <c r="AY34" s="2893"/>
      <c r="AZ34" s="688"/>
      <c r="BA34" s="688"/>
      <c r="BB34" s="688"/>
      <c r="BC34" s="688"/>
      <c r="BD34" s="688"/>
      <c r="BE34" s="688"/>
      <c r="BF34" s="688"/>
      <c r="BG34" s="688"/>
      <c r="BH34" s="688"/>
      <c r="BY34" s="689"/>
    </row>
    <row r="35" spans="2:78" s="97" customFormat="1" ht="14" x14ac:dyDescent="0.3">
      <c r="B35" s="687"/>
      <c r="C35" s="687"/>
      <c r="D35" s="690" t="s">
        <v>132</v>
      </c>
      <c r="E35" s="2893" t="s">
        <v>1506</v>
      </c>
      <c r="F35" s="2893"/>
      <c r="G35" s="2893"/>
      <c r="H35" s="2893"/>
      <c r="I35" s="2893"/>
      <c r="J35" s="2893"/>
      <c r="K35" s="2893"/>
      <c r="L35" s="2893"/>
      <c r="M35" s="2893"/>
      <c r="N35" s="2893"/>
      <c r="O35" s="2893"/>
      <c r="P35" s="2893"/>
      <c r="Q35" s="2893"/>
      <c r="R35" s="2893"/>
      <c r="S35" s="2893"/>
      <c r="T35" s="2893"/>
      <c r="U35" s="2893"/>
      <c r="V35" s="2893"/>
      <c r="W35" s="2893"/>
      <c r="X35" s="2893"/>
      <c r="Y35" s="2893"/>
      <c r="Z35" s="2893"/>
      <c r="AA35" s="2893"/>
      <c r="AB35" s="2893"/>
      <c r="AC35" s="2893"/>
      <c r="AD35" s="2893"/>
      <c r="AE35" s="2893"/>
      <c r="AF35" s="2893"/>
      <c r="AG35" s="2893"/>
      <c r="AH35" s="2893"/>
      <c r="AI35" s="2893"/>
      <c r="AJ35" s="2893"/>
      <c r="AK35" s="2893"/>
      <c r="AL35" s="2893"/>
      <c r="AM35" s="2893"/>
      <c r="AN35" s="2893"/>
      <c r="AO35" s="2893"/>
      <c r="AP35" s="2893"/>
      <c r="AQ35" s="2893"/>
      <c r="AR35" s="2893"/>
      <c r="AS35" s="2893"/>
      <c r="AT35" s="2893"/>
      <c r="AU35" s="2893"/>
      <c r="AV35" s="2893"/>
      <c r="AW35" s="2893"/>
      <c r="AX35" s="2893"/>
      <c r="AY35" s="2893"/>
      <c r="AZ35" s="688"/>
      <c r="BA35" s="688"/>
      <c r="BB35" s="688"/>
      <c r="BC35" s="688"/>
      <c r="BD35" s="688"/>
      <c r="BE35" s="688"/>
      <c r="BF35" s="688"/>
      <c r="BG35" s="688"/>
      <c r="BH35" s="688"/>
      <c r="BY35" s="689"/>
    </row>
    <row r="36" spans="2:78" s="87" customFormat="1" ht="14" x14ac:dyDescent="0.3">
      <c r="B36" s="687"/>
      <c r="C36" s="687"/>
      <c r="D36" s="690" t="s">
        <v>133</v>
      </c>
      <c r="E36" s="2893" t="s">
        <v>471</v>
      </c>
      <c r="F36" s="2893"/>
      <c r="G36" s="2893"/>
      <c r="H36" s="2893"/>
      <c r="I36" s="2893"/>
      <c r="J36" s="2893"/>
      <c r="K36" s="2893"/>
      <c r="L36" s="2893"/>
      <c r="M36" s="2893"/>
      <c r="N36" s="2893"/>
      <c r="O36" s="2893"/>
      <c r="P36" s="2893"/>
      <c r="Q36" s="2893"/>
      <c r="R36" s="2893"/>
      <c r="S36" s="2893"/>
      <c r="T36" s="2893"/>
      <c r="U36" s="2893"/>
      <c r="V36" s="2893"/>
      <c r="W36" s="2893"/>
      <c r="X36" s="2893"/>
      <c r="Y36" s="2893"/>
      <c r="Z36" s="2893"/>
      <c r="AA36" s="2893"/>
      <c r="AB36" s="2893"/>
      <c r="AC36" s="2893"/>
      <c r="AD36" s="2893"/>
      <c r="AE36" s="2893"/>
      <c r="AF36" s="2893"/>
      <c r="AG36" s="2893"/>
      <c r="AH36" s="2893"/>
      <c r="AI36" s="2893"/>
      <c r="AJ36" s="2893"/>
      <c r="AK36" s="2893"/>
      <c r="AL36" s="2893"/>
      <c r="AM36" s="2893"/>
      <c r="AN36" s="2893"/>
      <c r="AO36" s="2893"/>
      <c r="AP36" s="2893"/>
      <c r="AQ36" s="2893"/>
      <c r="AR36" s="2893"/>
      <c r="AS36" s="2893"/>
      <c r="AT36" s="2893"/>
      <c r="AU36" s="2893"/>
      <c r="AV36" s="2893"/>
      <c r="AW36" s="2893"/>
      <c r="AX36" s="2893"/>
      <c r="AY36" s="2893"/>
      <c r="AZ36" s="688"/>
      <c r="BA36" s="688"/>
      <c r="BB36" s="688"/>
      <c r="BC36" s="688"/>
      <c r="BD36" s="688"/>
      <c r="BE36" s="688"/>
      <c r="BF36" s="688"/>
      <c r="BG36" s="688"/>
      <c r="BH36" s="688"/>
      <c r="BI36" s="688"/>
      <c r="BJ36" s="688"/>
      <c r="BK36" s="688"/>
      <c r="BL36" s="688"/>
      <c r="BM36" s="688"/>
      <c r="BN36" s="688"/>
      <c r="BZ36" s="691"/>
    </row>
    <row r="37" spans="2:78" s="87" customFormat="1" ht="14" x14ac:dyDescent="0.3">
      <c r="B37" s="687"/>
      <c r="C37" s="687"/>
      <c r="D37" s="690" t="s">
        <v>207</v>
      </c>
      <c r="E37" s="2893" t="s">
        <v>472</v>
      </c>
      <c r="F37" s="2893"/>
      <c r="G37" s="2893"/>
      <c r="H37" s="2893"/>
      <c r="I37" s="2893"/>
      <c r="J37" s="2893"/>
      <c r="K37" s="2893"/>
      <c r="L37" s="2893"/>
      <c r="M37" s="2893"/>
      <c r="N37" s="2893"/>
      <c r="O37" s="2893"/>
      <c r="P37" s="2893"/>
      <c r="Q37" s="2893"/>
      <c r="R37" s="2893"/>
      <c r="S37" s="2893"/>
      <c r="T37" s="2893"/>
      <c r="U37" s="2893"/>
      <c r="V37" s="2893"/>
      <c r="W37" s="2893"/>
      <c r="X37" s="2893"/>
      <c r="Y37" s="2893"/>
      <c r="Z37" s="2893"/>
      <c r="AA37" s="2893"/>
      <c r="AB37" s="2893"/>
      <c r="AC37" s="2893"/>
      <c r="AD37" s="2893"/>
      <c r="AE37" s="2893"/>
      <c r="AF37" s="2893"/>
      <c r="AG37" s="2893"/>
      <c r="AH37" s="2893"/>
      <c r="AI37" s="2893"/>
      <c r="AJ37" s="2893"/>
      <c r="AK37" s="2893"/>
      <c r="AL37" s="2893"/>
      <c r="AM37" s="2893"/>
      <c r="AN37" s="2893"/>
      <c r="AO37" s="2893"/>
      <c r="AP37" s="2893"/>
      <c r="AQ37" s="2893"/>
      <c r="AR37" s="2893"/>
      <c r="AS37" s="2893"/>
      <c r="AT37" s="2893"/>
      <c r="AU37" s="2893"/>
      <c r="AV37" s="2893"/>
      <c r="AW37" s="2893"/>
      <c r="AX37" s="2893"/>
      <c r="AY37" s="2893"/>
      <c r="AZ37" s="688"/>
      <c r="BA37" s="688"/>
      <c r="BB37" s="688"/>
      <c r="BC37" s="688"/>
      <c r="BD37" s="688"/>
      <c r="BE37" s="688"/>
      <c r="BF37" s="688"/>
      <c r="BG37" s="688"/>
      <c r="BH37" s="688"/>
      <c r="BI37" s="688"/>
      <c r="BJ37" s="688"/>
      <c r="BK37" s="688"/>
      <c r="BL37" s="688"/>
      <c r="BM37" s="688"/>
      <c r="BN37" s="688"/>
      <c r="BZ37" s="691"/>
    </row>
    <row r="38" spans="2:78" s="87" customFormat="1" ht="14" x14ac:dyDescent="0.3">
      <c r="B38" s="687"/>
      <c r="C38" s="687"/>
      <c r="D38" s="690" t="s">
        <v>208</v>
      </c>
      <c r="E38" s="2893" t="s">
        <v>473</v>
      </c>
      <c r="F38" s="2893"/>
      <c r="G38" s="2893"/>
      <c r="H38" s="2893"/>
      <c r="I38" s="2893"/>
      <c r="J38" s="2893"/>
      <c r="K38" s="2893"/>
      <c r="L38" s="2893"/>
      <c r="M38" s="2893"/>
      <c r="N38" s="2893"/>
      <c r="O38" s="2893"/>
      <c r="P38" s="2893"/>
      <c r="Q38" s="2893"/>
      <c r="R38" s="2893"/>
      <c r="S38" s="2893"/>
      <c r="T38" s="2893"/>
      <c r="U38" s="2893"/>
      <c r="V38" s="2893"/>
      <c r="W38" s="2893"/>
      <c r="X38" s="2893"/>
      <c r="Y38" s="2893"/>
      <c r="Z38" s="2893"/>
      <c r="AA38" s="2893"/>
      <c r="AB38" s="2893"/>
      <c r="AC38" s="2893"/>
      <c r="AD38" s="2893"/>
      <c r="AE38" s="2893"/>
      <c r="AF38" s="2893"/>
      <c r="AG38" s="2893"/>
      <c r="AH38" s="2893"/>
      <c r="AI38" s="2893"/>
      <c r="AJ38" s="2893"/>
      <c r="AK38" s="2893"/>
      <c r="AL38" s="2893"/>
      <c r="AM38" s="2893"/>
      <c r="AN38" s="2893"/>
      <c r="AO38" s="2893"/>
      <c r="AP38" s="2893"/>
      <c r="AQ38" s="2893"/>
      <c r="AR38" s="2893"/>
      <c r="AS38" s="2893"/>
      <c r="AT38" s="2893"/>
      <c r="AU38" s="2893"/>
      <c r="AV38" s="2893"/>
      <c r="AW38" s="2893"/>
      <c r="AX38" s="2893"/>
      <c r="AY38" s="2893"/>
      <c r="AZ38" s="688"/>
      <c r="BA38" s="688"/>
      <c r="BB38" s="688"/>
      <c r="BC38" s="688"/>
      <c r="BD38" s="688"/>
      <c r="BE38" s="688"/>
      <c r="BF38" s="688"/>
      <c r="BG38" s="688"/>
      <c r="BH38" s="688"/>
      <c r="BI38" s="688"/>
      <c r="BJ38" s="688"/>
      <c r="BK38" s="688"/>
      <c r="BL38" s="688"/>
      <c r="BM38" s="688"/>
      <c r="BN38" s="688"/>
      <c r="BZ38" s="691"/>
    </row>
    <row r="39" spans="2:78" s="87" customFormat="1" ht="14" x14ac:dyDescent="0.3">
      <c r="B39" s="687"/>
      <c r="C39" s="687"/>
      <c r="D39" s="690" t="s">
        <v>209</v>
      </c>
      <c r="E39" s="2893" t="s">
        <v>474</v>
      </c>
      <c r="F39" s="2893"/>
      <c r="G39" s="2893"/>
      <c r="H39" s="2893"/>
      <c r="I39" s="2893"/>
      <c r="J39" s="2893"/>
      <c r="K39" s="2893"/>
      <c r="L39" s="2893"/>
      <c r="M39" s="2893"/>
      <c r="N39" s="2893"/>
      <c r="O39" s="2893"/>
      <c r="P39" s="2893"/>
      <c r="Q39" s="2893"/>
      <c r="R39" s="2893"/>
      <c r="S39" s="2893"/>
      <c r="T39" s="2893"/>
      <c r="U39" s="2893"/>
      <c r="V39" s="2893"/>
      <c r="W39" s="2893"/>
      <c r="X39" s="2893"/>
      <c r="Y39" s="2893"/>
      <c r="Z39" s="2893"/>
      <c r="AA39" s="2893"/>
      <c r="AB39" s="2893"/>
      <c r="AC39" s="2893"/>
      <c r="AD39" s="2893"/>
      <c r="AE39" s="2893"/>
      <c r="AF39" s="2893"/>
      <c r="AG39" s="2893"/>
      <c r="AH39" s="2893"/>
      <c r="AI39" s="2893"/>
      <c r="AJ39" s="2893"/>
      <c r="AK39" s="2893"/>
      <c r="AL39" s="2893"/>
      <c r="AM39" s="2893"/>
      <c r="AN39" s="2893"/>
      <c r="AO39" s="2893"/>
      <c r="AP39" s="2893"/>
      <c r="AQ39" s="2893"/>
      <c r="AR39" s="2893"/>
      <c r="AS39" s="2893"/>
      <c r="AT39" s="2893"/>
      <c r="AU39" s="2893"/>
      <c r="AV39" s="2893"/>
      <c r="AW39" s="2893"/>
      <c r="AX39" s="2893"/>
      <c r="AY39" s="2893"/>
      <c r="AZ39" s="692"/>
      <c r="BA39" s="692"/>
      <c r="BB39" s="692"/>
      <c r="BC39" s="692"/>
      <c r="BD39" s="692"/>
      <c r="BE39" s="692"/>
      <c r="BF39" s="692"/>
      <c r="BG39" s="692"/>
      <c r="BH39" s="692"/>
      <c r="BI39" s="692"/>
      <c r="BJ39" s="692"/>
      <c r="BK39" s="692"/>
      <c r="BL39" s="692"/>
      <c r="BM39" s="692"/>
      <c r="BN39" s="692"/>
      <c r="BZ39" s="691"/>
    </row>
    <row r="40" spans="2:78" s="87" customFormat="1" ht="14" x14ac:dyDescent="0.3">
      <c r="B40" s="687"/>
      <c r="C40" s="687"/>
      <c r="D40" s="690" t="s">
        <v>359</v>
      </c>
      <c r="E40" s="2893" t="s">
        <v>475</v>
      </c>
      <c r="F40" s="2893"/>
      <c r="G40" s="2893"/>
      <c r="H40" s="2893"/>
      <c r="I40" s="2893"/>
      <c r="J40" s="2893"/>
      <c r="K40" s="2893"/>
      <c r="L40" s="2893"/>
      <c r="M40" s="2893"/>
      <c r="N40" s="2893"/>
      <c r="O40" s="2893"/>
      <c r="P40" s="2893"/>
      <c r="Q40" s="2893"/>
      <c r="R40" s="2893"/>
      <c r="S40" s="2893"/>
      <c r="T40" s="2893"/>
      <c r="U40" s="2893"/>
      <c r="V40" s="2893"/>
      <c r="W40" s="2893"/>
      <c r="X40" s="2893"/>
      <c r="Y40" s="2893"/>
      <c r="Z40" s="2893"/>
      <c r="AA40" s="2893"/>
      <c r="AB40" s="2893"/>
      <c r="AC40" s="2893"/>
      <c r="AD40" s="2893"/>
      <c r="AE40" s="2893"/>
      <c r="AF40" s="2893"/>
      <c r="AG40" s="2893"/>
      <c r="AH40" s="2893"/>
      <c r="AI40" s="2893"/>
      <c r="AJ40" s="2893"/>
      <c r="AK40" s="2893"/>
      <c r="AL40" s="2893"/>
      <c r="AM40" s="2893"/>
      <c r="AN40" s="2893"/>
      <c r="AO40" s="2893"/>
      <c r="AP40" s="2893"/>
      <c r="AQ40" s="2893"/>
      <c r="AR40" s="2893"/>
      <c r="AS40" s="2893"/>
      <c r="AT40" s="2893"/>
      <c r="AU40" s="2893"/>
      <c r="AV40" s="2893"/>
      <c r="AW40" s="2893"/>
      <c r="AX40" s="2893"/>
      <c r="AY40" s="2893"/>
      <c r="AZ40" s="688"/>
      <c r="BA40" s="688"/>
      <c r="BB40" s="688"/>
      <c r="BC40" s="688"/>
      <c r="BD40" s="688"/>
      <c r="BE40" s="688"/>
      <c r="BF40" s="688"/>
      <c r="BG40" s="688"/>
      <c r="BH40" s="688"/>
      <c r="BI40" s="688"/>
      <c r="BJ40" s="688"/>
      <c r="BK40" s="688"/>
      <c r="BL40" s="688"/>
      <c r="BM40" s="688"/>
      <c r="BN40" s="688"/>
      <c r="BZ40" s="691"/>
    </row>
    <row r="41" spans="2:78" s="87" customFormat="1" ht="14" x14ac:dyDescent="0.3">
      <c r="B41" s="687"/>
      <c r="C41" s="687"/>
      <c r="D41" s="690" t="s">
        <v>360</v>
      </c>
      <c r="E41" s="2893" t="s">
        <v>476</v>
      </c>
      <c r="F41" s="2893"/>
      <c r="G41" s="2893"/>
      <c r="H41" s="2893"/>
      <c r="I41" s="2893"/>
      <c r="J41" s="2893"/>
      <c r="K41" s="2893"/>
      <c r="L41" s="2893"/>
      <c r="M41" s="2893"/>
      <c r="N41" s="2893"/>
      <c r="O41" s="2893"/>
      <c r="P41" s="2893"/>
      <c r="Q41" s="2893"/>
      <c r="R41" s="2893"/>
      <c r="S41" s="2893"/>
      <c r="T41" s="2893"/>
      <c r="U41" s="2893"/>
      <c r="V41" s="2893"/>
      <c r="W41" s="2893"/>
      <c r="X41" s="2893"/>
      <c r="Y41" s="2893"/>
      <c r="Z41" s="2893"/>
      <c r="AA41" s="2893"/>
      <c r="AB41" s="2893"/>
      <c r="AC41" s="2893"/>
      <c r="AD41" s="2893"/>
      <c r="AE41" s="2893"/>
      <c r="AF41" s="2893"/>
      <c r="AG41" s="2893"/>
      <c r="AH41" s="2893"/>
      <c r="AI41" s="2893"/>
      <c r="AJ41" s="2893"/>
      <c r="AK41" s="2893"/>
      <c r="AL41" s="2893"/>
      <c r="AM41" s="2893"/>
      <c r="AN41" s="2893"/>
      <c r="AO41" s="2893"/>
      <c r="AP41" s="2893"/>
      <c r="AQ41" s="2893"/>
      <c r="AR41" s="2893"/>
      <c r="AS41" s="2893"/>
      <c r="AT41" s="2893"/>
      <c r="AU41" s="2893"/>
      <c r="AV41" s="2893"/>
      <c r="AW41" s="2893"/>
      <c r="AX41" s="2893"/>
      <c r="AY41" s="2893"/>
      <c r="AZ41" s="688"/>
      <c r="BA41" s="688"/>
      <c r="BB41" s="688"/>
      <c r="BC41" s="688"/>
      <c r="BD41" s="688"/>
      <c r="BE41" s="688"/>
      <c r="BF41" s="688"/>
      <c r="BG41" s="688"/>
      <c r="BH41" s="688"/>
      <c r="BI41" s="688"/>
      <c r="BJ41" s="688"/>
      <c r="BK41" s="688"/>
      <c r="BL41" s="688"/>
      <c r="BM41" s="688"/>
      <c r="BZ41" s="691"/>
    </row>
    <row r="42" spans="2:78" s="87" customFormat="1" ht="33" customHeight="1" x14ac:dyDescent="0.3">
      <c r="B42" s="687"/>
      <c r="C42" s="687"/>
      <c r="D42" s="690" t="s">
        <v>361</v>
      </c>
      <c r="E42" s="2893" t="s">
        <v>477</v>
      </c>
      <c r="F42" s="2893"/>
      <c r="G42" s="2893"/>
      <c r="H42" s="2893"/>
      <c r="I42" s="2893"/>
      <c r="J42" s="2893"/>
      <c r="K42" s="2893"/>
      <c r="L42" s="2893"/>
      <c r="M42" s="2893"/>
      <c r="N42" s="2893"/>
      <c r="O42" s="2893"/>
      <c r="P42" s="2893"/>
      <c r="Q42" s="2893"/>
      <c r="R42" s="2893"/>
      <c r="S42" s="2893"/>
      <c r="T42" s="2893"/>
      <c r="U42" s="2893"/>
      <c r="V42" s="2893"/>
      <c r="W42" s="2893"/>
      <c r="X42" s="2893"/>
      <c r="Y42" s="2893"/>
      <c r="Z42" s="2893"/>
      <c r="AA42" s="2893"/>
      <c r="AB42" s="2893"/>
      <c r="AC42" s="2893"/>
      <c r="AD42" s="2893"/>
      <c r="AE42" s="2893"/>
      <c r="AF42" s="2893"/>
      <c r="AG42" s="2893"/>
      <c r="AH42" s="2893"/>
      <c r="AI42" s="2893"/>
      <c r="AJ42" s="2893"/>
      <c r="AK42" s="2893"/>
      <c r="AL42" s="2893"/>
      <c r="AM42" s="2893"/>
      <c r="AN42" s="2893"/>
      <c r="AO42" s="2893"/>
      <c r="AP42" s="2893"/>
      <c r="AQ42" s="2893"/>
      <c r="AR42" s="2893"/>
      <c r="AS42" s="2893"/>
      <c r="AT42" s="2893"/>
      <c r="AU42" s="2893"/>
      <c r="AV42" s="2893"/>
      <c r="AW42" s="2893"/>
      <c r="AX42" s="2893"/>
      <c r="AY42" s="2893"/>
      <c r="AZ42" s="688"/>
      <c r="BA42" s="688"/>
      <c r="BB42" s="688"/>
      <c r="BC42" s="688"/>
      <c r="BD42" s="688"/>
      <c r="BE42" s="688"/>
      <c r="BF42" s="688"/>
      <c r="BG42" s="688"/>
      <c r="BH42" s="688"/>
      <c r="BI42" s="688"/>
      <c r="BJ42" s="688"/>
      <c r="BK42" s="688"/>
      <c r="BL42" s="688"/>
      <c r="BM42" s="688"/>
      <c r="BN42" s="688"/>
      <c r="BZ42" s="691"/>
    </row>
    <row r="43" spans="2:78" s="87" customFormat="1" ht="14" x14ac:dyDescent="0.3">
      <c r="B43" s="687"/>
      <c r="C43" s="687"/>
      <c r="D43" s="690" t="s">
        <v>372</v>
      </c>
      <c r="E43" s="2893" t="s">
        <v>478</v>
      </c>
      <c r="F43" s="2893"/>
      <c r="G43" s="2893"/>
      <c r="H43" s="2893"/>
      <c r="I43" s="2893"/>
      <c r="J43" s="2893"/>
      <c r="K43" s="2893"/>
      <c r="L43" s="2893"/>
      <c r="M43" s="2893"/>
      <c r="N43" s="2893"/>
      <c r="O43" s="2893"/>
      <c r="P43" s="2893"/>
      <c r="Q43" s="2893"/>
      <c r="R43" s="2893"/>
      <c r="S43" s="2893"/>
      <c r="T43" s="2893"/>
      <c r="U43" s="2893"/>
      <c r="V43" s="2893"/>
      <c r="W43" s="2893"/>
      <c r="X43" s="2893"/>
      <c r="Y43" s="2893"/>
      <c r="Z43" s="2893"/>
      <c r="AA43" s="2893"/>
      <c r="AB43" s="2893"/>
      <c r="AC43" s="2893"/>
      <c r="AD43" s="2893"/>
      <c r="AE43" s="2893"/>
      <c r="AF43" s="2893"/>
      <c r="AG43" s="2893"/>
      <c r="AH43" s="2893"/>
      <c r="AI43" s="2893"/>
      <c r="AJ43" s="2893"/>
      <c r="AK43" s="2893"/>
      <c r="AL43" s="2893"/>
      <c r="AM43" s="2893"/>
      <c r="AN43" s="2893"/>
      <c r="AO43" s="2893"/>
      <c r="AP43" s="2893"/>
      <c r="AQ43" s="2893"/>
      <c r="AR43" s="2893"/>
      <c r="AS43" s="2893"/>
      <c r="AT43" s="2893"/>
      <c r="AU43" s="2893"/>
      <c r="AV43" s="2893"/>
      <c r="AW43" s="2893"/>
      <c r="AX43" s="2893"/>
      <c r="AY43" s="2893"/>
      <c r="AZ43" s="688"/>
      <c r="BA43" s="688"/>
      <c r="BB43" s="688"/>
      <c r="BC43" s="688"/>
      <c r="BD43" s="688"/>
      <c r="BE43" s="688"/>
      <c r="BF43" s="688"/>
      <c r="BG43" s="688"/>
      <c r="BH43" s="688"/>
      <c r="BI43" s="688"/>
      <c r="BJ43" s="688"/>
      <c r="BK43" s="688"/>
      <c r="BL43" s="688"/>
      <c r="BM43" s="688"/>
      <c r="BZ43" s="691"/>
    </row>
    <row r="44" spans="2:78" s="87" customFormat="1" ht="33" customHeight="1" x14ac:dyDescent="0.3">
      <c r="B44" s="687"/>
      <c r="C44" s="687"/>
      <c r="D44" s="690" t="s">
        <v>373</v>
      </c>
      <c r="E44" s="2893" t="s">
        <v>1508</v>
      </c>
      <c r="F44" s="2893"/>
      <c r="G44" s="2893"/>
      <c r="H44" s="2893"/>
      <c r="I44" s="2893"/>
      <c r="J44" s="2893"/>
      <c r="K44" s="2893"/>
      <c r="L44" s="2893"/>
      <c r="M44" s="2893"/>
      <c r="N44" s="2893"/>
      <c r="O44" s="2893"/>
      <c r="P44" s="2893"/>
      <c r="Q44" s="2893"/>
      <c r="R44" s="2893"/>
      <c r="S44" s="2893"/>
      <c r="T44" s="2893"/>
      <c r="U44" s="2893"/>
      <c r="V44" s="2893"/>
      <c r="W44" s="2893"/>
      <c r="X44" s="2893"/>
      <c r="Y44" s="2893"/>
      <c r="Z44" s="2893"/>
      <c r="AA44" s="2893"/>
      <c r="AB44" s="2893"/>
      <c r="AC44" s="2893"/>
      <c r="AD44" s="2893"/>
      <c r="AE44" s="2893"/>
      <c r="AF44" s="2893"/>
      <c r="AG44" s="2893"/>
      <c r="AH44" s="2893"/>
      <c r="AI44" s="2893"/>
      <c r="AJ44" s="2893"/>
      <c r="AK44" s="2893"/>
      <c r="AL44" s="2893"/>
      <c r="AM44" s="2893"/>
      <c r="AN44" s="2893"/>
      <c r="AO44" s="2893"/>
      <c r="AP44" s="2893"/>
      <c r="AQ44" s="2893"/>
      <c r="AR44" s="2893"/>
      <c r="AS44" s="2893"/>
      <c r="AT44" s="2893"/>
      <c r="AU44" s="2893"/>
      <c r="AV44" s="2893"/>
      <c r="AW44" s="2893"/>
      <c r="AX44" s="2893"/>
      <c r="AY44" s="2893"/>
      <c r="AZ44" s="688"/>
      <c r="BA44" s="688"/>
      <c r="BB44" s="688"/>
      <c r="BC44" s="688"/>
      <c r="BD44" s="688"/>
      <c r="BE44" s="688"/>
      <c r="BF44" s="688"/>
      <c r="BG44" s="688"/>
      <c r="BH44" s="688"/>
      <c r="BI44" s="688"/>
      <c r="BJ44" s="688"/>
      <c r="BK44" s="688"/>
      <c r="BL44" s="688"/>
      <c r="BM44" s="688"/>
      <c r="BN44" s="688"/>
      <c r="BZ44" s="691"/>
    </row>
    <row r="45" spans="2:78" s="87" customFormat="1" ht="15.75" customHeight="1" x14ac:dyDescent="0.3">
      <c r="B45" s="687"/>
      <c r="C45" s="687"/>
      <c r="D45" s="690" t="s">
        <v>1507</v>
      </c>
      <c r="E45" s="2893" t="s">
        <v>479</v>
      </c>
      <c r="F45" s="2893"/>
      <c r="G45" s="2893"/>
      <c r="H45" s="2893"/>
      <c r="I45" s="2893"/>
      <c r="J45" s="2893"/>
      <c r="K45" s="2893"/>
      <c r="L45" s="2893"/>
      <c r="M45" s="2893"/>
      <c r="N45" s="2893"/>
      <c r="O45" s="2893"/>
      <c r="P45" s="2893"/>
      <c r="Q45" s="2893"/>
      <c r="R45" s="2893"/>
      <c r="S45" s="2893"/>
      <c r="T45" s="2893"/>
      <c r="U45" s="2893"/>
      <c r="V45" s="2893"/>
      <c r="W45" s="2893"/>
      <c r="X45" s="2893"/>
      <c r="Y45" s="2893"/>
      <c r="Z45" s="2893"/>
      <c r="AA45" s="2893"/>
      <c r="AB45" s="2893"/>
      <c r="AC45" s="2893"/>
      <c r="AD45" s="2893"/>
      <c r="AE45" s="2893"/>
      <c r="AF45" s="2893"/>
      <c r="AG45" s="2893"/>
      <c r="AH45" s="2893"/>
      <c r="AI45" s="2893"/>
      <c r="AJ45" s="2893"/>
      <c r="AK45" s="2893"/>
      <c r="AL45" s="2893"/>
      <c r="AM45" s="2893"/>
      <c r="AN45" s="2893"/>
      <c r="AO45" s="2893"/>
      <c r="AP45" s="2893"/>
      <c r="AQ45" s="2893"/>
      <c r="AR45" s="2893"/>
      <c r="AS45" s="2893"/>
      <c r="AT45" s="2893"/>
      <c r="AU45" s="2893"/>
      <c r="AV45" s="2893"/>
      <c r="AW45" s="2893"/>
      <c r="AX45" s="2893"/>
      <c r="AY45" s="2893"/>
      <c r="AZ45" s="688"/>
      <c r="BA45" s="688"/>
      <c r="BB45" s="688"/>
      <c r="BC45" s="688"/>
      <c r="BD45" s="688"/>
      <c r="BE45" s="688"/>
      <c r="BF45" s="688"/>
      <c r="BG45" s="688"/>
      <c r="BH45" s="688"/>
      <c r="BI45" s="688"/>
      <c r="BJ45" s="688"/>
      <c r="BK45" s="688"/>
      <c r="BL45" s="688"/>
      <c r="BM45" s="688"/>
      <c r="BZ45" s="691"/>
    </row>
    <row r="46" spans="2:78" s="87" customFormat="1" ht="15.75" customHeight="1" x14ac:dyDescent="0.3">
      <c r="B46" s="687"/>
      <c r="C46" s="687"/>
      <c r="D46" s="690"/>
      <c r="E46" s="88"/>
      <c r="F46" s="88"/>
      <c r="G46" s="88"/>
      <c r="H46" s="88"/>
      <c r="I46" s="88"/>
      <c r="J46" s="88"/>
      <c r="K46" s="88"/>
      <c r="L46" s="88"/>
      <c r="M46" s="88"/>
      <c r="N46" s="88"/>
      <c r="O46" s="88"/>
      <c r="P46" s="88"/>
      <c r="Q46" s="88"/>
      <c r="R46" s="88"/>
      <c r="S46" s="88"/>
      <c r="T46" s="88"/>
      <c r="U46" s="88"/>
      <c r="V46" s="88"/>
      <c r="W46" s="88"/>
      <c r="X46" s="88"/>
      <c r="Y46" s="88"/>
      <c r="Z46" s="88"/>
      <c r="AA46" s="88"/>
      <c r="AB46" s="88"/>
      <c r="AC46" s="88"/>
      <c r="AD46" s="88"/>
      <c r="AE46" s="88"/>
      <c r="AF46" s="88"/>
      <c r="AG46" s="88"/>
      <c r="AH46" s="88"/>
      <c r="AI46" s="88"/>
      <c r="AJ46" s="88"/>
      <c r="AK46" s="88"/>
      <c r="AL46" s="88"/>
      <c r="AM46" s="88"/>
      <c r="AN46" s="88"/>
      <c r="AO46" s="88"/>
      <c r="AP46" s="88"/>
      <c r="AQ46" s="88"/>
      <c r="AR46" s="88"/>
      <c r="AS46" s="88"/>
      <c r="AT46" s="88"/>
      <c r="AU46" s="88"/>
      <c r="AV46" s="88"/>
      <c r="AW46" s="88"/>
      <c r="AX46" s="88"/>
      <c r="AY46" s="88"/>
      <c r="AZ46" s="688"/>
      <c r="BA46" s="688"/>
      <c r="BB46" s="688"/>
      <c r="BC46" s="688"/>
      <c r="BD46" s="688"/>
      <c r="BE46" s="688"/>
      <c r="BF46" s="688"/>
      <c r="BG46" s="688"/>
      <c r="BH46" s="688"/>
      <c r="BI46" s="688"/>
      <c r="BJ46" s="688"/>
      <c r="BK46" s="688"/>
      <c r="BL46" s="688"/>
      <c r="BM46" s="688"/>
      <c r="BZ46" s="691"/>
    </row>
    <row r="47" spans="2:78" s="87" customFormat="1" ht="15.75" customHeight="1" x14ac:dyDescent="0.3">
      <c r="B47" s="693" t="s">
        <v>1287</v>
      </c>
      <c r="C47" s="688"/>
      <c r="D47" s="688"/>
      <c r="E47" s="688"/>
      <c r="F47" s="688"/>
      <c r="G47" s="688"/>
      <c r="H47" s="688"/>
      <c r="I47" s="688"/>
      <c r="J47" s="688"/>
      <c r="K47" s="688"/>
      <c r="L47" s="688"/>
      <c r="M47" s="688"/>
      <c r="N47" s="688"/>
      <c r="O47" s="688"/>
      <c r="P47" s="688"/>
      <c r="Q47" s="688"/>
      <c r="R47" s="688"/>
      <c r="S47" s="688"/>
      <c r="T47" s="688"/>
      <c r="U47" s="688"/>
      <c r="V47" s="688"/>
      <c r="W47" s="688"/>
      <c r="X47" s="688"/>
      <c r="Y47" s="688"/>
      <c r="Z47" s="688"/>
      <c r="AA47" s="688"/>
      <c r="AB47" s="688"/>
      <c r="AC47" s="688"/>
      <c r="AD47" s="688"/>
      <c r="AE47" s="688"/>
      <c r="AF47" s="688"/>
      <c r="AG47" s="688"/>
      <c r="AH47" s="688"/>
      <c r="AI47" s="688"/>
      <c r="AJ47" s="688"/>
      <c r="AK47" s="688"/>
      <c r="AL47" s="688"/>
      <c r="AM47" s="688"/>
      <c r="AN47" s="688"/>
      <c r="AO47" s="688"/>
      <c r="AP47" s="688"/>
      <c r="AQ47" s="688"/>
      <c r="AR47" s="688"/>
      <c r="AS47" s="688"/>
      <c r="AT47" s="688"/>
      <c r="AU47" s="688"/>
      <c r="AV47" s="688"/>
      <c r="AW47" s="688"/>
      <c r="AX47" s="688"/>
      <c r="AY47" s="688"/>
      <c r="AZ47" s="694"/>
      <c r="BA47" s="694"/>
      <c r="BB47" s="694"/>
      <c r="BC47" s="694"/>
      <c r="BD47" s="694"/>
      <c r="BE47" s="694"/>
      <c r="BF47" s="694"/>
      <c r="BG47" s="694"/>
      <c r="BH47" s="694"/>
      <c r="BI47" s="694"/>
      <c r="BY47" s="691"/>
    </row>
    <row r="48" spans="2:78" s="87" customFormat="1" ht="10" customHeight="1" x14ac:dyDescent="0.3">
      <c r="B48" s="159"/>
      <c r="C48" s="159"/>
      <c r="D48" s="159"/>
      <c r="E48" s="159"/>
      <c r="F48" s="159"/>
      <c r="G48" s="159"/>
      <c r="H48" s="159"/>
      <c r="I48" s="159"/>
      <c r="J48" s="159"/>
      <c r="K48" s="159"/>
      <c r="L48" s="159"/>
      <c r="M48" s="159"/>
      <c r="N48" s="159"/>
      <c r="O48" s="159"/>
      <c r="P48" s="159"/>
      <c r="Q48" s="159"/>
      <c r="R48" s="159"/>
      <c r="S48" s="159"/>
      <c r="T48" s="159"/>
      <c r="U48" s="159"/>
      <c r="V48" s="159"/>
      <c r="W48" s="159"/>
      <c r="X48" s="159"/>
      <c r="Y48" s="159"/>
      <c r="Z48" s="159"/>
      <c r="AA48" s="159"/>
      <c r="AB48" s="159"/>
      <c r="AC48" s="159"/>
      <c r="AD48" s="159"/>
      <c r="AE48" s="159"/>
      <c r="AF48" s="159"/>
      <c r="AG48" s="159"/>
      <c r="AH48" s="159"/>
      <c r="AI48" s="159"/>
      <c r="AJ48" s="159"/>
      <c r="AK48" s="159"/>
      <c r="AL48" s="159"/>
      <c r="AM48" s="159"/>
      <c r="AN48" s="159"/>
      <c r="AO48" s="159"/>
      <c r="AP48" s="159"/>
      <c r="AQ48" s="159"/>
      <c r="AR48" s="159"/>
      <c r="AS48" s="159"/>
      <c r="AT48" s="159"/>
      <c r="AU48" s="159"/>
      <c r="AV48" s="159"/>
      <c r="AW48" s="159"/>
      <c r="AX48" s="694"/>
      <c r="AY48" s="694"/>
      <c r="AZ48" s="694"/>
      <c r="BA48" s="694"/>
      <c r="BB48" s="694"/>
      <c r="BC48" s="694"/>
      <c r="BD48" s="694"/>
      <c r="BE48" s="694"/>
      <c r="BF48" s="694"/>
      <c r="BG48" s="694"/>
      <c r="BH48" s="694"/>
      <c r="BX48" s="691"/>
    </row>
    <row r="49" spans="2:76" s="97" customFormat="1" ht="14" x14ac:dyDescent="0.3">
      <c r="B49" s="2927" t="s">
        <v>1094</v>
      </c>
      <c r="C49" s="2927"/>
      <c r="D49" s="2927"/>
      <c r="E49" s="2927"/>
      <c r="F49" s="2927"/>
      <c r="G49" s="2927"/>
      <c r="H49" s="2927"/>
      <c r="I49" s="2927"/>
      <c r="J49" s="2927"/>
      <c r="K49" s="2927"/>
      <c r="L49" s="2927"/>
      <c r="M49" s="2927"/>
      <c r="N49" s="2927"/>
      <c r="O49" s="2927"/>
      <c r="P49" s="2927"/>
      <c r="Q49" s="2927"/>
      <c r="R49" s="2927"/>
      <c r="S49" s="2927"/>
      <c r="T49" s="2927"/>
      <c r="U49" s="2927"/>
      <c r="V49" s="2927"/>
      <c r="W49" s="2927"/>
      <c r="X49" s="2927"/>
      <c r="Y49" s="2927"/>
      <c r="Z49" s="2927"/>
      <c r="AA49" s="2927"/>
      <c r="AB49" s="2927"/>
      <c r="AC49" s="2927"/>
      <c r="AD49" s="2927"/>
      <c r="AE49" s="2927"/>
      <c r="AF49" s="2927"/>
      <c r="AG49" s="2927"/>
      <c r="AH49" s="2927"/>
      <c r="AI49" s="2927"/>
      <c r="AJ49" s="2927"/>
      <c r="AK49" s="2927"/>
      <c r="AL49" s="2927"/>
      <c r="AM49" s="2927"/>
      <c r="AN49" s="2927"/>
      <c r="AO49" s="2927"/>
      <c r="AP49" s="2927"/>
      <c r="AQ49" s="2927"/>
      <c r="AR49" s="2927"/>
      <c r="AS49" s="2927"/>
      <c r="AT49" s="2927"/>
      <c r="AU49" s="2927"/>
      <c r="AV49" s="2927"/>
      <c r="AW49" s="2927"/>
      <c r="AX49" s="2927"/>
      <c r="AY49" s="233"/>
      <c r="AZ49" s="233"/>
      <c r="BA49" s="233"/>
      <c r="BB49" s="233"/>
      <c r="BC49" s="233"/>
      <c r="BD49" s="233"/>
      <c r="BE49" s="233"/>
      <c r="BF49" s="233"/>
      <c r="BG49" s="233"/>
      <c r="BH49" s="233"/>
      <c r="BX49" s="689"/>
    </row>
    <row r="50" spans="2:76" s="44" customFormat="1" ht="30.75" customHeight="1" x14ac:dyDescent="0.35">
      <c r="B50" s="379"/>
      <c r="C50" s="123"/>
      <c r="D50" s="379"/>
      <c r="E50" s="123"/>
      <c r="F50" s="379"/>
      <c r="G50" s="123"/>
      <c r="H50" s="379"/>
      <c r="I50" s="123"/>
      <c r="J50" s="379"/>
      <c r="K50" s="123"/>
      <c r="L50" s="379"/>
      <c r="M50" s="123"/>
      <c r="N50" s="379"/>
      <c r="O50" s="123"/>
      <c r="T50" s="379"/>
      <c r="U50" s="123"/>
      <c r="V50" s="379"/>
      <c r="W50" s="123"/>
      <c r="X50" s="379"/>
      <c r="Y50" s="123"/>
      <c r="Z50" s="379"/>
      <c r="AA50" s="123"/>
      <c r="AB50" s="379"/>
      <c r="AC50" s="123"/>
      <c r="AD50" s="379"/>
      <c r="AE50" s="123"/>
      <c r="AF50" s="379"/>
      <c r="AG50" s="123"/>
      <c r="AL50" s="379"/>
      <c r="AM50" s="123"/>
      <c r="AN50" s="379"/>
      <c r="AO50" s="123"/>
      <c r="AP50" s="379"/>
      <c r="AQ50" s="123"/>
      <c r="AR50" s="379"/>
      <c r="AS50" s="123"/>
      <c r="AT50" s="379"/>
      <c r="AU50" s="123"/>
      <c r="AV50" s="379"/>
      <c r="AW50" s="123"/>
      <c r="AX50" s="379"/>
      <c r="AY50" s="123"/>
    </row>
    <row r="51" spans="2:76" s="44" customFormat="1" x14ac:dyDescent="0.35">
      <c r="B51" s="60" t="s">
        <v>913</v>
      </c>
      <c r="T51" s="60" t="s">
        <v>799</v>
      </c>
      <c r="U51" s="73"/>
      <c r="V51" s="73"/>
      <c r="W51" s="73"/>
      <c r="X51" s="73"/>
      <c r="Y51" s="73"/>
      <c r="Z51" s="73"/>
      <c r="AA51" s="73"/>
      <c r="AB51" s="73"/>
      <c r="AC51" s="73"/>
      <c r="AD51" s="73"/>
      <c r="AE51" s="73"/>
      <c r="AF51" s="73"/>
      <c r="AG51" s="73"/>
      <c r="AL51" s="60" t="s">
        <v>922</v>
      </c>
    </row>
    <row r="52" spans="2:76" s="44" customFormat="1" ht="21.75" customHeight="1" x14ac:dyDescent="0.35">
      <c r="B52" s="60" t="s">
        <v>780</v>
      </c>
      <c r="F52" s="1581" t="str">
        <f>SchInfo!F38</f>
        <v>MELCHESIEDICK Q. BOLANIO/ March 17, 2023</v>
      </c>
      <c r="G52" s="1581"/>
      <c r="H52" s="1581"/>
      <c r="I52" s="1581"/>
      <c r="J52" s="1581"/>
      <c r="K52" s="1581"/>
      <c r="L52" s="1581"/>
      <c r="M52" s="1581"/>
      <c r="N52" s="1581"/>
      <c r="O52" s="1581"/>
      <c r="T52" s="1581" t="str">
        <f>'Table32-Box8'!AJ24</f>
        <v>BRYAN REY P. JAMIS</v>
      </c>
      <c r="U52" s="1581"/>
      <c r="V52" s="1581"/>
      <c r="W52" s="1581"/>
      <c r="X52" s="1581"/>
      <c r="Y52" s="1581"/>
      <c r="Z52" s="1581"/>
      <c r="AA52" s="1581"/>
      <c r="AB52" s="1581"/>
      <c r="AC52" s="1581"/>
      <c r="AD52" s="1581"/>
      <c r="AE52" s="1581"/>
      <c r="AF52" s="1581"/>
      <c r="AG52" s="1581"/>
      <c r="AL52" s="1582" t="str">
        <f>SchInfo!R38</f>
        <v>MICHAEL T. JAMIS   /  March 17, 2023</v>
      </c>
      <c r="AM52" s="1582"/>
      <c r="AN52" s="1582"/>
      <c r="AO52" s="1582"/>
      <c r="AP52" s="1582"/>
      <c r="AQ52" s="1582"/>
      <c r="AR52" s="1582"/>
      <c r="AS52" s="1582"/>
      <c r="AT52" s="1582"/>
      <c r="AU52" s="1582"/>
      <c r="AV52" s="1582"/>
      <c r="AW52" s="1582"/>
      <c r="AX52" s="1582"/>
      <c r="AY52" s="1582"/>
    </row>
    <row r="53" spans="2:76" s="68" customFormat="1" ht="15.75" customHeight="1" x14ac:dyDescent="0.3">
      <c r="B53" s="210"/>
      <c r="F53" s="1452" t="s">
        <v>779</v>
      </c>
      <c r="G53" s="1452"/>
      <c r="H53" s="1452"/>
      <c r="I53" s="1452"/>
      <c r="J53" s="1452"/>
      <c r="K53" s="1452"/>
      <c r="L53" s="1452"/>
      <c r="M53" s="1452"/>
      <c r="N53" s="1452"/>
      <c r="O53" s="1452"/>
      <c r="P53" s="64"/>
      <c r="Q53" s="64"/>
      <c r="R53" s="64"/>
      <c r="S53" s="64"/>
      <c r="T53" s="1452" t="s">
        <v>779</v>
      </c>
      <c r="U53" s="1452"/>
      <c r="V53" s="1452"/>
      <c r="W53" s="1452"/>
      <c r="X53" s="1452"/>
      <c r="Y53" s="1452"/>
      <c r="Z53" s="1452"/>
      <c r="AA53" s="1452"/>
      <c r="AB53" s="1452"/>
      <c r="AC53" s="1452"/>
      <c r="AD53" s="1452"/>
      <c r="AE53" s="1452"/>
      <c r="AF53" s="1452"/>
      <c r="AG53" s="1452"/>
      <c r="AH53" s="64"/>
      <c r="AI53" s="64"/>
      <c r="AJ53" s="64"/>
      <c r="AK53" s="64"/>
      <c r="AL53" s="1583"/>
      <c r="AM53" s="1583"/>
      <c r="AN53" s="1583"/>
      <c r="AO53" s="1583"/>
      <c r="AP53" s="1583"/>
      <c r="AQ53" s="1583"/>
      <c r="AR53" s="1583"/>
      <c r="AS53" s="1583"/>
      <c r="AT53" s="1583"/>
      <c r="AU53" s="1583"/>
      <c r="AV53" s="1583"/>
      <c r="AW53" s="1583"/>
      <c r="AX53" s="1583"/>
      <c r="AY53" s="1583"/>
      <c r="BC53" s="209"/>
      <c r="BD53" s="209"/>
      <c r="BE53" s="209"/>
      <c r="BF53" s="209"/>
      <c r="BG53" s="209"/>
      <c r="BH53" s="209"/>
      <c r="BI53" s="209"/>
      <c r="BJ53" s="209"/>
      <c r="BK53" s="209"/>
      <c r="BL53" s="209"/>
      <c r="BM53" s="209"/>
      <c r="BN53" s="209"/>
      <c r="BO53" s="209"/>
      <c r="BP53" s="209"/>
      <c r="BQ53" s="209"/>
      <c r="BR53" s="209"/>
    </row>
    <row r="54" spans="2:76" s="44" customFormat="1" ht="21.75" customHeight="1" x14ac:dyDescent="0.35">
      <c r="B54" s="60" t="s">
        <v>782</v>
      </c>
      <c r="F54" s="1581" t="str">
        <f>SchInfo!F40</f>
        <v>Principal IV</v>
      </c>
      <c r="G54" s="1581"/>
      <c r="H54" s="1581"/>
      <c r="I54" s="1581"/>
      <c r="J54" s="1581"/>
      <c r="K54" s="1581"/>
      <c r="L54" s="1581"/>
      <c r="M54" s="1581"/>
      <c r="N54" s="1581"/>
      <c r="O54" s="1581"/>
      <c r="T54" s="60" t="s">
        <v>784</v>
      </c>
      <c r="U54" s="73"/>
      <c r="V54" s="73"/>
      <c r="W54" s="73"/>
      <c r="X54" s="1581" t="str">
        <f>'Table32-Box8'!AN26</f>
        <v>Engineer III</v>
      </c>
      <c r="Y54" s="1581"/>
      <c r="Z54" s="1581"/>
      <c r="AA54" s="1581"/>
      <c r="AB54" s="1581"/>
      <c r="AC54" s="1581"/>
      <c r="AD54" s="1581"/>
      <c r="AE54" s="1581"/>
      <c r="AF54" s="1581"/>
      <c r="AG54" s="1581"/>
      <c r="AL54" s="1452" t="s">
        <v>779</v>
      </c>
      <c r="AM54" s="1452"/>
      <c r="AN54" s="1452"/>
      <c r="AO54" s="1452"/>
      <c r="AP54" s="1452"/>
      <c r="AQ54" s="1452"/>
      <c r="AR54" s="1452"/>
      <c r="AS54" s="1452"/>
      <c r="AT54" s="1452"/>
      <c r="AU54" s="1452"/>
      <c r="AV54" s="1452"/>
      <c r="AW54" s="1452"/>
      <c r="AX54" s="1452"/>
      <c r="AY54" s="1452"/>
    </row>
    <row r="55" spans="2:76" ht="15.75" customHeight="1" x14ac:dyDescent="0.35">
      <c r="AK55" s="44"/>
      <c r="AL55" s="44"/>
      <c r="AM55" s="44"/>
      <c r="AN55" s="44"/>
      <c r="AO55" s="44"/>
      <c r="AP55" s="44"/>
      <c r="AQ55" s="44"/>
      <c r="AR55" s="44"/>
      <c r="AS55" s="44"/>
      <c r="AT55" s="44"/>
      <c r="AU55" s="44"/>
      <c r="AV55" s="44"/>
      <c r="AW55" s="44"/>
      <c r="AX55" s="44"/>
      <c r="AY55" s="44"/>
      <c r="AZ55" s="64"/>
      <c r="BA55" s="209"/>
    </row>
    <row r="56" spans="2:76" ht="15.75" customHeight="1" x14ac:dyDescent="0.35">
      <c r="AZ56" s="44"/>
      <c r="BA56" s="44"/>
    </row>
    <row r="57" spans="2:76" ht="15.75" customHeight="1" x14ac:dyDescent="0.35"/>
    <row r="58" spans="2:76" ht="15.75" customHeight="1" x14ac:dyDescent="0.35"/>
    <row r="59" spans="2:76" ht="15.75" customHeight="1" x14ac:dyDescent="0.35"/>
    <row r="60" spans="2:76" ht="15.75" customHeight="1" x14ac:dyDescent="0.35"/>
    <row r="61" spans="2:76" ht="15.75" customHeight="1" x14ac:dyDescent="0.35"/>
    <row r="62" spans="2:76" ht="15.75" customHeight="1" x14ac:dyDescent="0.35"/>
    <row r="63" spans="2:76" ht="15.75" customHeight="1" x14ac:dyDescent="0.35"/>
    <row r="64" spans="2:76"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sheetData>
  <sheetProtection algorithmName="SHA-512" hashValue="K3raPUXwj1uc6MdynlC3ylS5fwpDhdPIONg+9PBAPltZ8+TS2IaWi6AMs0UzFdaGfrI1zCxm/Opew0EhMJ7CkQ==" saltValue="HLAlQWjuLYWWugrKHY6YzA==" spinCount="100000" sheet="1" objects="1" scenarios="1" selectLockedCells="1"/>
  <mergeCells count="49">
    <mergeCell ref="E33:AY33"/>
    <mergeCell ref="E34:AY34"/>
    <mergeCell ref="E35:AY35"/>
    <mergeCell ref="E36:AY36"/>
    <mergeCell ref="AH15:AL15"/>
    <mergeCell ref="AH17:AJ18"/>
    <mergeCell ref="AH19:AL19"/>
    <mergeCell ref="AC5:AG5"/>
    <mergeCell ref="T8:AD9"/>
    <mergeCell ref="AE15:AG15"/>
    <mergeCell ref="AE16:AG16"/>
    <mergeCell ref="AE17:AG18"/>
    <mergeCell ref="AE10:AG10"/>
    <mergeCell ref="AE11:AG11"/>
    <mergeCell ref="AE12:AG12"/>
    <mergeCell ref="AE13:AG13"/>
    <mergeCell ref="AE14:AG14"/>
    <mergeCell ref="F52:O52"/>
    <mergeCell ref="B49:AX49"/>
    <mergeCell ref="E44:AY44"/>
    <mergeCell ref="AE8:AG9"/>
    <mergeCell ref="U17:AD18"/>
    <mergeCell ref="AE20:AG21"/>
    <mergeCell ref="J26:N26"/>
    <mergeCell ref="AE19:AG19"/>
    <mergeCell ref="AR21:AV21"/>
    <mergeCell ref="AL52:AY53"/>
    <mergeCell ref="E40:AY40"/>
    <mergeCell ref="U21:AC21"/>
    <mergeCell ref="E37:AY37"/>
    <mergeCell ref="C29:AY29"/>
    <mergeCell ref="D31:AY31"/>
    <mergeCell ref="E32:AY32"/>
    <mergeCell ref="AH11:AJ11"/>
    <mergeCell ref="AH12:AK12"/>
    <mergeCell ref="AH13:AL13"/>
    <mergeCell ref="AH14:AK14"/>
    <mergeCell ref="F54:O54"/>
    <mergeCell ref="T52:AG52"/>
    <mergeCell ref="X54:AG54"/>
    <mergeCell ref="AL54:AY54"/>
    <mergeCell ref="E38:AY38"/>
    <mergeCell ref="E39:AY39"/>
    <mergeCell ref="E43:AY43"/>
    <mergeCell ref="E41:AY41"/>
    <mergeCell ref="E45:AY45"/>
    <mergeCell ref="E42:AY42"/>
    <mergeCell ref="F53:O53"/>
    <mergeCell ref="T53:AG53"/>
  </mergeCells>
  <conditionalFormatting sqref="D10">
    <cfRule type="expression" dxfId="80" priority="1">
      <formula>AND(I9=TRUE, AND(E11=FALSE, E12=FALSE, E13=FALSE, E14=FALSE, E15=FALSE, E16=FALSE, E17=FALSE, E18=FALSE, E19=FALSE, E20=FALSE, E21=FALSE, E23=FALSE, E24=FALSE, E25=FALSE, E26=FALSE))</formula>
    </cfRule>
  </conditionalFormatting>
  <dataValidations count="2">
    <dataValidation type="decimal" allowBlank="1" showInputMessage="1" showErrorMessage="1" errorTitle="GJHSP SY 2022-2023" error="Please enter valid number between 0-200,000.00." sqref="AC5:AG5" xr:uid="{0A1F9433-5FA8-42D9-9DED-48394A49D0F0}">
      <formula1>0</formula1>
      <formula2>200000</formula2>
    </dataValidation>
    <dataValidation type="whole" allowBlank="1" showInputMessage="1" showErrorMessage="1" errorTitle="GJHSP SY 2022-2023" error="Please enter valid year." sqref="AE10:AG21" xr:uid="{D9F813B9-8C0C-4CA5-BB9A-F9DC1F88B461}">
      <formula1>1600</formula1>
      <formula2>2023</formula2>
    </dataValidation>
  </dataValidations>
  <printOptions horizontalCentered="1" verticalCentered="1"/>
  <pageMargins left="0.23622047244094491" right="0.23622047244094491" top="0.19685039370078741" bottom="0.19685039370078741" header="0" footer="0.11811023622047245"/>
  <pageSetup paperSize="14" scale="60" orientation="landscape" r:id="rId1"/>
  <headerFooter alignWithMargins="0">
    <oddFooter>&amp;L&amp;10&amp;F &amp;A&amp;R&amp;10Page 27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31745" r:id="rId4" name="Check Box 1">
              <controlPr defaultSize="0" autoFill="0" autoLine="0" autoPict="0">
                <anchor moveWithCells="1">
                  <from>
                    <xdr:col>4</xdr:col>
                    <xdr:colOff>25400</xdr:colOff>
                    <xdr:row>6</xdr:row>
                    <xdr:rowOff>0</xdr:rowOff>
                  </from>
                  <to>
                    <xdr:col>5</xdr:col>
                    <xdr:colOff>101600</xdr:colOff>
                    <xdr:row>6</xdr:row>
                    <xdr:rowOff>222250</xdr:rowOff>
                  </to>
                </anchor>
              </controlPr>
            </control>
          </mc:Choice>
        </mc:AlternateContent>
        <mc:AlternateContent xmlns:mc="http://schemas.openxmlformats.org/markup-compatibility/2006">
          <mc:Choice Requires="x14">
            <control shapeId="31746" r:id="rId5" name="Check Box 2">
              <controlPr defaultSize="0" autoFill="0" autoLine="0" autoPict="0">
                <anchor moveWithCells="1">
                  <from>
                    <xdr:col>8</xdr:col>
                    <xdr:colOff>25400</xdr:colOff>
                    <xdr:row>6</xdr:row>
                    <xdr:rowOff>0</xdr:rowOff>
                  </from>
                  <to>
                    <xdr:col>9</xdr:col>
                    <xdr:colOff>101600</xdr:colOff>
                    <xdr:row>6</xdr:row>
                    <xdr:rowOff>222250</xdr:rowOff>
                  </to>
                </anchor>
              </controlPr>
            </control>
          </mc:Choice>
        </mc:AlternateContent>
        <mc:AlternateContent xmlns:mc="http://schemas.openxmlformats.org/markup-compatibility/2006">
          <mc:Choice Requires="x14">
            <control shapeId="31747" r:id="rId6" name="Check Box 3">
              <controlPr defaultSize="0" autoFill="0" autoLine="0" autoPict="0">
                <anchor moveWithCells="1">
                  <from>
                    <xdr:col>4</xdr:col>
                    <xdr:colOff>25400</xdr:colOff>
                    <xdr:row>7</xdr:row>
                    <xdr:rowOff>0</xdr:rowOff>
                  </from>
                  <to>
                    <xdr:col>5</xdr:col>
                    <xdr:colOff>101600</xdr:colOff>
                    <xdr:row>7</xdr:row>
                    <xdr:rowOff>222250</xdr:rowOff>
                  </to>
                </anchor>
              </controlPr>
            </control>
          </mc:Choice>
        </mc:AlternateContent>
        <mc:AlternateContent xmlns:mc="http://schemas.openxmlformats.org/markup-compatibility/2006">
          <mc:Choice Requires="x14">
            <control shapeId="31748" r:id="rId7" name="Check Box 4">
              <controlPr defaultSize="0" autoFill="0" autoLine="0" autoPict="0">
                <anchor moveWithCells="1">
                  <from>
                    <xdr:col>8</xdr:col>
                    <xdr:colOff>25400</xdr:colOff>
                    <xdr:row>7</xdr:row>
                    <xdr:rowOff>0</xdr:rowOff>
                  </from>
                  <to>
                    <xdr:col>9</xdr:col>
                    <xdr:colOff>101600</xdr:colOff>
                    <xdr:row>7</xdr:row>
                    <xdr:rowOff>222250</xdr:rowOff>
                  </to>
                </anchor>
              </controlPr>
            </control>
          </mc:Choice>
        </mc:AlternateContent>
        <mc:AlternateContent xmlns:mc="http://schemas.openxmlformats.org/markup-compatibility/2006">
          <mc:Choice Requires="x14">
            <control shapeId="31749" r:id="rId8" name="Check Box 5">
              <controlPr defaultSize="0" autoFill="0" autoLine="0" autoPict="0">
                <anchor moveWithCells="1">
                  <from>
                    <xdr:col>8</xdr:col>
                    <xdr:colOff>25400</xdr:colOff>
                    <xdr:row>8</xdr:row>
                    <xdr:rowOff>0</xdr:rowOff>
                  </from>
                  <to>
                    <xdr:col>9</xdr:col>
                    <xdr:colOff>101600</xdr:colOff>
                    <xdr:row>8</xdr:row>
                    <xdr:rowOff>222250</xdr:rowOff>
                  </to>
                </anchor>
              </controlPr>
            </control>
          </mc:Choice>
        </mc:AlternateContent>
        <mc:AlternateContent xmlns:mc="http://schemas.openxmlformats.org/markup-compatibility/2006">
          <mc:Choice Requires="x14">
            <control shapeId="31750" r:id="rId9" name="Check Box 6">
              <controlPr defaultSize="0" autoFill="0" autoLine="0" autoPict="0">
                <anchor moveWithCells="1">
                  <from>
                    <xdr:col>12</xdr:col>
                    <xdr:colOff>25400</xdr:colOff>
                    <xdr:row>8</xdr:row>
                    <xdr:rowOff>0</xdr:rowOff>
                  </from>
                  <to>
                    <xdr:col>13</xdr:col>
                    <xdr:colOff>101600</xdr:colOff>
                    <xdr:row>8</xdr:row>
                    <xdr:rowOff>222250</xdr:rowOff>
                  </to>
                </anchor>
              </controlPr>
            </control>
          </mc:Choice>
        </mc:AlternateContent>
        <mc:AlternateContent xmlns:mc="http://schemas.openxmlformats.org/markup-compatibility/2006">
          <mc:Choice Requires="x14">
            <control shapeId="31751" r:id="rId10" name="Check Box 7">
              <controlPr defaultSize="0" autoFill="0" autoLine="0" autoPict="0">
                <anchor moveWithCells="1">
                  <from>
                    <xdr:col>19</xdr:col>
                    <xdr:colOff>25400</xdr:colOff>
                    <xdr:row>9</xdr:row>
                    <xdr:rowOff>0</xdr:rowOff>
                  </from>
                  <to>
                    <xdr:col>20</xdr:col>
                    <xdr:colOff>101600</xdr:colOff>
                    <xdr:row>9</xdr:row>
                    <xdr:rowOff>222250</xdr:rowOff>
                  </to>
                </anchor>
              </controlPr>
            </control>
          </mc:Choice>
        </mc:AlternateContent>
        <mc:AlternateContent xmlns:mc="http://schemas.openxmlformats.org/markup-compatibility/2006">
          <mc:Choice Requires="x14">
            <control shapeId="31752" r:id="rId11" name="Check Box 8">
              <controlPr defaultSize="0" autoFill="0" autoLine="0" autoPict="0">
                <anchor moveWithCells="1">
                  <from>
                    <xdr:col>19</xdr:col>
                    <xdr:colOff>25400</xdr:colOff>
                    <xdr:row>10</xdr:row>
                    <xdr:rowOff>0</xdr:rowOff>
                  </from>
                  <to>
                    <xdr:col>20</xdr:col>
                    <xdr:colOff>101600</xdr:colOff>
                    <xdr:row>10</xdr:row>
                    <xdr:rowOff>222250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from>
                    <xdr:col>19</xdr:col>
                    <xdr:colOff>25400</xdr:colOff>
                    <xdr:row>11</xdr:row>
                    <xdr:rowOff>0</xdr:rowOff>
                  </from>
                  <to>
                    <xdr:col>19</xdr:col>
                    <xdr:colOff>215900</xdr:colOff>
                    <xdr:row>12</xdr:row>
                    <xdr:rowOff>6350</xdr:rowOff>
                  </to>
                </anchor>
              </controlPr>
            </control>
          </mc:Choice>
        </mc:AlternateContent>
        <mc:AlternateContent xmlns:mc="http://schemas.openxmlformats.org/markup-compatibility/2006">
          <mc:Choice Requires="x14">
            <control shapeId="31754" r:id="rId13" name="Check Box 10">
              <controlPr defaultSize="0" autoFill="0" autoLine="0" autoPict="0">
                <anchor moveWithCells="1">
                  <from>
                    <xdr:col>19</xdr:col>
                    <xdr:colOff>25400</xdr:colOff>
                    <xdr:row>12</xdr:row>
                    <xdr:rowOff>12700</xdr:rowOff>
                  </from>
                  <to>
                    <xdr:col>19</xdr:col>
                    <xdr:colOff>222250</xdr:colOff>
                    <xdr:row>12</xdr:row>
                    <xdr:rowOff>241300</xdr:rowOff>
                  </to>
                </anchor>
              </controlPr>
            </control>
          </mc:Choice>
        </mc:AlternateContent>
        <mc:AlternateContent xmlns:mc="http://schemas.openxmlformats.org/markup-compatibility/2006">
          <mc:Choice Requires="x14">
            <control shapeId="31755" r:id="rId14" name="Check Box 11">
              <controlPr defaultSize="0" autoFill="0" autoLine="0" autoPict="0">
                <anchor moveWithCells="1">
                  <from>
                    <xdr:col>19</xdr:col>
                    <xdr:colOff>25400</xdr:colOff>
                    <xdr:row>13</xdr:row>
                    <xdr:rowOff>0</xdr:rowOff>
                  </from>
                  <to>
                    <xdr:col>19</xdr:col>
                    <xdr:colOff>234950</xdr:colOff>
                    <xdr:row>14</xdr:row>
                    <xdr:rowOff>12700</xdr:rowOff>
                  </to>
                </anchor>
              </controlPr>
            </control>
          </mc:Choice>
        </mc:AlternateContent>
        <mc:AlternateContent xmlns:mc="http://schemas.openxmlformats.org/markup-compatibility/2006">
          <mc:Choice Requires="x14">
            <control shapeId="31756" r:id="rId15" name="Check Box 12">
              <controlPr defaultSize="0" autoFill="0" autoLine="0" autoPict="0">
                <anchor moveWithCells="1">
                  <from>
                    <xdr:col>19</xdr:col>
                    <xdr:colOff>25400</xdr:colOff>
                    <xdr:row>14</xdr:row>
                    <xdr:rowOff>0</xdr:rowOff>
                  </from>
                  <to>
                    <xdr:col>20</xdr:col>
                    <xdr:colOff>101600</xdr:colOff>
                    <xdr:row>14</xdr:row>
                    <xdr:rowOff>222250</xdr:rowOff>
                  </to>
                </anchor>
              </controlPr>
            </control>
          </mc:Choice>
        </mc:AlternateContent>
        <mc:AlternateContent xmlns:mc="http://schemas.openxmlformats.org/markup-compatibility/2006">
          <mc:Choice Requires="x14">
            <control shapeId="31757" r:id="rId16" name="Check Box 13">
              <controlPr defaultSize="0" autoFill="0" autoLine="0" autoPict="0">
                <anchor moveWithCells="1">
                  <from>
                    <xdr:col>19</xdr:col>
                    <xdr:colOff>25400</xdr:colOff>
                    <xdr:row>15</xdr:row>
                    <xdr:rowOff>0</xdr:rowOff>
                  </from>
                  <to>
                    <xdr:col>20</xdr:col>
                    <xdr:colOff>101600</xdr:colOff>
                    <xdr:row>15</xdr:row>
                    <xdr:rowOff>222250</xdr:rowOff>
                  </to>
                </anchor>
              </controlPr>
            </control>
          </mc:Choice>
        </mc:AlternateContent>
        <mc:AlternateContent xmlns:mc="http://schemas.openxmlformats.org/markup-compatibility/2006">
          <mc:Choice Requires="x14">
            <control shapeId="31758" r:id="rId17" name="Check Box 14">
              <controlPr defaultSize="0" autoFill="0" autoLine="0" autoPict="0">
                <anchor moveWithCells="1">
                  <from>
                    <xdr:col>19</xdr:col>
                    <xdr:colOff>25400</xdr:colOff>
                    <xdr:row>16</xdr:row>
                    <xdr:rowOff>0</xdr:rowOff>
                  </from>
                  <to>
                    <xdr:col>20</xdr:col>
                    <xdr:colOff>101600</xdr:colOff>
                    <xdr:row>16</xdr:row>
                    <xdr:rowOff>222250</xdr:rowOff>
                  </to>
                </anchor>
              </controlPr>
            </control>
          </mc:Choice>
        </mc:AlternateContent>
        <mc:AlternateContent xmlns:mc="http://schemas.openxmlformats.org/markup-compatibility/2006">
          <mc:Choice Requires="x14">
            <control shapeId="31759" r:id="rId18" name="Check Box 15">
              <controlPr defaultSize="0" autoFill="0" autoLine="0" autoPict="0">
                <anchor moveWithCells="1">
                  <from>
                    <xdr:col>19</xdr:col>
                    <xdr:colOff>25400</xdr:colOff>
                    <xdr:row>18</xdr:row>
                    <xdr:rowOff>0</xdr:rowOff>
                  </from>
                  <to>
                    <xdr:col>20</xdr:col>
                    <xdr:colOff>101600</xdr:colOff>
                    <xdr:row>18</xdr:row>
                    <xdr:rowOff>222250</xdr:rowOff>
                  </to>
                </anchor>
              </controlPr>
            </control>
          </mc:Choice>
        </mc:AlternateContent>
        <mc:AlternateContent xmlns:mc="http://schemas.openxmlformats.org/markup-compatibility/2006">
          <mc:Choice Requires="x14">
            <control shapeId="31760" r:id="rId19" name="Check Box 16">
              <controlPr defaultSize="0" autoFill="0" autoLine="0" autoPict="0">
                <anchor moveWithCells="1">
                  <from>
                    <xdr:col>19</xdr:col>
                    <xdr:colOff>25400</xdr:colOff>
                    <xdr:row>19</xdr:row>
                    <xdr:rowOff>0</xdr:rowOff>
                  </from>
                  <to>
                    <xdr:col>20</xdr:col>
                    <xdr:colOff>101600</xdr:colOff>
                    <xdr:row>19</xdr:row>
                    <xdr:rowOff>222250</xdr:rowOff>
                  </to>
                </anchor>
              </controlPr>
            </control>
          </mc:Choice>
        </mc:AlternateContent>
        <mc:AlternateContent xmlns:mc="http://schemas.openxmlformats.org/markup-compatibility/2006">
          <mc:Choice Requires="x14">
            <control shapeId="31761" r:id="rId20" name="Check Box 17">
              <controlPr defaultSize="0" autoFill="0" autoLine="0" autoPict="0">
                <anchor moveWithCells="1">
                  <from>
                    <xdr:col>4</xdr:col>
                    <xdr:colOff>25400</xdr:colOff>
                    <xdr:row>10</xdr:row>
                    <xdr:rowOff>0</xdr:rowOff>
                  </from>
                  <to>
                    <xdr:col>5</xdr:col>
                    <xdr:colOff>101600</xdr:colOff>
                    <xdr:row>10</xdr:row>
                    <xdr:rowOff>222250</xdr:rowOff>
                  </to>
                </anchor>
              </controlPr>
            </control>
          </mc:Choice>
        </mc:AlternateContent>
        <mc:AlternateContent xmlns:mc="http://schemas.openxmlformats.org/markup-compatibility/2006">
          <mc:Choice Requires="x14">
            <control shapeId="31762" r:id="rId21" name="Check Box 18">
              <controlPr defaultSize="0" autoFill="0" autoLine="0" autoPict="0">
                <anchor moveWithCells="1">
                  <from>
                    <xdr:col>4</xdr:col>
                    <xdr:colOff>25400</xdr:colOff>
                    <xdr:row>11</xdr:row>
                    <xdr:rowOff>0</xdr:rowOff>
                  </from>
                  <to>
                    <xdr:col>5</xdr:col>
                    <xdr:colOff>101600</xdr:colOff>
                    <xdr:row>11</xdr:row>
                    <xdr:rowOff>222250</xdr:rowOff>
                  </to>
                </anchor>
              </controlPr>
            </control>
          </mc:Choice>
        </mc:AlternateContent>
        <mc:AlternateContent xmlns:mc="http://schemas.openxmlformats.org/markup-compatibility/2006">
          <mc:Choice Requires="x14">
            <control shapeId="31763" r:id="rId22" name="Check Box 19">
              <controlPr defaultSize="0" autoFill="0" autoLine="0" autoPict="0">
                <anchor moveWithCells="1">
                  <from>
                    <xdr:col>4</xdr:col>
                    <xdr:colOff>25400</xdr:colOff>
                    <xdr:row>12</xdr:row>
                    <xdr:rowOff>0</xdr:rowOff>
                  </from>
                  <to>
                    <xdr:col>5</xdr:col>
                    <xdr:colOff>101600</xdr:colOff>
                    <xdr:row>12</xdr:row>
                    <xdr:rowOff>222250</xdr:rowOff>
                  </to>
                </anchor>
              </controlPr>
            </control>
          </mc:Choice>
        </mc:AlternateContent>
        <mc:AlternateContent xmlns:mc="http://schemas.openxmlformats.org/markup-compatibility/2006">
          <mc:Choice Requires="x14">
            <control shapeId="31764" r:id="rId23" name="Check Box 20">
              <controlPr defaultSize="0" autoFill="0" autoLine="0" autoPict="0">
                <anchor moveWithCells="1">
                  <from>
                    <xdr:col>4</xdr:col>
                    <xdr:colOff>25400</xdr:colOff>
                    <xdr:row>13</xdr:row>
                    <xdr:rowOff>0</xdr:rowOff>
                  </from>
                  <to>
                    <xdr:col>5</xdr:col>
                    <xdr:colOff>101600</xdr:colOff>
                    <xdr:row>13</xdr:row>
                    <xdr:rowOff>222250</xdr:rowOff>
                  </to>
                </anchor>
              </controlPr>
            </control>
          </mc:Choice>
        </mc:AlternateContent>
        <mc:AlternateContent xmlns:mc="http://schemas.openxmlformats.org/markup-compatibility/2006">
          <mc:Choice Requires="x14">
            <control shapeId="31765" r:id="rId24" name="Check Box 21">
              <controlPr defaultSize="0" autoFill="0" autoLine="0" autoPict="0">
                <anchor moveWithCells="1">
                  <from>
                    <xdr:col>4</xdr:col>
                    <xdr:colOff>25400</xdr:colOff>
                    <xdr:row>14</xdr:row>
                    <xdr:rowOff>0</xdr:rowOff>
                  </from>
                  <to>
                    <xdr:col>5</xdr:col>
                    <xdr:colOff>101600</xdr:colOff>
                    <xdr:row>14</xdr:row>
                    <xdr:rowOff>222250</xdr:rowOff>
                  </to>
                </anchor>
              </controlPr>
            </control>
          </mc:Choice>
        </mc:AlternateContent>
        <mc:AlternateContent xmlns:mc="http://schemas.openxmlformats.org/markup-compatibility/2006">
          <mc:Choice Requires="x14">
            <control shapeId="31766" r:id="rId25" name="Check Box 22">
              <controlPr defaultSize="0" autoFill="0" autoLine="0" autoPict="0">
                <anchor moveWithCells="1">
                  <from>
                    <xdr:col>4</xdr:col>
                    <xdr:colOff>25400</xdr:colOff>
                    <xdr:row>15</xdr:row>
                    <xdr:rowOff>0</xdr:rowOff>
                  </from>
                  <to>
                    <xdr:col>5</xdr:col>
                    <xdr:colOff>101600</xdr:colOff>
                    <xdr:row>15</xdr:row>
                    <xdr:rowOff>222250</xdr:rowOff>
                  </to>
                </anchor>
              </controlPr>
            </control>
          </mc:Choice>
        </mc:AlternateContent>
        <mc:AlternateContent xmlns:mc="http://schemas.openxmlformats.org/markup-compatibility/2006">
          <mc:Choice Requires="x14">
            <control shapeId="31767" r:id="rId26" name="Check Box 23">
              <controlPr defaultSize="0" autoFill="0" autoLine="0" autoPict="0">
                <anchor moveWithCells="1">
                  <from>
                    <xdr:col>4</xdr:col>
                    <xdr:colOff>25400</xdr:colOff>
                    <xdr:row>16</xdr:row>
                    <xdr:rowOff>0</xdr:rowOff>
                  </from>
                  <to>
                    <xdr:col>5</xdr:col>
                    <xdr:colOff>101600</xdr:colOff>
                    <xdr:row>16</xdr:row>
                    <xdr:rowOff>222250</xdr:rowOff>
                  </to>
                </anchor>
              </controlPr>
            </control>
          </mc:Choice>
        </mc:AlternateContent>
        <mc:AlternateContent xmlns:mc="http://schemas.openxmlformats.org/markup-compatibility/2006">
          <mc:Choice Requires="x14">
            <control shapeId="31768" r:id="rId27" name="Check Box 24">
              <controlPr defaultSize="0" autoFill="0" autoLine="0" autoPict="0">
                <anchor moveWithCells="1">
                  <from>
                    <xdr:col>4</xdr:col>
                    <xdr:colOff>25400</xdr:colOff>
                    <xdr:row>17</xdr:row>
                    <xdr:rowOff>0</xdr:rowOff>
                  </from>
                  <to>
                    <xdr:col>5</xdr:col>
                    <xdr:colOff>101600</xdr:colOff>
                    <xdr:row>17</xdr:row>
                    <xdr:rowOff>222250</xdr:rowOff>
                  </to>
                </anchor>
              </controlPr>
            </control>
          </mc:Choice>
        </mc:AlternateContent>
        <mc:AlternateContent xmlns:mc="http://schemas.openxmlformats.org/markup-compatibility/2006">
          <mc:Choice Requires="x14">
            <control shapeId="31769" r:id="rId28" name="Check Box 25">
              <controlPr defaultSize="0" autoFill="0" autoLine="0" autoPict="0">
                <anchor moveWithCells="1">
                  <from>
                    <xdr:col>4</xdr:col>
                    <xdr:colOff>25400</xdr:colOff>
                    <xdr:row>18</xdr:row>
                    <xdr:rowOff>0</xdr:rowOff>
                  </from>
                  <to>
                    <xdr:col>5</xdr:col>
                    <xdr:colOff>101600</xdr:colOff>
                    <xdr:row>18</xdr:row>
                    <xdr:rowOff>222250</xdr:rowOff>
                  </to>
                </anchor>
              </controlPr>
            </control>
          </mc:Choice>
        </mc:AlternateContent>
        <mc:AlternateContent xmlns:mc="http://schemas.openxmlformats.org/markup-compatibility/2006">
          <mc:Choice Requires="x14">
            <control shapeId="31770" r:id="rId29" name="Check Box 26">
              <controlPr defaultSize="0" autoFill="0" autoLine="0" autoPict="0">
                <anchor moveWithCells="1">
                  <from>
                    <xdr:col>4</xdr:col>
                    <xdr:colOff>25400</xdr:colOff>
                    <xdr:row>19</xdr:row>
                    <xdr:rowOff>0</xdr:rowOff>
                  </from>
                  <to>
                    <xdr:col>5</xdr:col>
                    <xdr:colOff>101600</xdr:colOff>
                    <xdr:row>19</xdr:row>
                    <xdr:rowOff>222250</xdr:rowOff>
                  </to>
                </anchor>
              </controlPr>
            </control>
          </mc:Choice>
        </mc:AlternateContent>
        <mc:AlternateContent xmlns:mc="http://schemas.openxmlformats.org/markup-compatibility/2006">
          <mc:Choice Requires="x14">
            <control shapeId="31771" r:id="rId30" name="Check Box 27">
              <controlPr defaultSize="0" autoFill="0" autoLine="0" autoPict="0">
                <anchor moveWithCells="1">
                  <from>
                    <xdr:col>4</xdr:col>
                    <xdr:colOff>25400</xdr:colOff>
                    <xdr:row>20</xdr:row>
                    <xdr:rowOff>6350</xdr:rowOff>
                  </from>
                  <to>
                    <xdr:col>5</xdr:col>
                    <xdr:colOff>101600</xdr:colOff>
                    <xdr:row>20</xdr:row>
                    <xdr:rowOff>228600</xdr:rowOff>
                  </to>
                </anchor>
              </controlPr>
            </control>
          </mc:Choice>
        </mc:AlternateContent>
        <mc:AlternateContent xmlns:mc="http://schemas.openxmlformats.org/markup-compatibility/2006">
          <mc:Choice Requires="x14">
            <control shapeId="31772" r:id="rId31" name="Check Box 28">
              <controlPr defaultSize="0" autoFill="0" autoLine="0" autoPict="0">
                <anchor moveWithCells="1">
                  <from>
                    <xdr:col>4</xdr:col>
                    <xdr:colOff>25400</xdr:colOff>
                    <xdr:row>22</xdr:row>
                    <xdr:rowOff>0</xdr:rowOff>
                  </from>
                  <to>
                    <xdr:col>5</xdr:col>
                    <xdr:colOff>101600</xdr:colOff>
                    <xdr:row>22</xdr:row>
                    <xdr:rowOff>222250</xdr:rowOff>
                  </to>
                </anchor>
              </controlPr>
            </control>
          </mc:Choice>
        </mc:AlternateContent>
        <mc:AlternateContent xmlns:mc="http://schemas.openxmlformats.org/markup-compatibility/2006">
          <mc:Choice Requires="x14">
            <control shapeId="31773" r:id="rId32" name="Check Box 29">
              <controlPr defaultSize="0" autoFill="0" autoLine="0" autoPict="0">
                <anchor moveWithCells="1">
                  <from>
                    <xdr:col>4</xdr:col>
                    <xdr:colOff>25400</xdr:colOff>
                    <xdr:row>23</xdr:row>
                    <xdr:rowOff>0</xdr:rowOff>
                  </from>
                  <to>
                    <xdr:col>5</xdr:col>
                    <xdr:colOff>101600</xdr:colOff>
                    <xdr:row>23</xdr:row>
                    <xdr:rowOff>222250</xdr:rowOff>
                  </to>
                </anchor>
              </controlPr>
            </control>
          </mc:Choice>
        </mc:AlternateContent>
        <mc:AlternateContent xmlns:mc="http://schemas.openxmlformats.org/markup-compatibility/2006">
          <mc:Choice Requires="x14">
            <control shapeId="31774" r:id="rId33" name="Check Box 30">
              <controlPr defaultSize="0" autoFill="0" autoLine="0" autoPict="0">
                <anchor moveWithCells="1">
                  <from>
                    <xdr:col>4</xdr:col>
                    <xdr:colOff>25400</xdr:colOff>
                    <xdr:row>24</xdr:row>
                    <xdr:rowOff>0</xdr:rowOff>
                  </from>
                  <to>
                    <xdr:col>5</xdr:col>
                    <xdr:colOff>101600</xdr:colOff>
                    <xdr:row>24</xdr:row>
                    <xdr:rowOff>222250</xdr:rowOff>
                  </to>
                </anchor>
              </controlPr>
            </control>
          </mc:Choice>
        </mc:AlternateContent>
        <mc:AlternateContent xmlns:mc="http://schemas.openxmlformats.org/markup-compatibility/2006">
          <mc:Choice Requires="x14">
            <control shapeId="31775" r:id="rId34" name="Check Box 31">
              <controlPr defaultSize="0" autoFill="0" autoLine="0" autoPict="0">
                <anchor moveWithCells="1">
                  <from>
                    <xdr:col>4</xdr:col>
                    <xdr:colOff>25400</xdr:colOff>
                    <xdr:row>25</xdr:row>
                    <xdr:rowOff>0</xdr:rowOff>
                  </from>
                  <to>
                    <xdr:col>5</xdr:col>
                    <xdr:colOff>101600</xdr:colOff>
                    <xdr:row>25</xdr:row>
                    <xdr:rowOff>222250</xdr:rowOff>
                  </to>
                </anchor>
              </controlPr>
            </control>
          </mc:Choice>
        </mc:AlternateContent>
        <mc:AlternateContent xmlns:mc="http://schemas.openxmlformats.org/markup-compatibility/2006">
          <mc:Choice Requires="x14">
            <control shapeId="31776" r:id="rId35" name="Check Box 32">
              <controlPr defaultSize="0" autoFill="0" autoLine="0" autoPict="0">
                <anchor moveWithCells="1">
                  <from>
                    <xdr:col>38</xdr:col>
                    <xdr:colOff>25400</xdr:colOff>
                    <xdr:row>6</xdr:row>
                    <xdr:rowOff>0</xdr:rowOff>
                  </from>
                  <to>
                    <xdr:col>39</xdr:col>
                    <xdr:colOff>101600</xdr:colOff>
                    <xdr:row>6</xdr:row>
                    <xdr:rowOff>222250</xdr:rowOff>
                  </to>
                </anchor>
              </controlPr>
            </control>
          </mc:Choice>
        </mc:AlternateContent>
        <mc:AlternateContent xmlns:mc="http://schemas.openxmlformats.org/markup-compatibility/2006">
          <mc:Choice Requires="x14">
            <control shapeId="31777" r:id="rId36" name="Check Box 33">
              <controlPr defaultSize="0" autoFill="0" autoLine="0" autoPict="0">
                <anchor moveWithCells="1">
                  <from>
                    <xdr:col>42</xdr:col>
                    <xdr:colOff>25400</xdr:colOff>
                    <xdr:row>6</xdr:row>
                    <xdr:rowOff>0</xdr:rowOff>
                  </from>
                  <to>
                    <xdr:col>43</xdr:col>
                    <xdr:colOff>101600</xdr:colOff>
                    <xdr:row>6</xdr:row>
                    <xdr:rowOff>222250</xdr:rowOff>
                  </to>
                </anchor>
              </controlPr>
            </control>
          </mc:Choice>
        </mc:AlternateContent>
        <mc:AlternateContent xmlns:mc="http://schemas.openxmlformats.org/markup-compatibility/2006">
          <mc:Choice Requires="x14">
            <control shapeId="31778" r:id="rId37" name="Check Box 34">
              <controlPr defaultSize="0" autoFill="0" autoLine="0" autoPict="0">
                <anchor moveWithCells="1">
                  <from>
                    <xdr:col>38</xdr:col>
                    <xdr:colOff>25400</xdr:colOff>
                    <xdr:row>8</xdr:row>
                    <xdr:rowOff>0</xdr:rowOff>
                  </from>
                  <to>
                    <xdr:col>39</xdr:col>
                    <xdr:colOff>101600</xdr:colOff>
                    <xdr:row>8</xdr:row>
                    <xdr:rowOff>222250</xdr:rowOff>
                  </to>
                </anchor>
              </controlPr>
            </control>
          </mc:Choice>
        </mc:AlternateContent>
        <mc:AlternateContent xmlns:mc="http://schemas.openxmlformats.org/markup-compatibility/2006">
          <mc:Choice Requires="x14">
            <control shapeId="31779" r:id="rId38" name="Check Box 35">
              <controlPr defaultSize="0" autoFill="0" autoLine="0" autoPict="0">
                <anchor moveWithCells="1">
                  <from>
                    <xdr:col>42</xdr:col>
                    <xdr:colOff>25400</xdr:colOff>
                    <xdr:row>8</xdr:row>
                    <xdr:rowOff>0</xdr:rowOff>
                  </from>
                  <to>
                    <xdr:col>43</xdr:col>
                    <xdr:colOff>101600</xdr:colOff>
                    <xdr:row>8</xdr:row>
                    <xdr:rowOff>222250</xdr:rowOff>
                  </to>
                </anchor>
              </controlPr>
            </control>
          </mc:Choice>
        </mc:AlternateContent>
        <mc:AlternateContent xmlns:mc="http://schemas.openxmlformats.org/markup-compatibility/2006">
          <mc:Choice Requires="x14">
            <control shapeId="31780" r:id="rId39" name="Check Box 36">
              <controlPr defaultSize="0" autoFill="0" autoLine="0" autoPict="0">
                <anchor moveWithCells="1">
                  <from>
                    <xdr:col>38</xdr:col>
                    <xdr:colOff>25400</xdr:colOff>
                    <xdr:row>12</xdr:row>
                    <xdr:rowOff>0</xdr:rowOff>
                  </from>
                  <to>
                    <xdr:col>39</xdr:col>
                    <xdr:colOff>101600</xdr:colOff>
                    <xdr:row>12</xdr:row>
                    <xdr:rowOff>222250</xdr:rowOff>
                  </to>
                </anchor>
              </controlPr>
            </control>
          </mc:Choice>
        </mc:AlternateContent>
        <mc:AlternateContent xmlns:mc="http://schemas.openxmlformats.org/markup-compatibility/2006">
          <mc:Choice Requires="x14">
            <control shapeId="31781" r:id="rId40" name="Check Box 37">
              <controlPr defaultSize="0" autoFill="0" autoLine="0" autoPict="0">
                <anchor moveWithCells="1">
                  <from>
                    <xdr:col>42</xdr:col>
                    <xdr:colOff>25400</xdr:colOff>
                    <xdr:row>12</xdr:row>
                    <xdr:rowOff>0</xdr:rowOff>
                  </from>
                  <to>
                    <xdr:col>43</xdr:col>
                    <xdr:colOff>101600</xdr:colOff>
                    <xdr:row>12</xdr:row>
                    <xdr:rowOff>222250</xdr:rowOff>
                  </to>
                </anchor>
              </controlPr>
            </control>
          </mc:Choice>
        </mc:AlternateContent>
        <mc:AlternateContent xmlns:mc="http://schemas.openxmlformats.org/markup-compatibility/2006">
          <mc:Choice Requires="x14">
            <control shapeId="31782" r:id="rId41" name="Check Box 38">
              <controlPr defaultSize="0" autoFill="0" autoLine="0" autoPict="0">
                <anchor moveWithCells="1">
                  <from>
                    <xdr:col>38</xdr:col>
                    <xdr:colOff>25400</xdr:colOff>
                    <xdr:row>14</xdr:row>
                    <xdr:rowOff>0</xdr:rowOff>
                  </from>
                  <to>
                    <xdr:col>39</xdr:col>
                    <xdr:colOff>101600</xdr:colOff>
                    <xdr:row>14</xdr:row>
                    <xdr:rowOff>222250</xdr:rowOff>
                  </to>
                </anchor>
              </controlPr>
            </control>
          </mc:Choice>
        </mc:AlternateContent>
        <mc:AlternateContent xmlns:mc="http://schemas.openxmlformats.org/markup-compatibility/2006">
          <mc:Choice Requires="x14">
            <control shapeId="31783" r:id="rId42" name="Check Box 39">
              <controlPr defaultSize="0" autoFill="0" autoLine="0" autoPict="0">
                <anchor moveWithCells="1">
                  <from>
                    <xdr:col>42</xdr:col>
                    <xdr:colOff>25400</xdr:colOff>
                    <xdr:row>14</xdr:row>
                    <xdr:rowOff>0</xdr:rowOff>
                  </from>
                  <to>
                    <xdr:col>43</xdr:col>
                    <xdr:colOff>101600</xdr:colOff>
                    <xdr:row>14</xdr:row>
                    <xdr:rowOff>222250</xdr:rowOff>
                  </to>
                </anchor>
              </controlPr>
            </control>
          </mc:Choice>
        </mc:AlternateContent>
        <mc:AlternateContent xmlns:mc="http://schemas.openxmlformats.org/markup-compatibility/2006">
          <mc:Choice Requires="x14">
            <control shapeId="31784" r:id="rId43" name="Check Box 40">
              <controlPr defaultSize="0" autoFill="0" autoLine="0" autoPict="0">
                <anchor moveWithCells="1">
                  <from>
                    <xdr:col>38</xdr:col>
                    <xdr:colOff>25400</xdr:colOff>
                    <xdr:row>17</xdr:row>
                    <xdr:rowOff>0</xdr:rowOff>
                  </from>
                  <to>
                    <xdr:col>39</xdr:col>
                    <xdr:colOff>101600</xdr:colOff>
                    <xdr:row>17</xdr:row>
                    <xdr:rowOff>222250</xdr:rowOff>
                  </to>
                </anchor>
              </controlPr>
            </control>
          </mc:Choice>
        </mc:AlternateContent>
        <mc:AlternateContent xmlns:mc="http://schemas.openxmlformats.org/markup-compatibility/2006">
          <mc:Choice Requires="x14">
            <control shapeId="31785" r:id="rId44" name="Check Box 41">
              <controlPr defaultSize="0" autoFill="0" autoLine="0" autoPict="0">
                <anchor moveWithCells="1">
                  <from>
                    <xdr:col>38</xdr:col>
                    <xdr:colOff>25400</xdr:colOff>
                    <xdr:row>18</xdr:row>
                    <xdr:rowOff>0</xdr:rowOff>
                  </from>
                  <to>
                    <xdr:col>39</xdr:col>
                    <xdr:colOff>101600</xdr:colOff>
                    <xdr:row>18</xdr:row>
                    <xdr:rowOff>222250</xdr:rowOff>
                  </to>
                </anchor>
              </controlPr>
            </control>
          </mc:Choice>
        </mc:AlternateContent>
        <mc:AlternateContent xmlns:mc="http://schemas.openxmlformats.org/markup-compatibility/2006">
          <mc:Choice Requires="x14">
            <control shapeId="31786" r:id="rId45" name="Check Box 42">
              <controlPr defaultSize="0" autoFill="0" autoLine="0" autoPict="0">
                <anchor moveWithCells="1">
                  <from>
                    <xdr:col>38</xdr:col>
                    <xdr:colOff>25400</xdr:colOff>
                    <xdr:row>19</xdr:row>
                    <xdr:rowOff>0</xdr:rowOff>
                  </from>
                  <to>
                    <xdr:col>39</xdr:col>
                    <xdr:colOff>101600</xdr:colOff>
                    <xdr:row>19</xdr:row>
                    <xdr:rowOff>222250</xdr:rowOff>
                  </to>
                </anchor>
              </controlPr>
            </control>
          </mc:Choice>
        </mc:AlternateContent>
        <mc:AlternateContent xmlns:mc="http://schemas.openxmlformats.org/markup-compatibility/2006">
          <mc:Choice Requires="x14">
            <control shapeId="31787" r:id="rId46" name="Check Box 43">
              <controlPr defaultSize="0" autoFill="0" autoLine="0" autoPict="0">
                <anchor moveWithCells="1">
                  <from>
                    <xdr:col>38</xdr:col>
                    <xdr:colOff>25400</xdr:colOff>
                    <xdr:row>20</xdr:row>
                    <xdr:rowOff>0</xdr:rowOff>
                  </from>
                  <to>
                    <xdr:col>39</xdr:col>
                    <xdr:colOff>101600</xdr:colOff>
                    <xdr:row>20</xdr:row>
                    <xdr:rowOff>222250</xdr:rowOff>
                  </to>
                </anchor>
              </controlPr>
            </control>
          </mc:Choice>
        </mc:AlternateContent>
        <mc:AlternateContent xmlns:mc="http://schemas.openxmlformats.org/markup-compatibility/2006">
          <mc:Choice Requires="x14">
            <control shapeId="31788" r:id="rId47" name="Check Box 44">
              <controlPr defaultSize="0" autoFill="0" autoLine="0" autoPict="0">
                <anchor moveWithCells="1">
                  <from>
                    <xdr:col>38</xdr:col>
                    <xdr:colOff>25400</xdr:colOff>
                    <xdr:row>24</xdr:row>
                    <xdr:rowOff>0</xdr:rowOff>
                  </from>
                  <to>
                    <xdr:col>39</xdr:col>
                    <xdr:colOff>101600</xdr:colOff>
                    <xdr:row>24</xdr:row>
                    <xdr:rowOff>222250</xdr:rowOff>
                  </to>
                </anchor>
              </controlPr>
            </control>
          </mc:Choice>
        </mc:AlternateContent>
        <mc:AlternateContent xmlns:mc="http://schemas.openxmlformats.org/markup-compatibility/2006">
          <mc:Choice Requires="x14">
            <control shapeId="31789" r:id="rId48" name="Check Box 45">
              <controlPr defaultSize="0" autoFill="0" autoLine="0" autoPict="0">
                <anchor moveWithCells="1">
                  <from>
                    <xdr:col>38</xdr:col>
                    <xdr:colOff>25400</xdr:colOff>
                    <xdr:row>25</xdr:row>
                    <xdr:rowOff>0</xdr:rowOff>
                  </from>
                  <to>
                    <xdr:col>39</xdr:col>
                    <xdr:colOff>101600</xdr:colOff>
                    <xdr:row>25</xdr:row>
                    <xdr:rowOff>222250</xdr:rowOff>
                  </to>
                </anchor>
              </controlPr>
            </control>
          </mc:Choice>
        </mc:AlternateContent>
      </controls>
    </mc:Choice>
  </mc:AlternateConten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dimension ref="B1:BY58"/>
  <sheetViews>
    <sheetView showGridLines="0" tabSelected="1" zoomScaleNormal="100" workbookViewId="0">
      <selection activeCell="D13" sqref="D13:AY13"/>
    </sheetView>
  </sheetViews>
  <sheetFormatPr defaultRowHeight="15.5" x14ac:dyDescent="0.35"/>
  <cols>
    <col min="1" max="1" width="2.08203125" style="98" customWidth="1"/>
    <col min="2" max="51" width="3.58203125" style="98" customWidth="1"/>
    <col min="52" max="52" width="2.08203125" style="98" customWidth="1"/>
    <col min="53" max="256" width="3.58203125" style="98" customWidth="1"/>
    <col min="257" max="272" width="9" style="98"/>
    <col min="273" max="273" width="1.6640625" style="98" customWidth="1"/>
    <col min="274" max="280" width="3.58203125" style="98" customWidth="1"/>
    <col min="281" max="281" width="3.33203125" style="98" customWidth="1"/>
    <col min="282" max="512" width="3.58203125" style="98" customWidth="1"/>
    <col min="513" max="528" width="9" style="98"/>
    <col min="529" max="529" width="1.6640625" style="98" customWidth="1"/>
    <col min="530" max="536" width="3.58203125" style="98" customWidth="1"/>
    <col min="537" max="537" width="3.33203125" style="98" customWidth="1"/>
    <col min="538" max="768" width="3.58203125" style="98" customWidth="1"/>
    <col min="769" max="784" width="9" style="98"/>
    <col min="785" max="785" width="1.6640625" style="98" customWidth="1"/>
    <col min="786" max="792" width="3.58203125" style="98" customWidth="1"/>
    <col min="793" max="793" width="3.33203125" style="98" customWidth="1"/>
    <col min="794" max="1024" width="3.58203125" style="98" customWidth="1"/>
    <col min="1025" max="1040" width="9" style="98"/>
    <col min="1041" max="1041" width="1.6640625" style="98" customWidth="1"/>
    <col min="1042" max="1048" width="3.58203125" style="98" customWidth="1"/>
    <col min="1049" max="1049" width="3.33203125" style="98" customWidth="1"/>
    <col min="1050" max="1280" width="3.58203125" style="98" customWidth="1"/>
    <col min="1281" max="1296" width="9" style="98"/>
    <col min="1297" max="1297" width="1.6640625" style="98" customWidth="1"/>
    <col min="1298" max="1304" width="3.58203125" style="98" customWidth="1"/>
    <col min="1305" max="1305" width="3.33203125" style="98" customWidth="1"/>
    <col min="1306" max="1536" width="3.58203125" style="98" customWidth="1"/>
    <col min="1537" max="1552" width="9" style="98"/>
    <col min="1553" max="1553" width="1.6640625" style="98" customWidth="1"/>
    <col min="1554" max="1560" width="3.58203125" style="98" customWidth="1"/>
    <col min="1561" max="1561" width="3.33203125" style="98" customWidth="1"/>
    <col min="1562" max="1792" width="3.58203125" style="98" customWidth="1"/>
    <col min="1793" max="1808" width="9" style="98"/>
    <col min="1809" max="1809" width="1.6640625" style="98" customWidth="1"/>
    <col min="1810" max="1816" width="3.58203125" style="98" customWidth="1"/>
    <col min="1817" max="1817" width="3.33203125" style="98" customWidth="1"/>
    <col min="1818" max="2048" width="3.58203125" style="98" customWidth="1"/>
    <col min="2049" max="2064" width="9" style="98"/>
    <col min="2065" max="2065" width="1.6640625" style="98" customWidth="1"/>
    <col min="2066" max="2072" width="3.58203125" style="98" customWidth="1"/>
    <col min="2073" max="2073" width="3.33203125" style="98" customWidth="1"/>
    <col min="2074" max="2304" width="3.58203125" style="98" customWidth="1"/>
    <col min="2305" max="2320" width="9" style="98"/>
    <col min="2321" max="2321" width="1.6640625" style="98" customWidth="1"/>
    <col min="2322" max="2328" width="3.58203125" style="98" customWidth="1"/>
    <col min="2329" max="2329" width="3.33203125" style="98" customWidth="1"/>
    <col min="2330" max="2560" width="3.58203125" style="98" customWidth="1"/>
    <col min="2561" max="2576" width="9" style="98"/>
    <col min="2577" max="2577" width="1.6640625" style="98" customWidth="1"/>
    <col min="2578" max="2584" width="3.58203125" style="98" customWidth="1"/>
    <col min="2585" max="2585" width="3.33203125" style="98" customWidth="1"/>
    <col min="2586" max="2816" width="3.58203125" style="98" customWidth="1"/>
    <col min="2817" max="2832" width="9" style="98"/>
    <col min="2833" max="2833" width="1.6640625" style="98" customWidth="1"/>
    <col min="2834" max="2840" width="3.58203125" style="98" customWidth="1"/>
    <col min="2841" max="2841" width="3.33203125" style="98" customWidth="1"/>
    <col min="2842" max="3072" width="3.58203125" style="98" customWidth="1"/>
    <col min="3073" max="3088" width="9" style="98"/>
    <col min="3089" max="3089" width="1.6640625" style="98" customWidth="1"/>
    <col min="3090" max="3096" width="3.58203125" style="98" customWidth="1"/>
    <col min="3097" max="3097" width="3.33203125" style="98" customWidth="1"/>
    <col min="3098" max="3328" width="3.58203125" style="98" customWidth="1"/>
    <col min="3329" max="3344" width="9" style="98"/>
    <col min="3345" max="3345" width="1.6640625" style="98" customWidth="1"/>
    <col min="3346" max="3352" width="3.58203125" style="98" customWidth="1"/>
    <col min="3353" max="3353" width="3.33203125" style="98" customWidth="1"/>
    <col min="3354" max="3584" width="3.58203125" style="98" customWidth="1"/>
    <col min="3585" max="3600" width="9" style="98"/>
    <col min="3601" max="3601" width="1.6640625" style="98" customWidth="1"/>
    <col min="3602" max="3608" width="3.58203125" style="98" customWidth="1"/>
    <col min="3609" max="3609" width="3.33203125" style="98" customWidth="1"/>
    <col min="3610" max="3840" width="3.58203125" style="98" customWidth="1"/>
    <col min="3841" max="3856" width="9" style="98"/>
    <col min="3857" max="3857" width="1.6640625" style="98" customWidth="1"/>
    <col min="3858" max="3864" width="3.58203125" style="98" customWidth="1"/>
    <col min="3865" max="3865" width="3.33203125" style="98" customWidth="1"/>
    <col min="3866" max="4096" width="3.58203125" style="98" customWidth="1"/>
    <col min="4097" max="4112" width="9" style="98"/>
    <col min="4113" max="4113" width="1.6640625" style="98" customWidth="1"/>
    <col min="4114" max="4120" width="3.58203125" style="98" customWidth="1"/>
    <col min="4121" max="4121" width="3.33203125" style="98" customWidth="1"/>
    <col min="4122" max="4352" width="3.58203125" style="98" customWidth="1"/>
    <col min="4353" max="4368" width="9" style="98"/>
    <col min="4369" max="4369" width="1.6640625" style="98" customWidth="1"/>
    <col min="4370" max="4376" width="3.58203125" style="98" customWidth="1"/>
    <col min="4377" max="4377" width="3.33203125" style="98" customWidth="1"/>
    <col min="4378" max="4608" width="3.58203125" style="98" customWidth="1"/>
    <col min="4609" max="4624" width="9" style="98"/>
    <col min="4625" max="4625" width="1.6640625" style="98" customWidth="1"/>
    <col min="4626" max="4632" width="3.58203125" style="98" customWidth="1"/>
    <col min="4633" max="4633" width="3.33203125" style="98" customWidth="1"/>
    <col min="4634" max="4864" width="3.58203125" style="98" customWidth="1"/>
    <col min="4865" max="4880" width="9" style="98"/>
    <col min="4881" max="4881" width="1.6640625" style="98" customWidth="1"/>
    <col min="4882" max="4888" width="3.58203125" style="98" customWidth="1"/>
    <col min="4889" max="4889" width="3.33203125" style="98" customWidth="1"/>
    <col min="4890" max="5120" width="3.58203125" style="98" customWidth="1"/>
    <col min="5121" max="5136" width="9" style="98"/>
    <col min="5137" max="5137" width="1.6640625" style="98" customWidth="1"/>
    <col min="5138" max="5144" width="3.58203125" style="98" customWidth="1"/>
    <col min="5145" max="5145" width="3.33203125" style="98" customWidth="1"/>
    <col min="5146" max="5376" width="3.58203125" style="98" customWidth="1"/>
    <col min="5377" max="5392" width="9" style="98"/>
    <col min="5393" max="5393" width="1.6640625" style="98" customWidth="1"/>
    <col min="5394" max="5400" width="3.58203125" style="98" customWidth="1"/>
    <col min="5401" max="5401" width="3.33203125" style="98" customWidth="1"/>
    <col min="5402" max="5632" width="3.58203125" style="98" customWidth="1"/>
    <col min="5633" max="5648" width="9" style="98"/>
    <col min="5649" max="5649" width="1.6640625" style="98" customWidth="1"/>
    <col min="5650" max="5656" width="3.58203125" style="98" customWidth="1"/>
    <col min="5657" max="5657" width="3.33203125" style="98" customWidth="1"/>
    <col min="5658" max="5888" width="3.58203125" style="98" customWidth="1"/>
    <col min="5889" max="5904" width="9" style="98"/>
    <col min="5905" max="5905" width="1.6640625" style="98" customWidth="1"/>
    <col min="5906" max="5912" width="3.58203125" style="98" customWidth="1"/>
    <col min="5913" max="5913" width="3.33203125" style="98" customWidth="1"/>
    <col min="5914" max="6144" width="3.58203125" style="98" customWidth="1"/>
    <col min="6145" max="6160" width="9" style="98"/>
    <col min="6161" max="6161" width="1.6640625" style="98" customWidth="1"/>
    <col min="6162" max="6168" width="3.58203125" style="98" customWidth="1"/>
    <col min="6169" max="6169" width="3.33203125" style="98" customWidth="1"/>
    <col min="6170" max="6400" width="3.58203125" style="98" customWidth="1"/>
    <col min="6401" max="6416" width="9" style="98"/>
    <col min="6417" max="6417" width="1.6640625" style="98" customWidth="1"/>
    <col min="6418" max="6424" width="3.58203125" style="98" customWidth="1"/>
    <col min="6425" max="6425" width="3.33203125" style="98" customWidth="1"/>
    <col min="6426" max="6656" width="3.58203125" style="98" customWidth="1"/>
    <col min="6657" max="6672" width="9" style="98"/>
    <col min="6673" max="6673" width="1.6640625" style="98" customWidth="1"/>
    <col min="6674" max="6680" width="3.58203125" style="98" customWidth="1"/>
    <col min="6681" max="6681" width="3.33203125" style="98" customWidth="1"/>
    <col min="6682" max="6912" width="3.58203125" style="98" customWidth="1"/>
    <col min="6913" max="6928" width="9" style="98"/>
    <col min="6929" max="6929" width="1.6640625" style="98" customWidth="1"/>
    <col min="6930" max="6936" width="3.58203125" style="98" customWidth="1"/>
    <col min="6937" max="6937" width="3.33203125" style="98" customWidth="1"/>
    <col min="6938" max="7168" width="3.58203125" style="98" customWidth="1"/>
    <col min="7169" max="7184" width="9" style="98"/>
    <col min="7185" max="7185" width="1.6640625" style="98" customWidth="1"/>
    <col min="7186" max="7192" width="3.58203125" style="98" customWidth="1"/>
    <col min="7193" max="7193" width="3.33203125" style="98" customWidth="1"/>
    <col min="7194" max="7424" width="3.58203125" style="98" customWidth="1"/>
    <col min="7425" max="7440" width="9" style="98"/>
    <col min="7441" max="7441" width="1.6640625" style="98" customWidth="1"/>
    <col min="7442" max="7448" width="3.58203125" style="98" customWidth="1"/>
    <col min="7449" max="7449" width="3.33203125" style="98" customWidth="1"/>
    <col min="7450" max="7680" width="3.58203125" style="98" customWidth="1"/>
    <col min="7681" max="7696" width="9" style="98"/>
    <col min="7697" max="7697" width="1.6640625" style="98" customWidth="1"/>
    <col min="7698" max="7704" width="3.58203125" style="98" customWidth="1"/>
    <col min="7705" max="7705" width="3.33203125" style="98" customWidth="1"/>
    <col min="7706" max="7936" width="3.58203125" style="98" customWidth="1"/>
    <col min="7937" max="7952" width="9" style="98"/>
    <col min="7953" max="7953" width="1.6640625" style="98" customWidth="1"/>
    <col min="7954" max="7960" width="3.58203125" style="98" customWidth="1"/>
    <col min="7961" max="7961" width="3.33203125" style="98" customWidth="1"/>
    <col min="7962" max="8192" width="3.58203125" style="98" customWidth="1"/>
    <col min="8193" max="8208" width="9" style="98"/>
    <col min="8209" max="8209" width="1.6640625" style="98" customWidth="1"/>
    <col min="8210" max="8216" width="3.58203125" style="98" customWidth="1"/>
    <col min="8217" max="8217" width="3.33203125" style="98" customWidth="1"/>
    <col min="8218" max="8448" width="3.58203125" style="98" customWidth="1"/>
    <col min="8449" max="8464" width="9" style="98"/>
    <col min="8465" max="8465" width="1.6640625" style="98" customWidth="1"/>
    <col min="8466" max="8472" width="3.58203125" style="98" customWidth="1"/>
    <col min="8473" max="8473" width="3.33203125" style="98" customWidth="1"/>
    <col min="8474" max="8704" width="3.58203125" style="98" customWidth="1"/>
    <col min="8705" max="8720" width="9" style="98"/>
    <col min="8721" max="8721" width="1.6640625" style="98" customWidth="1"/>
    <col min="8722" max="8728" width="3.58203125" style="98" customWidth="1"/>
    <col min="8729" max="8729" width="3.33203125" style="98" customWidth="1"/>
    <col min="8730" max="8960" width="3.58203125" style="98" customWidth="1"/>
    <col min="8961" max="8976" width="9" style="98"/>
    <col min="8977" max="8977" width="1.6640625" style="98" customWidth="1"/>
    <col min="8978" max="8984" width="3.58203125" style="98" customWidth="1"/>
    <col min="8985" max="8985" width="3.33203125" style="98" customWidth="1"/>
    <col min="8986" max="9216" width="3.58203125" style="98" customWidth="1"/>
    <col min="9217" max="9232" width="9" style="98"/>
    <col min="9233" max="9233" width="1.6640625" style="98" customWidth="1"/>
    <col min="9234" max="9240" width="3.58203125" style="98" customWidth="1"/>
    <col min="9241" max="9241" width="3.33203125" style="98" customWidth="1"/>
    <col min="9242" max="9472" width="3.58203125" style="98" customWidth="1"/>
    <col min="9473" max="9488" width="9" style="98"/>
    <col min="9489" max="9489" width="1.6640625" style="98" customWidth="1"/>
    <col min="9490" max="9496" width="3.58203125" style="98" customWidth="1"/>
    <col min="9497" max="9497" width="3.33203125" style="98" customWidth="1"/>
    <col min="9498" max="9728" width="3.58203125" style="98" customWidth="1"/>
    <col min="9729" max="9744" width="9" style="98"/>
    <col min="9745" max="9745" width="1.6640625" style="98" customWidth="1"/>
    <col min="9746" max="9752" width="3.58203125" style="98" customWidth="1"/>
    <col min="9753" max="9753" width="3.33203125" style="98" customWidth="1"/>
    <col min="9754" max="9984" width="3.58203125" style="98" customWidth="1"/>
    <col min="9985" max="10000" width="9" style="98"/>
    <col min="10001" max="10001" width="1.6640625" style="98" customWidth="1"/>
    <col min="10002" max="10008" width="3.58203125" style="98" customWidth="1"/>
    <col min="10009" max="10009" width="3.33203125" style="98" customWidth="1"/>
    <col min="10010" max="10240" width="3.58203125" style="98" customWidth="1"/>
    <col min="10241" max="10256" width="9" style="98"/>
    <col min="10257" max="10257" width="1.6640625" style="98" customWidth="1"/>
    <col min="10258" max="10264" width="3.58203125" style="98" customWidth="1"/>
    <col min="10265" max="10265" width="3.33203125" style="98" customWidth="1"/>
    <col min="10266" max="10496" width="3.58203125" style="98" customWidth="1"/>
    <col min="10497" max="10512" width="9" style="98"/>
    <col min="10513" max="10513" width="1.6640625" style="98" customWidth="1"/>
    <col min="10514" max="10520" width="3.58203125" style="98" customWidth="1"/>
    <col min="10521" max="10521" width="3.33203125" style="98" customWidth="1"/>
    <col min="10522" max="10752" width="3.58203125" style="98" customWidth="1"/>
    <col min="10753" max="10768" width="9" style="98"/>
    <col min="10769" max="10769" width="1.6640625" style="98" customWidth="1"/>
    <col min="10770" max="10776" width="3.58203125" style="98" customWidth="1"/>
    <col min="10777" max="10777" width="3.33203125" style="98" customWidth="1"/>
    <col min="10778" max="11008" width="3.58203125" style="98" customWidth="1"/>
    <col min="11009" max="11024" width="9" style="98"/>
    <col min="11025" max="11025" width="1.6640625" style="98" customWidth="1"/>
    <col min="11026" max="11032" width="3.58203125" style="98" customWidth="1"/>
    <col min="11033" max="11033" width="3.33203125" style="98" customWidth="1"/>
    <col min="11034" max="11264" width="3.58203125" style="98" customWidth="1"/>
    <col min="11265" max="11280" width="9" style="98"/>
    <col min="11281" max="11281" width="1.6640625" style="98" customWidth="1"/>
    <col min="11282" max="11288" width="3.58203125" style="98" customWidth="1"/>
    <col min="11289" max="11289" width="3.33203125" style="98" customWidth="1"/>
    <col min="11290" max="11520" width="3.58203125" style="98" customWidth="1"/>
    <col min="11521" max="11536" width="9" style="98"/>
    <col min="11537" max="11537" width="1.6640625" style="98" customWidth="1"/>
    <col min="11538" max="11544" width="3.58203125" style="98" customWidth="1"/>
    <col min="11545" max="11545" width="3.33203125" style="98" customWidth="1"/>
    <col min="11546" max="11776" width="3.58203125" style="98" customWidth="1"/>
    <col min="11777" max="11792" width="9" style="98"/>
    <col min="11793" max="11793" width="1.6640625" style="98" customWidth="1"/>
    <col min="11794" max="11800" width="3.58203125" style="98" customWidth="1"/>
    <col min="11801" max="11801" width="3.33203125" style="98" customWidth="1"/>
    <col min="11802" max="12032" width="3.58203125" style="98" customWidth="1"/>
    <col min="12033" max="12048" width="9" style="98"/>
    <col min="12049" max="12049" width="1.6640625" style="98" customWidth="1"/>
    <col min="12050" max="12056" width="3.58203125" style="98" customWidth="1"/>
    <col min="12057" max="12057" width="3.33203125" style="98" customWidth="1"/>
    <col min="12058" max="12288" width="3.58203125" style="98" customWidth="1"/>
    <col min="12289" max="12304" width="9" style="98"/>
    <col min="12305" max="12305" width="1.6640625" style="98" customWidth="1"/>
    <col min="12306" max="12312" width="3.58203125" style="98" customWidth="1"/>
    <col min="12313" max="12313" width="3.33203125" style="98" customWidth="1"/>
    <col min="12314" max="12544" width="3.58203125" style="98" customWidth="1"/>
    <col min="12545" max="12560" width="9" style="98"/>
    <col min="12561" max="12561" width="1.6640625" style="98" customWidth="1"/>
    <col min="12562" max="12568" width="3.58203125" style="98" customWidth="1"/>
    <col min="12569" max="12569" width="3.33203125" style="98" customWidth="1"/>
    <col min="12570" max="12800" width="3.58203125" style="98" customWidth="1"/>
    <col min="12801" max="12816" width="9" style="98"/>
    <col min="12817" max="12817" width="1.6640625" style="98" customWidth="1"/>
    <col min="12818" max="12824" width="3.58203125" style="98" customWidth="1"/>
    <col min="12825" max="12825" width="3.33203125" style="98" customWidth="1"/>
    <col min="12826" max="13056" width="3.58203125" style="98" customWidth="1"/>
    <col min="13057" max="13072" width="9" style="98"/>
    <col min="13073" max="13073" width="1.6640625" style="98" customWidth="1"/>
    <col min="13074" max="13080" width="3.58203125" style="98" customWidth="1"/>
    <col min="13081" max="13081" width="3.33203125" style="98" customWidth="1"/>
    <col min="13082" max="13312" width="3.58203125" style="98" customWidth="1"/>
    <col min="13313" max="13328" width="9" style="98"/>
    <col min="13329" max="13329" width="1.6640625" style="98" customWidth="1"/>
    <col min="13330" max="13336" width="3.58203125" style="98" customWidth="1"/>
    <col min="13337" max="13337" width="3.33203125" style="98" customWidth="1"/>
    <col min="13338" max="13568" width="3.58203125" style="98" customWidth="1"/>
    <col min="13569" max="13584" width="9" style="98"/>
    <col min="13585" max="13585" width="1.6640625" style="98" customWidth="1"/>
    <col min="13586" max="13592" width="3.58203125" style="98" customWidth="1"/>
    <col min="13593" max="13593" width="3.33203125" style="98" customWidth="1"/>
    <col min="13594" max="13824" width="3.58203125" style="98" customWidth="1"/>
    <col min="13825" max="13840" width="9" style="98"/>
    <col min="13841" max="13841" width="1.6640625" style="98" customWidth="1"/>
    <col min="13842" max="13848" width="3.58203125" style="98" customWidth="1"/>
    <col min="13849" max="13849" width="3.33203125" style="98" customWidth="1"/>
    <col min="13850" max="14080" width="3.58203125" style="98" customWidth="1"/>
    <col min="14081" max="14096" width="9" style="98"/>
    <col min="14097" max="14097" width="1.6640625" style="98" customWidth="1"/>
    <col min="14098" max="14104" width="3.58203125" style="98" customWidth="1"/>
    <col min="14105" max="14105" width="3.33203125" style="98" customWidth="1"/>
    <col min="14106" max="14336" width="3.58203125" style="98" customWidth="1"/>
    <col min="14337" max="14352" width="9" style="98"/>
    <col min="14353" max="14353" width="1.6640625" style="98" customWidth="1"/>
    <col min="14354" max="14360" width="3.58203125" style="98" customWidth="1"/>
    <col min="14361" max="14361" width="3.33203125" style="98" customWidth="1"/>
    <col min="14362" max="14592" width="3.58203125" style="98" customWidth="1"/>
    <col min="14593" max="14608" width="9" style="98"/>
    <col min="14609" max="14609" width="1.6640625" style="98" customWidth="1"/>
    <col min="14610" max="14616" width="3.58203125" style="98" customWidth="1"/>
    <col min="14617" max="14617" width="3.33203125" style="98" customWidth="1"/>
    <col min="14618" max="14848" width="3.58203125" style="98" customWidth="1"/>
    <col min="14849" max="14864" width="9" style="98"/>
    <col min="14865" max="14865" width="1.6640625" style="98" customWidth="1"/>
    <col min="14866" max="14872" width="3.58203125" style="98" customWidth="1"/>
    <col min="14873" max="14873" width="3.33203125" style="98" customWidth="1"/>
    <col min="14874" max="15104" width="3.58203125" style="98" customWidth="1"/>
    <col min="15105" max="15120" width="9" style="98"/>
    <col min="15121" max="15121" width="1.6640625" style="98" customWidth="1"/>
    <col min="15122" max="15128" width="3.58203125" style="98" customWidth="1"/>
    <col min="15129" max="15129" width="3.33203125" style="98" customWidth="1"/>
    <col min="15130" max="15360" width="3.58203125" style="98" customWidth="1"/>
    <col min="15361" max="15376" width="9" style="98"/>
    <col min="15377" max="15377" width="1.6640625" style="98" customWidth="1"/>
    <col min="15378" max="15384" width="3.58203125" style="98" customWidth="1"/>
    <col min="15385" max="15385" width="3.33203125" style="98" customWidth="1"/>
    <col min="15386" max="15616" width="3.58203125" style="98" customWidth="1"/>
    <col min="15617" max="15632" width="9" style="98"/>
    <col min="15633" max="15633" width="1.6640625" style="98" customWidth="1"/>
    <col min="15634" max="15640" width="3.58203125" style="98" customWidth="1"/>
    <col min="15641" max="15641" width="3.33203125" style="98" customWidth="1"/>
    <col min="15642" max="15872" width="3.58203125" style="98" customWidth="1"/>
    <col min="15873" max="15888" width="9" style="98"/>
    <col min="15889" max="15889" width="1.6640625" style="98" customWidth="1"/>
    <col min="15890" max="15896" width="3.58203125" style="98" customWidth="1"/>
    <col min="15897" max="15897" width="3.33203125" style="98" customWidth="1"/>
    <col min="15898" max="16128" width="3.58203125" style="98" customWidth="1"/>
    <col min="16129" max="16144" width="9" style="98"/>
    <col min="16145" max="16145" width="1.6640625" style="98" customWidth="1"/>
    <col min="16146" max="16152" width="3.58203125" style="98" customWidth="1"/>
    <col min="16153" max="16153" width="3.33203125" style="98" customWidth="1"/>
    <col min="16154" max="16384" width="3.58203125" style="98" customWidth="1"/>
  </cols>
  <sheetData>
    <row r="1" spans="2:77" ht="12" customHeight="1" x14ac:dyDescent="0.35"/>
    <row r="2" spans="2:77" s="87" customFormat="1" ht="15.75" customHeight="1" x14ac:dyDescent="0.3">
      <c r="B2" s="670" t="s">
        <v>1509</v>
      </c>
      <c r="C2" s="688"/>
      <c r="D2" s="688"/>
      <c r="E2" s="688"/>
      <c r="F2" s="688"/>
      <c r="G2" s="688"/>
      <c r="H2" s="688"/>
      <c r="I2" s="688"/>
      <c r="J2" s="688"/>
      <c r="K2" s="688"/>
      <c r="L2" s="688"/>
      <c r="M2" s="688"/>
      <c r="N2" s="688"/>
      <c r="O2" s="688"/>
      <c r="P2" s="688"/>
      <c r="Q2" s="688"/>
      <c r="R2" s="688"/>
      <c r="S2" s="688"/>
      <c r="T2" s="688"/>
      <c r="U2" s="688"/>
      <c r="V2" s="688"/>
      <c r="W2" s="688"/>
      <c r="X2" s="688"/>
      <c r="Y2" s="688"/>
      <c r="Z2" s="688"/>
      <c r="AA2" s="688"/>
      <c r="AB2" s="688"/>
      <c r="AC2" s="688"/>
      <c r="AD2" s="688"/>
      <c r="AE2" s="688"/>
      <c r="AF2" s="688"/>
      <c r="AG2" s="688"/>
      <c r="AH2" s="688"/>
      <c r="AI2" s="688"/>
      <c r="AJ2" s="688"/>
      <c r="AK2" s="688"/>
      <c r="AL2" s="688"/>
      <c r="AM2" s="688"/>
      <c r="AN2" s="688"/>
      <c r="AO2" s="688"/>
      <c r="AP2" s="688"/>
      <c r="AQ2" s="688"/>
      <c r="AR2" s="688"/>
      <c r="AS2" s="688"/>
      <c r="AT2" s="688"/>
      <c r="AU2" s="688"/>
      <c r="AV2" s="688"/>
      <c r="AW2" s="688"/>
      <c r="AX2" s="694"/>
      <c r="AY2" s="694"/>
      <c r="AZ2" s="694"/>
      <c r="BA2" s="694"/>
      <c r="BB2" s="694"/>
      <c r="BC2" s="694"/>
      <c r="BD2" s="694"/>
      <c r="BE2" s="694"/>
      <c r="BF2" s="694"/>
      <c r="BG2" s="694"/>
      <c r="BH2" s="694"/>
      <c r="BX2" s="691"/>
    </row>
    <row r="3" spans="2:77" s="87" customFormat="1" ht="15.75" customHeight="1" x14ac:dyDescent="0.3">
      <c r="B3" s="670"/>
      <c r="C3" s="688"/>
      <c r="D3" s="688"/>
      <c r="E3" s="688"/>
      <c r="F3" s="688"/>
      <c r="G3" s="688"/>
      <c r="H3" s="688"/>
      <c r="I3" s="688"/>
      <c r="J3" s="688"/>
      <c r="K3" s="688"/>
      <c r="L3" s="688"/>
      <c r="M3" s="688"/>
      <c r="N3" s="688"/>
      <c r="O3" s="688"/>
      <c r="P3" s="688"/>
      <c r="Q3" s="688"/>
      <c r="R3" s="688"/>
      <c r="S3" s="688"/>
      <c r="T3" s="688"/>
      <c r="U3" s="688"/>
      <c r="V3" s="688"/>
      <c r="W3" s="688"/>
      <c r="X3" s="688"/>
      <c r="Y3" s="688"/>
      <c r="Z3" s="688"/>
      <c r="AA3" s="688"/>
      <c r="AB3" s="688"/>
      <c r="AC3" s="688"/>
      <c r="AD3" s="688"/>
      <c r="AE3" s="688"/>
      <c r="AF3" s="688"/>
      <c r="AG3" s="688"/>
      <c r="AH3" s="688"/>
      <c r="AI3" s="688"/>
      <c r="AJ3" s="688"/>
      <c r="AK3" s="688"/>
      <c r="AL3" s="688"/>
      <c r="AM3" s="688"/>
      <c r="AN3" s="688"/>
      <c r="AO3" s="688"/>
      <c r="AP3" s="688"/>
      <c r="AQ3" s="688"/>
      <c r="AR3" s="688"/>
      <c r="AS3" s="688"/>
      <c r="AT3" s="688"/>
      <c r="AU3" s="688"/>
      <c r="AV3" s="688"/>
      <c r="AW3" s="688"/>
      <c r="AX3" s="694"/>
      <c r="AY3" s="694"/>
      <c r="AZ3" s="694"/>
      <c r="BA3" s="694"/>
      <c r="BB3" s="694"/>
      <c r="BC3" s="694"/>
      <c r="BD3" s="694"/>
      <c r="BE3" s="694"/>
      <c r="BF3" s="694"/>
      <c r="BG3" s="694"/>
      <c r="BH3" s="694"/>
      <c r="BX3" s="691"/>
    </row>
    <row r="4" spans="2:77" s="87" customFormat="1" ht="15.75" customHeight="1" x14ac:dyDescent="0.3">
      <c r="B4" s="232" t="s">
        <v>151</v>
      </c>
      <c r="C4" s="2927" t="s">
        <v>480</v>
      </c>
      <c r="D4" s="2927"/>
      <c r="E4" s="2927"/>
      <c r="F4" s="2927"/>
      <c r="G4" s="2927"/>
      <c r="H4" s="2927"/>
      <c r="I4" s="2927"/>
      <c r="J4" s="2927"/>
      <c r="K4" s="2927"/>
      <c r="L4" s="2927"/>
      <c r="M4" s="2927"/>
      <c r="N4" s="2927"/>
      <c r="O4" s="2927"/>
      <c r="P4" s="2927"/>
      <c r="Q4" s="2927"/>
      <c r="R4" s="2927"/>
      <c r="S4" s="2927"/>
      <c r="T4" s="2927"/>
      <c r="U4" s="2927"/>
      <c r="V4" s="2927"/>
      <c r="W4" s="2927"/>
      <c r="X4" s="2927"/>
      <c r="Y4" s="2927"/>
      <c r="Z4" s="2927"/>
      <c r="AA4" s="2927"/>
      <c r="AB4" s="2927"/>
      <c r="AC4" s="2927"/>
      <c r="AD4" s="2927"/>
      <c r="AE4" s="2927"/>
      <c r="AF4" s="2927"/>
      <c r="AG4" s="2927"/>
      <c r="AH4" s="2927"/>
      <c r="AI4" s="2927"/>
      <c r="AJ4" s="2927"/>
      <c r="AK4" s="2927"/>
      <c r="AL4" s="2927"/>
      <c r="AM4" s="2927"/>
      <c r="AN4" s="2927"/>
      <c r="AO4" s="2927"/>
      <c r="AP4" s="2927"/>
      <c r="AQ4" s="2927"/>
      <c r="AR4" s="2927"/>
      <c r="AS4" s="2927"/>
      <c r="AT4" s="2927"/>
      <c r="AU4" s="2927"/>
      <c r="AV4" s="2927"/>
      <c r="AW4" s="2927"/>
      <c r="AX4" s="2927"/>
      <c r="AY4" s="2927"/>
      <c r="AZ4" s="694"/>
      <c r="BA4" s="694"/>
      <c r="BB4" s="694"/>
      <c r="BC4" s="694"/>
      <c r="BD4" s="694"/>
      <c r="BE4" s="694"/>
      <c r="BF4" s="694"/>
      <c r="BG4" s="694"/>
      <c r="BH4" s="694"/>
      <c r="BX4" s="691"/>
    </row>
    <row r="5" spans="2:77" s="87" customFormat="1" ht="15.75" customHeight="1" x14ac:dyDescent="0.3">
      <c r="B5" s="232" t="s">
        <v>152</v>
      </c>
      <c r="C5" s="2927" t="s">
        <v>481</v>
      </c>
      <c r="D5" s="2927"/>
      <c r="E5" s="2927"/>
      <c r="F5" s="2927"/>
      <c r="G5" s="2927"/>
      <c r="H5" s="2927"/>
      <c r="I5" s="2927"/>
      <c r="J5" s="2927"/>
      <c r="K5" s="2927"/>
      <c r="L5" s="2927"/>
      <c r="M5" s="2927"/>
      <c r="N5" s="2927"/>
      <c r="O5" s="2927"/>
      <c r="P5" s="2927"/>
      <c r="Q5" s="2927"/>
      <c r="R5" s="2927"/>
      <c r="S5" s="2927"/>
      <c r="T5" s="2927"/>
      <c r="U5" s="2927"/>
      <c r="V5" s="2927"/>
      <c r="W5" s="2927"/>
      <c r="X5" s="2927"/>
      <c r="Y5" s="2927"/>
      <c r="Z5" s="2927"/>
      <c r="AA5" s="2927"/>
      <c r="AB5" s="2927"/>
      <c r="AC5" s="2927"/>
      <c r="AD5" s="2927"/>
      <c r="AE5" s="2927"/>
      <c r="AF5" s="2927"/>
      <c r="AG5" s="2927"/>
      <c r="AH5" s="2927"/>
      <c r="AI5" s="2927"/>
      <c r="AJ5" s="2927"/>
      <c r="AK5" s="2927"/>
      <c r="AL5" s="2927"/>
      <c r="AM5" s="2927"/>
      <c r="AN5" s="2927"/>
      <c r="AO5" s="2927"/>
      <c r="AP5" s="2927"/>
      <c r="AQ5" s="2927"/>
      <c r="AR5" s="2927"/>
      <c r="AS5" s="2927"/>
      <c r="AT5" s="2927"/>
      <c r="AU5" s="2927"/>
      <c r="AV5" s="2927"/>
      <c r="AW5" s="2927"/>
      <c r="AX5" s="2927"/>
      <c r="AY5" s="2927"/>
      <c r="AZ5" s="744"/>
      <c r="BA5" s="744"/>
      <c r="BB5" s="744"/>
      <c r="BC5" s="744"/>
      <c r="BD5" s="744"/>
      <c r="BE5" s="744"/>
      <c r="BF5" s="744"/>
      <c r="BG5" s="744"/>
      <c r="BH5" s="744"/>
      <c r="BI5" s="744"/>
      <c r="BY5" s="691"/>
    </row>
    <row r="6" spans="2:77" s="87" customFormat="1" ht="15.75" customHeight="1" x14ac:dyDescent="0.3">
      <c r="B6" s="687"/>
      <c r="C6" s="690" t="s">
        <v>107</v>
      </c>
      <c r="D6" s="2927" t="s">
        <v>482</v>
      </c>
      <c r="E6" s="2927"/>
      <c r="F6" s="2927"/>
      <c r="G6" s="2927"/>
      <c r="H6" s="2927"/>
      <c r="I6" s="2927"/>
      <c r="J6" s="2927"/>
      <c r="K6" s="2927"/>
      <c r="L6" s="2927"/>
      <c r="M6" s="2927"/>
      <c r="N6" s="2927"/>
      <c r="O6" s="2927"/>
      <c r="P6" s="2927"/>
      <c r="Q6" s="2927"/>
      <c r="R6" s="2927"/>
      <c r="S6" s="2927"/>
      <c r="T6" s="2927"/>
      <c r="U6" s="2927"/>
      <c r="V6" s="2927"/>
      <c r="W6" s="2927"/>
      <c r="X6" s="2927"/>
      <c r="Y6" s="2927"/>
      <c r="Z6" s="2927"/>
      <c r="AA6" s="2927"/>
      <c r="AB6" s="2927"/>
      <c r="AC6" s="2927"/>
      <c r="AD6" s="2927"/>
      <c r="AE6" s="2927"/>
      <c r="AF6" s="2927"/>
      <c r="AG6" s="2927"/>
      <c r="AH6" s="2927"/>
      <c r="AI6" s="2927"/>
      <c r="AJ6" s="2927"/>
      <c r="AK6" s="2927"/>
      <c r="AL6" s="2927"/>
      <c r="AM6" s="2927"/>
      <c r="AN6" s="2927"/>
      <c r="AO6" s="2927"/>
      <c r="AP6" s="2927"/>
      <c r="AQ6" s="2927"/>
      <c r="AR6" s="2927"/>
      <c r="AS6" s="2927"/>
      <c r="AT6" s="2927"/>
      <c r="AU6" s="2927"/>
      <c r="AV6" s="2927"/>
      <c r="AW6" s="2927"/>
      <c r="AX6" s="2927"/>
      <c r="AY6" s="2927"/>
      <c r="AZ6" s="744"/>
      <c r="BA6" s="744"/>
      <c r="BB6" s="744"/>
      <c r="BC6" s="744"/>
      <c r="BD6" s="744"/>
      <c r="BE6" s="744"/>
      <c r="BF6" s="744"/>
      <c r="BG6" s="744"/>
      <c r="BH6" s="744"/>
      <c r="BI6" s="744"/>
      <c r="BY6" s="691"/>
    </row>
    <row r="7" spans="2:77" s="97" customFormat="1" ht="15.75" customHeight="1" x14ac:dyDescent="0.3">
      <c r="B7" s="687"/>
      <c r="C7" s="688"/>
      <c r="D7" s="688" t="s">
        <v>203</v>
      </c>
      <c r="E7" s="2893" t="s">
        <v>483</v>
      </c>
      <c r="F7" s="2893"/>
      <c r="G7" s="2893"/>
      <c r="H7" s="2893"/>
      <c r="I7" s="2893"/>
      <c r="J7" s="2893"/>
      <c r="K7" s="2893"/>
      <c r="L7" s="2893"/>
      <c r="M7" s="2893"/>
      <c r="N7" s="2893"/>
      <c r="O7" s="2893"/>
      <c r="P7" s="2893"/>
      <c r="Q7" s="2893"/>
      <c r="R7" s="2893"/>
      <c r="S7" s="2893"/>
      <c r="T7" s="2893"/>
      <c r="U7" s="2893"/>
      <c r="V7" s="2893"/>
      <c r="W7" s="2893"/>
      <c r="X7" s="2893"/>
      <c r="Y7" s="2893"/>
      <c r="Z7" s="2893"/>
      <c r="AA7" s="2893"/>
      <c r="AB7" s="2893"/>
      <c r="AC7" s="2893"/>
      <c r="AD7" s="2893"/>
      <c r="AE7" s="2893"/>
      <c r="AF7" s="2893"/>
      <c r="AG7" s="2893"/>
      <c r="AH7" s="2893"/>
      <c r="AI7" s="2893"/>
      <c r="AJ7" s="2893"/>
      <c r="AK7" s="2893"/>
      <c r="AL7" s="2893"/>
      <c r="AM7" s="2893"/>
      <c r="AN7" s="2893"/>
      <c r="AO7" s="2893"/>
      <c r="AP7" s="2893"/>
      <c r="AQ7" s="2893"/>
      <c r="AR7" s="2893"/>
      <c r="AS7" s="2893"/>
      <c r="AT7" s="2893"/>
      <c r="AU7" s="2893"/>
      <c r="AV7" s="2893"/>
      <c r="AW7" s="2893"/>
      <c r="AX7" s="2893"/>
      <c r="AY7" s="2893"/>
      <c r="AZ7" s="233"/>
      <c r="BA7" s="233"/>
      <c r="BB7" s="233"/>
      <c r="BC7" s="233"/>
      <c r="BD7" s="233"/>
      <c r="BE7" s="233"/>
      <c r="BF7" s="233"/>
      <c r="BG7" s="233"/>
      <c r="BH7" s="233"/>
      <c r="BX7" s="689"/>
    </row>
    <row r="8" spans="2:77" s="87" customFormat="1" ht="32.25" customHeight="1" x14ac:dyDescent="0.3">
      <c r="B8" s="687"/>
      <c r="C8" s="688"/>
      <c r="D8" s="688" t="s">
        <v>204</v>
      </c>
      <c r="E8" s="2893" t="s">
        <v>484</v>
      </c>
      <c r="F8" s="2893"/>
      <c r="G8" s="2893"/>
      <c r="H8" s="2893"/>
      <c r="I8" s="2893"/>
      <c r="J8" s="2893"/>
      <c r="K8" s="2893"/>
      <c r="L8" s="2893"/>
      <c r="M8" s="2893"/>
      <c r="N8" s="2893"/>
      <c r="O8" s="2893"/>
      <c r="P8" s="2893"/>
      <c r="Q8" s="2893"/>
      <c r="R8" s="2893"/>
      <c r="S8" s="2893"/>
      <c r="T8" s="2893"/>
      <c r="U8" s="2893"/>
      <c r="V8" s="2893"/>
      <c r="W8" s="2893"/>
      <c r="X8" s="2893"/>
      <c r="Y8" s="2893"/>
      <c r="Z8" s="2893"/>
      <c r="AA8" s="2893"/>
      <c r="AB8" s="2893"/>
      <c r="AC8" s="2893"/>
      <c r="AD8" s="2893"/>
      <c r="AE8" s="2893"/>
      <c r="AF8" s="2893"/>
      <c r="AG8" s="2893"/>
      <c r="AH8" s="2893"/>
      <c r="AI8" s="2893"/>
      <c r="AJ8" s="2893"/>
      <c r="AK8" s="2893"/>
      <c r="AL8" s="2893"/>
      <c r="AM8" s="2893"/>
      <c r="AN8" s="2893"/>
      <c r="AO8" s="2893"/>
      <c r="AP8" s="2893"/>
      <c r="AQ8" s="2893"/>
      <c r="AR8" s="2893"/>
      <c r="AS8" s="2893"/>
      <c r="AT8" s="2893"/>
      <c r="AU8" s="2893"/>
      <c r="AV8" s="2893"/>
      <c r="AW8" s="2893"/>
      <c r="AX8" s="2893"/>
      <c r="AY8" s="2893"/>
      <c r="AZ8" s="744"/>
      <c r="BA8" s="744"/>
      <c r="BB8" s="744"/>
      <c r="BC8" s="744"/>
      <c r="BD8" s="744"/>
      <c r="BE8" s="744"/>
      <c r="BF8" s="744"/>
      <c r="BG8" s="744"/>
      <c r="BH8" s="744"/>
      <c r="BX8" s="691"/>
    </row>
    <row r="9" spans="2:77" s="87" customFormat="1" ht="15.75" customHeight="1" x14ac:dyDescent="0.3">
      <c r="B9" s="687"/>
      <c r="C9" s="688"/>
      <c r="D9" s="688" t="s">
        <v>205</v>
      </c>
      <c r="E9" s="2893" t="s">
        <v>485</v>
      </c>
      <c r="F9" s="2893"/>
      <c r="G9" s="2893"/>
      <c r="H9" s="2893"/>
      <c r="I9" s="2893"/>
      <c r="J9" s="2893"/>
      <c r="K9" s="2893"/>
      <c r="L9" s="2893"/>
      <c r="M9" s="2893"/>
      <c r="N9" s="2893"/>
      <c r="O9" s="2893"/>
      <c r="P9" s="2893"/>
      <c r="Q9" s="2893"/>
      <c r="R9" s="2893"/>
      <c r="S9" s="2893"/>
      <c r="T9" s="2893"/>
      <c r="U9" s="2893"/>
      <c r="V9" s="2893"/>
      <c r="W9" s="2893"/>
      <c r="X9" s="2893"/>
      <c r="Y9" s="2893"/>
      <c r="Z9" s="2893"/>
      <c r="AA9" s="2893"/>
      <c r="AB9" s="2893"/>
      <c r="AC9" s="2893"/>
      <c r="AD9" s="2893"/>
      <c r="AE9" s="2893"/>
      <c r="AF9" s="2893"/>
      <c r="AG9" s="2893"/>
      <c r="AH9" s="2893"/>
      <c r="AI9" s="2893"/>
      <c r="AJ9" s="2893"/>
      <c r="AK9" s="2893"/>
      <c r="AL9" s="2893"/>
      <c r="AM9" s="2893"/>
      <c r="AN9" s="2893"/>
      <c r="AO9" s="2893"/>
      <c r="AP9" s="2893"/>
      <c r="AQ9" s="2893"/>
      <c r="AR9" s="2893"/>
      <c r="AS9" s="2893"/>
      <c r="AT9" s="2893"/>
      <c r="AU9" s="2893"/>
      <c r="AV9" s="2893"/>
      <c r="AW9" s="2893"/>
      <c r="AX9" s="2893"/>
      <c r="AY9" s="2893"/>
      <c r="AZ9" s="745"/>
      <c r="BA9" s="745"/>
      <c r="BB9" s="745"/>
      <c r="BC9" s="745"/>
      <c r="BD9" s="745"/>
      <c r="BE9" s="745"/>
      <c r="BF9" s="745"/>
      <c r="BG9" s="745"/>
      <c r="BH9" s="745"/>
      <c r="BX9" s="691"/>
    </row>
    <row r="10" spans="2:77" s="87" customFormat="1" ht="14" customHeight="1" x14ac:dyDescent="0.3">
      <c r="B10" s="687"/>
      <c r="C10" s="688"/>
      <c r="D10" s="688" t="s">
        <v>206</v>
      </c>
      <c r="E10" s="2893" t="s">
        <v>486</v>
      </c>
      <c r="F10" s="2893"/>
      <c r="G10" s="2893"/>
      <c r="H10" s="2893"/>
      <c r="I10" s="2893"/>
      <c r="J10" s="2893"/>
      <c r="K10" s="2893"/>
      <c r="L10" s="2893"/>
      <c r="M10" s="2893"/>
      <c r="N10" s="2893"/>
      <c r="O10" s="2893"/>
      <c r="P10" s="2893"/>
      <c r="Q10" s="2893"/>
      <c r="R10" s="2893"/>
      <c r="S10" s="2893"/>
      <c r="T10" s="2893"/>
      <c r="U10" s="2893"/>
      <c r="V10" s="2893"/>
      <c r="W10" s="2893"/>
      <c r="X10" s="2893"/>
      <c r="Y10" s="2893"/>
      <c r="Z10" s="2893"/>
      <c r="AA10" s="2893"/>
      <c r="AB10" s="2893"/>
      <c r="AC10" s="2893"/>
      <c r="AD10" s="2893"/>
      <c r="AE10" s="2893"/>
      <c r="AF10" s="2893"/>
      <c r="AG10" s="2893"/>
      <c r="AH10" s="2893"/>
      <c r="AI10" s="2893"/>
      <c r="AJ10" s="2893"/>
      <c r="AK10" s="2893"/>
      <c r="AL10" s="2893"/>
      <c r="AM10" s="2893"/>
      <c r="AN10" s="2893"/>
      <c r="AO10" s="2893"/>
      <c r="AP10" s="2893"/>
      <c r="AQ10" s="2893"/>
      <c r="AR10" s="2893"/>
      <c r="AS10" s="2893"/>
      <c r="AT10" s="2893"/>
      <c r="AU10" s="2893"/>
      <c r="AV10" s="2893"/>
      <c r="AW10" s="2893"/>
      <c r="AX10" s="2893"/>
      <c r="AY10" s="2893"/>
      <c r="AZ10" s="745"/>
      <c r="BA10" s="745"/>
      <c r="BB10" s="745"/>
      <c r="BC10" s="745"/>
      <c r="BD10" s="745"/>
      <c r="BE10" s="745"/>
      <c r="BF10" s="745"/>
      <c r="BG10" s="745"/>
      <c r="BH10" s="745"/>
      <c r="BX10" s="691"/>
    </row>
    <row r="11" spans="2:77" s="87" customFormat="1" ht="14" customHeight="1" x14ac:dyDescent="0.3">
      <c r="B11" s="687"/>
      <c r="C11" s="690" t="s">
        <v>108</v>
      </c>
      <c r="D11" s="2927" t="s">
        <v>487</v>
      </c>
      <c r="E11" s="2927"/>
      <c r="F11" s="2927"/>
      <c r="G11" s="2927"/>
      <c r="H11" s="2927"/>
      <c r="I11" s="2927"/>
      <c r="J11" s="2927"/>
      <c r="K11" s="2927"/>
      <c r="L11" s="2927"/>
      <c r="M11" s="2927"/>
      <c r="N11" s="2927"/>
      <c r="O11" s="2927"/>
      <c r="P11" s="2927"/>
      <c r="Q11" s="2927"/>
      <c r="R11" s="2927"/>
      <c r="S11" s="2927"/>
      <c r="T11" s="2927"/>
      <c r="U11" s="2927"/>
      <c r="V11" s="2927"/>
      <c r="W11" s="2927"/>
      <c r="X11" s="2927"/>
      <c r="Y11" s="2927"/>
      <c r="Z11" s="2927"/>
      <c r="AA11" s="2927"/>
      <c r="AB11" s="2927"/>
      <c r="AC11" s="2927"/>
      <c r="AD11" s="2927"/>
      <c r="AE11" s="2927"/>
      <c r="AF11" s="2927"/>
      <c r="AG11" s="2927"/>
      <c r="AH11" s="2927"/>
      <c r="AI11" s="2927"/>
      <c r="AJ11" s="2927"/>
      <c r="AK11" s="2927"/>
      <c r="AL11" s="2927"/>
      <c r="AM11" s="2927"/>
      <c r="AN11" s="2927"/>
      <c r="AO11" s="2927"/>
      <c r="AP11" s="2927"/>
      <c r="AQ11" s="2927"/>
      <c r="AR11" s="2927"/>
      <c r="AS11" s="2927"/>
      <c r="AT11" s="2927"/>
      <c r="AU11" s="2927"/>
      <c r="AV11" s="2927"/>
      <c r="AW11" s="2927"/>
      <c r="AX11" s="2927"/>
      <c r="AY11" s="2927"/>
      <c r="AZ11" s="745"/>
      <c r="BA11" s="745"/>
      <c r="BB11" s="745"/>
      <c r="BC11" s="745"/>
      <c r="BD11" s="745"/>
      <c r="BE11" s="745"/>
      <c r="BF11" s="745"/>
      <c r="BG11" s="745"/>
      <c r="BH11" s="746"/>
      <c r="BX11" s="691"/>
    </row>
    <row r="12" spans="2:77" s="87" customFormat="1" ht="14" customHeight="1" x14ac:dyDescent="0.3">
      <c r="B12" s="687"/>
      <c r="C12" s="690" t="s">
        <v>131</v>
      </c>
      <c r="D12" s="2927" t="s">
        <v>488</v>
      </c>
      <c r="E12" s="2927"/>
      <c r="F12" s="2927"/>
      <c r="G12" s="2927"/>
      <c r="H12" s="2927"/>
      <c r="I12" s="2927"/>
      <c r="J12" s="2927"/>
      <c r="K12" s="2927"/>
      <c r="L12" s="2927"/>
      <c r="M12" s="2927"/>
      <c r="N12" s="2927"/>
      <c r="O12" s="2927"/>
      <c r="P12" s="2927"/>
      <c r="Q12" s="2927"/>
      <c r="R12" s="2927"/>
      <c r="S12" s="2927"/>
      <c r="T12" s="2927"/>
      <c r="U12" s="2927"/>
      <c r="V12" s="2927"/>
      <c r="W12" s="2927"/>
      <c r="X12" s="2927"/>
      <c r="Y12" s="2927"/>
      <c r="Z12" s="2927"/>
      <c r="AA12" s="2927"/>
      <c r="AB12" s="2927"/>
      <c r="AC12" s="2927"/>
      <c r="AD12" s="2927"/>
      <c r="AE12" s="2927"/>
      <c r="AF12" s="2927"/>
      <c r="AG12" s="2927"/>
      <c r="AH12" s="2927"/>
      <c r="AI12" s="2927"/>
      <c r="AJ12" s="2927"/>
      <c r="AK12" s="2927"/>
      <c r="AL12" s="2927"/>
      <c r="AM12" s="2927"/>
      <c r="AN12" s="2927"/>
      <c r="AO12" s="2927"/>
      <c r="AP12" s="2927"/>
      <c r="AQ12" s="2927"/>
      <c r="AR12" s="2927"/>
      <c r="AS12" s="2927"/>
      <c r="AT12" s="2927"/>
      <c r="AU12" s="2927"/>
      <c r="AV12" s="2927"/>
      <c r="AW12" s="2927"/>
      <c r="AX12" s="2927"/>
      <c r="AY12" s="2927"/>
      <c r="AZ12" s="745"/>
      <c r="BA12" s="745"/>
      <c r="BB12" s="745"/>
      <c r="BC12" s="745"/>
      <c r="BD12" s="745"/>
      <c r="BE12" s="745"/>
      <c r="BF12" s="745"/>
      <c r="BG12" s="745"/>
      <c r="BH12" s="746"/>
      <c r="BX12" s="691"/>
    </row>
    <row r="13" spans="2:77" s="87" customFormat="1" ht="14" customHeight="1" x14ac:dyDescent="0.3">
      <c r="B13" s="687"/>
      <c r="C13" s="690" t="s">
        <v>132</v>
      </c>
      <c r="D13" s="2927" t="s">
        <v>489</v>
      </c>
      <c r="E13" s="2927"/>
      <c r="F13" s="2927"/>
      <c r="G13" s="2927"/>
      <c r="H13" s="2927"/>
      <c r="I13" s="2927"/>
      <c r="J13" s="2927"/>
      <c r="K13" s="2927"/>
      <c r="L13" s="2927"/>
      <c r="M13" s="2927"/>
      <c r="N13" s="2927"/>
      <c r="O13" s="2927"/>
      <c r="P13" s="2927"/>
      <c r="Q13" s="2927"/>
      <c r="R13" s="2927"/>
      <c r="S13" s="2927"/>
      <c r="T13" s="2927"/>
      <c r="U13" s="2927"/>
      <c r="V13" s="2927"/>
      <c r="W13" s="2927"/>
      <c r="X13" s="2927"/>
      <c r="Y13" s="2927"/>
      <c r="Z13" s="2927"/>
      <c r="AA13" s="2927"/>
      <c r="AB13" s="2927"/>
      <c r="AC13" s="2927"/>
      <c r="AD13" s="2927"/>
      <c r="AE13" s="2927"/>
      <c r="AF13" s="2927"/>
      <c r="AG13" s="2927"/>
      <c r="AH13" s="2927"/>
      <c r="AI13" s="2927"/>
      <c r="AJ13" s="2927"/>
      <c r="AK13" s="2927"/>
      <c r="AL13" s="2927"/>
      <c r="AM13" s="2927"/>
      <c r="AN13" s="2927"/>
      <c r="AO13" s="2927"/>
      <c r="AP13" s="2927"/>
      <c r="AQ13" s="2927"/>
      <c r="AR13" s="2927"/>
      <c r="AS13" s="2927"/>
      <c r="AT13" s="2927"/>
      <c r="AU13" s="2927"/>
      <c r="AV13" s="2927"/>
      <c r="AW13" s="2927"/>
      <c r="AX13" s="2927"/>
      <c r="AY13" s="2927"/>
      <c r="AZ13" s="745"/>
      <c r="BA13" s="745"/>
      <c r="BB13" s="745"/>
      <c r="BC13" s="745"/>
      <c r="BD13" s="745"/>
      <c r="BE13" s="745"/>
      <c r="BF13" s="745"/>
      <c r="BG13" s="745"/>
      <c r="BH13" s="746"/>
      <c r="BX13" s="691"/>
    </row>
    <row r="14" spans="2:77" s="87" customFormat="1" ht="14" customHeight="1" x14ac:dyDescent="0.3">
      <c r="B14" s="687"/>
      <c r="C14" s="690" t="s">
        <v>133</v>
      </c>
      <c r="D14" s="2927" t="s">
        <v>490</v>
      </c>
      <c r="E14" s="2927"/>
      <c r="F14" s="2927"/>
      <c r="G14" s="2927"/>
      <c r="H14" s="2927"/>
      <c r="I14" s="2927"/>
      <c r="J14" s="2927"/>
      <c r="K14" s="2927"/>
      <c r="L14" s="2927"/>
      <c r="M14" s="2927"/>
      <c r="N14" s="2927"/>
      <c r="O14" s="2927"/>
      <c r="P14" s="2927"/>
      <c r="Q14" s="2927"/>
      <c r="R14" s="2927"/>
      <c r="S14" s="2927"/>
      <c r="T14" s="2927"/>
      <c r="U14" s="2927"/>
      <c r="V14" s="2927"/>
      <c r="W14" s="2927"/>
      <c r="X14" s="2927"/>
      <c r="Y14" s="2927"/>
      <c r="Z14" s="2927"/>
      <c r="AA14" s="2927"/>
      <c r="AB14" s="2927"/>
      <c r="AC14" s="2927"/>
      <c r="AD14" s="2927"/>
      <c r="AE14" s="2927"/>
      <c r="AF14" s="2927"/>
      <c r="AG14" s="2927"/>
      <c r="AH14" s="2927"/>
      <c r="AI14" s="2927"/>
      <c r="AJ14" s="2927"/>
      <c r="AK14" s="2927"/>
      <c r="AL14" s="2927"/>
      <c r="AM14" s="2927"/>
      <c r="AN14" s="2927"/>
      <c r="AO14" s="2927"/>
      <c r="AP14" s="2927"/>
      <c r="AQ14" s="2927"/>
      <c r="AR14" s="2927"/>
      <c r="AS14" s="2927"/>
      <c r="AT14" s="2927"/>
      <c r="AU14" s="2927"/>
      <c r="AV14" s="2927"/>
      <c r="AW14" s="2927"/>
      <c r="AX14" s="2927"/>
      <c r="AY14" s="2927"/>
      <c r="AZ14" s="745"/>
      <c r="BA14" s="745"/>
      <c r="BB14" s="745"/>
      <c r="BC14" s="745"/>
      <c r="BD14" s="745"/>
      <c r="BE14" s="745"/>
      <c r="BF14" s="745"/>
      <c r="BG14" s="745"/>
      <c r="BH14" s="746"/>
      <c r="BX14" s="691"/>
    </row>
    <row r="15" spans="2:77" s="87" customFormat="1" ht="45.5" customHeight="1" x14ac:dyDescent="0.3">
      <c r="B15" s="232" t="s">
        <v>155</v>
      </c>
      <c r="C15" s="2927" t="s">
        <v>491</v>
      </c>
      <c r="D15" s="2927"/>
      <c r="E15" s="2927"/>
      <c r="F15" s="2927"/>
      <c r="G15" s="2927"/>
      <c r="H15" s="2927"/>
      <c r="I15" s="2927"/>
      <c r="J15" s="2927"/>
      <c r="K15" s="2927"/>
      <c r="L15" s="2927"/>
      <c r="M15" s="2927"/>
      <c r="N15" s="2927"/>
      <c r="O15" s="2927"/>
      <c r="P15" s="2927"/>
      <c r="Q15" s="2927"/>
      <c r="R15" s="2927"/>
      <c r="S15" s="2927"/>
      <c r="T15" s="2927"/>
      <c r="U15" s="2927"/>
      <c r="V15" s="2927"/>
      <c r="W15" s="2927"/>
      <c r="X15" s="2927"/>
      <c r="Y15" s="2927"/>
      <c r="Z15" s="2927"/>
      <c r="AA15" s="2927"/>
      <c r="AB15" s="2927"/>
      <c r="AC15" s="2927"/>
      <c r="AD15" s="2927"/>
      <c r="AE15" s="2927"/>
      <c r="AF15" s="2927"/>
      <c r="AG15" s="2927"/>
      <c r="AH15" s="2927"/>
      <c r="AI15" s="2927"/>
      <c r="AJ15" s="2927"/>
      <c r="AK15" s="2927"/>
      <c r="AL15" s="2927"/>
      <c r="AM15" s="2927"/>
      <c r="AN15" s="2927"/>
      <c r="AO15" s="2927"/>
      <c r="AP15" s="2927"/>
      <c r="AQ15" s="2927"/>
      <c r="AR15" s="2927"/>
      <c r="AS15" s="2927"/>
      <c r="AT15" s="2927"/>
      <c r="AU15" s="2927"/>
      <c r="AV15" s="2927"/>
      <c r="AW15" s="2927"/>
      <c r="AX15" s="2927"/>
      <c r="AY15" s="2927"/>
      <c r="AZ15" s="744"/>
      <c r="BA15" s="744"/>
      <c r="BB15" s="744"/>
      <c r="BC15" s="744"/>
      <c r="BD15" s="744"/>
      <c r="BE15" s="744"/>
      <c r="BF15" s="744"/>
      <c r="BG15" s="744"/>
      <c r="BH15" s="744"/>
      <c r="BX15" s="691"/>
    </row>
    <row r="16" spans="2:77" s="87" customFormat="1" ht="30.75" customHeight="1" x14ac:dyDescent="0.3">
      <c r="B16" s="687"/>
      <c r="C16" s="690" t="s">
        <v>107</v>
      </c>
      <c r="D16" s="2927" t="s">
        <v>12587</v>
      </c>
      <c r="E16" s="2927"/>
      <c r="F16" s="2927"/>
      <c r="G16" s="2927"/>
      <c r="H16" s="2927"/>
      <c r="I16" s="2927"/>
      <c r="J16" s="2927"/>
      <c r="K16" s="2927"/>
      <c r="L16" s="2927"/>
      <c r="M16" s="2927"/>
      <c r="N16" s="2927"/>
      <c r="O16" s="2927"/>
      <c r="P16" s="2927"/>
      <c r="Q16" s="2927"/>
      <c r="R16" s="2927"/>
      <c r="S16" s="2927"/>
      <c r="T16" s="2927"/>
      <c r="U16" s="2927"/>
      <c r="V16" s="2927"/>
      <c r="W16" s="2927"/>
      <c r="X16" s="2927"/>
      <c r="Y16" s="2927"/>
      <c r="Z16" s="2927"/>
      <c r="AA16" s="2927"/>
      <c r="AB16" s="2927"/>
      <c r="AC16" s="2927"/>
      <c r="AD16" s="2927"/>
      <c r="AE16" s="2927"/>
      <c r="AF16" s="2927"/>
      <c r="AG16" s="2927"/>
      <c r="AH16" s="2927"/>
      <c r="AI16" s="2927"/>
      <c r="AJ16" s="2927"/>
      <c r="AK16" s="2927"/>
      <c r="AL16" s="2927"/>
      <c r="AM16" s="2927"/>
      <c r="AN16" s="2927"/>
      <c r="AO16" s="2927"/>
      <c r="AP16" s="2927"/>
      <c r="AQ16" s="2927"/>
      <c r="AR16" s="2927"/>
      <c r="AS16" s="2927"/>
      <c r="AT16" s="2927"/>
      <c r="AU16" s="2927"/>
      <c r="AV16" s="2927"/>
      <c r="AW16" s="2927"/>
      <c r="AX16" s="2927"/>
      <c r="AY16" s="2927"/>
      <c r="AZ16" s="744"/>
      <c r="BA16" s="744"/>
      <c r="BB16" s="744"/>
      <c r="BC16" s="744"/>
      <c r="BD16" s="744"/>
      <c r="BE16" s="744"/>
      <c r="BF16" s="744"/>
      <c r="BG16" s="744"/>
      <c r="BH16" s="744"/>
      <c r="BX16" s="691"/>
    </row>
    <row r="17" spans="2:76" s="87" customFormat="1" ht="32.25" customHeight="1" x14ac:dyDescent="0.3">
      <c r="B17" s="232" t="s">
        <v>156</v>
      </c>
      <c r="C17" s="2927" t="s">
        <v>492</v>
      </c>
      <c r="D17" s="2927"/>
      <c r="E17" s="2927"/>
      <c r="F17" s="2927"/>
      <c r="G17" s="2927"/>
      <c r="H17" s="2927"/>
      <c r="I17" s="2927"/>
      <c r="J17" s="2927"/>
      <c r="K17" s="2927"/>
      <c r="L17" s="2927"/>
      <c r="M17" s="2927"/>
      <c r="N17" s="2927"/>
      <c r="O17" s="2927"/>
      <c r="P17" s="2927"/>
      <c r="Q17" s="2927"/>
      <c r="R17" s="2927"/>
      <c r="S17" s="2927"/>
      <c r="T17" s="2927"/>
      <c r="U17" s="2927"/>
      <c r="V17" s="2927"/>
      <c r="W17" s="2927"/>
      <c r="X17" s="2927"/>
      <c r="Y17" s="2927"/>
      <c r="Z17" s="2927"/>
      <c r="AA17" s="2927"/>
      <c r="AB17" s="2927"/>
      <c r="AC17" s="2927"/>
      <c r="AD17" s="2927"/>
      <c r="AE17" s="2927"/>
      <c r="AF17" s="2927"/>
      <c r="AG17" s="2927"/>
      <c r="AH17" s="2927"/>
      <c r="AI17" s="2927"/>
      <c r="AJ17" s="2927"/>
      <c r="AK17" s="2927"/>
      <c r="AL17" s="2927"/>
      <c r="AM17" s="2927"/>
      <c r="AN17" s="2927"/>
      <c r="AO17" s="2927"/>
      <c r="AP17" s="2927"/>
      <c r="AQ17" s="2927"/>
      <c r="AR17" s="2927"/>
      <c r="AS17" s="2927"/>
      <c r="AT17" s="2927"/>
      <c r="AU17" s="2927"/>
      <c r="AV17" s="2927"/>
      <c r="AW17" s="2927"/>
      <c r="AX17" s="2927"/>
      <c r="AY17" s="2927"/>
      <c r="AZ17" s="744"/>
      <c r="BA17" s="744"/>
      <c r="BB17" s="744"/>
      <c r="BC17" s="744"/>
      <c r="BD17" s="744"/>
      <c r="BE17" s="744"/>
      <c r="BF17" s="744"/>
      <c r="BG17" s="744"/>
      <c r="BH17" s="744"/>
      <c r="BX17" s="691"/>
    </row>
    <row r="18" spans="2:76" s="87" customFormat="1" ht="14" customHeight="1" x14ac:dyDescent="0.3">
      <c r="B18" s="687"/>
      <c r="C18" s="690" t="s">
        <v>107</v>
      </c>
      <c r="D18" s="2927" t="s">
        <v>493</v>
      </c>
      <c r="E18" s="2927"/>
      <c r="F18" s="2927"/>
      <c r="G18" s="2927"/>
      <c r="H18" s="2927"/>
      <c r="I18" s="2927"/>
      <c r="J18" s="2927"/>
      <c r="K18" s="2927"/>
      <c r="L18" s="2927"/>
      <c r="M18" s="2927"/>
      <c r="N18" s="2927"/>
      <c r="O18" s="2927"/>
      <c r="P18" s="2927"/>
      <c r="Q18" s="2927"/>
      <c r="R18" s="2927"/>
      <c r="S18" s="2927"/>
      <c r="T18" s="2927"/>
      <c r="U18" s="2927"/>
      <c r="V18" s="2927"/>
      <c r="W18" s="2927"/>
      <c r="X18" s="2927"/>
      <c r="Y18" s="2927"/>
      <c r="Z18" s="2927"/>
      <c r="AA18" s="2927"/>
      <c r="AB18" s="2927"/>
      <c r="AC18" s="2927"/>
      <c r="AD18" s="2927"/>
      <c r="AE18" s="2927"/>
      <c r="AF18" s="2927"/>
      <c r="AG18" s="2927"/>
      <c r="AH18" s="2927"/>
      <c r="AI18" s="2927"/>
      <c r="AJ18" s="2927"/>
      <c r="AK18" s="2927"/>
      <c r="AL18" s="2927"/>
      <c r="AM18" s="2927"/>
      <c r="AN18" s="2927"/>
      <c r="AO18" s="2927"/>
      <c r="AP18" s="2927"/>
      <c r="AQ18" s="2927"/>
      <c r="AR18" s="2927"/>
      <c r="AS18" s="2927"/>
      <c r="AT18" s="2927"/>
      <c r="AU18" s="2927"/>
      <c r="AV18" s="2927"/>
      <c r="AW18" s="2927"/>
      <c r="AX18" s="2927"/>
      <c r="AY18" s="2927"/>
      <c r="AZ18" s="744"/>
      <c r="BA18" s="744"/>
      <c r="BB18" s="744"/>
      <c r="BC18" s="744"/>
      <c r="BD18" s="744"/>
      <c r="BE18" s="744"/>
      <c r="BF18" s="744"/>
      <c r="BG18" s="744"/>
      <c r="BH18" s="744"/>
      <c r="BX18" s="691"/>
    </row>
    <row r="19" spans="2:76" s="87" customFormat="1" ht="15.75" customHeight="1" x14ac:dyDescent="0.3">
      <c r="B19" s="232" t="s">
        <v>157</v>
      </c>
      <c r="C19" s="101" t="s">
        <v>147</v>
      </c>
      <c r="D19" s="100"/>
      <c r="E19" s="100"/>
      <c r="F19" s="100"/>
      <c r="G19" s="747"/>
      <c r="H19" s="747"/>
      <c r="I19" s="747"/>
      <c r="J19" s="747"/>
      <c r="K19" s="747"/>
      <c r="L19" s="747"/>
      <c r="M19" s="747"/>
      <c r="N19" s="747"/>
      <c r="O19" s="747"/>
      <c r="P19" s="747"/>
      <c r="Q19" s="747"/>
      <c r="R19" s="747"/>
      <c r="S19" s="747"/>
      <c r="T19" s="747"/>
      <c r="U19" s="747"/>
      <c r="V19" s="747"/>
      <c r="W19" s="747"/>
      <c r="X19" s="747"/>
      <c r="Y19" s="747"/>
      <c r="Z19" s="747"/>
      <c r="AA19" s="747"/>
      <c r="AB19" s="747"/>
      <c r="AC19" s="747"/>
      <c r="AD19" s="747"/>
      <c r="AE19" s="747"/>
      <c r="AF19" s="747"/>
      <c r="AG19" s="747"/>
      <c r="AH19" s="747"/>
      <c r="AI19" s="747"/>
      <c r="AJ19" s="747"/>
      <c r="AK19" s="747"/>
      <c r="AL19" s="747"/>
      <c r="AM19" s="747"/>
      <c r="AN19" s="747"/>
      <c r="AO19" s="747"/>
      <c r="AP19" s="747"/>
      <c r="AQ19" s="747"/>
      <c r="AR19" s="747"/>
      <c r="AS19" s="747"/>
      <c r="AT19" s="747"/>
      <c r="AU19" s="747"/>
      <c r="AV19" s="747"/>
      <c r="AW19" s="747"/>
      <c r="AX19" s="744"/>
      <c r="AY19" s="744"/>
      <c r="AZ19" s="744"/>
      <c r="BA19" s="744"/>
      <c r="BB19" s="744"/>
      <c r="BC19" s="744"/>
      <c r="BD19" s="744"/>
      <c r="BE19" s="744"/>
      <c r="BF19" s="744"/>
      <c r="BG19" s="744"/>
      <c r="BH19" s="744"/>
      <c r="BX19" s="691"/>
    </row>
    <row r="20" spans="2:76" s="87" customFormat="1" ht="14" customHeight="1" x14ac:dyDescent="0.3">
      <c r="B20" s="687"/>
      <c r="C20" s="690" t="s">
        <v>107</v>
      </c>
      <c r="D20" s="2927" t="s">
        <v>494</v>
      </c>
      <c r="E20" s="2927"/>
      <c r="F20" s="2927"/>
      <c r="G20" s="2927"/>
      <c r="H20" s="2927"/>
      <c r="I20" s="2927"/>
      <c r="J20" s="2927"/>
      <c r="K20" s="2927"/>
      <c r="L20" s="2927"/>
      <c r="M20" s="2927"/>
      <c r="N20" s="2927"/>
      <c r="O20" s="2927"/>
      <c r="P20" s="2927"/>
      <c r="Q20" s="2927"/>
      <c r="R20" s="2927"/>
      <c r="S20" s="2927"/>
      <c r="T20" s="2927"/>
      <c r="U20" s="2927"/>
      <c r="V20" s="2927"/>
      <c r="W20" s="2927"/>
      <c r="X20" s="2927"/>
      <c r="Y20" s="2927"/>
      <c r="Z20" s="2927"/>
      <c r="AA20" s="2927"/>
      <c r="AB20" s="2927" t="s">
        <v>374</v>
      </c>
      <c r="AC20" s="2927"/>
      <c r="AD20" s="2927"/>
      <c r="AE20" s="2927"/>
      <c r="AF20" s="2927"/>
      <c r="AG20" s="2927"/>
      <c r="AH20" s="2927"/>
      <c r="AI20" s="2927"/>
      <c r="AJ20" s="2927"/>
      <c r="AK20" s="2927"/>
      <c r="AL20" s="2927"/>
      <c r="AM20" s="2927"/>
      <c r="AN20" s="2927"/>
      <c r="AO20" s="2927"/>
      <c r="AP20" s="2927"/>
      <c r="AQ20" s="2927"/>
      <c r="AR20" s="2927"/>
      <c r="AS20" s="2927"/>
      <c r="AT20" s="2927"/>
      <c r="AU20" s="2927"/>
      <c r="AV20" s="2927"/>
      <c r="AW20" s="2927"/>
      <c r="AX20" s="2927"/>
      <c r="AY20" s="2927"/>
      <c r="AZ20" s="745"/>
      <c r="BA20" s="745"/>
      <c r="BB20" s="745"/>
      <c r="BC20" s="745"/>
      <c r="BD20" s="745"/>
      <c r="BE20" s="745"/>
      <c r="BF20" s="745"/>
      <c r="BG20" s="745"/>
      <c r="BH20" s="746"/>
      <c r="BX20" s="691"/>
    </row>
    <row r="21" spans="2:76" s="87" customFormat="1" ht="14" customHeight="1" x14ac:dyDescent="0.3">
      <c r="B21" s="687"/>
      <c r="C21" s="690" t="s">
        <v>108</v>
      </c>
      <c r="D21" s="2927" t="s">
        <v>495</v>
      </c>
      <c r="E21" s="2927"/>
      <c r="F21" s="2927"/>
      <c r="G21" s="2927"/>
      <c r="H21" s="2927"/>
      <c r="I21" s="2927"/>
      <c r="J21" s="2927"/>
      <c r="K21" s="2927"/>
      <c r="L21" s="2927"/>
      <c r="M21" s="2927"/>
      <c r="N21" s="2927"/>
      <c r="O21" s="2927"/>
      <c r="P21" s="2927"/>
      <c r="Q21" s="2927"/>
      <c r="R21" s="2927"/>
      <c r="S21" s="2927"/>
      <c r="T21" s="2927"/>
      <c r="U21" s="2927"/>
      <c r="V21" s="2927"/>
      <c r="W21" s="2927"/>
      <c r="X21" s="2927"/>
      <c r="Y21" s="2927"/>
      <c r="Z21" s="2927"/>
      <c r="AA21" s="2927"/>
      <c r="AB21" s="2927"/>
      <c r="AC21" s="2927"/>
      <c r="AD21" s="2927"/>
      <c r="AE21" s="2927"/>
      <c r="AF21" s="2927"/>
      <c r="AG21" s="2927"/>
      <c r="AH21" s="2927"/>
      <c r="AI21" s="2927"/>
      <c r="AJ21" s="2927"/>
      <c r="AK21" s="2927"/>
      <c r="AL21" s="2927"/>
      <c r="AM21" s="2927"/>
      <c r="AN21" s="2927"/>
      <c r="AO21" s="2927"/>
      <c r="AP21" s="2927"/>
      <c r="AQ21" s="2927"/>
      <c r="AR21" s="2927"/>
      <c r="AS21" s="2927"/>
      <c r="AT21" s="2927"/>
      <c r="AU21" s="2927"/>
      <c r="AV21" s="2927"/>
      <c r="AW21" s="2927"/>
      <c r="AX21" s="2927"/>
      <c r="AY21" s="2927"/>
      <c r="AZ21" s="745"/>
      <c r="BA21" s="745"/>
      <c r="BB21" s="745"/>
      <c r="BC21" s="745"/>
      <c r="BD21" s="745"/>
      <c r="BE21" s="745"/>
      <c r="BF21" s="745"/>
      <c r="BG21" s="745"/>
      <c r="BH21" s="746"/>
      <c r="BX21" s="691"/>
    </row>
    <row r="22" spans="2:76" s="87" customFormat="1" ht="14" customHeight="1" x14ac:dyDescent="0.3">
      <c r="B22" s="687"/>
      <c r="C22" s="690" t="s">
        <v>131</v>
      </c>
      <c r="D22" s="2927" t="s">
        <v>496</v>
      </c>
      <c r="E22" s="2927"/>
      <c r="F22" s="2927"/>
      <c r="G22" s="2927"/>
      <c r="H22" s="2927"/>
      <c r="I22" s="2927"/>
      <c r="J22" s="2927"/>
      <c r="K22" s="2927"/>
      <c r="L22" s="2927"/>
      <c r="M22" s="2927"/>
      <c r="N22" s="2927"/>
      <c r="O22" s="2927"/>
      <c r="P22" s="2927"/>
      <c r="Q22" s="2927"/>
      <c r="R22" s="2927"/>
      <c r="S22" s="2927"/>
      <c r="T22" s="2927"/>
      <c r="U22" s="2927"/>
      <c r="V22" s="2927"/>
      <c r="W22" s="2927"/>
      <c r="X22" s="2927"/>
      <c r="Y22" s="2927"/>
      <c r="Z22" s="2927"/>
      <c r="AA22" s="2927"/>
      <c r="AB22" s="2927"/>
      <c r="AC22" s="2927"/>
      <c r="AD22" s="2927"/>
      <c r="AE22" s="2927"/>
      <c r="AF22" s="2927"/>
      <c r="AG22" s="2927"/>
      <c r="AH22" s="2927"/>
      <c r="AI22" s="2927"/>
      <c r="AJ22" s="2927"/>
      <c r="AK22" s="2927"/>
      <c r="AL22" s="2927"/>
      <c r="AM22" s="2927"/>
      <c r="AN22" s="2927"/>
      <c r="AO22" s="2927"/>
      <c r="AP22" s="2927"/>
      <c r="AQ22" s="2927"/>
      <c r="AR22" s="2927"/>
      <c r="AS22" s="2927"/>
      <c r="AT22" s="2927"/>
      <c r="AU22" s="2927"/>
      <c r="AV22" s="2927"/>
      <c r="AW22" s="2927"/>
      <c r="AX22" s="2927"/>
      <c r="AY22" s="2927"/>
      <c r="AZ22" s="745"/>
      <c r="BA22" s="745"/>
      <c r="BB22" s="745"/>
      <c r="BC22" s="745"/>
      <c r="BD22" s="745"/>
      <c r="BE22" s="745"/>
      <c r="BF22" s="745"/>
      <c r="BG22" s="745"/>
      <c r="BH22" s="746"/>
      <c r="BX22" s="691"/>
    </row>
    <row r="23" spans="2:76" s="87" customFormat="1" ht="15.75" customHeight="1" x14ac:dyDescent="0.3">
      <c r="B23" s="232" t="s">
        <v>159</v>
      </c>
      <c r="C23" s="101" t="s">
        <v>380</v>
      </c>
      <c r="D23" s="100"/>
      <c r="E23" s="100"/>
      <c r="F23" s="100"/>
      <c r="G23" s="747"/>
      <c r="H23" s="747"/>
      <c r="I23" s="747"/>
      <c r="J23" s="747"/>
      <c r="K23" s="747"/>
      <c r="L23" s="747"/>
      <c r="M23" s="747"/>
      <c r="N23" s="747"/>
      <c r="O23" s="747"/>
      <c r="P23" s="747"/>
      <c r="Q23" s="747"/>
      <c r="R23" s="747"/>
      <c r="S23" s="747"/>
      <c r="T23" s="747"/>
      <c r="U23" s="747"/>
      <c r="V23" s="747"/>
      <c r="W23" s="747"/>
      <c r="X23" s="747"/>
      <c r="Y23" s="747"/>
      <c r="Z23" s="747"/>
      <c r="AA23" s="747"/>
      <c r="AB23" s="747"/>
      <c r="AC23" s="747"/>
      <c r="AD23" s="747"/>
      <c r="AE23" s="747"/>
      <c r="AF23" s="747"/>
      <c r="AG23" s="747"/>
      <c r="AH23" s="747"/>
      <c r="AI23" s="747"/>
      <c r="AJ23" s="747"/>
      <c r="AK23" s="747"/>
      <c r="AL23" s="747"/>
      <c r="AM23" s="747"/>
      <c r="AN23" s="747"/>
      <c r="AO23" s="747"/>
      <c r="AP23" s="747"/>
      <c r="AQ23" s="747"/>
      <c r="AR23" s="747"/>
      <c r="AS23" s="747"/>
      <c r="AT23" s="747"/>
      <c r="AU23" s="747"/>
      <c r="AV23" s="747"/>
      <c r="AW23" s="747"/>
      <c r="AX23" s="744"/>
      <c r="AY23" s="744"/>
      <c r="AZ23" s="744"/>
      <c r="BA23" s="744"/>
      <c r="BB23" s="744"/>
      <c r="BC23" s="744"/>
      <c r="BD23" s="744"/>
      <c r="BE23" s="744"/>
      <c r="BF23" s="744"/>
      <c r="BG23" s="744"/>
      <c r="BH23" s="744"/>
      <c r="BX23" s="691"/>
    </row>
    <row r="24" spans="2:76" s="87" customFormat="1" ht="45.75" customHeight="1" x14ac:dyDescent="0.3">
      <c r="B24" s="687"/>
      <c r="C24" s="690" t="s">
        <v>107</v>
      </c>
      <c r="D24" s="2927" t="s">
        <v>497</v>
      </c>
      <c r="E24" s="2927"/>
      <c r="F24" s="2927"/>
      <c r="G24" s="2927"/>
      <c r="H24" s="2927"/>
      <c r="I24" s="2927"/>
      <c r="J24" s="2927"/>
      <c r="K24" s="2927"/>
      <c r="L24" s="2927"/>
      <c r="M24" s="2927"/>
      <c r="N24" s="2927"/>
      <c r="O24" s="2927"/>
      <c r="P24" s="2927"/>
      <c r="Q24" s="2927"/>
      <c r="R24" s="2927"/>
      <c r="S24" s="2927"/>
      <c r="T24" s="2927"/>
      <c r="U24" s="2927"/>
      <c r="V24" s="2927"/>
      <c r="W24" s="2927"/>
      <c r="X24" s="2927"/>
      <c r="Y24" s="2927"/>
      <c r="Z24" s="2927"/>
      <c r="AA24" s="2927"/>
      <c r="AB24" s="2927" t="s">
        <v>374</v>
      </c>
      <c r="AC24" s="2927"/>
      <c r="AD24" s="2927"/>
      <c r="AE24" s="2927"/>
      <c r="AF24" s="2927"/>
      <c r="AG24" s="2927"/>
      <c r="AH24" s="2927"/>
      <c r="AI24" s="2927"/>
      <c r="AJ24" s="2927"/>
      <c r="AK24" s="2927"/>
      <c r="AL24" s="2927"/>
      <c r="AM24" s="2927"/>
      <c r="AN24" s="2927"/>
      <c r="AO24" s="2927"/>
      <c r="AP24" s="2927"/>
      <c r="AQ24" s="2927"/>
      <c r="AR24" s="2927"/>
      <c r="AS24" s="2927"/>
      <c r="AT24" s="2927"/>
      <c r="AU24" s="2927"/>
      <c r="AV24" s="2927"/>
      <c r="AW24" s="2927"/>
      <c r="AX24" s="2927"/>
      <c r="AY24" s="2927"/>
      <c r="AZ24" s="745"/>
      <c r="BA24" s="745"/>
      <c r="BB24" s="745"/>
      <c r="BC24" s="745"/>
      <c r="BD24" s="745"/>
      <c r="BE24" s="745"/>
      <c r="BF24" s="745"/>
      <c r="BG24" s="745"/>
      <c r="BH24" s="746"/>
      <c r="BX24" s="691"/>
    </row>
    <row r="25" spans="2:76" s="87" customFormat="1" ht="33" customHeight="1" x14ac:dyDescent="0.3">
      <c r="B25" s="687"/>
      <c r="C25" s="690" t="s">
        <v>108</v>
      </c>
      <c r="D25" s="2927" t="s">
        <v>498</v>
      </c>
      <c r="E25" s="2927"/>
      <c r="F25" s="2927"/>
      <c r="G25" s="2927"/>
      <c r="H25" s="2927"/>
      <c r="I25" s="2927"/>
      <c r="J25" s="2927"/>
      <c r="K25" s="2927"/>
      <c r="L25" s="2927"/>
      <c r="M25" s="2927"/>
      <c r="N25" s="2927"/>
      <c r="O25" s="2927"/>
      <c r="P25" s="2927"/>
      <c r="Q25" s="2927"/>
      <c r="R25" s="2927"/>
      <c r="S25" s="2927"/>
      <c r="T25" s="2927"/>
      <c r="U25" s="2927"/>
      <c r="V25" s="2927"/>
      <c r="W25" s="2927"/>
      <c r="X25" s="2927"/>
      <c r="Y25" s="2927"/>
      <c r="Z25" s="2927"/>
      <c r="AA25" s="2927"/>
      <c r="AB25" s="2927"/>
      <c r="AC25" s="2927"/>
      <c r="AD25" s="2927"/>
      <c r="AE25" s="2927"/>
      <c r="AF25" s="2927"/>
      <c r="AG25" s="2927"/>
      <c r="AH25" s="2927"/>
      <c r="AI25" s="2927"/>
      <c r="AJ25" s="2927"/>
      <c r="AK25" s="2927"/>
      <c r="AL25" s="2927"/>
      <c r="AM25" s="2927"/>
      <c r="AN25" s="2927"/>
      <c r="AO25" s="2927"/>
      <c r="AP25" s="2927"/>
      <c r="AQ25" s="2927"/>
      <c r="AR25" s="2927"/>
      <c r="AS25" s="2927"/>
      <c r="AT25" s="2927"/>
      <c r="AU25" s="2927"/>
      <c r="AV25" s="2927"/>
      <c r="AW25" s="2927"/>
      <c r="AX25" s="2927"/>
      <c r="AY25" s="2927"/>
      <c r="AZ25" s="745"/>
      <c r="BA25" s="745"/>
      <c r="BB25" s="745"/>
      <c r="BC25" s="745"/>
      <c r="BD25" s="745"/>
      <c r="BE25" s="745"/>
      <c r="BF25" s="745"/>
      <c r="BG25" s="745"/>
      <c r="BH25" s="746"/>
      <c r="BX25" s="691"/>
    </row>
    <row r="26" spans="2:76" s="748" customFormat="1" ht="30" customHeight="1" x14ac:dyDescent="0.35"/>
    <row r="27" spans="2:76" s="749" customFormat="1" x14ac:dyDescent="0.35">
      <c r="B27" s="153" t="s">
        <v>12720</v>
      </c>
      <c r="C27" s="215"/>
      <c r="D27" s="215"/>
      <c r="E27" s="731"/>
      <c r="F27" s="731"/>
      <c r="G27" s="731"/>
      <c r="H27" s="731"/>
      <c r="I27" s="731"/>
      <c r="J27" s="731"/>
      <c r="K27" s="731"/>
      <c r="L27" s="731"/>
      <c r="M27" s="731"/>
      <c r="N27" s="731"/>
      <c r="O27" s="403"/>
      <c r="P27" s="403"/>
      <c r="Q27" s="403"/>
      <c r="R27" s="403"/>
      <c r="S27" s="403"/>
      <c r="T27" s="403"/>
      <c r="U27" s="403"/>
      <c r="V27" s="403"/>
      <c r="W27" s="403"/>
      <c r="X27" s="403"/>
      <c r="Y27" s="403"/>
      <c r="Z27" s="403"/>
      <c r="AA27" s="403"/>
      <c r="AB27" s="403"/>
      <c r="AC27" s="403"/>
      <c r="AF27" s="403"/>
      <c r="AG27" s="403"/>
    </row>
    <row r="28" spans="2:76" ht="16" thickBot="1" x14ac:dyDescent="0.4">
      <c r="B28" s="419" t="s">
        <v>1091</v>
      </c>
      <c r="C28" s="215"/>
      <c r="D28" s="215"/>
      <c r="E28" s="731"/>
      <c r="F28" s="731"/>
      <c r="G28" s="731"/>
      <c r="H28" s="731"/>
      <c r="I28" s="731"/>
      <c r="J28" s="731"/>
      <c r="K28" s="731"/>
      <c r="L28" s="731"/>
      <c r="M28" s="731"/>
      <c r="N28" s="731"/>
      <c r="O28" s="403"/>
      <c r="P28" s="403"/>
      <c r="Q28" s="403"/>
      <c r="R28" s="403"/>
      <c r="S28" s="403"/>
      <c r="T28" s="403"/>
      <c r="U28" s="403"/>
      <c r="V28" s="403"/>
      <c r="W28" s="403"/>
      <c r="X28" s="403"/>
      <c r="Y28" s="403"/>
      <c r="Z28" s="403"/>
      <c r="AA28" s="403"/>
      <c r="AB28" s="403"/>
      <c r="AC28" s="403"/>
      <c r="AD28" s="750"/>
      <c r="AE28" s="750"/>
      <c r="AF28" s="403"/>
      <c r="AG28" s="403"/>
      <c r="AH28" s="750"/>
      <c r="AI28" s="750"/>
      <c r="AJ28" s="750"/>
      <c r="AK28" s="750"/>
      <c r="AL28" s="750"/>
      <c r="AM28" s="750"/>
      <c r="AN28" s="750"/>
      <c r="AO28" s="750"/>
      <c r="AP28" s="750"/>
      <c r="AQ28" s="750"/>
      <c r="AR28" s="750"/>
      <c r="AS28" s="750"/>
      <c r="AT28" s="750"/>
      <c r="AU28" s="750"/>
      <c r="AV28" s="750"/>
      <c r="AW28" s="750"/>
      <c r="AX28" s="750"/>
      <c r="AY28" s="750"/>
      <c r="AZ28" s="750"/>
      <c r="BA28" s="750"/>
      <c r="BB28" s="750"/>
    </row>
    <row r="29" spans="2:76" s="749" customFormat="1" ht="8.15" customHeight="1" thickTop="1" x14ac:dyDescent="0.35">
      <c r="B29" s="751"/>
      <c r="C29" s="735"/>
      <c r="D29" s="735"/>
      <c r="E29" s="736"/>
      <c r="F29" s="736"/>
      <c r="G29" s="736"/>
      <c r="H29" s="736"/>
      <c r="I29" s="736"/>
      <c r="J29" s="736"/>
      <c r="K29" s="736"/>
      <c r="L29" s="736"/>
      <c r="M29" s="736"/>
      <c r="N29" s="736"/>
      <c r="O29" s="467"/>
      <c r="P29" s="467"/>
      <c r="Q29" s="467"/>
      <c r="R29" s="467"/>
      <c r="S29" s="467"/>
      <c r="T29" s="467"/>
      <c r="U29" s="467"/>
      <c r="V29" s="467"/>
      <c r="W29" s="467"/>
      <c r="X29" s="467"/>
      <c r="Y29" s="467"/>
      <c r="Z29" s="467"/>
      <c r="AA29" s="467"/>
      <c r="AB29" s="467"/>
      <c r="AC29" s="467"/>
      <c r="AD29" s="467"/>
      <c r="AE29" s="467"/>
      <c r="AF29" s="467"/>
      <c r="AG29" s="468"/>
      <c r="AH29" s="403"/>
      <c r="AI29" s="403"/>
      <c r="AJ29" s="403"/>
      <c r="AK29" s="403"/>
      <c r="AL29" s="403"/>
      <c r="AO29" s="403"/>
      <c r="AP29" s="403"/>
    </row>
    <row r="30" spans="2:76" s="749" customFormat="1" ht="20.149999999999999" customHeight="1" x14ac:dyDescent="0.35">
      <c r="B30" s="752"/>
      <c r="C30" s="295" t="s">
        <v>316</v>
      </c>
      <c r="D30" s="402"/>
      <c r="E30" s="402"/>
      <c r="F30" s="196"/>
      <c r="G30" s="731"/>
      <c r="H30" s="731"/>
      <c r="I30" s="403"/>
      <c r="J30" s="403"/>
      <c r="K30" s="403"/>
      <c r="L30" s="403"/>
      <c r="M30" s="403"/>
      <c r="N30" s="403"/>
      <c r="O30" s="403"/>
      <c r="P30" s="403"/>
      <c r="Q30" s="403"/>
      <c r="R30" s="403"/>
      <c r="S30" s="403"/>
      <c r="T30" s="403"/>
      <c r="U30" s="403"/>
      <c r="V30" s="403"/>
      <c r="W30" s="403"/>
      <c r="X30" s="403"/>
      <c r="Y30" s="403"/>
      <c r="Z30" s="403"/>
      <c r="AA30" s="403"/>
      <c r="AB30" s="403"/>
      <c r="AC30" s="403"/>
      <c r="AD30" s="403"/>
      <c r="AE30" s="403"/>
      <c r="AF30" s="403"/>
      <c r="AG30" s="469"/>
      <c r="AH30" s="403"/>
      <c r="AI30" s="403"/>
      <c r="AK30" s="753" t="s">
        <v>443</v>
      </c>
      <c r="AL30" s="754" t="s">
        <v>403</v>
      </c>
      <c r="AM30" s="755" t="s">
        <v>404</v>
      </c>
      <c r="AN30" s="755"/>
      <c r="AO30" s="403"/>
      <c r="AP30" s="403"/>
      <c r="AQ30" s="403"/>
      <c r="AR30" s="403"/>
      <c r="AS30" s="403"/>
      <c r="AT30" s="403"/>
      <c r="AU30" s="403"/>
      <c r="AV30" s="403"/>
      <c r="AW30" s="403"/>
    </row>
    <row r="31" spans="2:76" s="749" customFormat="1" ht="20.149999999999999" customHeight="1" x14ac:dyDescent="0.35">
      <c r="B31" s="752"/>
      <c r="C31" s="756"/>
      <c r="D31" s="441" t="b">
        <v>1</v>
      </c>
      <c r="E31" s="402" t="s">
        <v>401</v>
      </c>
      <c r="F31" s="501"/>
      <c r="G31" s="403"/>
      <c r="H31" s="403"/>
      <c r="I31" s="403"/>
      <c r="J31" s="403"/>
      <c r="K31" s="403"/>
      <c r="M31" s="441"/>
      <c r="N31" s="402" t="s">
        <v>412</v>
      </c>
      <c r="O31" s="403"/>
      <c r="P31" s="403"/>
      <c r="T31" s="501"/>
      <c r="U31" s="425"/>
      <c r="W31" s="441" t="b">
        <v>0</v>
      </c>
      <c r="X31" s="402" t="s">
        <v>510</v>
      </c>
      <c r="Y31" s="403"/>
      <c r="Z31" s="403"/>
      <c r="AA31" s="403"/>
      <c r="AB31" s="403"/>
      <c r="AF31" s="403"/>
      <c r="AG31" s="469"/>
      <c r="AH31" s="403"/>
      <c r="AI31" s="403"/>
      <c r="AL31" s="757" t="s">
        <v>407</v>
      </c>
      <c r="AM31" s="755" t="s">
        <v>408</v>
      </c>
      <c r="AN31" s="755"/>
      <c r="AO31" s="403"/>
      <c r="AP31" s="403"/>
      <c r="AQ31" s="403"/>
      <c r="AR31" s="403"/>
      <c r="AS31" s="403"/>
      <c r="AT31" s="403"/>
      <c r="AU31" s="403"/>
      <c r="AV31" s="403"/>
      <c r="AW31" s="403"/>
    </row>
    <row r="32" spans="2:76" s="749" customFormat="1" ht="20.149999999999999" customHeight="1" x14ac:dyDescent="0.35">
      <c r="B32" s="752"/>
      <c r="C32" s="756"/>
      <c r="D32" s="441" t="b">
        <v>0</v>
      </c>
      <c r="E32" s="402" t="s">
        <v>405</v>
      </c>
      <c r="F32" s="501"/>
      <c r="G32" s="403"/>
      <c r="H32" s="403"/>
      <c r="I32" s="403"/>
      <c r="J32" s="403"/>
      <c r="K32" s="403"/>
      <c r="M32" s="441" t="b">
        <v>0</v>
      </c>
      <c r="N32" s="402" t="s">
        <v>402</v>
      </c>
      <c r="O32" s="403"/>
      <c r="P32" s="403"/>
      <c r="T32" s="501"/>
      <c r="U32" s="425"/>
      <c r="W32" s="441" t="b">
        <v>0</v>
      </c>
      <c r="X32" s="402" t="s">
        <v>1093</v>
      </c>
      <c r="Y32" s="501"/>
      <c r="Z32" s="501"/>
      <c r="AA32" s="501"/>
      <c r="AB32" s="2964"/>
      <c r="AC32" s="2964"/>
      <c r="AD32" s="2964"/>
      <c r="AE32" s="2964"/>
      <c r="AF32" s="2964"/>
      <c r="AG32" s="469"/>
      <c r="AH32" s="403"/>
      <c r="AI32" s="403"/>
      <c r="AL32" s="757" t="s">
        <v>410</v>
      </c>
      <c r="AM32" s="755" t="s">
        <v>411</v>
      </c>
      <c r="AN32" s="755"/>
    </row>
    <row r="33" spans="2:70" s="749" customFormat="1" ht="20.149999999999999" customHeight="1" x14ac:dyDescent="0.35">
      <c r="B33" s="752"/>
      <c r="C33" s="756"/>
      <c r="D33" s="441" t="b">
        <v>0</v>
      </c>
      <c r="E33" s="402" t="s">
        <v>409</v>
      </c>
      <c r="F33" s="501"/>
      <c r="G33" s="403"/>
      <c r="H33" s="403"/>
      <c r="I33" s="403"/>
      <c r="J33" s="403"/>
      <c r="K33" s="403"/>
      <c r="M33" s="441" t="b">
        <v>1</v>
      </c>
      <c r="N33" s="402" t="s">
        <v>406</v>
      </c>
      <c r="O33" s="403"/>
      <c r="P33" s="403"/>
      <c r="T33" s="501"/>
      <c r="U33" s="425"/>
      <c r="V33" s="425"/>
      <c r="W33" s="402"/>
      <c r="X33" s="501"/>
      <c r="Y33" s="403"/>
      <c r="Z33" s="403"/>
      <c r="AA33" s="403"/>
      <c r="AB33" s="548" t="str">
        <f>IF(AND(sch_loc_others=TRUE,ISBLANK(sch_loc_others_specify)),"Please specify.",IF(AND(sch_loc_others=FALSE,(sch_loc_others_specify&gt;0)),"Please check Others if you have entries.",""))</f>
        <v/>
      </c>
      <c r="AF33" s="403"/>
      <c r="AG33" s="469"/>
      <c r="AH33" s="403"/>
      <c r="AI33" s="403"/>
      <c r="AL33" s="757" t="s">
        <v>413</v>
      </c>
      <c r="AM33" s="755" t="s">
        <v>414</v>
      </c>
      <c r="AN33" s="755"/>
    </row>
    <row r="34" spans="2:70" s="749" customFormat="1" ht="8" customHeight="1" thickBot="1" x14ac:dyDescent="0.4">
      <c r="B34" s="758"/>
      <c r="C34" s="759"/>
      <c r="D34" s="672"/>
      <c r="E34" s="408"/>
      <c r="F34" s="543"/>
      <c r="G34" s="472"/>
      <c r="H34" s="472"/>
      <c r="I34" s="472"/>
      <c r="J34" s="472"/>
      <c r="K34" s="472"/>
      <c r="L34" s="760"/>
      <c r="M34" s="672"/>
      <c r="N34" s="408"/>
      <c r="O34" s="472"/>
      <c r="P34" s="472"/>
      <c r="Q34" s="760"/>
      <c r="R34" s="760"/>
      <c r="S34" s="760"/>
      <c r="T34" s="543"/>
      <c r="U34" s="672"/>
      <c r="V34" s="672"/>
      <c r="W34" s="408"/>
      <c r="X34" s="543"/>
      <c r="Y34" s="472"/>
      <c r="Z34" s="472"/>
      <c r="AA34" s="472"/>
      <c r="AB34" s="472"/>
      <c r="AC34" s="760"/>
      <c r="AD34" s="760"/>
      <c r="AE34" s="760"/>
      <c r="AF34" s="472"/>
      <c r="AG34" s="473"/>
      <c r="AH34" s="403"/>
      <c r="AI34" s="403"/>
      <c r="AK34" s="2965" t="s">
        <v>415</v>
      </c>
      <c r="AL34" s="2965"/>
      <c r="AM34" s="2966" t="s">
        <v>416</v>
      </c>
      <c r="AN34" s="2966"/>
      <c r="AO34" s="2966"/>
      <c r="AP34" s="2966"/>
      <c r="AQ34" s="2966"/>
      <c r="AR34" s="2966"/>
      <c r="AS34" s="2966"/>
      <c r="AT34" s="2966"/>
      <c r="AU34" s="2966"/>
      <c r="AV34" s="2966"/>
    </row>
    <row r="35" spans="2:70" s="749" customFormat="1" ht="12" customHeight="1" thickTop="1" x14ac:dyDescent="0.35">
      <c r="C35" s="756"/>
      <c r="F35" s="403"/>
      <c r="G35" s="403"/>
      <c r="H35" s="403"/>
      <c r="I35" s="403"/>
      <c r="J35" s="403"/>
      <c r="K35" s="403"/>
      <c r="L35" s="403"/>
      <c r="M35" s="403"/>
      <c r="N35" s="403"/>
      <c r="O35" s="403"/>
      <c r="S35" s="403"/>
      <c r="T35" s="425"/>
      <c r="U35" s="425"/>
      <c r="V35" s="524"/>
      <c r="W35" s="403"/>
      <c r="X35" s="403"/>
      <c r="Y35" s="403"/>
      <c r="Z35" s="403"/>
      <c r="AA35" s="403"/>
      <c r="AB35" s="403"/>
      <c r="AF35" s="403"/>
      <c r="AG35" s="403"/>
      <c r="AH35" s="403"/>
      <c r="AI35" s="403"/>
      <c r="AK35" s="2965"/>
      <c r="AL35" s="2965"/>
      <c r="AM35" s="2966"/>
      <c r="AN35" s="2966"/>
      <c r="AO35" s="2966"/>
      <c r="AP35" s="2966"/>
      <c r="AQ35" s="2966"/>
      <c r="AR35" s="2966"/>
      <c r="AS35" s="2966"/>
      <c r="AT35" s="2966"/>
      <c r="AU35" s="2966"/>
      <c r="AV35" s="2966"/>
    </row>
    <row r="36" spans="2:70" s="44" customFormat="1" ht="30" customHeight="1" x14ac:dyDescent="0.35">
      <c r="B36" s="379"/>
      <c r="C36" s="123"/>
      <c r="D36" s="379"/>
      <c r="E36" s="123"/>
      <c r="F36" s="379"/>
      <c r="G36" s="123"/>
      <c r="H36" s="379"/>
      <c r="I36" s="123"/>
      <c r="J36" s="379"/>
      <c r="K36" s="123"/>
      <c r="L36" s="379"/>
      <c r="M36" s="123"/>
      <c r="N36" s="379"/>
      <c r="O36" s="123"/>
      <c r="T36" s="379"/>
      <c r="U36" s="123"/>
      <c r="V36" s="379"/>
      <c r="W36" s="123"/>
      <c r="X36" s="379"/>
      <c r="Y36" s="123"/>
      <c r="Z36" s="379"/>
      <c r="AA36" s="123"/>
      <c r="AB36" s="379"/>
      <c r="AC36" s="123"/>
      <c r="AD36" s="379"/>
      <c r="AE36" s="123"/>
      <c r="AF36" s="379"/>
      <c r="AG36" s="123"/>
      <c r="AL36" s="379"/>
      <c r="AM36" s="123"/>
      <c r="AN36" s="379"/>
      <c r="AO36" s="123"/>
      <c r="AP36" s="379"/>
      <c r="AQ36" s="123"/>
      <c r="AR36" s="379"/>
      <c r="AS36" s="123"/>
      <c r="AT36" s="379"/>
      <c r="AU36" s="123"/>
      <c r="AV36" s="379"/>
      <c r="AW36" s="123"/>
      <c r="AX36" s="379"/>
      <c r="AY36" s="123"/>
    </row>
    <row r="37" spans="2:70" s="44" customFormat="1" x14ac:dyDescent="0.35">
      <c r="B37" s="60" t="s">
        <v>12</v>
      </c>
      <c r="T37" s="60" t="s">
        <v>799</v>
      </c>
      <c r="U37" s="73"/>
      <c r="V37" s="73"/>
      <c r="W37" s="73"/>
      <c r="X37" s="73"/>
      <c r="Y37" s="73"/>
      <c r="Z37" s="73"/>
      <c r="AA37" s="73"/>
      <c r="AB37" s="73"/>
      <c r="AC37" s="73"/>
      <c r="AD37" s="73"/>
      <c r="AE37" s="73"/>
      <c r="AF37" s="73"/>
      <c r="AG37" s="73"/>
      <c r="AH37" s="73"/>
      <c r="AL37" s="60" t="s">
        <v>922</v>
      </c>
    </row>
    <row r="38" spans="2:70" s="44" customFormat="1" ht="21.75" customHeight="1" x14ac:dyDescent="0.35">
      <c r="B38" s="60" t="s">
        <v>780</v>
      </c>
      <c r="F38" s="1581" t="str">
        <f>SchInfo!F38</f>
        <v>MELCHESIEDICK Q. BOLANIO/ March 17, 2023</v>
      </c>
      <c r="G38" s="1581"/>
      <c r="H38" s="1581"/>
      <c r="I38" s="1581"/>
      <c r="J38" s="1581"/>
      <c r="K38" s="1581"/>
      <c r="L38" s="1581"/>
      <c r="M38" s="1581"/>
      <c r="N38" s="1581"/>
      <c r="O38" s="1581"/>
      <c r="T38" s="1581" t="str">
        <f>'Table32-Box8'!AJ24</f>
        <v>BRYAN REY P. JAMIS</v>
      </c>
      <c r="U38" s="1581"/>
      <c r="V38" s="1581"/>
      <c r="W38" s="1581"/>
      <c r="X38" s="1581"/>
      <c r="Y38" s="1581"/>
      <c r="Z38" s="1581"/>
      <c r="AA38" s="1581"/>
      <c r="AB38" s="1581"/>
      <c r="AC38" s="1581"/>
      <c r="AD38" s="1581"/>
      <c r="AE38" s="1581"/>
      <c r="AF38" s="1581"/>
      <c r="AG38" s="1581"/>
      <c r="AH38" s="73"/>
      <c r="AL38" s="1582" t="str">
        <f>SchInfo!R38</f>
        <v>MICHAEL T. JAMIS   /  March 17, 2023</v>
      </c>
      <c r="AM38" s="1582"/>
      <c r="AN38" s="1582"/>
      <c r="AO38" s="1582"/>
      <c r="AP38" s="1582"/>
      <c r="AQ38" s="1582"/>
      <c r="AR38" s="1582"/>
      <c r="AS38" s="1582"/>
      <c r="AT38" s="1582"/>
      <c r="AU38" s="1582"/>
      <c r="AV38" s="1582"/>
      <c r="AW38" s="1582"/>
      <c r="AX38" s="1582"/>
      <c r="AY38" s="1582"/>
    </row>
    <row r="39" spans="2:70" s="68" customFormat="1" ht="15.75" customHeight="1" x14ac:dyDescent="0.3">
      <c r="B39" s="210"/>
      <c r="F39" s="1452" t="s">
        <v>779</v>
      </c>
      <c r="G39" s="1452"/>
      <c r="H39" s="1452"/>
      <c r="I39" s="1452"/>
      <c r="J39" s="1452"/>
      <c r="K39" s="1452"/>
      <c r="L39" s="1452"/>
      <c r="M39" s="1452"/>
      <c r="N39" s="1452"/>
      <c r="O39" s="1452"/>
      <c r="P39" s="64"/>
      <c r="Q39" s="64"/>
      <c r="R39" s="64"/>
      <c r="S39" s="64"/>
      <c r="T39" s="1452" t="s">
        <v>779</v>
      </c>
      <c r="U39" s="1452"/>
      <c r="V39" s="1452"/>
      <c r="W39" s="1452"/>
      <c r="X39" s="1452"/>
      <c r="Y39" s="1452"/>
      <c r="Z39" s="1452"/>
      <c r="AA39" s="1452"/>
      <c r="AB39" s="1452"/>
      <c r="AC39" s="1452"/>
      <c r="AD39" s="1452"/>
      <c r="AE39" s="1452"/>
      <c r="AF39" s="1452"/>
      <c r="AG39" s="1452"/>
      <c r="AH39" s="64"/>
      <c r="AI39" s="64"/>
      <c r="AJ39" s="64"/>
      <c r="AK39" s="64"/>
      <c r="AL39" s="1583"/>
      <c r="AM39" s="1583"/>
      <c r="AN39" s="1583"/>
      <c r="AO39" s="1583"/>
      <c r="AP39" s="1583"/>
      <c r="AQ39" s="1583"/>
      <c r="AR39" s="1583"/>
      <c r="AS39" s="1583"/>
      <c r="AT39" s="1583"/>
      <c r="AU39" s="1583"/>
      <c r="AV39" s="1583"/>
      <c r="AW39" s="1583"/>
      <c r="AX39" s="1583"/>
      <c r="AY39" s="1583"/>
      <c r="AZ39" s="210"/>
      <c r="BA39" s="64"/>
      <c r="BB39" s="209"/>
      <c r="BC39" s="209"/>
      <c r="BD39" s="209"/>
      <c r="BE39" s="209"/>
      <c r="BF39" s="209"/>
      <c r="BG39" s="209"/>
      <c r="BH39" s="209"/>
      <c r="BI39" s="209"/>
      <c r="BJ39" s="209"/>
      <c r="BK39" s="209"/>
      <c r="BL39" s="209"/>
      <c r="BM39" s="209"/>
      <c r="BN39" s="209"/>
      <c r="BO39" s="209"/>
      <c r="BP39" s="209"/>
      <c r="BQ39" s="209"/>
      <c r="BR39" s="209"/>
    </row>
    <row r="40" spans="2:70" s="44" customFormat="1" ht="21.75" customHeight="1" x14ac:dyDescent="0.35">
      <c r="B40" s="60" t="s">
        <v>782</v>
      </c>
      <c r="F40" s="1581" t="str">
        <f>SchInfo!F40</f>
        <v>Principal IV</v>
      </c>
      <c r="G40" s="1581"/>
      <c r="H40" s="1581"/>
      <c r="I40" s="1581"/>
      <c r="J40" s="1581"/>
      <c r="K40" s="1581"/>
      <c r="L40" s="1581"/>
      <c r="M40" s="1581"/>
      <c r="N40" s="1581"/>
      <c r="O40" s="1581"/>
      <c r="T40" s="60" t="s">
        <v>784</v>
      </c>
      <c r="U40" s="73"/>
      <c r="V40" s="73"/>
      <c r="W40" s="73"/>
      <c r="X40" s="1581" t="str">
        <f>'Table32-Box8'!AN26</f>
        <v>Engineer III</v>
      </c>
      <c r="Y40" s="1581"/>
      <c r="Z40" s="1581"/>
      <c r="AA40" s="1581"/>
      <c r="AB40" s="1581"/>
      <c r="AC40" s="1581"/>
      <c r="AD40" s="1581"/>
      <c r="AE40" s="1581"/>
      <c r="AF40" s="1581"/>
      <c r="AG40" s="1581"/>
      <c r="AL40" s="1452" t="s">
        <v>779</v>
      </c>
      <c r="AM40" s="1452"/>
      <c r="AN40" s="1452"/>
      <c r="AO40" s="1452"/>
      <c r="AP40" s="1452"/>
      <c r="AQ40" s="1452"/>
      <c r="AR40" s="1452"/>
      <c r="AS40" s="1452"/>
      <c r="AT40" s="1452"/>
      <c r="AU40" s="1452"/>
      <c r="AV40" s="1452"/>
      <c r="AW40" s="1452"/>
      <c r="AX40" s="1452"/>
      <c r="AY40" s="1452"/>
    </row>
    <row r="41" spans="2:70" ht="15.75" customHeight="1" x14ac:dyDescent="0.35"/>
    <row r="42" spans="2:70" ht="15.75" customHeight="1" x14ac:dyDescent="0.35"/>
    <row r="43" spans="2:70" ht="15.75" customHeight="1" x14ac:dyDescent="0.35"/>
    <row r="44" spans="2:70" ht="15.75" customHeight="1" x14ac:dyDescent="0.35"/>
    <row r="45" spans="2:70" ht="15.75" customHeight="1" x14ac:dyDescent="0.35"/>
    <row r="46" spans="2:70" ht="15.75" customHeight="1" x14ac:dyDescent="0.35"/>
    <row r="47" spans="2:70" ht="15.75" customHeight="1" x14ac:dyDescent="0.35">
      <c r="AK47" s="98" t="s">
        <v>705</v>
      </c>
    </row>
    <row r="48" spans="2:70"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sheetData>
  <sheetProtection algorithmName="SHA-512" hashValue="ZxnnW9SYdBm9nJjwlUKVJqp8EyXsVDXxlQlmNBqjjctKxdFvtOyBFGQdJ/1o4VmL5qnWpju25YRRNXZ3prA6nQ==" saltValue="OCaQa4r0gan6dH1lf0sZ2w==" spinCount="100000" sheet="1" objects="1" scenarios="1"/>
  <mergeCells count="31">
    <mergeCell ref="C17:AY17"/>
    <mergeCell ref="F40:O40"/>
    <mergeCell ref="X40:AG40"/>
    <mergeCell ref="AL40:AY40"/>
    <mergeCell ref="AB32:AF32"/>
    <mergeCell ref="F38:O38"/>
    <mergeCell ref="T38:AG38"/>
    <mergeCell ref="AL38:AY39"/>
    <mergeCell ref="F39:O39"/>
    <mergeCell ref="T39:AG39"/>
    <mergeCell ref="AK34:AL35"/>
    <mergeCell ref="AM34:AV35"/>
    <mergeCell ref="D22:AY22"/>
    <mergeCell ref="D24:AY24"/>
    <mergeCell ref="D25:AY25"/>
    <mergeCell ref="C4:AY4"/>
    <mergeCell ref="C5:AY5"/>
    <mergeCell ref="D6:AY6"/>
    <mergeCell ref="D20:AY20"/>
    <mergeCell ref="D21:AY21"/>
    <mergeCell ref="E7:AY7"/>
    <mergeCell ref="E8:AY8"/>
    <mergeCell ref="E9:AY9"/>
    <mergeCell ref="E10:AY10"/>
    <mergeCell ref="D11:AY11"/>
    <mergeCell ref="D12:AY12"/>
    <mergeCell ref="D13:AY13"/>
    <mergeCell ref="D14:AY14"/>
    <mergeCell ref="D16:AY16"/>
    <mergeCell ref="D18:AY18"/>
    <mergeCell ref="C15:AY15"/>
  </mergeCells>
  <printOptions horizontalCentered="1" verticalCentered="1"/>
  <pageMargins left="0.23622047244094491" right="0.23622047244094491" top="0.19685039370078741" bottom="0.19685039370078741" header="0" footer="0.11811023622047245"/>
  <pageSetup paperSize="14" scale="70" orientation="landscape" r:id="rId1"/>
  <headerFooter alignWithMargins="0">
    <oddFooter>&amp;L&amp;10&amp;F &amp;A&amp;R&amp;10Page 28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32769" r:id="rId4" name="Check Box 1">
              <controlPr defaultSize="0" autoFill="0" autoLine="0" autoPict="0">
                <anchor moveWithCells="1">
                  <from>
                    <xdr:col>3</xdr:col>
                    <xdr:colOff>0</xdr:colOff>
                    <xdr:row>30</xdr:row>
                    <xdr:rowOff>12700</xdr:rowOff>
                  </from>
                  <to>
                    <xdr:col>4</xdr:col>
                    <xdr:colOff>196850</xdr:colOff>
                    <xdr:row>30</xdr:row>
                    <xdr:rowOff>234950</xdr:rowOff>
                  </to>
                </anchor>
              </controlPr>
            </control>
          </mc:Choice>
        </mc:AlternateContent>
        <mc:AlternateContent xmlns:mc="http://schemas.openxmlformats.org/markup-compatibility/2006">
          <mc:Choice Requires="x14">
            <control shapeId="32770" r:id="rId5" name="Check Box 2">
              <controlPr defaultSize="0" autoFill="0" autoLine="0" autoPict="0">
                <anchor moveWithCells="1">
                  <from>
                    <xdr:col>3</xdr:col>
                    <xdr:colOff>0</xdr:colOff>
                    <xdr:row>31</xdr:row>
                    <xdr:rowOff>12700</xdr:rowOff>
                  </from>
                  <to>
                    <xdr:col>4</xdr:col>
                    <xdr:colOff>196850</xdr:colOff>
                    <xdr:row>31</xdr:row>
                    <xdr:rowOff>234950</xdr:rowOff>
                  </to>
                </anchor>
              </controlPr>
            </control>
          </mc:Choice>
        </mc:AlternateContent>
        <mc:AlternateContent xmlns:mc="http://schemas.openxmlformats.org/markup-compatibility/2006">
          <mc:Choice Requires="x14">
            <control shapeId="32771" r:id="rId6" name="Check Box 3">
              <controlPr defaultSize="0" autoFill="0" autoLine="0" autoPict="0">
                <anchor moveWithCells="1">
                  <from>
                    <xdr:col>3</xdr:col>
                    <xdr:colOff>0</xdr:colOff>
                    <xdr:row>32</xdr:row>
                    <xdr:rowOff>12700</xdr:rowOff>
                  </from>
                  <to>
                    <xdr:col>4</xdr:col>
                    <xdr:colOff>196850</xdr:colOff>
                    <xdr:row>32</xdr:row>
                    <xdr:rowOff>234950</xdr:rowOff>
                  </to>
                </anchor>
              </controlPr>
            </control>
          </mc:Choice>
        </mc:AlternateContent>
        <mc:AlternateContent xmlns:mc="http://schemas.openxmlformats.org/markup-compatibility/2006">
          <mc:Choice Requires="x14">
            <control shapeId="32772" r:id="rId7" name="Check Box 4">
              <controlPr defaultSize="0" autoFill="0" autoLine="0" autoPict="0">
                <anchor moveWithCells="1">
                  <from>
                    <xdr:col>12</xdr:col>
                    <xdr:colOff>0</xdr:colOff>
                    <xdr:row>30</xdr:row>
                    <xdr:rowOff>12700</xdr:rowOff>
                  </from>
                  <to>
                    <xdr:col>13</xdr:col>
                    <xdr:colOff>196850</xdr:colOff>
                    <xdr:row>30</xdr:row>
                    <xdr:rowOff>234950</xdr:rowOff>
                  </to>
                </anchor>
              </controlPr>
            </control>
          </mc:Choice>
        </mc:AlternateContent>
        <mc:AlternateContent xmlns:mc="http://schemas.openxmlformats.org/markup-compatibility/2006">
          <mc:Choice Requires="x14">
            <control shapeId="32773" r:id="rId8" name="Check Box 5">
              <controlPr defaultSize="0" autoFill="0" autoLine="0" autoPict="0">
                <anchor moveWithCells="1">
                  <from>
                    <xdr:col>12</xdr:col>
                    <xdr:colOff>0</xdr:colOff>
                    <xdr:row>31</xdr:row>
                    <xdr:rowOff>12700</xdr:rowOff>
                  </from>
                  <to>
                    <xdr:col>13</xdr:col>
                    <xdr:colOff>196850</xdr:colOff>
                    <xdr:row>31</xdr:row>
                    <xdr:rowOff>234950</xdr:rowOff>
                  </to>
                </anchor>
              </controlPr>
            </control>
          </mc:Choice>
        </mc:AlternateContent>
        <mc:AlternateContent xmlns:mc="http://schemas.openxmlformats.org/markup-compatibility/2006">
          <mc:Choice Requires="x14">
            <control shapeId="32774" r:id="rId9" name="Check Box 6">
              <controlPr defaultSize="0" autoFill="0" autoLine="0" autoPict="0">
                <anchor moveWithCells="1">
                  <from>
                    <xdr:col>12</xdr:col>
                    <xdr:colOff>0</xdr:colOff>
                    <xdr:row>32</xdr:row>
                    <xdr:rowOff>12700</xdr:rowOff>
                  </from>
                  <to>
                    <xdr:col>13</xdr:col>
                    <xdr:colOff>196850</xdr:colOff>
                    <xdr:row>32</xdr:row>
                    <xdr:rowOff>234950</xdr:rowOff>
                  </to>
                </anchor>
              </controlPr>
            </control>
          </mc:Choice>
        </mc:AlternateContent>
        <mc:AlternateContent xmlns:mc="http://schemas.openxmlformats.org/markup-compatibility/2006">
          <mc:Choice Requires="x14">
            <control shapeId="32775" r:id="rId10" name="Check Box 7">
              <controlPr defaultSize="0" autoFill="0" autoLine="0" autoPict="0">
                <anchor moveWithCells="1">
                  <from>
                    <xdr:col>22</xdr:col>
                    <xdr:colOff>0</xdr:colOff>
                    <xdr:row>30</xdr:row>
                    <xdr:rowOff>12700</xdr:rowOff>
                  </from>
                  <to>
                    <xdr:col>23</xdr:col>
                    <xdr:colOff>196850</xdr:colOff>
                    <xdr:row>30</xdr:row>
                    <xdr:rowOff>234950</xdr:rowOff>
                  </to>
                </anchor>
              </controlPr>
            </control>
          </mc:Choice>
        </mc:AlternateContent>
        <mc:AlternateContent xmlns:mc="http://schemas.openxmlformats.org/markup-compatibility/2006">
          <mc:Choice Requires="x14">
            <control shapeId="32776" r:id="rId11" name="Check Box 8">
              <controlPr defaultSize="0" autoFill="0" autoLine="0" autoPict="0">
                <anchor moveWithCells="1">
                  <from>
                    <xdr:col>22</xdr:col>
                    <xdr:colOff>0</xdr:colOff>
                    <xdr:row>31</xdr:row>
                    <xdr:rowOff>12700</xdr:rowOff>
                  </from>
                  <to>
                    <xdr:col>23</xdr:col>
                    <xdr:colOff>196850</xdr:colOff>
                    <xdr:row>31</xdr:row>
                    <xdr:rowOff>234950</xdr:rowOff>
                  </to>
                </anchor>
              </controlPr>
            </control>
          </mc:Choice>
        </mc:AlternateContent>
      </controls>
    </mc:Choice>
  </mc:AlternateConten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7"/>
  <dimension ref="C1:AV49"/>
  <sheetViews>
    <sheetView showGridLines="0" topLeftCell="E1" zoomScaleNormal="100" workbookViewId="0">
      <selection activeCell="V44" sqref="V44:AG44"/>
    </sheetView>
  </sheetViews>
  <sheetFormatPr defaultColWidth="9" defaultRowHeight="15.5" x14ac:dyDescent="0.35"/>
  <cols>
    <col min="1" max="1" width="2.08203125" style="546" customWidth="1"/>
    <col min="2" max="49" width="3.58203125" style="546" customWidth="1"/>
    <col min="50" max="50" width="2.08203125" style="546" customWidth="1"/>
    <col min="51" max="53" width="3.58203125" style="546" customWidth="1"/>
    <col min="54" max="16384" width="9" style="546"/>
  </cols>
  <sheetData>
    <row r="1" spans="7:48" ht="12" customHeight="1" x14ac:dyDescent="0.35"/>
    <row r="2" spans="7:48" s="399" customFormat="1" ht="16.5" customHeight="1" x14ac:dyDescent="0.3">
      <c r="G2" s="459" t="s">
        <v>12721</v>
      </c>
      <c r="H2" s="459"/>
      <c r="I2" s="459"/>
      <c r="J2" s="459"/>
      <c r="K2" s="459"/>
      <c r="L2" s="460"/>
      <c r="M2" s="460"/>
      <c r="N2" s="460"/>
      <c r="O2" s="460"/>
      <c r="P2" s="460"/>
      <c r="Q2" s="460"/>
      <c r="R2" s="460"/>
      <c r="S2" s="460"/>
      <c r="T2" s="460"/>
      <c r="U2" s="460"/>
    </row>
    <row r="3" spans="7:48" s="402" customFormat="1" ht="20.5" thickBot="1" x14ac:dyDescent="0.4">
      <c r="G3" s="413" t="s">
        <v>1947</v>
      </c>
      <c r="Q3" s="425"/>
      <c r="S3" s="425"/>
    </row>
    <row r="4" spans="7:48" s="402" customFormat="1" ht="19.5" customHeight="1" thickTop="1" thickBot="1" x14ac:dyDescent="0.4">
      <c r="G4" s="2740" t="s">
        <v>266</v>
      </c>
      <c r="H4" s="2741"/>
      <c r="I4" s="2741"/>
      <c r="J4" s="2741"/>
      <c r="K4" s="2741"/>
      <c r="L4" s="2741"/>
      <c r="M4" s="2741"/>
      <c r="N4" s="2741"/>
      <c r="O4" s="2989"/>
      <c r="P4" s="2590" t="s">
        <v>87</v>
      </c>
      <c r="Q4" s="2591"/>
      <c r="R4" s="2591"/>
      <c r="S4" s="2591"/>
      <c r="T4" s="2591"/>
      <c r="U4" s="2591"/>
      <c r="V4" s="2591"/>
      <c r="W4" s="2591"/>
      <c r="X4" s="2591"/>
      <c r="Y4" s="2591"/>
      <c r="Z4" s="2591"/>
      <c r="AA4" s="2591"/>
      <c r="AB4" s="2591"/>
      <c r="AC4" s="2591"/>
      <c r="AD4" s="2592"/>
    </row>
    <row r="5" spans="7:48" s="402" customFormat="1" ht="19.5" customHeight="1" thickBot="1" x14ac:dyDescent="0.4">
      <c r="G5" s="2990"/>
      <c r="H5" s="2584"/>
      <c r="I5" s="2584"/>
      <c r="J5" s="2584"/>
      <c r="K5" s="2584"/>
      <c r="L5" s="2584"/>
      <c r="M5" s="2584"/>
      <c r="N5" s="2584"/>
      <c r="O5" s="2991"/>
      <c r="P5" s="2583" t="s">
        <v>14</v>
      </c>
      <c r="Q5" s="2584"/>
      <c r="R5" s="2584"/>
      <c r="S5" s="2584"/>
      <c r="T5" s="2584"/>
      <c r="U5" s="2992" t="s">
        <v>15</v>
      </c>
      <c r="V5" s="2584"/>
      <c r="W5" s="2584"/>
      <c r="X5" s="2584"/>
      <c r="Y5" s="2586"/>
      <c r="Z5" s="2584" t="s">
        <v>16</v>
      </c>
      <c r="AA5" s="2584"/>
      <c r="AB5" s="2584"/>
      <c r="AC5" s="2584"/>
      <c r="AD5" s="2993"/>
    </row>
    <row r="6" spans="7:48" s="403" customFormat="1" ht="25" customHeight="1" thickTop="1" x14ac:dyDescent="0.35">
      <c r="G6" s="770" t="s">
        <v>453</v>
      </c>
      <c r="H6" s="771"/>
      <c r="I6" s="771"/>
      <c r="J6" s="771"/>
      <c r="K6" s="771"/>
      <c r="L6" s="771"/>
      <c r="M6" s="772"/>
      <c r="N6" s="772"/>
      <c r="O6" s="773"/>
      <c r="P6" s="3006">
        <v>0</v>
      </c>
      <c r="Q6" s="2525"/>
      <c r="R6" s="2525"/>
      <c r="S6" s="2525"/>
      <c r="T6" s="3007"/>
      <c r="U6" s="3008">
        <v>0</v>
      </c>
      <c r="V6" s="2525"/>
      <c r="W6" s="2525"/>
      <c r="X6" s="2525"/>
      <c r="Y6" s="3009"/>
      <c r="Z6" s="3010">
        <f>SUM(P6:Y6)</f>
        <v>0</v>
      </c>
      <c r="AA6" s="3010"/>
      <c r="AB6" s="3010"/>
      <c r="AC6" s="3010"/>
      <c r="AD6" s="3011"/>
    </row>
    <row r="7" spans="7:48" s="403" customFormat="1" ht="25" customHeight="1" thickBot="1" x14ac:dyDescent="0.4">
      <c r="G7" s="774" t="s">
        <v>499</v>
      </c>
      <c r="H7" s="775"/>
      <c r="I7" s="775"/>
      <c r="J7" s="775"/>
      <c r="K7" s="775"/>
      <c r="L7" s="775"/>
      <c r="M7" s="408"/>
      <c r="N7" s="408"/>
      <c r="O7" s="776"/>
      <c r="P7" s="3001">
        <v>0</v>
      </c>
      <c r="Q7" s="3002"/>
      <c r="R7" s="3002"/>
      <c r="S7" s="3002"/>
      <c r="T7" s="3003"/>
      <c r="U7" s="3004">
        <v>0</v>
      </c>
      <c r="V7" s="3002"/>
      <c r="W7" s="3002"/>
      <c r="X7" s="3002"/>
      <c r="Y7" s="3005"/>
      <c r="Z7" s="2543">
        <f>SUM(P7:Y7)</f>
        <v>0</v>
      </c>
      <c r="AA7" s="2543"/>
      <c r="AB7" s="2543"/>
      <c r="AC7" s="2543"/>
      <c r="AD7" s="2544"/>
    </row>
    <row r="8" spans="7:48" s="403" customFormat="1" ht="20.149999999999999" customHeight="1" thickTop="1" x14ac:dyDescent="0.35">
      <c r="G8" s="530"/>
      <c r="H8" s="531"/>
      <c r="I8" s="531"/>
      <c r="J8" s="531"/>
      <c r="K8" s="531"/>
      <c r="L8" s="531"/>
      <c r="M8" s="402"/>
      <c r="N8" s="402"/>
      <c r="O8" s="402"/>
      <c r="P8" s="402"/>
      <c r="Q8" s="522"/>
      <c r="R8" s="522"/>
      <c r="S8" s="522"/>
      <c r="T8" s="522"/>
      <c r="U8" s="402"/>
      <c r="V8" s="522"/>
      <c r="W8" s="522"/>
      <c r="X8" s="522"/>
      <c r="Y8" s="522"/>
      <c r="Z8" s="402"/>
      <c r="AA8" s="522"/>
      <c r="AB8" s="522"/>
      <c r="AC8" s="522"/>
      <c r="AD8" s="522"/>
      <c r="AI8" s="761"/>
    </row>
    <row r="9" spans="7:48" s="402" customFormat="1" ht="20.5" thickBot="1" x14ac:dyDescent="0.4">
      <c r="G9" s="413" t="s">
        <v>1101</v>
      </c>
      <c r="R9" s="425"/>
      <c r="T9" s="425"/>
      <c r="AH9" s="531"/>
      <c r="AI9" s="531"/>
      <c r="AJ9" s="531"/>
      <c r="AK9" s="531"/>
      <c r="AL9" s="531"/>
      <c r="AM9" s="531"/>
      <c r="AN9" s="531"/>
      <c r="AO9" s="531"/>
      <c r="AP9" s="531"/>
      <c r="AQ9" s="531"/>
      <c r="AR9" s="531"/>
      <c r="AS9" s="531"/>
      <c r="AT9" s="531"/>
      <c r="AU9" s="531"/>
      <c r="AV9" s="531"/>
    </row>
    <row r="10" spans="7:48" s="402" customFormat="1" ht="15.75" customHeight="1" thickTop="1" x14ac:dyDescent="0.35">
      <c r="G10" s="2740" t="s">
        <v>430</v>
      </c>
      <c r="H10" s="2741"/>
      <c r="I10" s="2741"/>
      <c r="J10" s="2741"/>
      <c r="K10" s="2741"/>
      <c r="L10" s="2741"/>
      <c r="M10" s="2741"/>
      <c r="N10" s="2989"/>
      <c r="O10" s="2997" t="s">
        <v>87</v>
      </c>
      <c r="P10" s="2741"/>
      <c r="Q10" s="2741"/>
      <c r="R10" s="2741"/>
      <c r="S10" s="2741"/>
      <c r="T10" s="2989"/>
      <c r="U10" s="2997" t="s">
        <v>88</v>
      </c>
      <c r="V10" s="2741"/>
      <c r="W10" s="2741"/>
      <c r="X10" s="2741"/>
      <c r="Y10" s="2741"/>
      <c r="Z10" s="2989"/>
      <c r="AA10" s="2997" t="s">
        <v>89</v>
      </c>
      <c r="AB10" s="2741"/>
      <c r="AC10" s="2741"/>
      <c r="AD10" s="2741"/>
      <c r="AE10" s="2741"/>
      <c r="AF10" s="2989"/>
      <c r="AG10" s="3013" t="s">
        <v>90</v>
      </c>
      <c r="AH10" s="3014"/>
      <c r="AI10" s="3014"/>
      <c r="AJ10" s="3014"/>
      <c r="AK10" s="3014"/>
      <c r="AL10" s="3015"/>
      <c r="AM10" s="3019" t="s">
        <v>362</v>
      </c>
      <c r="AN10" s="3020"/>
      <c r="AO10" s="3020"/>
      <c r="AP10" s="3020"/>
      <c r="AQ10" s="3020"/>
      <c r="AR10" s="3021"/>
    </row>
    <row r="11" spans="7:48" s="402" customFormat="1" ht="16" thickBot="1" x14ac:dyDescent="0.4">
      <c r="G11" s="2994"/>
      <c r="H11" s="2995"/>
      <c r="I11" s="2995"/>
      <c r="J11" s="2995"/>
      <c r="K11" s="2995"/>
      <c r="L11" s="2995"/>
      <c r="M11" s="2995"/>
      <c r="N11" s="2996"/>
      <c r="O11" s="2998"/>
      <c r="P11" s="2999"/>
      <c r="Q11" s="2999"/>
      <c r="R11" s="2999"/>
      <c r="S11" s="2999"/>
      <c r="T11" s="3000"/>
      <c r="U11" s="2998"/>
      <c r="V11" s="2999"/>
      <c r="W11" s="2999"/>
      <c r="X11" s="2999"/>
      <c r="Y11" s="2999"/>
      <c r="Z11" s="3000"/>
      <c r="AA11" s="2998"/>
      <c r="AB11" s="2999"/>
      <c r="AC11" s="2999"/>
      <c r="AD11" s="2999"/>
      <c r="AE11" s="2999"/>
      <c r="AF11" s="3000"/>
      <c r="AG11" s="3016"/>
      <c r="AH11" s="3017"/>
      <c r="AI11" s="3017"/>
      <c r="AJ11" s="3017"/>
      <c r="AK11" s="3017"/>
      <c r="AL11" s="3018"/>
      <c r="AM11" s="3022"/>
      <c r="AN11" s="3023"/>
      <c r="AO11" s="3023"/>
      <c r="AP11" s="3023"/>
      <c r="AQ11" s="3023"/>
      <c r="AR11" s="3024"/>
    </row>
    <row r="12" spans="7:48" s="402" customFormat="1" ht="16.5" customHeight="1" thickBot="1" x14ac:dyDescent="0.4">
      <c r="G12" s="2990"/>
      <c r="H12" s="2584"/>
      <c r="I12" s="2584"/>
      <c r="J12" s="2584"/>
      <c r="K12" s="2584"/>
      <c r="L12" s="2584"/>
      <c r="M12" s="2584"/>
      <c r="N12" s="2991"/>
      <c r="O12" s="2583" t="s">
        <v>14</v>
      </c>
      <c r="P12" s="2584"/>
      <c r="Q12" s="2585"/>
      <c r="R12" s="2992" t="s">
        <v>15</v>
      </c>
      <c r="S12" s="2584"/>
      <c r="T12" s="2991"/>
      <c r="U12" s="2583" t="s">
        <v>14</v>
      </c>
      <c r="V12" s="2584"/>
      <c r="W12" s="2585"/>
      <c r="X12" s="2992" t="s">
        <v>15</v>
      </c>
      <c r="Y12" s="2584"/>
      <c r="Z12" s="2991"/>
      <c r="AA12" s="2583" t="s">
        <v>14</v>
      </c>
      <c r="AB12" s="2584"/>
      <c r="AC12" s="2585"/>
      <c r="AD12" s="2992" t="s">
        <v>15</v>
      </c>
      <c r="AE12" s="2584"/>
      <c r="AF12" s="2991"/>
      <c r="AG12" s="2583" t="s">
        <v>14</v>
      </c>
      <c r="AH12" s="2584"/>
      <c r="AI12" s="2585"/>
      <c r="AJ12" s="2992" t="s">
        <v>15</v>
      </c>
      <c r="AK12" s="2584"/>
      <c r="AL12" s="2584"/>
      <c r="AM12" s="3025" t="s">
        <v>14</v>
      </c>
      <c r="AN12" s="2584"/>
      <c r="AO12" s="2585"/>
      <c r="AP12" s="2992" t="s">
        <v>15</v>
      </c>
      <c r="AQ12" s="2584"/>
      <c r="AR12" s="2993"/>
    </row>
    <row r="13" spans="7:48" s="402" customFormat="1" ht="25" customHeight="1" thickTop="1" x14ac:dyDescent="0.35">
      <c r="G13" s="2967" t="s">
        <v>436</v>
      </c>
      <c r="H13" s="2968"/>
      <c r="I13" s="2968"/>
      <c r="J13" s="2968"/>
      <c r="K13" s="2968"/>
      <c r="L13" s="2968"/>
      <c r="M13" s="2968"/>
      <c r="N13" s="2969"/>
      <c r="O13" s="2986"/>
      <c r="P13" s="2987"/>
      <c r="Q13" s="2987"/>
      <c r="R13" s="2987"/>
      <c r="S13" s="2987"/>
      <c r="T13" s="2987"/>
      <c r="U13" s="2987"/>
      <c r="V13" s="2987"/>
      <c r="W13" s="2987"/>
      <c r="X13" s="2987"/>
      <c r="Y13" s="2987"/>
      <c r="Z13" s="2987"/>
      <c r="AA13" s="2987"/>
      <c r="AB13" s="2987"/>
      <c r="AC13" s="2987"/>
      <c r="AD13" s="2987"/>
      <c r="AE13" s="2987"/>
      <c r="AF13" s="2987"/>
      <c r="AG13" s="2987"/>
      <c r="AH13" s="2987"/>
      <c r="AI13" s="2987"/>
      <c r="AJ13" s="2987"/>
      <c r="AK13" s="2987"/>
      <c r="AL13" s="2987"/>
      <c r="AM13" s="2987"/>
      <c r="AN13" s="2987"/>
      <c r="AO13" s="2987"/>
      <c r="AP13" s="2987"/>
      <c r="AQ13" s="2987"/>
      <c r="AR13" s="2988"/>
    </row>
    <row r="14" spans="7:48" s="403" customFormat="1" ht="25" customHeight="1" x14ac:dyDescent="0.35">
      <c r="G14" s="766"/>
      <c r="H14" s="3012" t="s">
        <v>431</v>
      </c>
      <c r="I14" s="3012"/>
      <c r="J14" s="3012"/>
      <c r="K14" s="3012"/>
      <c r="L14" s="3012"/>
      <c r="M14" s="3012"/>
      <c r="N14" s="767"/>
      <c r="O14" s="2981">
        <v>180</v>
      </c>
      <c r="P14" s="2979"/>
      <c r="Q14" s="2982"/>
      <c r="R14" s="2978">
        <v>180</v>
      </c>
      <c r="S14" s="2979"/>
      <c r="T14" s="2980"/>
      <c r="U14" s="2981">
        <v>166</v>
      </c>
      <c r="V14" s="2979"/>
      <c r="W14" s="2982"/>
      <c r="X14" s="2978">
        <v>174</v>
      </c>
      <c r="Y14" s="2979"/>
      <c r="Z14" s="2980"/>
      <c r="AA14" s="2981">
        <v>175</v>
      </c>
      <c r="AB14" s="2979"/>
      <c r="AC14" s="2982"/>
      <c r="AD14" s="2978">
        <v>182</v>
      </c>
      <c r="AE14" s="2979"/>
      <c r="AF14" s="2980"/>
      <c r="AG14" s="2981">
        <v>209</v>
      </c>
      <c r="AH14" s="2979"/>
      <c r="AI14" s="2982"/>
      <c r="AJ14" s="2978">
        <v>203</v>
      </c>
      <c r="AK14" s="2979"/>
      <c r="AL14" s="2983"/>
      <c r="AM14" s="2545">
        <f>SUM(O14,U14,AA14,AG14)</f>
        <v>730</v>
      </c>
      <c r="AN14" s="2546"/>
      <c r="AO14" s="2984"/>
      <c r="AP14" s="2985">
        <f>SUM(R14,X14,AD14,AJ14)</f>
        <v>739</v>
      </c>
      <c r="AQ14" s="2546"/>
      <c r="AR14" s="2547"/>
    </row>
    <row r="15" spans="7:48" s="403" customFormat="1" ht="25" customHeight="1" x14ac:dyDescent="0.35">
      <c r="G15" s="553"/>
      <c r="H15" s="3012" t="s">
        <v>432</v>
      </c>
      <c r="I15" s="3012"/>
      <c r="J15" s="3012"/>
      <c r="K15" s="3012"/>
      <c r="L15" s="3012"/>
      <c r="M15" s="3012"/>
      <c r="N15" s="768"/>
      <c r="O15" s="2981">
        <v>3</v>
      </c>
      <c r="P15" s="2979"/>
      <c r="Q15" s="2982"/>
      <c r="R15" s="2978">
        <v>1</v>
      </c>
      <c r="S15" s="2979"/>
      <c r="T15" s="2980"/>
      <c r="U15" s="2981">
        <v>1</v>
      </c>
      <c r="V15" s="2979"/>
      <c r="W15" s="2982"/>
      <c r="X15" s="2978">
        <v>0</v>
      </c>
      <c r="Y15" s="2979"/>
      <c r="Z15" s="2980"/>
      <c r="AA15" s="2981">
        <v>1</v>
      </c>
      <c r="AB15" s="2979"/>
      <c r="AC15" s="2982"/>
      <c r="AD15" s="2978">
        <v>0</v>
      </c>
      <c r="AE15" s="2979"/>
      <c r="AF15" s="2980"/>
      <c r="AG15" s="2981">
        <v>2</v>
      </c>
      <c r="AH15" s="2979"/>
      <c r="AI15" s="2982"/>
      <c r="AJ15" s="2978">
        <v>2</v>
      </c>
      <c r="AK15" s="2979"/>
      <c r="AL15" s="2983"/>
      <c r="AM15" s="2545">
        <f t="shared" ref="AM15:AM18" si="0">SUM(O15,U15,AA15,AG15)</f>
        <v>7</v>
      </c>
      <c r="AN15" s="2546"/>
      <c r="AO15" s="2984"/>
      <c r="AP15" s="2985">
        <f t="shared" ref="AP15:AP18" si="1">SUM(R15,X15,AD15,AJ15)</f>
        <v>3</v>
      </c>
      <c r="AQ15" s="2546"/>
      <c r="AR15" s="2547"/>
    </row>
    <row r="16" spans="7:48" s="403" customFormat="1" ht="25" customHeight="1" x14ac:dyDescent="0.35">
      <c r="G16" s="553"/>
      <c r="H16" s="3012" t="s">
        <v>433</v>
      </c>
      <c r="I16" s="3012"/>
      <c r="J16" s="3012"/>
      <c r="K16" s="3012"/>
      <c r="L16" s="3012"/>
      <c r="M16" s="3012"/>
      <c r="N16" s="768"/>
      <c r="O16" s="2981">
        <v>16</v>
      </c>
      <c r="P16" s="2979"/>
      <c r="Q16" s="2982"/>
      <c r="R16" s="2978">
        <v>6</v>
      </c>
      <c r="S16" s="2979"/>
      <c r="T16" s="2980"/>
      <c r="U16" s="2981">
        <v>8</v>
      </c>
      <c r="V16" s="2979"/>
      <c r="W16" s="2982"/>
      <c r="X16" s="2978">
        <v>6</v>
      </c>
      <c r="Y16" s="2979"/>
      <c r="Z16" s="2980"/>
      <c r="AA16" s="2981">
        <v>4</v>
      </c>
      <c r="AB16" s="2979"/>
      <c r="AC16" s="2982"/>
      <c r="AD16" s="2978">
        <v>2</v>
      </c>
      <c r="AE16" s="2979"/>
      <c r="AF16" s="2980"/>
      <c r="AG16" s="2981">
        <v>7</v>
      </c>
      <c r="AH16" s="2979"/>
      <c r="AI16" s="2982"/>
      <c r="AJ16" s="2978">
        <v>3</v>
      </c>
      <c r="AK16" s="2979"/>
      <c r="AL16" s="2983"/>
      <c r="AM16" s="2545">
        <f t="shared" si="0"/>
        <v>35</v>
      </c>
      <c r="AN16" s="2546"/>
      <c r="AO16" s="2984"/>
      <c r="AP16" s="2985">
        <f t="shared" si="1"/>
        <v>17</v>
      </c>
      <c r="AQ16" s="2546"/>
      <c r="AR16" s="2547"/>
    </row>
    <row r="17" spans="7:48" s="403" customFormat="1" ht="25" customHeight="1" x14ac:dyDescent="0.35">
      <c r="G17" s="553"/>
      <c r="H17" s="3012" t="s">
        <v>434</v>
      </c>
      <c r="I17" s="3012"/>
      <c r="J17" s="3012"/>
      <c r="K17" s="3012"/>
      <c r="L17" s="3012"/>
      <c r="M17" s="3012"/>
      <c r="N17" s="768"/>
      <c r="O17" s="2981">
        <v>0</v>
      </c>
      <c r="P17" s="2979"/>
      <c r="Q17" s="2982"/>
      <c r="R17" s="2978">
        <v>1</v>
      </c>
      <c r="S17" s="2979"/>
      <c r="T17" s="2980"/>
      <c r="U17" s="2981">
        <v>3</v>
      </c>
      <c r="V17" s="2979"/>
      <c r="W17" s="2982"/>
      <c r="X17" s="2978">
        <v>0</v>
      </c>
      <c r="Y17" s="2979"/>
      <c r="Z17" s="2980"/>
      <c r="AA17" s="2981">
        <v>9</v>
      </c>
      <c r="AB17" s="2979"/>
      <c r="AC17" s="2982"/>
      <c r="AD17" s="2978">
        <v>4</v>
      </c>
      <c r="AE17" s="2979"/>
      <c r="AF17" s="2980"/>
      <c r="AG17" s="2981">
        <v>0</v>
      </c>
      <c r="AH17" s="2979"/>
      <c r="AI17" s="2982"/>
      <c r="AJ17" s="2978">
        <v>3</v>
      </c>
      <c r="AK17" s="2979"/>
      <c r="AL17" s="2983"/>
      <c r="AM17" s="2545">
        <f t="shared" si="0"/>
        <v>12</v>
      </c>
      <c r="AN17" s="2546"/>
      <c r="AO17" s="2984"/>
      <c r="AP17" s="2985">
        <f t="shared" si="1"/>
        <v>8</v>
      </c>
      <c r="AQ17" s="2546"/>
      <c r="AR17" s="2547"/>
    </row>
    <row r="18" spans="7:48" s="403" customFormat="1" ht="25" customHeight="1" thickBot="1" x14ac:dyDescent="0.4">
      <c r="G18" s="557"/>
      <c r="H18" s="3026" t="s">
        <v>435</v>
      </c>
      <c r="I18" s="3026"/>
      <c r="J18" s="3026"/>
      <c r="K18" s="3026"/>
      <c r="L18" s="3026"/>
      <c r="M18" s="3026"/>
      <c r="N18" s="769"/>
      <c r="O18" s="2981">
        <v>2</v>
      </c>
      <c r="P18" s="2979"/>
      <c r="Q18" s="2982"/>
      <c r="R18" s="2978">
        <v>1</v>
      </c>
      <c r="S18" s="2979"/>
      <c r="T18" s="2980"/>
      <c r="U18" s="2981">
        <v>8</v>
      </c>
      <c r="V18" s="2979"/>
      <c r="W18" s="2982"/>
      <c r="X18" s="2978">
        <v>7</v>
      </c>
      <c r="Y18" s="2979"/>
      <c r="Z18" s="2980"/>
      <c r="AA18" s="2981">
        <v>11</v>
      </c>
      <c r="AB18" s="2979"/>
      <c r="AC18" s="2982"/>
      <c r="AD18" s="2978">
        <v>11</v>
      </c>
      <c r="AE18" s="2979"/>
      <c r="AF18" s="2980"/>
      <c r="AG18" s="2981">
        <v>14</v>
      </c>
      <c r="AH18" s="2979"/>
      <c r="AI18" s="2982"/>
      <c r="AJ18" s="2978">
        <v>20</v>
      </c>
      <c r="AK18" s="2979"/>
      <c r="AL18" s="2983"/>
      <c r="AM18" s="2545">
        <f t="shared" si="0"/>
        <v>35</v>
      </c>
      <c r="AN18" s="2546"/>
      <c r="AO18" s="2984"/>
      <c r="AP18" s="2985">
        <f t="shared" si="1"/>
        <v>39</v>
      </c>
      <c r="AQ18" s="2546"/>
      <c r="AR18" s="2547"/>
    </row>
    <row r="19" spans="7:48" s="761" customFormat="1" ht="25" customHeight="1" thickTop="1" thickBot="1" x14ac:dyDescent="0.35">
      <c r="G19" s="2970" t="s">
        <v>16</v>
      </c>
      <c r="H19" s="2971"/>
      <c r="I19" s="2971"/>
      <c r="J19" s="2971"/>
      <c r="K19" s="2971"/>
      <c r="L19" s="2971"/>
      <c r="M19" s="2971"/>
      <c r="N19" s="2972"/>
      <c r="O19" s="2975">
        <f>SUM(O14:Q18)</f>
        <v>201</v>
      </c>
      <c r="P19" s="2973"/>
      <c r="Q19" s="2974"/>
      <c r="R19" s="2973">
        <f t="shared" ref="R19" si="2">SUM(R14:T18)</f>
        <v>189</v>
      </c>
      <c r="S19" s="2973"/>
      <c r="T19" s="2974"/>
      <c r="U19" s="2975">
        <f t="shared" ref="U19" si="3">SUM(U14:W18)</f>
        <v>186</v>
      </c>
      <c r="V19" s="2973"/>
      <c r="W19" s="2974"/>
      <c r="X19" s="2973">
        <f t="shared" ref="X19" si="4">SUM(X14:Z18)</f>
        <v>187</v>
      </c>
      <c r="Y19" s="2973"/>
      <c r="Z19" s="2974"/>
      <c r="AA19" s="2975">
        <f t="shared" ref="AA19" si="5">SUM(AA14:AC18)</f>
        <v>200</v>
      </c>
      <c r="AB19" s="2973"/>
      <c r="AC19" s="2974"/>
      <c r="AD19" s="2975">
        <f t="shared" ref="AD19" si="6">SUM(AD14:AF18)</f>
        <v>199</v>
      </c>
      <c r="AE19" s="2973"/>
      <c r="AF19" s="2974"/>
      <c r="AG19" s="2975">
        <f t="shared" ref="AG19" si="7">SUM(AG14:AI18)</f>
        <v>232</v>
      </c>
      <c r="AH19" s="2973"/>
      <c r="AI19" s="2974"/>
      <c r="AJ19" s="2973">
        <f t="shared" ref="AJ19" si="8">SUM(AJ14:AL18)</f>
        <v>231</v>
      </c>
      <c r="AK19" s="2973"/>
      <c r="AL19" s="2973"/>
      <c r="AM19" s="2976">
        <f t="shared" ref="AM19" si="9">SUM(AM14:AO18)</f>
        <v>819</v>
      </c>
      <c r="AN19" s="2973"/>
      <c r="AO19" s="3027"/>
      <c r="AP19" s="2975">
        <f t="shared" ref="AP19" si="10">SUM(AP14:AR18)</f>
        <v>806</v>
      </c>
      <c r="AQ19" s="2973"/>
      <c r="AR19" s="2977"/>
    </row>
    <row r="20" spans="7:48" s="402" customFormat="1" ht="25" customHeight="1" thickTop="1" x14ac:dyDescent="0.35">
      <c r="G20" s="2967" t="s">
        <v>437</v>
      </c>
      <c r="H20" s="2968"/>
      <c r="I20" s="2968"/>
      <c r="J20" s="2968"/>
      <c r="K20" s="2968"/>
      <c r="L20" s="2968"/>
      <c r="M20" s="2968"/>
      <c r="N20" s="2969"/>
      <c r="O20" s="2986"/>
      <c r="P20" s="2987"/>
      <c r="Q20" s="2987"/>
      <c r="R20" s="2987"/>
      <c r="S20" s="2987"/>
      <c r="T20" s="2987"/>
      <c r="U20" s="2987"/>
      <c r="V20" s="2987"/>
      <c r="W20" s="2987"/>
      <c r="X20" s="2987"/>
      <c r="Y20" s="2987"/>
      <c r="Z20" s="2987"/>
      <c r="AA20" s="2987"/>
      <c r="AB20" s="2987"/>
      <c r="AC20" s="2987"/>
      <c r="AD20" s="2987"/>
      <c r="AE20" s="2987"/>
      <c r="AF20" s="2987"/>
      <c r="AG20" s="2987"/>
      <c r="AH20" s="2987"/>
      <c r="AI20" s="2987"/>
      <c r="AJ20" s="2987"/>
      <c r="AK20" s="2987"/>
      <c r="AL20" s="2987"/>
      <c r="AM20" s="2987"/>
      <c r="AN20" s="2987"/>
      <c r="AO20" s="2987"/>
      <c r="AP20" s="2987"/>
      <c r="AQ20" s="2987"/>
      <c r="AR20" s="2988"/>
    </row>
    <row r="21" spans="7:48" s="403" customFormat="1" ht="25" customHeight="1" x14ac:dyDescent="0.35">
      <c r="G21" s="766"/>
      <c r="H21" s="3012" t="s">
        <v>438</v>
      </c>
      <c r="I21" s="3012"/>
      <c r="J21" s="3012"/>
      <c r="K21" s="3012"/>
      <c r="L21" s="3012"/>
      <c r="M21" s="3012"/>
      <c r="N21" s="767"/>
      <c r="O21" s="2981">
        <v>7</v>
      </c>
      <c r="P21" s="2979"/>
      <c r="Q21" s="2982"/>
      <c r="R21" s="2978">
        <v>3</v>
      </c>
      <c r="S21" s="2979"/>
      <c r="T21" s="2980"/>
      <c r="U21" s="2981">
        <v>4</v>
      </c>
      <c r="V21" s="2979"/>
      <c r="W21" s="2982"/>
      <c r="X21" s="2978">
        <v>9</v>
      </c>
      <c r="Y21" s="2979"/>
      <c r="Z21" s="2980"/>
      <c r="AA21" s="2981">
        <v>8</v>
      </c>
      <c r="AB21" s="2979"/>
      <c r="AC21" s="2982"/>
      <c r="AD21" s="2978">
        <v>4</v>
      </c>
      <c r="AE21" s="2979"/>
      <c r="AF21" s="2980"/>
      <c r="AG21" s="2981">
        <v>10</v>
      </c>
      <c r="AH21" s="2979"/>
      <c r="AI21" s="2982"/>
      <c r="AJ21" s="2978">
        <v>5</v>
      </c>
      <c r="AK21" s="2979"/>
      <c r="AL21" s="2983"/>
      <c r="AM21" s="2545">
        <f>SUM(O21,U21,AA21,AG21)</f>
        <v>29</v>
      </c>
      <c r="AN21" s="2546"/>
      <c r="AO21" s="2984"/>
      <c r="AP21" s="2985">
        <f>SUM(R21,X21,AD21,AJ21)</f>
        <v>21</v>
      </c>
      <c r="AQ21" s="2546"/>
      <c r="AR21" s="2547"/>
    </row>
    <row r="22" spans="7:48" s="403" customFormat="1" ht="25" customHeight="1" x14ac:dyDescent="0.35">
      <c r="G22" s="553"/>
      <c r="H22" s="3012" t="s">
        <v>439</v>
      </c>
      <c r="I22" s="3012"/>
      <c r="J22" s="3012"/>
      <c r="K22" s="3012"/>
      <c r="L22" s="3012"/>
      <c r="M22" s="3012"/>
      <c r="N22" s="768"/>
      <c r="O22" s="2981">
        <v>21</v>
      </c>
      <c r="P22" s="2979"/>
      <c r="Q22" s="2982"/>
      <c r="R22" s="2978">
        <v>21</v>
      </c>
      <c r="S22" s="2979"/>
      <c r="T22" s="2980"/>
      <c r="U22" s="2981">
        <v>28</v>
      </c>
      <c r="V22" s="2979"/>
      <c r="W22" s="2982"/>
      <c r="X22" s="2978">
        <v>33</v>
      </c>
      <c r="Y22" s="2979"/>
      <c r="Z22" s="2980"/>
      <c r="AA22" s="2981">
        <v>33</v>
      </c>
      <c r="AB22" s="2979"/>
      <c r="AC22" s="2982"/>
      <c r="AD22" s="2978">
        <v>51</v>
      </c>
      <c r="AE22" s="2979"/>
      <c r="AF22" s="2980"/>
      <c r="AG22" s="2981">
        <v>56</v>
      </c>
      <c r="AH22" s="2979"/>
      <c r="AI22" s="2982"/>
      <c r="AJ22" s="2978">
        <v>69</v>
      </c>
      <c r="AK22" s="2979"/>
      <c r="AL22" s="2983"/>
      <c r="AM22" s="2545">
        <f t="shared" ref="AM22:AM24" si="11">SUM(O22,U22,AA22,AG22)</f>
        <v>138</v>
      </c>
      <c r="AN22" s="2546"/>
      <c r="AO22" s="2984"/>
      <c r="AP22" s="2985">
        <f t="shared" ref="AP22:AP24" si="12">SUM(R22,X22,AD22,AJ22)</f>
        <v>174</v>
      </c>
      <c r="AQ22" s="2546"/>
      <c r="AR22" s="2547"/>
    </row>
    <row r="23" spans="7:48" s="403" customFormat="1" ht="25" customHeight="1" x14ac:dyDescent="0.35">
      <c r="G23" s="553"/>
      <c r="H23" s="3012" t="s">
        <v>431</v>
      </c>
      <c r="I23" s="3012"/>
      <c r="J23" s="3012"/>
      <c r="K23" s="3012"/>
      <c r="L23" s="3012"/>
      <c r="M23" s="3012"/>
      <c r="N23" s="768"/>
      <c r="O23" s="2981">
        <v>172</v>
      </c>
      <c r="P23" s="2979"/>
      <c r="Q23" s="2982"/>
      <c r="R23" s="2978">
        <v>164</v>
      </c>
      <c r="S23" s="2979"/>
      <c r="T23" s="2980"/>
      <c r="U23" s="2981">
        <v>154</v>
      </c>
      <c r="V23" s="2979"/>
      <c r="W23" s="2982"/>
      <c r="X23" s="2978">
        <v>145</v>
      </c>
      <c r="Y23" s="2979"/>
      <c r="Z23" s="2980"/>
      <c r="AA23" s="2981">
        <v>155</v>
      </c>
      <c r="AB23" s="2979"/>
      <c r="AC23" s="2982"/>
      <c r="AD23" s="2978">
        <v>143</v>
      </c>
      <c r="AE23" s="2979"/>
      <c r="AF23" s="2980"/>
      <c r="AG23" s="2981">
        <v>165</v>
      </c>
      <c r="AH23" s="2979"/>
      <c r="AI23" s="2982"/>
      <c r="AJ23" s="2978">
        <v>147</v>
      </c>
      <c r="AK23" s="2979"/>
      <c r="AL23" s="2983"/>
      <c r="AM23" s="2545">
        <f t="shared" si="11"/>
        <v>646</v>
      </c>
      <c r="AN23" s="2546"/>
      <c r="AO23" s="2984"/>
      <c r="AP23" s="2985">
        <f t="shared" si="12"/>
        <v>599</v>
      </c>
      <c r="AQ23" s="2546"/>
      <c r="AR23" s="2547"/>
    </row>
    <row r="24" spans="7:48" s="403" customFormat="1" ht="25" customHeight="1" thickBot="1" x14ac:dyDescent="0.4">
      <c r="G24" s="557"/>
      <c r="H24" s="3026" t="s">
        <v>440</v>
      </c>
      <c r="I24" s="3026"/>
      <c r="J24" s="3026"/>
      <c r="K24" s="3026"/>
      <c r="L24" s="3026"/>
      <c r="M24" s="3026"/>
      <c r="N24" s="769"/>
      <c r="O24" s="2981">
        <v>1</v>
      </c>
      <c r="P24" s="2979"/>
      <c r="Q24" s="2982"/>
      <c r="R24" s="2978">
        <v>1</v>
      </c>
      <c r="S24" s="2979"/>
      <c r="T24" s="2980"/>
      <c r="U24" s="2981">
        <v>0</v>
      </c>
      <c r="V24" s="2979"/>
      <c r="W24" s="2982"/>
      <c r="X24" s="2978">
        <v>0</v>
      </c>
      <c r="Y24" s="2979"/>
      <c r="Z24" s="2980"/>
      <c r="AA24" s="2981">
        <v>4</v>
      </c>
      <c r="AB24" s="2979"/>
      <c r="AC24" s="2982"/>
      <c r="AD24" s="2978">
        <v>1</v>
      </c>
      <c r="AE24" s="2979"/>
      <c r="AF24" s="2980"/>
      <c r="AG24" s="2981">
        <v>1</v>
      </c>
      <c r="AH24" s="2979"/>
      <c r="AI24" s="2982"/>
      <c r="AJ24" s="2978">
        <v>0</v>
      </c>
      <c r="AK24" s="2979"/>
      <c r="AL24" s="2983"/>
      <c r="AM24" s="2545">
        <f t="shared" si="11"/>
        <v>6</v>
      </c>
      <c r="AN24" s="2546"/>
      <c r="AO24" s="2984"/>
      <c r="AP24" s="2985">
        <f t="shared" si="12"/>
        <v>2</v>
      </c>
      <c r="AQ24" s="2546"/>
      <c r="AR24" s="2547"/>
    </row>
    <row r="25" spans="7:48" s="761" customFormat="1" ht="25" customHeight="1" thickTop="1" thickBot="1" x14ac:dyDescent="0.35">
      <c r="G25" s="2970" t="s">
        <v>16</v>
      </c>
      <c r="H25" s="2971"/>
      <c r="I25" s="2971"/>
      <c r="J25" s="2971"/>
      <c r="K25" s="2971"/>
      <c r="L25" s="2971"/>
      <c r="M25" s="2971"/>
      <c r="N25" s="2972"/>
      <c r="O25" s="2975">
        <f>SUM(O21:Q24)</f>
        <v>201</v>
      </c>
      <c r="P25" s="2973"/>
      <c r="Q25" s="2974"/>
      <c r="R25" s="2973">
        <f t="shared" ref="R25" si="13">SUM(R21:T24)</f>
        <v>189</v>
      </c>
      <c r="S25" s="2973"/>
      <c r="T25" s="2974"/>
      <c r="U25" s="2975">
        <f t="shared" ref="U25" si="14">SUM(U21:W24)</f>
        <v>186</v>
      </c>
      <c r="V25" s="2973"/>
      <c r="W25" s="2974"/>
      <c r="X25" s="2973">
        <f t="shared" ref="X25" si="15">SUM(X21:Z24)</f>
        <v>187</v>
      </c>
      <c r="Y25" s="2973"/>
      <c r="Z25" s="2974"/>
      <c r="AA25" s="2975">
        <f t="shared" ref="AA25" si="16">SUM(AA21:AC24)</f>
        <v>200</v>
      </c>
      <c r="AB25" s="2973"/>
      <c r="AC25" s="2974"/>
      <c r="AD25" s="2973">
        <f t="shared" ref="AD25" si="17">SUM(AD21:AF24)</f>
        <v>199</v>
      </c>
      <c r="AE25" s="2973"/>
      <c r="AF25" s="2974"/>
      <c r="AG25" s="2975">
        <f t="shared" ref="AG25" si="18">SUM(AG21:AI24)</f>
        <v>232</v>
      </c>
      <c r="AH25" s="2973"/>
      <c r="AI25" s="2974"/>
      <c r="AJ25" s="2973">
        <f t="shared" ref="AJ25" si="19">SUM(AJ21:AL24)</f>
        <v>221</v>
      </c>
      <c r="AK25" s="2973"/>
      <c r="AL25" s="2973"/>
      <c r="AM25" s="2976">
        <f t="shared" ref="AM25" si="20">SUM(AM21:AO24)</f>
        <v>819</v>
      </c>
      <c r="AN25" s="2973"/>
      <c r="AO25" s="2974"/>
      <c r="AP25" s="2973">
        <f t="shared" ref="AP25" si="21">SUM(AP21:AR24)</f>
        <v>796</v>
      </c>
      <c r="AQ25" s="2973"/>
      <c r="AR25" s="2977"/>
    </row>
    <row r="26" spans="7:48" s="761" customFormat="1" ht="10" customHeight="1" thickTop="1" x14ac:dyDescent="0.3">
      <c r="G26" s="85"/>
      <c r="H26" s="762"/>
      <c r="I26" s="762"/>
      <c r="J26" s="762"/>
      <c r="K26" s="762"/>
      <c r="L26" s="762"/>
      <c r="M26" s="763"/>
      <c r="N26" s="763"/>
      <c r="O26" s="763"/>
      <c r="P26" s="763"/>
      <c r="Q26" s="763"/>
      <c r="R26" s="763"/>
      <c r="S26" s="763"/>
      <c r="T26" s="763"/>
      <c r="U26" s="763"/>
      <c r="V26" s="763"/>
      <c r="W26" s="763"/>
      <c r="X26" s="763"/>
      <c r="Y26" s="763"/>
      <c r="Z26" s="763"/>
      <c r="AA26" s="763"/>
      <c r="AB26" s="763"/>
      <c r="AC26" s="763"/>
      <c r="AD26" s="763"/>
      <c r="AE26" s="763"/>
      <c r="AF26" s="763"/>
      <c r="AG26" s="763"/>
      <c r="AH26" s="763"/>
      <c r="AI26" s="763"/>
      <c r="AJ26" s="763"/>
      <c r="AK26" s="763"/>
      <c r="AL26" s="763"/>
      <c r="AM26" s="763"/>
      <c r="AN26" s="763"/>
      <c r="AO26" s="763"/>
      <c r="AP26" s="763"/>
      <c r="AQ26" s="763"/>
      <c r="AR26" s="763"/>
      <c r="AS26" s="763"/>
      <c r="AT26" s="763"/>
      <c r="AU26" s="763"/>
      <c r="AV26" s="763"/>
    </row>
    <row r="27" spans="7:48" s="87" customFormat="1" ht="15" customHeight="1" x14ac:dyDescent="0.3">
      <c r="G27" s="764" t="s">
        <v>441</v>
      </c>
      <c r="H27" s="561"/>
      <c r="I27" s="561"/>
      <c r="J27" s="561"/>
      <c r="K27" s="561"/>
      <c r="L27" s="561"/>
      <c r="M27" s="561"/>
      <c r="N27" s="561"/>
      <c r="O27" s="561"/>
      <c r="P27" s="561"/>
      <c r="Q27" s="561"/>
      <c r="R27" s="561"/>
      <c r="S27" s="561"/>
      <c r="T27" s="561"/>
      <c r="U27" s="561"/>
      <c r="V27" s="561"/>
      <c r="W27" s="561"/>
      <c r="X27" s="561"/>
      <c r="Y27" s="561"/>
      <c r="Z27" s="561"/>
      <c r="AA27" s="561"/>
      <c r="AB27" s="561"/>
      <c r="AC27" s="561"/>
      <c r="AD27" s="561"/>
      <c r="AE27" s="561"/>
      <c r="AF27" s="561"/>
      <c r="AG27" s="561"/>
      <c r="AH27" s="561"/>
      <c r="AI27" s="561"/>
      <c r="AJ27" s="561"/>
      <c r="AK27" s="561"/>
      <c r="AL27" s="561"/>
      <c r="AM27" s="561"/>
      <c r="AN27" s="561"/>
      <c r="AO27" s="561"/>
      <c r="AP27" s="561"/>
      <c r="AQ27" s="561"/>
      <c r="AR27" s="561"/>
      <c r="AS27" s="561"/>
      <c r="AT27" s="561"/>
      <c r="AU27" s="561"/>
    </row>
    <row r="28" spans="7:48" s="87" customFormat="1" ht="15" customHeight="1" x14ac:dyDescent="0.3">
      <c r="H28" s="273" t="s">
        <v>150</v>
      </c>
      <c r="I28" s="2666" t="s">
        <v>500</v>
      </c>
      <c r="J28" s="2666"/>
      <c r="K28" s="2666"/>
      <c r="L28" s="2666"/>
      <c r="M28" s="2666"/>
      <c r="N28" s="2666"/>
      <c r="O28" s="2666"/>
      <c r="P28" s="2666"/>
      <c r="Q28" s="2666"/>
      <c r="R28" s="2666"/>
      <c r="S28" s="2666"/>
      <c r="T28" s="2666"/>
      <c r="U28" s="2666"/>
      <c r="V28" s="2666"/>
      <c r="W28" s="2666"/>
      <c r="X28" s="2666"/>
      <c r="Y28" s="2666"/>
      <c r="Z28" s="2666"/>
      <c r="AA28" s="2666"/>
      <c r="AB28" s="2666"/>
      <c r="AC28" s="2666"/>
      <c r="AD28" s="2666"/>
      <c r="AE28" s="2666"/>
      <c r="AF28" s="2666"/>
      <c r="AG28" s="2666"/>
      <c r="AH28" s="2666"/>
      <c r="AI28" s="2666"/>
      <c r="AJ28" s="2666"/>
      <c r="AK28" s="2666"/>
      <c r="AL28" s="2666"/>
      <c r="AM28" s="2666"/>
      <c r="AN28" s="2666"/>
      <c r="AO28" s="2666"/>
      <c r="AP28" s="2666"/>
      <c r="AQ28" s="2666"/>
      <c r="AR28" s="2666"/>
      <c r="AS28" s="613"/>
      <c r="AT28" s="613"/>
      <c r="AU28" s="613"/>
    </row>
    <row r="29" spans="7:48" s="87" customFormat="1" ht="15" customHeight="1" x14ac:dyDescent="0.3">
      <c r="H29" s="273" t="s">
        <v>151</v>
      </c>
      <c r="I29" s="2666" t="s">
        <v>501</v>
      </c>
      <c r="J29" s="2666"/>
      <c r="K29" s="2666"/>
      <c r="L29" s="2666"/>
      <c r="M29" s="2666"/>
      <c r="N29" s="2666"/>
      <c r="O29" s="2666"/>
      <c r="P29" s="2666"/>
      <c r="Q29" s="2666"/>
      <c r="R29" s="2666"/>
      <c r="S29" s="2666"/>
      <c r="T29" s="2666"/>
      <c r="U29" s="2666"/>
      <c r="V29" s="2666"/>
      <c r="W29" s="2666"/>
      <c r="X29" s="2666"/>
      <c r="Y29" s="2666"/>
      <c r="Z29" s="2666"/>
      <c r="AA29" s="2666"/>
      <c r="AB29" s="2666"/>
      <c r="AC29" s="2666"/>
      <c r="AD29" s="2666"/>
      <c r="AE29" s="2666"/>
      <c r="AF29" s="2666"/>
      <c r="AG29" s="2666"/>
      <c r="AH29" s="2666"/>
      <c r="AI29" s="2666"/>
      <c r="AJ29" s="2666"/>
      <c r="AK29" s="2666"/>
      <c r="AL29" s="2666"/>
      <c r="AM29" s="2666"/>
      <c r="AN29" s="2666"/>
      <c r="AO29" s="2666"/>
      <c r="AP29" s="2666"/>
      <c r="AQ29" s="2666"/>
      <c r="AR29" s="2666"/>
      <c r="AS29" s="613"/>
      <c r="AT29" s="613"/>
      <c r="AU29" s="613"/>
    </row>
    <row r="30" spans="7:48" s="87" customFormat="1" ht="15" customHeight="1" x14ac:dyDescent="0.3">
      <c r="H30" s="273" t="s">
        <v>152</v>
      </c>
      <c r="I30" s="2666" t="s">
        <v>502</v>
      </c>
      <c r="J30" s="2666"/>
      <c r="K30" s="2666"/>
      <c r="L30" s="2666"/>
      <c r="M30" s="2666"/>
      <c r="N30" s="2666"/>
      <c r="O30" s="2666"/>
      <c r="P30" s="2666"/>
      <c r="Q30" s="2666"/>
      <c r="R30" s="2666"/>
      <c r="S30" s="2666"/>
      <c r="T30" s="2666"/>
      <c r="U30" s="2666"/>
      <c r="V30" s="2666"/>
      <c r="W30" s="2666"/>
      <c r="X30" s="2666"/>
      <c r="Y30" s="2666"/>
      <c r="Z30" s="2666"/>
      <c r="AA30" s="2666"/>
      <c r="AB30" s="2666"/>
      <c r="AC30" s="2666"/>
      <c r="AD30" s="2666"/>
      <c r="AE30" s="2666"/>
      <c r="AF30" s="2666"/>
      <c r="AG30" s="2666"/>
      <c r="AH30" s="2666"/>
      <c r="AI30" s="2666"/>
      <c r="AJ30" s="2666"/>
      <c r="AK30" s="2666"/>
      <c r="AL30" s="2666"/>
      <c r="AM30" s="2666"/>
      <c r="AN30" s="2666"/>
      <c r="AO30" s="2666"/>
      <c r="AP30" s="2666"/>
      <c r="AQ30" s="2666"/>
      <c r="AR30" s="2666"/>
      <c r="AS30" s="613"/>
      <c r="AT30" s="613"/>
      <c r="AU30" s="613"/>
    </row>
    <row r="31" spans="7:48" s="87" customFormat="1" ht="15" customHeight="1" x14ac:dyDescent="0.3">
      <c r="H31" s="273" t="s">
        <v>155</v>
      </c>
      <c r="I31" s="2666" t="s">
        <v>503</v>
      </c>
      <c r="J31" s="2666"/>
      <c r="K31" s="2666"/>
      <c r="L31" s="2666"/>
      <c r="M31" s="2666"/>
      <c r="N31" s="2666"/>
      <c r="O31" s="2666"/>
      <c r="P31" s="2666"/>
      <c r="Q31" s="2666"/>
      <c r="R31" s="2666"/>
      <c r="S31" s="2666"/>
      <c r="T31" s="2666"/>
      <c r="U31" s="2666"/>
      <c r="V31" s="2666"/>
      <c r="W31" s="2666"/>
      <c r="X31" s="2666"/>
      <c r="Y31" s="2666"/>
      <c r="Z31" s="2666"/>
      <c r="AA31" s="2666"/>
      <c r="AB31" s="2666"/>
      <c r="AC31" s="2666"/>
      <c r="AD31" s="2666"/>
      <c r="AE31" s="2666"/>
      <c r="AF31" s="2666"/>
      <c r="AG31" s="2666"/>
      <c r="AH31" s="2666"/>
      <c r="AI31" s="2666"/>
      <c r="AJ31" s="2666"/>
      <c r="AK31" s="2666"/>
      <c r="AL31" s="2666"/>
      <c r="AM31" s="2666"/>
      <c r="AN31" s="2666"/>
      <c r="AO31" s="2666"/>
      <c r="AP31" s="2666"/>
      <c r="AQ31" s="2666"/>
      <c r="AR31" s="2666"/>
      <c r="AS31" s="613"/>
      <c r="AT31" s="613"/>
      <c r="AU31" s="613"/>
    </row>
    <row r="32" spans="7:48" s="87" customFormat="1" ht="15" customHeight="1" x14ac:dyDescent="0.3">
      <c r="H32" s="273" t="s">
        <v>156</v>
      </c>
      <c r="I32" s="2666" t="s">
        <v>504</v>
      </c>
      <c r="J32" s="2666"/>
      <c r="K32" s="2666"/>
      <c r="L32" s="2666"/>
      <c r="M32" s="2666"/>
      <c r="N32" s="2666"/>
      <c r="O32" s="2666"/>
      <c r="P32" s="2666"/>
      <c r="Q32" s="2666"/>
      <c r="R32" s="2666"/>
      <c r="S32" s="2666"/>
      <c r="T32" s="2666"/>
      <c r="U32" s="2666"/>
      <c r="V32" s="2666"/>
      <c r="W32" s="2666"/>
      <c r="X32" s="2666"/>
      <c r="Y32" s="2666"/>
      <c r="Z32" s="2666"/>
      <c r="AA32" s="2666"/>
      <c r="AB32" s="2666"/>
      <c r="AC32" s="2666"/>
      <c r="AD32" s="2666"/>
      <c r="AE32" s="2666"/>
      <c r="AF32" s="2666"/>
      <c r="AG32" s="2666"/>
      <c r="AH32" s="2666"/>
      <c r="AI32" s="2666"/>
      <c r="AJ32" s="2666"/>
      <c r="AK32" s="2666"/>
      <c r="AL32" s="2666"/>
      <c r="AM32" s="2666"/>
      <c r="AN32" s="2666"/>
      <c r="AO32" s="2666"/>
      <c r="AP32" s="2666"/>
      <c r="AQ32" s="2666"/>
      <c r="AR32" s="2666"/>
      <c r="AS32" s="613"/>
      <c r="AT32" s="613"/>
      <c r="AU32" s="613"/>
    </row>
    <row r="33" spans="3:48" s="87" customFormat="1" ht="10" customHeight="1" x14ac:dyDescent="0.3">
      <c r="H33" s="273"/>
      <c r="I33" s="613"/>
      <c r="J33" s="613"/>
      <c r="K33" s="613"/>
      <c r="L33" s="613"/>
      <c r="M33" s="613"/>
      <c r="N33" s="613"/>
      <c r="O33" s="613"/>
      <c r="P33" s="613"/>
      <c r="Q33" s="613"/>
      <c r="R33" s="613"/>
      <c r="S33" s="613"/>
      <c r="T33" s="613"/>
      <c r="U33" s="613"/>
      <c r="V33" s="613"/>
      <c r="W33" s="613"/>
      <c r="X33" s="613"/>
      <c r="Y33" s="613"/>
      <c r="Z33" s="613"/>
      <c r="AA33" s="613"/>
      <c r="AB33" s="613"/>
      <c r="AC33" s="613"/>
      <c r="AD33" s="613"/>
      <c r="AE33" s="613"/>
      <c r="AF33" s="613"/>
      <c r="AG33" s="613"/>
      <c r="AH33" s="613"/>
      <c r="AI33" s="613"/>
      <c r="AJ33" s="613"/>
      <c r="AK33" s="613"/>
      <c r="AL33" s="613"/>
      <c r="AM33" s="613"/>
      <c r="AN33" s="613"/>
      <c r="AO33" s="613"/>
      <c r="AP33" s="613"/>
      <c r="AQ33" s="613"/>
      <c r="AR33" s="613"/>
      <c r="AS33" s="613"/>
      <c r="AT33" s="613"/>
      <c r="AU33" s="613"/>
    </row>
    <row r="34" spans="3:48" s="87" customFormat="1" ht="15" customHeight="1" x14ac:dyDescent="0.3">
      <c r="G34" s="764" t="s">
        <v>442</v>
      </c>
      <c r="H34" s="561"/>
      <c r="I34" s="561"/>
      <c r="J34" s="561"/>
      <c r="K34" s="561"/>
      <c r="L34" s="561"/>
      <c r="M34" s="561"/>
      <c r="N34" s="561"/>
      <c r="O34" s="561"/>
      <c r="P34" s="561"/>
      <c r="Q34" s="561"/>
      <c r="R34" s="561"/>
      <c r="S34" s="561"/>
      <c r="T34" s="561"/>
      <c r="U34" s="561"/>
      <c r="V34" s="561"/>
      <c r="W34" s="561"/>
      <c r="X34" s="561"/>
      <c r="Y34" s="561"/>
      <c r="Z34" s="561"/>
      <c r="AA34" s="561"/>
      <c r="AB34" s="561"/>
      <c r="AC34" s="561"/>
      <c r="AD34" s="561"/>
      <c r="AE34" s="561"/>
      <c r="AF34" s="561"/>
      <c r="AG34" s="561"/>
      <c r="AH34" s="561"/>
      <c r="AI34" s="561"/>
      <c r="AJ34" s="561"/>
      <c r="AK34" s="561"/>
      <c r="AL34" s="561"/>
      <c r="AM34" s="561"/>
      <c r="AN34" s="561"/>
      <c r="AO34" s="561"/>
      <c r="AP34" s="561"/>
      <c r="AQ34" s="561"/>
      <c r="AR34" s="561"/>
      <c r="AS34" s="561"/>
      <c r="AT34" s="561"/>
      <c r="AU34" s="561"/>
    </row>
    <row r="35" spans="3:48" s="87" customFormat="1" ht="15" customHeight="1" x14ac:dyDescent="0.3">
      <c r="H35" s="273" t="s">
        <v>150</v>
      </c>
      <c r="I35" s="2666" t="s">
        <v>505</v>
      </c>
      <c r="J35" s="2666"/>
      <c r="K35" s="2666"/>
      <c r="L35" s="2666"/>
      <c r="M35" s="2666"/>
      <c r="N35" s="2666"/>
      <c r="O35" s="2666"/>
      <c r="P35" s="2666"/>
      <c r="Q35" s="2666"/>
      <c r="R35" s="2666"/>
      <c r="S35" s="2666"/>
      <c r="T35" s="2666"/>
      <c r="U35" s="2666"/>
      <c r="V35" s="2666"/>
      <c r="W35" s="2666"/>
      <c r="X35" s="2666"/>
      <c r="Y35" s="2666"/>
      <c r="Z35" s="2666"/>
      <c r="AA35" s="2666"/>
      <c r="AB35" s="2666"/>
      <c r="AC35" s="2666"/>
      <c r="AD35" s="2666"/>
      <c r="AE35" s="2666"/>
      <c r="AF35" s="2666"/>
      <c r="AG35" s="2666"/>
      <c r="AH35" s="2666"/>
      <c r="AI35" s="2666"/>
      <c r="AJ35" s="2666"/>
      <c r="AK35" s="2666"/>
      <c r="AL35" s="2666"/>
      <c r="AM35" s="2666"/>
      <c r="AN35" s="2666"/>
      <c r="AO35" s="2666"/>
      <c r="AP35" s="2666"/>
      <c r="AQ35" s="2666"/>
      <c r="AR35" s="2666"/>
      <c r="AS35" s="613"/>
      <c r="AT35" s="613"/>
      <c r="AU35" s="613"/>
    </row>
    <row r="36" spans="3:48" s="87" customFormat="1" ht="15" customHeight="1" x14ac:dyDescent="0.3">
      <c r="H36" s="273" t="s">
        <v>151</v>
      </c>
      <c r="I36" s="2666" t="s">
        <v>506</v>
      </c>
      <c r="J36" s="2666"/>
      <c r="K36" s="2666"/>
      <c r="L36" s="2666"/>
      <c r="M36" s="2666"/>
      <c r="N36" s="2666"/>
      <c r="O36" s="2666"/>
      <c r="P36" s="2666"/>
      <c r="Q36" s="2666"/>
      <c r="R36" s="2666"/>
      <c r="S36" s="2666"/>
      <c r="T36" s="2666"/>
      <c r="U36" s="2666"/>
      <c r="V36" s="2666"/>
      <c r="W36" s="2666"/>
      <c r="X36" s="2666"/>
      <c r="Y36" s="2666"/>
      <c r="Z36" s="2666"/>
      <c r="AA36" s="2666"/>
      <c r="AB36" s="2666"/>
      <c r="AC36" s="2666"/>
      <c r="AD36" s="2666"/>
      <c r="AE36" s="2666"/>
      <c r="AF36" s="2666"/>
      <c r="AG36" s="2666"/>
      <c r="AH36" s="2666"/>
      <c r="AI36" s="2666"/>
      <c r="AJ36" s="2666"/>
      <c r="AK36" s="2666"/>
      <c r="AL36" s="2666"/>
      <c r="AM36" s="2666"/>
      <c r="AN36" s="2666"/>
      <c r="AO36" s="2666"/>
      <c r="AP36" s="2666"/>
      <c r="AQ36" s="2666"/>
      <c r="AR36" s="2666"/>
      <c r="AS36" s="613"/>
      <c r="AT36" s="613"/>
      <c r="AU36" s="613"/>
    </row>
    <row r="37" spans="3:48" s="87" customFormat="1" ht="15" customHeight="1" x14ac:dyDescent="0.3">
      <c r="H37" s="273" t="s">
        <v>152</v>
      </c>
      <c r="I37" s="2666" t="s">
        <v>507</v>
      </c>
      <c r="J37" s="2666"/>
      <c r="K37" s="2666"/>
      <c r="L37" s="2666"/>
      <c r="M37" s="2666"/>
      <c r="N37" s="2666"/>
      <c r="O37" s="2666"/>
      <c r="P37" s="2666"/>
      <c r="Q37" s="2666"/>
      <c r="R37" s="2666"/>
      <c r="S37" s="2666"/>
      <c r="T37" s="2666"/>
      <c r="U37" s="2666"/>
      <c r="V37" s="2666"/>
      <c r="W37" s="2666"/>
      <c r="X37" s="2666"/>
      <c r="Y37" s="2666"/>
      <c r="Z37" s="2666"/>
      <c r="AA37" s="2666"/>
      <c r="AB37" s="2666"/>
      <c r="AC37" s="2666"/>
      <c r="AD37" s="2666"/>
      <c r="AE37" s="2666"/>
      <c r="AF37" s="2666"/>
      <c r="AG37" s="2666"/>
      <c r="AH37" s="2666"/>
      <c r="AI37" s="2666"/>
      <c r="AJ37" s="2666"/>
      <c r="AK37" s="2666"/>
      <c r="AL37" s="2666"/>
      <c r="AM37" s="2666"/>
      <c r="AN37" s="2666"/>
      <c r="AO37" s="2666"/>
      <c r="AP37" s="2666"/>
      <c r="AQ37" s="2666"/>
      <c r="AR37" s="2666"/>
      <c r="AS37" s="613"/>
      <c r="AT37" s="613"/>
      <c r="AU37" s="613"/>
    </row>
    <row r="38" spans="3:48" s="87" customFormat="1" ht="15" customHeight="1" x14ac:dyDescent="0.3">
      <c r="H38" s="273" t="s">
        <v>155</v>
      </c>
      <c r="I38" s="2666" t="s">
        <v>508</v>
      </c>
      <c r="J38" s="2666"/>
      <c r="K38" s="2666"/>
      <c r="L38" s="2666"/>
      <c r="M38" s="2666"/>
      <c r="N38" s="2666"/>
      <c r="O38" s="2666"/>
      <c r="P38" s="2666"/>
      <c r="Q38" s="2666"/>
      <c r="R38" s="2666"/>
      <c r="S38" s="2666"/>
      <c r="T38" s="2666"/>
      <c r="U38" s="2666"/>
      <c r="V38" s="2666"/>
      <c r="W38" s="2666"/>
      <c r="X38" s="2666"/>
      <c r="Y38" s="2666"/>
      <c r="Z38" s="2666"/>
      <c r="AA38" s="2666"/>
      <c r="AB38" s="2666"/>
      <c r="AC38" s="2666"/>
      <c r="AD38" s="2666"/>
      <c r="AE38" s="2666"/>
      <c r="AF38" s="2666"/>
      <c r="AG38" s="2666"/>
      <c r="AH38" s="2666"/>
      <c r="AI38" s="2666"/>
      <c r="AJ38" s="2666"/>
      <c r="AK38" s="2666"/>
      <c r="AL38" s="2666"/>
      <c r="AM38" s="2666"/>
      <c r="AN38" s="2666"/>
      <c r="AO38" s="2666"/>
      <c r="AP38" s="2666"/>
      <c r="AQ38" s="2666"/>
      <c r="AR38" s="2666"/>
      <c r="AS38" s="613"/>
      <c r="AT38" s="613"/>
      <c r="AU38" s="613"/>
    </row>
    <row r="39" spans="3:48" s="87" customFormat="1" ht="10" customHeight="1" x14ac:dyDescent="0.3">
      <c r="H39" s="273"/>
      <c r="I39" s="613"/>
      <c r="J39" s="613"/>
      <c r="K39" s="613"/>
      <c r="L39" s="613"/>
      <c r="M39" s="613"/>
      <c r="N39" s="613"/>
      <c r="O39" s="613"/>
      <c r="P39" s="613"/>
      <c r="Q39" s="613"/>
      <c r="R39" s="613"/>
      <c r="S39" s="613"/>
      <c r="T39" s="613"/>
      <c r="U39" s="613"/>
      <c r="V39" s="613"/>
      <c r="W39" s="613"/>
      <c r="X39" s="613"/>
      <c r="Y39" s="613"/>
      <c r="Z39" s="613"/>
      <c r="AA39" s="613"/>
      <c r="AB39" s="613"/>
      <c r="AC39" s="613"/>
      <c r="AD39" s="613"/>
      <c r="AE39" s="613"/>
      <c r="AF39" s="613"/>
      <c r="AG39" s="613"/>
      <c r="AH39" s="613"/>
      <c r="AI39" s="613"/>
      <c r="AJ39" s="613"/>
      <c r="AK39" s="613"/>
      <c r="AL39" s="613"/>
      <c r="AM39" s="613"/>
      <c r="AN39" s="613"/>
      <c r="AO39" s="613"/>
      <c r="AP39" s="613"/>
      <c r="AQ39" s="613"/>
      <c r="AR39" s="613"/>
      <c r="AS39" s="613"/>
      <c r="AT39" s="613"/>
      <c r="AU39" s="613"/>
    </row>
    <row r="40" spans="3:48" s="44" customFormat="1" ht="30.75" customHeight="1" x14ac:dyDescent="0.35">
      <c r="H40" s="85"/>
      <c r="J40" s="85"/>
      <c r="L40" s="85"/>
      <c r="N40" s="85"/>
      <c r="P40" s="85"/>
      <c r="Y40" s="85"/>
      <c r="AA40" s="85"/>
      <c r="AC40" s="85"/>
      <c r="AE40" s="85"/>
      <c r="AG40" s="85"/>
      <c r="AI40" s="85"/>
    </row>
    <row r="41" spans="3:48" s="73" customFormat="1" ht="14" x14ac:dyDescent="0.3">
      <c r="C41" s="74" t="s">
        <v>913</v>
      </c>
      <c r="R41" s="74" t="s">
        <v>908</v>
      </c>
      <c r="AJ41" s="74" t="s">
        <v>922</v>
      </c>
    </row>
    <row r="42" spans="3:48" s="73" customFormat="1" ht="21.75" customHeight="1" x14ac:dyDescent="0.3">
      <c r="C42" s="74" t="s">
        <v>811</v>
      </c>
      <c r="G42" s="1482" t="str">
        <f>SchInfo!F38</f>
        <v>MELCHESIEDICK Q. BOLANIO/ March 17, 2023</v>
      </c>
      <c r="H42" s="1482"/>
      <c r="I42" s="1482"/>
      <c r="J42" s="1482"/>
      <c r="K42" s="1482"/>
      <c r="L42" s="1482"/>
      <c r="M42" s="1482"/>
      <c r="N42" s="1482"/>
      <c r="O42" s="1482"/>
      <c r="R42" s="1453" t="s">
        <v>12822</v>
      </c>
      <c r="S42" s="1453"/>
      <c r="T42" s="1453"/>
      <c r="U42" s="1453"/>
      <c r="V42" s="1453"/>
      <c r="W42" s="1453"/>
      <c r="X42" s="1453"/>
      <c r="Y42" s="1453"/>
      <c r="Z42" s="1453"/>
      <c r="AA42" s="1453"/>
      <c r="AB42" s="1453"/>
      <c r="AC42" s="1453"/>
      <c r="AD42" s="1453"/>
      <c r="AE42" s="1453"/>
      <c r="AF42" s="1453"/>
      <c r="AG42" s="1453"/>
      <c r="AJ42" s="1484" t="str">
        <f>SchInfo!R38</f>
        <v>MICHAEL T. JAMIS   /  March 17, 2023</v>
      </c>
      <c r="AK42" s="1484"/>
      <c r="AL42" s="1484"/>
      <c r="AM42" s="1484"/>
      <c r="AN42" s="1484"/>
      <c r="AO42" s="1484"/>
      <c r="AP42" s="1484"/>
      <c r="AQ42" s="1484"/>
      <c r="AR42" s="1484"/>
      <c r="AS42" s="1484"/>
      <c r="AT42" s="1484"/>
      <c r="AU42" s="1484"/>
      <c r="AV42" s="1484"/>
    </row>
    <row r="43" spans="3:48" s="78" customFormat="1" ht="15" customHeight="1" x14ac:dyDescent="0.35">
      <c r="C43" s="77"/>
      <c r="G43" s="1452" t="s">
        <v>779</v>
      </c>
      <c r="H43" s="1452"/>
      <c r="I43" s="1452"/>
      <c r="J43" s="1452"/>
      <c r="K43" s="1452"/>
      <c r="L43" s="1452"/>
      <c r="M43" s="1452"/>
      <c r="N43" s="1452"/>
      <c r="O43" s="1452"/>
      <c r="P43" s="79"/>
      <c r="Q43" s="79"/>
      <c r="R43" s="1452" t="s">
        <v>779</v>
      </c>
      <c r="S43" s="1452"/>
      <c r="T43" s="1452"/>
      <c r="U43" s="1452"/>
      <c r="V43" s="1452"/>
      <c r="W43" s="1452"/>
      <c r="X43" s="1452"/>
      <c r="Y43" s="1452"/>
      <c r="Z43" s="1452"/>
      <c r="AA43" s="1452"/>
      <c r="AB43" s="1452"/>
      <c r="AC43" s="1452"/>
      <c r="AD43" s="1452"/>
      <c r="AE43" s="1452"/>
      <c r="AF43" s="1452"/>
      <c r="AG43" s="1452"/>
      <c r="AJ43" s="1485"/>
      <c r="AK43" s="1485"/>
      <c r="AL43" s="1485"/>
      <c r="AM43" s="1485"/>
      <c r="AN43" s="1485"/>
      <c r="AO43" s="1485"/>
      <c r="AP43" s="1485"/>
      <c r="AQ43" s="1485"/>
      <c r="AR43" s="1485"/>
      <c r="AS43" s="1485"/>
      <c r="AT43" s="1485"/>
      <c r="AU43" s="1485"/>
      <c r="AV43" s="1485"/>
    </row>
    <row r="44" spans="3:48" s="73" customFormat="1" ht="21.75" customHeight="1" x14ac:dyDescent="0.3">
      <c r="C44" s="74" t="s">
        <v>784</v>
      </c>
      <c r="G44" s="1482" t="str">
        <f>SchInfo!F40</f>
        <v>Principal IV</v>
      </c>
      <c r="H44" s="1482"/>
      <c r="I44" s="1482"/>
      <c r="J44" s="1482"/>
      <c r="K44" s="1482"/>
      <c r="L44" s="1482"/>
      <c r="M44" s="1482"/>
      <c r="N44" s="1482"/>
      <c r="O44" s="1482"/>
      <c r="R44" s="74" t="s">
        <v>784</v>
      </c>
      <c r="V44" s="1453" t="s">
        <v>12823</v>
      </c>
      <c r="W44" s="1453"/>
      <c r="X44" s="1453"/>
      <c r="Y44" s="1453"/>
      <c r="Z44" s="1453"/>
      <c r="AA44" s="1453"/>
      <c r="AB44" s="1453"/>
      <c r="AC44" s="1453"/>
      <c r="AD44" s="1453"/>
      <c r="AE44" s="1453"/>
      <c r="AF44" s="1453"/>
      <c r="AG44" s="1453"/>
      <c r="AJ44" s="1452" t="s">
        <v>779</v>
      </c>
      <c r="AK44" s="1452"/>
      <c r="AL44" s="1452"/>
      <c r="AM44" s="1452"/>
      <c r="AN44" s="1452"/>
      <c r="AO44" s="1452"/>
      <c r="AP44" s="1452"/>
      <c r="AQ44" s="1452"/>
      <c r="AR44" s="1452"/>
      <c r="AS44" s="1452"/>
      <c r="AT44" s="1452"/>
      <c r="AU44" s="1452"/>
      <c r="AV44" s="1452"/>
    </row>
    <row r="45" spans="3:48" s="73" customFormat="1" ht="14" x14ac:dyDescent="0.3"/>
    <row r="46" spans="3:48" s="73" customFormat="1" ht="21.75" customHeight="1" x14ac:dyDescent="0.3"/>
    <row r="47" spans="3:48" s="68" customFormat="1" ht="14" x14ac:dyDescent="0.3">
      <c r="AJ47" s="73"/>
      <c r="AK47" s="73"/>
      <c r="AL47" s="73"/>
      <c r="AM47" s="73"/>
      <c r="AN47" s="73"/>
      <c r="AO47" s="73"/>
      <c r="AP47" s="73"/>
      <c r="AQ47" s="73"/>
      <c r="AR47" s="73"/>
      <c r="AS47" s="73"/>
      <c r="AT47" s="73"/>
      <c r="AU47" s="73"/>
      <c r="AV47" s="73"/>
    </row>
    <row r="48" spans="3:48" x14ac:dyDescent="0.3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c r="AA48" s="765"/>
      <c r="AJ48" s="68"/>
      <c r="AK48" s="68"/>
      <c r="AL48" s="68"/>
      <c r="AM48" s="68"/>
      <c r="AN48" s="68"/>
      <c r="AO48" s="68"/>
      <c r="AP48" s="68"/>
      <c r="AQ48" s="68"/>
      <c r="AR48" s="68"/>
      <c r="AS48" s="68"/>
      <c r="AT48" s="68"/>
      <c r="AU48" s="68"/>
      <c r="AV48" s="68"/>
    </row>
    <row r="49" spans="29:29" x14ac:dyDescent="0.35">
      <c r="AC49" s="765"/>
    </row>
  </sheetData>
  <sheetProtection algorithmName="SHA-512" hashValue="0KpBbJ5xoMtoaPKaawjs51aURMD6n3VuxTnRBIZiuW7OdSlaYGQudiEpBQl3/JB6vAMKRujCQVjtQl2mOWT1KQ==" saltValue="aTrTmhXQPDHCO5vlF7OAHw==" spinCount="100000" sheet="1" objects="1" scenarios="1"/>
  <mergeCells count="169">
    <mergeCell ref="H18:M18"/>
    <mergeCell ref="G19:N19"/>
    <mergeCell ref="H21:M21"/>
    <mergeCell ref="H22:M22"/>
    <mergeCell ref="H23:M23"/>
    <mergeCell ref="H24:M24"/>
    <mergeCell ref="I28:AR28"/>
    <mergeCell ref="AD18:AF18"/>
    <mergeCell ref="AG18:AI18"/>
    <mergeCell ref="AJ18:AL18"/>
    <mergeCell ref="AM18:AO18"/>
    <mergeCell ref="AP18:AR18"/>
    <mergeCell ref="O18:Q18"/>
    <mergeCell ref="R18:T18"/>
    <mergeCell ref="U18:W18"/>
    <mergeCell ref="X18:Z18"/>
    <mergeCell ref="AA18:AC18"/>
    <mergeCell ref="AD19:AF19"/>
    <mergeCell ref="AG19:AI19"/>
    <mergeCell ref="AJ19:AL19"/>
    <mergeCell ref="AM19:AO19"/>
    <mergeCell ref="AP19:AR19"/>
    <mergeCell ref="O19:Q19"/>
    <mergeCell ref="R19:T19"/>
    <mergeCell ref="H17:M17"/>
    <mergeCell ref="AG10:AL11"/>
    <mergeCell ref="AM10:AR11"/>
    <mergeCell ref="O12:Q12"/>
    <mergeCell ref="R12:T12"/>
    <mergeCell ref="U12:W12"/>
    <mergeCell ref="X12:Z12"/>
    <mergeCell ref="AA12:AC12"/>
    <mergeCell ref="AD12:AF12"/>
    <mergeCell ref="AG12:AI12"/>
    <mergeCell ref="AJ12:AL12"/>
    <mergeCell ref="AM12:AO12"/>
    <mergeCell ref="AP12:AR12"/>
    <mergeCell ref="H14:M14"/>
    <mergeCell ref="H15:M15"/>
    <mergeCell ref="H16:M16"/>
    <mergeCell ref="O14:Q14"/>
    <mergeCell ref="R14:T14"/>
    <mergeCell ref="U14:W14"/>
    <mergeCell ref="X14:Z14"/>
    <mergeCell ref="AA14:AC14"/>
    <mergeCell ref="AD14:AF14"/>
    <mergeCell ref="O13:AR13"/>
    <mergeCell ref="AM14:AO14"/>
    <mergeCell ref="G4:O5"/>
    <mergeCell ref="P4:AD4"/>
    <mergeCell ref="P5:T5"/>
    <mergeCell ref="U5:Y5"/>
    <mergeCell ref="Z5:AD5"/>
    <mergeCell ref="G10:N12"/>
    <mergeCell ref="O10:T11"/>
    <mergeCell ref="U10:Z11"/>
    <mergeCell ref="AA10:AF11"/>
    <mergeCell ref="P7:T7"/>
    <mergeCell ref="U7:Y7"/>
    <mergeCell ref="Z7:AD7"/>
    <mergeCell ref="P6:T6"/>
    <mergeCell ref="U6:Y6"/>
    <mergeCell ref="Z6:AD6"/>
    <mergeCell ref="AP14:AR14"/>
    <mergeCell ref="O15:Q15"/>
    <mergeCell ref="R15:T15"/>
    <mergeCell ref="U15:W15"/>
    <mergeCell ref="X15:Z15"/>
    <mergeCell ref="AA15:AC15"/>
    <mergeCell ref="AD15:AF15"/>
    <mergeCell ref="AG15:AI15"/>
    <mergeCell ref="AJ15:AL15"/>
    <mergeCell ref="AM15:AO15"/>
    <mergeCell ref="AP15:AR15"/>
    <mergeCell ref="AG14:AI14"/>
    <mergeCell ref="AJ14:AL14"/>
    <mergeCell ref="AD16:AF16"/>
    <mergeCell ref="AG16:AI16"/>
    <mergeCell ref="AJ16:AL16"/>
    <mergeCell ref="AM16:AO16"/>
    <mergeCell ref="AP16:AR16"/>
    <mergeCell ref="O16:Q16"/>
    <mergeCell ref="R16:T16"/>
    <mergeCell ref="U16:W16"/>
    <mergeCell ref="X16:Z16"/>
    <mergeCell ref="AA16:AC16"/>
    <mergeCell ref="AD17:AF17"/>
    <mergeCell ref="AG17:AI17"/>
    <mergeCell ref="AJ17:AL17"/>
    <mergeCell ref="AM17:AO17"/>
    <mergeCell ref="AP17:AR17"/>
    <mergeCell ref="O17:Q17"/>
    <mergeCell ref="R17:T17"/>
    <mergeCell ref="U17:W17"/>
    <mergeCell ref="X17:Z17"/>
    <mergeCell ref="AA17:AC17"/>
    <mergeCell ref="U19:W19"/>
    <mergeCell ref="X19:Z19"/>
    <mergeCell ref="AA19:AC19"/>
    <mergeCell ref="AD21:AF21"/>
    <mergeCell ref="AG21:AI21"/>
    <mergeCell ref="AJ21:AL21"/>
    <mergeCell ref="AM21:AO21"/>
    <mergeCell ref="O20:AR20"/>
    <mergeCell ref="AP21:AR21"/>
    <mergeCell ref="O21:Q21"/>
    <mergeCell ref="R21:T21"/>
    <mergeCell ref="U21:W21"/>
    <mergeCell ref="X21:Z21"/>
    <mergeCell ref="AA21:AC21"/>
    <mergeCell ref="AA24:AC24"/>
    <mergeCell ref="AD22:AF22"/>
    <mergeCell ref="AG22:AI22"/>
    <mergeCell ref="AJ22:AL22"/>
    <mergeCell ref="AM22:AO22"/>
    <mergeCell ref="AP22:AR22"/>
    <mergeCell ref="O22:Q22"/>
    <mergeCell ref="R22:T22"/>
    <mergeCell ref="U22:W22"/>
    <mergeCell ref="X22:Z22"/>
    <mergeCell ref="AA22:AC22"/>
    <mergeCell ref="I29:AR29"/>
    <mergeCell ref="I30:AR30"/>
    <mergeCell ref="I31:AR31"/>
    <mergeCell ref="I32:AR32"/>
    <mergeCell ref="I35:AR35"/>
    <mergeCell ref="AD23:AF23"/>
    <mergeCell ref="AG23:AI23"/>
    <mergeCell ref="AJ23:AL23"/>
    <mergeCell ref="AM23:AO23"/>
    <mergeCell ref="AP23:AR23"/>
    <mergeCell ref="O23:Q23"/>
    <mergeCell ref="R23:T23"/>
    <mergeCell ref="U23:W23"/>
    <mergeCell ref="X23:Z23"/>
    <mergeCell ref="AA23:AC23"/>
    <mergeCell ref="AD24:AF24"/>
    <mergeCell ref="AG24:AI24"/>
    <mergeCell ref="AJ24:AL24"/>
    <mergeCell ref="AM24:AO24"/>
    <mergeCell ref="AP24:AR24"/>
    <mergeCell ref="O24:Q24"/>
    <mergeCell ref="R24:T24"/>
    <mergeCell ref="U24:W24"/>
    <mergeCell ref="X24:Z24"/>
    <mergeCell ref="G13:N13"/>
    <mergeCell ref="G20:N20"/>
    <mergeCell ref="I36:AR36"/>
    <mergeCell ref="I37:AR37"/>
    <mergeCell ref="G25:N25"/>
    <mergeCell ref="R42:AG42"/>
    <mergeCell ref="V44:AG44"/>
    <mergeCell ref="AJ42:AV43"/>
    <mergeCell ref="R43:AG43"/>
    <mergeCell ref="AJ44:AV44"/>
    <mergeCell ref="AD25:AF25"/>
    <mergeCell ref="AG25:AI25"/>
    <mergeCell ref="AJ25:AL25"/>
    <mergeCell ref="AM25:AO25"/>
    <mergeCell ref="AP25:AR25"/>
    <mergeCell ref="G43:O43"/>
    <mergeCell ref="G42:O42"/>
    <mergeCell ref="G44:O44"/>
    <mergeCell ref="O25:Q25"/>
    <mergeCell ref="R25:T25"/>
    <mergeCell ref="U25:W25"/>
    <mergeCell ref="X25:Z25"/>
    <mergeCell ref="AA25:AC25"/>
    <mergeCell ref="I38:AR38"/>
  </mergeCells>
  <dataValidations count="1">
    <dataValidation type="whole" allowBlank="1" showInputMessage="1" showErrorMessage="1" errorTitle="GJHSP SY 2022-2023" error="Please enter valid number between 0-20,000." sqref="O21:AL24 P6:Y7 O14:AL18" xr:uid="{8AA4D168-B45A-4118-AD62-36D7554BDD4F}">
      <formula1>0</formula1>
      <formula2>20000</formula2>
    </dataValidation>
  </dataValidations>
  <printOptions horizontalCentered="1" verticalCentered="1"/>
  <pageMargins left="0.23622047244094491" right="0.23622047244094491" top="0.19685039370078741" bottom="0.19685039370078741" header="0" footer="0.11811023622047245"/>
  <pageSetup paperSize="14" scale="75" orientation="landscape" r:id="rId1"/>
  <headerFooter alignWithMargins="0">
    <oddFooter>&amp;L&amp;10&amp;F &amp;A&amp;R&amp;10Page 29 of 63</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3">
    <pageSetUpPr fitToPage="1"/>
  </sheetPr>
  <dimension ref="B1:BC46"/>
  <sheetViews>
    <sheetView showGridLines="0" zoomScaleNormal="100" workbookViewId="0">
      <selection activeCell="AA39" sqref="AA39"/>
    </sheetView>
  </sheetViews>
  <sheetFormatPr defaultColWidth="9" defaultRowHeight="15.5" x14ac:dyDescent="0.35"/>
  <cols>
    <col min="1" max="1" width="2.08203125" style="546" customWidth="1"/>
    <col min="2" max="47" width="3.58203125" style="546" customWidth="1"/>
    <col min="48" max="48" width="2.08203125" style="546" customWidth="1"/>
    <col min="49" max="54" width="3.58203125" style="546" customWidth="1"/>
    <col min="55" max="16384" width="9" style="546"/>
  </cols>
  <sheetData>
    <row r="1" spans="6:47" ht="12" customHeight="1" x14ac:dyDescent="0.35"/>
    <row r="2" spans="6:47" s="402" customFormat="1" ht="20.5" thickBot="1" x14ac:dyDescent="0.4">
      <c r="F2" s="413" t="s">
        <v>1914</v>
      </c>
      <c r="Q2" s="425"/>
      <c r="S2" s="795"/>
      <c r="AI2" s="796"/>
    </row>
    <row r="3" spans="6:47" s="402" customFormat="1" ht="15.75" customHeight="1" thickTop="1" x14ac:dyDescent="0.35">
      <c r="F3" s="3040" t="s">
        <v>447</v>
      </c>
      <c r="G3" s="3041"/>
      <c r="H3" s="3041"/>
      <c r="I3" s="3041"/>
      <c r="J3" s="3041"/>
      <c r="K3" s="3041"/>
      <c r="L3" s="3041"/>
      <c r="M3" s="3041"/>
      <c r="N3" s="3046" t="s">
        <v>87</v>
      </c>
      <c r="O3" s="3046"/>
      <c r="P3" s="3046"/>
      <c r="Q3" s="3046"/>
      <c r="R3" s="3046"/>
      <c r="S3" s="3046"/>
      <c r="T3" s="3046" t="s">
        <v>88</v>
      </c>
      <c r="U3" s="3046"/>
      <c r="V3" s="3046"/>
      <c r="W3" s="3046"/>
      <c r="X3" s="3046"/>
      <c r="Y3" s="3046"/>
      <c r="Z3" s="3046" t="s">
        <v>89</v>
      </c>
      <c r="AA3" s="3046"/>
      <c r="AB3" s="3046"/>
      <c r="AC3" s="3046"/>
      <c r="AD3" s="3046"/>
      <c r="AE3" s="3046"/>
      <c r="AF3" s="3054" t="s">
        <v>90</v>
      </c>
      <c r="AG3" s="3054"/>
      <c r="AH3" s="3054"/>
      <c r="AI3" s="3054"/>
      <c r="AJ3" s="3054"/>
      <c r="AK3" s="3055"/>
      <c r="AL3" s="3058" t="s">
        <v>362</v>
      </c>
      <c r="AM3" s="3059"/>
      <c r="AN3" s="3059"/>
      <c r="AO3" s="3059"/>
      <c r="AP3" s="3059"/>
      <c r="AQ3" s="3060"/>
    </row>
    <row r="4" spans="6:47" s="402" customFormat="1" ht="15.75" customHeight="1" thickBot="1" x14ac:dyDescent="0.4">
      <c r="F4" s="3042"/>
      <c r="G4" s="3043"/>
      <c r="H4" s="3043"/>
      <c r="I4" s="3043"/>
      <c r="J4" s="3043"/>
      <c r="K4" s="3043"/>
      <c r="L4" s="3043"/>
      <c r="M4" s="3043"/>
      <c r="N4" s="3047"/>
      <c r="O4" s="3047"/>
      <c r="P4" s="3047"/>
      <c r="Q4" s="3047"/>
      <c r="R4" s="3047"/>
      <c r="S4" s="3047"/>
      <c r="T4" s="3047"/>
      <c r="U4" s="3047"/>
      <c r="V4" s="3047"/>
      <c r="W4" s="3047"/>
      <c r="X4" s="3047"/>
      <c r="Y4" s="3047"/>
      <c r="Z4" s="3047"/>
      <c r="AA4" s="3047"/>
      <c r="AB4" s="3047"/>
      <c r="AC4" s="3047"/>
      <c r="AD4" s="3047"/>
      <c r="AE4" s="3047"/>
      <c r="AF4" s="3056"/>
      <c r="AG4" s="3056"/>
      <c r="AH4" s="3056"/>
      <c r="AI4" s="3056"/>
      <c r="AJ4" s="3056"/>
      <c r="AK4" s="3057"/>
      <c r="AL4" s="3061"/>
      <c r="AM4" s="3062"/>
      <c r="AN4" s="3062"/>
      <c r="AO4" s="3062"/>
      <c r="AP4" s="3062"/>
      <c r="AQ4" s="3063"/>
    </row>
    <row r="5" spans="6:47" s="402" customFormat="1" ht="15.75" customHeight="1" thickBot="1" x14ac:dyDescent="0.4">
      <c r="F5" s="3042"/>
      <c r="G5" s="3043"/>
      <c r="H5" s="3043"/>
      <c r="I5" s="3043"/>
      <c r="J5" s="3043"/>
      <c r="K5" s="3043"/>
      <c r="L5" s="3043"/>
      <c r="M5" s="3043"/>
      <c r="N5" s="3048" t="s">
        <v>14</v>
      </c>
      <c r="O5" s="3049"/>
      <c r="P5" s="3050"/>
      <c r="Q5" s="3051" t="s">
        <v>15</v>
      </c>
      <c r="R5" s="3052"/>
      <c r="S5" s="3052"/>
      <c r="T5" s="3048" t="s">
        <v>14</v>
      </c>
      <c r="U5" s="3049"/>
      <c r="V5" s="3050"/>
      <c r="W5" s="3051" t="s">
        <v>15</v>
      </c>
      <c r="X5" s="3052"/>
      <c r="Y5" s="3052"/>
      <c r="Z5" s="3048" t="s">
        <v>14</v>
      </c>
      <c r="AA5" s="3049"/>
      <c r="AB5" s="3050"/>
      <c r="AC5" s="3051" t="s">
        <v>15</v>
      </c>
      <c r="AD5" s="3052"/>
      <c r="AE5" s="3052"/>
      <c r="AF5" s="3048" t="s">
        <v>14</v>
      </c>
      <c r="AG5" s="3049"/>
      <c r="AH5" s="3050"/>
      <c r="AI5" s="3051" t="s">
        <v>15</v>
      </c>
      <c r="AJ5" s="3052"/>
      <c r="AK5" s="3064"/>
      <c r="AL5" s="3049" t="s">
        <v>14</v>
      </c>
      <c r="AM5" s="3049"/>
      <c r="AN5" s="3050"/>
      <c r="AO5" s="3051" t="s">
        <v>15</v>
      </c>
      <c r="AP5" s="3052"/>
      <c r="AQ5" s="3053"/>
    </row>
    <row r="6" spans="6:47" s="761" customFormat="1" ht="25" customHeight="1" thickTop="1" thickBot="1" x14ac:dyDescent="0.35">
      <c r="F6" s="3044"/>
      <c r="G6" s="3045"/>
      <c r="H6" s="3045"/>
      <c r="I6" s="3045"/>
      <c r="J6" s="3045"/>
      <c r="K6" s="3045"/>
      <c r="L6" s="3045"/>
      <c r="M6" s="3045"/>
      <c r="N6" s="3037">
        <v>0</v>
      </c>
      <c r="O6" s="3038"/>
      <c r="P6" s="3039"/>
      <c r="Q6" s="3028">
        <v>0</v>
      </c>
      <c r="R6" s="3029"/>
      <c r="S6" s="3030"/>
      <c r="T6" s="3031">
        <v>0</v>
      </c>
      <c r="U6" s="3029"/>
      <c r="V6" s="3032"/>
      <c r="W6" s="3028">
        <v>0</v>
      </c>
      <c r="X6" s="3029"/>
      <c r="Y6" s="3030"/>
      <c r="Z6" s="3031">
        <v>0</v>
      </c>
      <c r="AA6" s="3029"/>
      <c r="AB6" s="3032"/>
      <c r="AC6" s="3028">
        <v>0</v>
      </c>
      <c r="AD6" s="3029"/>
      <c r="AE6" s="3030"/>
      <c r="AF6" s="3031">
        <v>0</v>
      </c>
      <c r="AG6" s="3029"/>
      <c r="AH6" s="3032"/>
      <c r="AI6" s="3028">
        <v>0</v>
      </c>
      <c r="AJ6" s="3029"/>
      <c r="AK6" s="3033"/>
      <c r="AL6" s="3034">
        <f>SUM(N6,T6,Z6,AF6)</f>
        <v>0</v>
      </c>
      <c r="AM6" s="3034"/>
      <c r="AN6" s="3035"/>
      <c r="AO6" s="3034">
        <f>SUM(Q6,W6,AC6,AI6)</f>
        <v>0</v>
      </c>
      <c r="AP6" s="3034"/>
      <c r="AQ6" s="3036"/>
    </row>
    <row r="7" spans="6:47" s="748" customFormat="1" ht="20.149999999999999" customHeight="1" thickTop="1" x14ac:dyDescent="0.35"/>
    <row r="8" spans="6:47" s="402" customFormat="1" ht="20.5" thickBot="1" x14ac:dyDescent="0.4">
      <c r="F8" s="413" t="s">
        <v>12776</v>
      </c>
      <c r="Q8" s="425"/>
      <c r="S8" s="425"/>
      <c r="AG8" s="531"/>
      <c r="AH8" s="531"/>
      <c r="AI8" s="531"/>
      <c r="AJ8" s="531"/>
      <c r="AK8" s="531"/>
      <c r="AL8" s="531"/>
      <c r="AM8" s="531"/>
      <c r="AN8" s="531"/>
      <c r="AO8" s="531"/>
      <c r="AP8" s="531"/>
      <c r="AQ8" s="531"/>
      <c r="AR8" s="531"/>
      <c r="AS8" s="531"/>
      <c r="AT8" s="531"/>
      <c r="AU8" s="531"/>
    </row>
    <row r="9" spans="6:47" s="402" customFormat="1" ht="15.75" customHeight="1" thickTop="1" x14ac:dyDescent="0.35">
      <c r="F9" s="2740" t="s">
        <v>627</v>
      </c>
      <c r="G9" s="2741"/>
      <c r="H9" s="2741"/>
      <c r="I9" s="2741"/>
      <c r="J9" s="2741"/>
      <c r="K9" s="2741"/>
      <c r="L9" s="2741"/>
      <c r="M9" s="2741"/>
      <c r="N9" s="2741"/>
      <c r="O9" s="2741"/>
      <c r="P9" s="2741"/>
      <c r="Q9" s="2741"/>
      <c r="R9" s="2989"/>
      <c r="S9" s="2742" t="s">
        <v>87</v>
      </c>
      <c r="T9" s="2596"/>
      <c r="U9" s="2596"/>
      <c r="V9" s="2596"/>
      <c r="W9" s="2597"/>
      <c r="X9" s="2997" t="s">
        <v>88</v>
      </c>
      <c r="Y9" s="2741"/>
      <c r="Z9" s="2741"/>
      <c r="AA9" s="2741"/>
      <c r="AB9" s="2989"/>
      <c r="AC9" s="2997" t="s">
        <v>89</v>
      </c>
      <c r="AD9" s="2741"/>
      <c r="AE9" s="2741"/>
      <c r="AF9" s="2741"/>
      <c r="AG9" s="2989"/>
      <c r="AH9" s="3013" t="s">
        <v>90</v>
      </c>
      <c r="AI9" s="3014"/>
      <c r="AJ9" s="3014"/>
      <c r="AK9" s="3014"/>
      <c r="AL9" s="3015"/>
      <c r="AM9" s="3019" t="s">
        <v>362</v>
      </c>
      <c r="AN9" s="3020"/>
      <c r="AO9" s="3020"/>
      <c r="AP9" s="3020"/>
      <c r="AQ9" s="3021"/>
    </row>
    <row r="10" spans="6:47" s="402" customFormat="1" ht="16" thickBot="1" x14ac:dyDescent="0.4">
      <c r="F10" s="2994"/>
      <c r="G10" s="2995"/>
      <c r="H10" s="2995"/>
      <c r="I10" s="2995"/>
      <c r="J10" s="2995"/>
      <c r="K10" s="2995"/>
      <c r="L10" s="2995"/>
      <c r="M10" s="2995"/>
      <c r="N10" s="2995"/>
      <c r="O10" s="2995"/>
      <c r="P10" s="2995"/>
      <c r="Q10" s="2995"/>
      <c r="R10" s="2996"/>
      <c r="S10" s="3074"/>
      <c r="T10" s="3075"/>
      <c r="U10" s="3075"/>
      <c r="V10" s="3075"/>
      <c r="W10" s="3076"/>
      <c r="X10" s="3077"/>
      <c r="Y10" s="2995"/>
      <c r="Z10" s="2995"/>
      <c r="AA10" s="2995"/>
      <c r="AB10" s="2996"/>
      <c r="AC10" s="3077"/>
      <c r="AD10" s="2995"/>
      <c r="AE10" s="2995"/>
      <c r="AF10" s="2995"/>
      <c r="AG10" s="2996"/>
      <c r="AH10" s="3078"/>
      <c r="AI10" s="3079"/>
      <c r="AJ10" s="3079"/>
      <c r="AK10" s="3079"/>
      <c r="AL10" s="3080"/>
      <c r="AM10" s="3081"/>
      <c r="AN10" s="3082"/>
      <c r="AO10" s="3082"/>
      <c r="AP10" s="3082"/>
      <c r="AQ10" s="3083"/>
    </row>
    <row r="11" spans="6:47" s="403" customFormat="1" ht="25.5" customHeight="1" thickTop="1" x14ac:dyDescent="0.35">
      <c r="F11" s="3065" t="s">
        <v>513</v>
      </c>
      <c r="G11" s="3066"/>
      <c r="H11" s="3066"/>
      <c r="I11" s="3066"/>
      <c r="J11" s="3066"/>
      <c r="K11" s="3066"/>
      <c r="L11" s="3066"/>
      <c r="M11" s="3066"/>
      <c r="N11" s="3066"/>
      <c r="O11" s="3066"/>
      <c r="P11" s="3066"/>
      <c r="Q11" s="3066"/>
      <c r="R11" s="3067"/>
      <c r="S11" s="3071">
        <v>0</v>
      </c>
      <c r="T11" s="3072"/>
      <c r="U11" s="3072"/>
      <c r="V11" s="3072"/>
      <c r="W11" s="3073"/>
      <c r="X11" s="3071">
        <v>0</v>
      </c>
      <c r="Y11" s="3072"/>
      <c r="Z11" s="3072"/>
      <c r="AA11" s="3072"/>
      <c r="AB11" s="3073"/>
      <c r="AC11" s="3071">
        <v>0</v>
      </c>
      <c r="AD11" s="3072"/>
      <c r="AE11" s="3072"/>
      <c r="AF11" s="3072"/>
      <c r="AG11" s="3073"/>
      <c r="AH11" s="3071">
        <v>0</v>
      </c>
      <c r="AI11" s="3072"/>
      <c r="AJ11" s="3072"/>
      <c r="AK11" s="3072"/>
      <c r="AL11" s="3084"/>
      <c r="AM11" s="2548">
        <f>SUM(S11:AL11)</f>
        <v>0</v>
      </c>
      <c r="AN11" s="2549"/>
      <c r="AO11" s="2549"/>
      <c r="AP11" s="2549"/>
      <c r="AQ11" s="2550"/>
    </row>
    <row r="12" spans="6:47" s="403" customFormat="1" ht="39" customHeight="1" x14ac:dyDescent="0.35">
      <c r="F12" s="3068" t="s">
        <v>12667</v>
      </c>
      <c r="G12" s="3069"/>
      <c r="H12" s="3069"/>
      <c r="I12" s="3069"/>
      <c r="J12" s="3069"/>
      <c r="K12" s="3069"/>
      <c r="L12" s="3069"/>
      <c r="M12" s="3069"/>
      <c r="N12" s="3069"/>
      <c r="O12" s="3069"/>
      <c r="P12" s="3069"/>
      <c r="Q12" s="3069"/>
      <c r="R12" s="3070"/>
      <c r="S12" s="2981">
        <v>0</v>
      </c>
      <c r="T12" s="2979"/>
      <c r="U12" s="2979"/>
      <c r="V12" s="2979"/>
      <c r="W12" s="2980"/>
      <c r="X12" s="2981">
        <v>0</v>
      </c>
      <c r="Y12" s="2979"/>
      <c r="Z12" s="2979"/>
      <c r="AA12" s="2979"/>
      <c r="AB12" s="2980"/>
      <c r="AC12" s="2981">
        <v>0</v>
      </c>
      <c r="AD12" s="2979"/>
      <c r="AE12" s="2979"/>
      <c r="AF12" s="2979"/>
      <c r="AG12" s="2980"/>
      <c r="AH12" s="2981">
        <v>0</v>
      </c>
      <c r="AI12" s="2979"/>
      <c r="AJ12" s="2979"/>
      <c r="AK12" s="2979"/>
      <c r="AL12" s="2983"/>
      <c r="AM12" s="2545">
        <f t="shared" ref="AM12:AM13" si="0">SUM(S12:AL12)</f>
        <v>0</v>
      </c>
      <c r="AN12" s="2546"/>
      <c r="AO12" s="2546"/>
      <c r="AP12" s="2546"/>
      <c r="AQ12" s="2547"/>
    </row>
    <row r="13" spans="6:47" s="403" customFormat="1" ht="39" customHeight="1" thickBot="1" x14ac:dyDescent="0.4">
      <c r="F13" s="3085" t="s">
        <v>12668</v>
      </c>
      <c r="G13" s="3086"/>
      <c r="H13" s="3086"/>
      <c r="I13" s="3086"/>
      <c r="J13" s="3086"/>
      <c r="K13" s="3086"/>
      <c r="L13" s="3086"/>
      <c r="M13" s="3086"/>
      <c r="N13" s="3086"/>
      <c r="O13" s="3086"/>
      <c r="P13" s="3086"/>
      <c r="Q13" s="3086"/>
      <c r="R13" s="3087"/>
      <c r="S13" s="3001">
        <v>0</v>
      </c>
      <c r="T13" s="3002"/>
      <c r="U13" s="3002"/>
      <c r="V13" s="3002"/>
      <c r="W13" s="3120"/>
      <c r="X13" s="3001">
        <v>0</v>
      </c>
      <c r="Y13" s="3002"/>
      <c r="Z13" s="3002"/>
      <c r="AA13" s="3002"/>
      <c r="AB13" s="3120"/>
      <c r="AC13" s="3001">
        <v>0</v>
      </c>
      <c r="AD13" s="3002"/>
      <c r="AE13" s="3002"/>
      <c r="AF13" s="3002"/>
      <c r="AG13" s="3120"/>
      <c r="AH13" s="3001">
        <v>0</v>
      </c>
      <c r="AI13" s="3002"/>
      <c r="AJ13" s="3002"/>
      <c r="AK13" s="3002"/>
      <c r="AL13" s="3005"/>
      <c r="AM13" s="2542">
        <f t="shared" si="0"/>
        <v>0</v>
      </c>
      <c r="AN13" s="2543"/>
      <c r="AO13" s="2543"/>
      <c r="AP13" s="2543"/>
      <c r="AQ13" s="2544"/>
    </row>
    <row r="14" spans="6:47" s="761" customFormat="1" ht="10" customHeight="1" thickTop="1" x14ac:dyDescent="0.3">
      <c r="F14" s="85"/>
      <c r="G14" s="762"/>
      <c r="H14" s="762"/>
      <c r="I14" s="762"/>
      <c r="J14" s="762"/>
      <c r="K14" s="762"/>
      <c r="L14" s="763"/>
      <c r="M14" s="763"/>
      <c r="N14" s="763"/>
      <c r="O14" s="763"/>
      <c r="P14" s="763"/>
      <c r="Q14" s="763"/>
      <c r="R14" s="763"/>
      <c r="S14" s="763"/>
      <c r="T14" s="763"/>
      <c r="U14" s="763"/>
      <c r="V14" s="763"/>
      <c r="W14" s="763"/>
      <c r="X14" s="763"/>
      <c r="Y14" s="763"/>
      <c r="Z14" s="763"/>
      <c r="AA14" s="763"/>
      <c r="AB14" s="763"/>
      <c r="AC14" s="763"/>
      <c r="AD14" s="763"/>
      <c r="AE14" s="763"/>
      <c r="AF14" s="763"/>
      <c r="AG14" s="763"/>
      <c r="AH14" s="763"/>
      <c r="AI14" s="763"/>
      <c r="AJ14" s="763"/>
      <c r="AK14" s="763"/>
      <c r="AL14" s="763"/>
      <c r="AM14" s="763"/>
      <c r="AN14" s="763"/>
      <c r="AO14" s="763"/>
      <c r="AP14" s="763"/>
      <c r="AQ14" s="763"/>
      <c r="AR14" s="763"/>
      <c r="AS14" s="763"/>
      <c r="AT14" s="763"/>
      <c r="AU14" s="763"/>
    </row>
    <row r="15" spans="6:47" s="761" customFormat="1" ht="19.5" customHeight="1" x14ac:dyDescent="0.3">
      <c r="F15" s="85"/>
      <c r="G15" s="762"/>
      <c r="H15" s="762"/>
      <c r="I15" s="762"/>
      <c r="J15" s="762"/>
      <c r="K15" s="762"/>
      <c r="L15" s="763"/>
      <c r="M15" s="763"/>
      <c r="N15" s="763"/>
      <c r="O15" s="763"/>
      <c r="P15" s="763"/>
      <c r="Q15" s="763"/>
      <c r="R15" s="763"/>
      <c r="S15" s="763"/>
      <c r="T15" s="763"/>
      <c r="U15" s="763"/>
      <c r="V15" s="763"/>
      <c r="W15" s="763"/>
      <c r="X15" s="763"/>
      <c r="Y15" s="763"/>
      <c r="Z15" s="763"/>
      <c r="AA15" s="763"/>
      <c r="AB15" s="763"/>
      <c r="AC15" s="763"/>
      <c r="AD15" s="763"/>
      <c r="AE15" s="763"/>
      <c r="AF15" s="763"/>
      <c r="AG15" s="763"/>
      <c r="AH15" s="763"/>
      <c r="AI15" s="763"/>
      <c r="AJ15" s="763"/>
      <c r="AK15" s="763"/>
      <c r="AL15" s="763"/>
      <c r="AM15" s="763"/>
      <c r="AN15" s="763"/>
      <c r="AO15" s="763"/>
      <c r="AP15" s="763"/>
      <c r="AQ15" s="763"/>
      <c r="AR15" s="763"/>
      <c r="AS15" s="763"/>
      <c r="AT15" s="763"/>
      <c r="AU15" s="763"/>
    </row>
    <row r="16" spans="6:47" x14ac:dyDescent="0.35">
      <c r="F16" s="502" t="s">
        <v>12722</v>
      </c>
      <c r="G16" s="502"/>
      <c r="H16" s="502"/>
      <c r="I16" s="502"/>
      <c r="J16" s="502"/>
      <c r="K16" s="502"/>
      <c r="L16" s="502"/>
      <c r="M16" s="502"/>
      <c r="N16" s="502"/>
      <c r="O16" s="502"/>
      <c r="P16" s="503"/>
      <c r="Q16" s="503"/>
      <c r="R16" s="503"/>
      <c r="S16" s="503"/>
      <c r="T16" s="503"/>
      <c r="U16" s="503"/>
      <c r="V16" s="503"/>
      <c r="W16" s="503"/>
      <c r="X16" s="503"/>
      <c r="Y16" s="503"/>
      <c r="Z16" s="503"/>
      <c r="AA16" s="503"/>
      <c r="AB16" s="503"/>
      <c r="AC16" s="503"/>
      <c r="AD16" s="503"/>
      <c r="AE16" s="503"/>
      <c r="AF16" s="503"/>
      <c r="AG16" s="503"/>
      <c r="AH16" s="503"/>
      <c r="AI16" s="503"/>
      <c r="AJ16" s="503"/>
      <c r="AK16" s="503"/>
      <c r="AL16" s="503"/>
      <c r="AM16" s="503"/>
      <c r="AN16" s="503"/>
      <c r="AO16" s="503"/>
      <c r="AP16" s="502"/>
    </row>
    <row r="17" spans="6:55" s="402" customFormat="1" ht="16" thickBot="1" x14ac:dyDescent="0.4">
      <c r="F17" s="419" t="s">
        <v>1091</v>
      </c>
    </row>
    <row r="18" spans="6:55" ht="5.25" customHeight="1" thickTop="1" x14ac:dyDescent="0.35">
      <c r="F18" s="791"/>
      <c r="G18" s="792"/>
      <c r="H18" s="506"/>
      <c r="I18" s="506"/>
      <c r="J18" s="506"/>
      <c r="K18" s="506"/>
      <c r="L18" s="506"/>
      <c r="M18" s="506"/>
      <c r="N18" s="506"/>
      <c r="O18" s="506"/>
      <c r="P18" s="506"/>
      <c r="Q18" s="506"/>
      <c r="R18" s="462"/>
      <c r="S18" s="462"/>
      <c r="T18" s="462"/>
      <c r="U18" s="462"/>
      <c r="V18" s="462"/>
      <c r="W18" s="462"/>
      <c r="X18" s="422"/>
      <c r="Y18" s="793"/>
      <c r="Z18" s="793"/>
      <c r="AA18" s="793"/>
      <c r="AB18" s="793"/>
      <c r="AC18" s="793"/>
      <c r="AD18" s="793"/>
      <c r="AE18" s="462"/>
      <c r="AF18" s="462"/>
      <c r="AG18" s="462"/>
      <c r="AH18" s="462"/>
      <c r="AI18" s="462"/>
      <c r="AJ18" s="462"/>
      <c r="AK18" s="462"/>
      <c r="AL18" s="462"/>
      <c r="AM18" s="462"/>
      <c r="AN18" s="462"/>
      <c r="AO18" s="462"/>
      <c r="AP18" s="462"/>
      <c r="AQ18" s="794"/>
      <c r="AZ18" s="403"/>
      <c r="BA18" s="403"/>
      <c r="BB18" s="403"/>
      <c r="BC18" s="403"/>
    </row>
    <row r="19" spans="6:55" ht="20" x14ac:dyDescent="0.4">
      <c r="F19" s="779"/>
      <c r="G19" s="780" t="s">
        <v>526</v>
      </c>
      <c r="H19" s="789"/>
      <c r="I19" s="789"/>
      <c r="J19" s="789"/>
      <c r="K19" s="789"/>
      <c r="L19" s="789"/>
      <c r="M19" s="789"/>
      <c r="N19" s="789"/>
      <c r="O19" s="789"/>
      <c r="P19" s="789"/>
      <c r="Q19" s="789"/>
      <c r="R19" s="668"/>
      <c r="Y19" s="441" t="b">
        <v>1</v>
      </c>
      <c r="Z19" s="402" t="s">
        <v>65</v>
      </c>
      <c r="AA19" s="403"/>
      <c r="AD19" s="441"/>
      <c r="AE19" s="402" t="s">
        <v>11</v>
      </c>
      <c r="AF19" s="403"/>
      <c r="AH19" s="668"/>
      <c r="AI19" s="668"/>
      <c r="AJ19" s="668"/>
      <c r="AK19" s="668"/>
      <c r="AL19" s="668"/>
      <c r="AM19" s="668"/>
      <c r="AN19" s="668"/>
      <c r="AO19" s="668"/>
      <c r="AP19" s="668"/>
      <c r="AQ19" s="788"/>
      <c r="AZ19" s="403"/>
      <c r="BA19" s="403"/>
      <c r="BB19" s="403"/>
      <c r="BC19" s="403"/>
    </row>
    <row r="20" spans="6:55" ht="6" customHeight="1" x14ac:dyDescent="0.4">
      <c r="F20" s="779"/>
      <c r="G20" s="780"/>
      <c r="H20" s="789"/>
      <c r="I20" s="789"/>
      <c r="J20" s="789"/>
      <c r="K20" s="789"/>
      <c r="L20" s="789"/>
      <c r="M20" s="789"/>
      <c r="N20" s="789"/>
      <c r="O20" s="789"/>
      <c r="P20" s="789"/>
      <c r="Q20" s="789"/>
      <c r="R20" s="668"/>
      <c r="Y20" s="668"/>
      <c r="Z20" s="403"/>
      <c r="AA20" s="403"/>
      <c r="AD20" s="668"/>
      <c r="AE20" s="403"/>
      <c r="AF20" s="403"/>
      <c r="AH20" s="668"/>
      <c r="AI20" s="668"/>
      <c r="AJ20" s="668"/>
      <c r="AK20" s="668"/>
      <c r="AL20" s="668"/>
      <c r="AM20" s="668"/>
      <c r="AN20" s="668"/>
      <c r="AO20" s="668"/>
      <c r="AP20" s="668"/>
      <c r="AQ20" s="788"/>
      <c r="AZ20" s="403"/>
      <c r="BA20" s="403"/>
      <c r="BB20" s="403"/>
      <c r="BC20" s="403"/>
    </row>
    <row r="21" spans="6:55" ht="20" x14ac:dyDescent="0.4">
      <c r="F21" s="779"/>
      <c r="G21" s="780" t="s">
        <v>1029</v>
      </c>
      <c r="H21" s="789"/>
      <c r="I21" s="789"/>
      <c r="J21" s="789"/>
      <c r="K21" s="789"/>
      <c r="L21" s="789"/>
      <c r="M21" s="789"/>
      <c r="N21" s="789"/>
      <c r="O21" s="789"/>
      <c r="P21" s="789"/>
      <c r="Q21" s="789"/>
      <c r="R21" s="668"/>
      <c r="Y21" s="441" t="b">
        <v>1</v>
      </c>
      <c r="Z21" s="402" t="s">
        <v>65</v>
      </c>
      <c r="AA21" s="403"/>
      <c r="AD21" s="441"/>
      <c r="AE21" s="402" t="s">
        <v>11</v>
      </c>
      <c r="AF21" s="403"/>
      <c r="AH21" s="668"/>
      <c r="AI21" s="668"/>
      <c r="AJ21" s="668"/>
      <c r="AK21" s="668"/>
      <c r="AL21" s="668"/>
      <c r="AM21" s="668"/>
      <c r="AN21" s="668"/>
      <c r="AO21" s="668"/>
      <c r="AP21" s="668"/>
      <c r="AQ21" s="788"/>
      <c r="AZ21" s="403"/>
      <c r="BA21" s="403"/>
      <c r="BB21" s="403"/>
      <c r="BC21" s="403"/>
    </row>
    <row r="22" spans="6:55" ht="6" customHeight="1" x14ac:dyDescent="0.4">
      <c r="F22" s="779"/>
      <c r="G22" s="780"/>
      <c r="H22" s="789"/>
      <c r="I22" s="789"/>
      <c r="J22" s="789"/>
      <c r="K22" s="789"/>
      <c r="L22" s="789"/>
      <c r="M22" s="789"/>
      <c r="N22" s="789"/>
      <c r="O22" s="789"/>
      <c r="P22" s="789"/>
      <c r="Q22" s="789"/>
      <c r="R22" s="668"/>
      <c r="T22" s="668"/>
      <c r="U22" s="403"/>
      <c r="V22" s="403"/>
      <c r="Y22" s="668"/>
      <c r="Z22" s="403"/>
      <c r="AB22" s="403"/>
      <c r="AC22" s="403"/>
      <c r="AD22" s="403"/>
      <c r="AE22" s="403"/>
      <c r="AF22" s="403"/>
      <c r="AH22" s="668"/>
      <c r="AI22" s="668"/>
      <c r="AJ22" s="668"/>
      <c r="AK22" s="668"/>
      <c r="AL22" s="668"/>
      <c r="AM22" s="668"/>
      <c r="AN22" s="668"/>
      <c r="AO22" s="668"/>
      <c r="AP22" s="668"/>
      <c r="AQ22" s="788"/>
      <c r="AZ22" s="403"/>
      <c r="BA22" s="403"/>
      <c r="BB22" s="403"/>
      <c r="BC22" s="403"/>
    </row>
    <row r="23" spans="6:55" ht="20" x14ac:dyDescent="0.4">
      <c r="F23" s="779"/>
      <c r="G23" s="780" t="s">
        <v>1030</v>
      </c>
      <c r="H23" s="789"/>
      <c r="I23" s="789"/>
      <c r="J23" s="789"/>
      <c r="K23" s="789"/>
      <c r="L23" s="789"/>
      <c r="M23" s="789"/>
      <c r="N23" s="789"/>
      <c r="O23" s="789"/>
      <c r="P23" s="789"/>
      <c r="Q23" s="789"/>
      <c r="R23" s="668"/>
      <c r="T23" s="668"/>
      <c r="U23" s="403"/>
      <c r="V23" s="403"/>
      <c r="Y23" s="668"/>
      <c r="Z23" s="403"/>
      <c r="AB23" s="403"/>
      <c r="AC23" s="403"/>
      <c r="AD23" s="403"/>
      <c r="AE23" s="403"/>
      <c r="AF23" s="403"/>
      <c r="AH23" s="668"/>
      <c r="AI23" s="668"/>
      <c r="AJ23" s="668"/>
      <c r="AK23" s="668"/>
      <c r="AL23" s="668"/>
      <c r="AM23" s="668"/>
      <c r="AN23" s="668"/>
      <c r="AO23" s="668"/>
      <c r="AP23" s="668"/>
      <c r="AQ23" s="788"/>
      <c r="AZ23" s="403"/>
      <c r="BA23" s="403"/>
      <c r="BB23" s="403"/>
      <c r="BC23" s="403"/>
    </row>
    <row r="24" spans="6:55" ht="6" customHeight="1" thickBot="1" x14ac:dyDescent="0.45">
      <c r="F24" s="779"/>
      <c r="H24" s="780"/>
      <c r="I24" s="789"/>
      <c r="J24" s="789"/>
      <c r="K24" s="789"/>
      <c r="L24" s="789"/>
      <c r="M24" s="789"/>
      <c r="N24" s="789"/>
      <c r="O24" s="789"/>
      <c r="P24" s="789"/>
      <c r="Q24" s="789"/>
      <c r="R24" s="668"/>
      <c r="T24" s="668"/>
      <c r="U24" s="403"/>
      <c r="V24" s="403"/>
      <c r="Y24" s="668"/>
      <c r="Z24" s="403"/>
      <c r="AA24" s="403"/>
      <c r="AB24" s="403"/>
      <c r="AC24" s="403"/>
      <c r="AD24" s="403"/>
      <c r="AE24" s="403"/>
      <c r="AF24" s="403"/>
      <c r="AH24" s="668"/>
      <c r="AI24" s="668"/>
      <c r="AJ24" s="668"/>
      <c r="AK24" s="668"/>
      <c r="AL24" s="668"/>
      <c r="AM24" s="668"/>
      <c r="AN24" s="668"/>
      <c r="AO24" s="668"/>
      <c r="AP24" s="668"/>
      <c r="AQ24" s="788"/>
      <c r="AZ24" s="403"/>
      <c r="BA24" s="403"/>
      <c r="BB24" s="403"/>
      <c r="BC24" s="403"/>
    </row>
    <row r="25" spans="6:55" ht="19.5" customHeight="1" thickTop="1" x14ac:dyDescent="0.4">
      <c r="F25" s="779"/>
      <c r="H25" s="780"/>
      <c r="I25" s="3088" t="s">
        <v>514</v>
      </c>
      <c r="J25" s="3089"/>
      <c r="K25" s="3089"/>
      <c r="L25" s="3089"/>
      <c r="M25" s="3089"/>
      <c r="N25" s="3089"/>
      <c r="O25" s="3089"/>
      <c r="P25" s="3089"/>
      <c r="Q25" s="3089"/>
      <c r="R25" s="3089"/>
      <c r="S25" s="3089"/>
      <c r="T25" s="3089"/>
      <c r="U25" s="3090"/>
      <c r="V25" s="3113" t="s">
        <v>515</v>
      </c>
      <c r="W25" s="3114"/>
      <c r="X25" s="3114"/>
      <c r="Y25" s="3114"/>
      <c r="Z25" s="3114"/>
      <c r="AA25" s="3115"/>
      <c r="AD25" s="668"/>
      <c r="AE25" s="668"/>
      <c r="AF25" s="668"/>
      <c r="AI25" s="668"/>
      <c r="AJ25" s="668"/>
      <c r="AK25" s="668"/>
      <c r="AL25" s="668"/>
      <c r="AM25" s="668"/>
      <c r="AN25" s="668"/>
      <c r="AO25" s="668"/>
      <c r="AP25" s="668"/>
      <c r="AQ25" s="788"/>
      <c r="AZ25" s="403"/>
      <c r="BA25" s="403"/>
      <c r="BB25" s="403"/>
      <c r="BC25" s="403"/>
    </row>
    <row r="26" spans="6:55" ht="20.5" thickBot="1" x14ac:dyDescent="0.45">
      <c r="F26" s="779"/>
      <c r="H26" s="780"/>
      <c r="I26" s="3091"/>
      <c r="J26" s="3092"/>
      <c r="K26" s="3092"/>
      <c r="L26" s="3092"/>
      <c r="M26" s="3092"/>
      <c r="N26" s="3092"/>
      <c r="O26" s="3092"/>
      <c r="P26" s="3092"/>
      <c r="Q26" s="3092"/>
      <c r="R26" s="3092"/>
      <c r="S26" s="3092"/>
      <c r="T26" s="3092"/>
      <c r="U26" s="3093"/>
      <c r="V26" s="3116"/>
      <c r="W26" s="3117"/>
      <c r="X26" s="3117"/>
      <c r="Y26" s="3117"/>
      <c r="Z26" s="3117"/>
      <c r="AA26" s="3118"/>
      <c r="AD26" s="668"/>
      <c r="AE26" s="668"/>
      <c r="AF26" s="668"/>
      <c r="AI26" s="668"/>
      <c r="AJ26" s="668"/>
      <c r="AK26" s="668"/>
      <c r="AL26" s="668"/>
      <c r="AM26" s="668"/>
      <c r="AN26" s="668"/>
      <c r="AO26" s="668"/>
      <c r="AP26" s="668"/>
      <c r="AQ26" s="788"/>
      <c r="AZ26" s="403"/>
      <c r="BA26" s="403"/>
      <c r="BB26" s="403"/>
      <c r="BC26" s="403"/>
    </row>
    <row r="27" spans="6:55" ht="25" customHeight="1" thickTop="1" x14ac:dyDescent="0.4">
      <c r="F27" s="779"/>
      <c r="H27" s="780"/>
      <c r="I27" s="3103" t="s">
        <v>516</v>
      </c>
      <c r="J27" s="3104"/>
      <c r="K27" s="3104"/>
      <c r="L27" s="3104"/>
      <c r="M27" s="3104"/>
      <c r="N27" s="3104"/>
      <c r="O27" s="3104"/>
      <c r="P27" s="3104"/>
      <c r="Q27" s="3104"/>
      <c r="R27" s="3104"/>
      <c r="S27" s="3104"/>
      <c r="T27" s="3104"/>
      <c r="U27" s="3105"/>
      <c r="V27" s="3100">
        <v>1</v>
      </c>
      <c r="W27" s="3101"/>
      <c r="X27" s="3101"/>
      <c r="Y27" s="3101"/>
      <c r="Z27" s="3101"/>
      <c r="AA27" s="3102"/>
      <c r="AD27" s="668"/>
      <c r="AE27" s="668"/>
      <c r="AF27" s="668"/>
      <c r="AI27" s="668"/>
      <c r="AJ27" s="668"/>
      <c r="AK27" s="668"/>
      <c r="AL27" s="668"/>
      <c r="AM27" s="668"/>
      <c r="AN27" s="668"/>
      <c r="AO27" s="668"/>
      <c r="AP27" s="668"/>
      <c r="AQ27" s="788"/>
      <c r="AZ27" s="403"/>
      <c r="BA27" s="403"/>
      <c r="BB27" s="403"/>
      <c r="BC27" s="403"/>
    </row>
    <row r="28" spans="6:55" ht="25" customHeight="1" x14ac:dyDescent="0.4">
      <c r="F28" s="779"/>
      <c r="H28" s="780"/>
      <c r="I28" s="3106" t="s">
        <v>517</v>
      </c>
      <c r="J28" s="3107"/>
      <c r="K28" s="3107"/>
      <c r="L28" s="3107"/>
      <c r="M28" s="3107"/>
      <c r="N28" s="3107"/>
      <c r="O28" s="3107"/>
      <c r="P28" s="3107"/>
      <c r="Q28" s="3107"/>
      <c r="R28" s="3107"/>
      <c r="S28" s="3107"/>
      <c r="T28" s="3107"/>
      <c r="U28" s="3108"/>
      <c r="V28" s="3097">
        <v>2</v>
      </c>
      <c r="W28" s="3098"/>
      <c r="X28" s="3098"/>
      <c r="Y28" s="3098"/>
      <c r="Z28" s="3098"/>
      <c r="AA28" s="3099"/>
      <c r="AD28" s="668"/>
      <c r="AE28" s="668"/>
      <c r="AF28" s="668"/>
      <c r="AI28" s="668"/>
      <c r="AJ28" s="668"/>
      <c r="AK28" s="668"/>
      <c r="AL28" s="668"/>
      <c r="AM28" s="668"/>
      <c r="AN28" s="668"/>
      <c r="AO28" s="668"/>
      <c r="AP28" s="668"/>
      <c r="AQ28" s="788"/>
      <c r="AZ28" s="403"/>
      <c r="BA28" s="403"/>
      <c r="BB28" s="403"/>
      <c r="BC28" s="403"/>
    </row>
    <row r="29" spans="6:55" ht="25" customHeight="1" x14ac:dyDescent="0.4">
      <c r="F29" s="779"/>
      <c r="H29" s="780"/>
      <c r="I29" s="3109" t="s">
        <v>1095</v>
      </c>
      <c r="J29" s="3110"/>
      <c r="K29" s="3110"/>
      <c r="L29" s="3110"/>
      <c r="M29" s="3110"/>
      <c r="N29" s="3111"/>
      <c r="O29" s="3111"/>
      <c r="P29" s="3111"/>
      <c r="Q29" s="3111"/>
      <c r="R29" s="3111"/>
      <c r="S29" s="3111"/>
      <c r="T29" s="3111"/>
      <c r="U29" s="3112"/>
      <c r="V29" s="3094"/>
      <c r="W29" s="3095"/>
      <c r="X29" s="3095"/>
      <c r="Y29" s="3095"/>
      <c r="Z29" s="3095"/>
      <c r="AA29" s="3096"/>
      <c r="AB29" s="743"/>
      <c r="AD29" s="668"/>
      <c r="AE29" s="668"/>
      <c r="AF29" s="668"/>
      <c r="AI29" s="668"/>
      <c r="AJ29" s="668"/>
      <c r="AK29" s="668"/>
      <c r="AL29" s="668"/>
      <c r="AM29" s="668"/>
      <c r="AN29" s="668"/>
      <c r="AO29" s="668"/>
      <c r="AP29" s="668"/>
      <c r="AQ29" s="788"/>
      <c r="AZ29" s="403"/>
      <c r="BA29" s="403"/>
      <c r="BB29" s="403"/>
      <c r="BC29" s="403"/>
    </row>
    <row r="30" spans="6:55" ht="14" customHeight="1" thickBot="1" x14ac:dyDescent="0.45">
      <c r="F30" s="779"/>
      <c r="H30" s="780"/>
      <c r="I30" s="784"/>
      <c r="J30" s="785"/>
      <c r="K30" s="785"/>
      <c r="L30" s="785"/>
      <c r="M30" s="785"/>
      <c r="N30" s="1415" t="str">
        <f>IF(AND(sch_clinic_scale_others_unit&gt;0, ISBLANK(sch_clinic_scale_others_specify)), "Please specify.", "")</f>
        <v/>
      </c>
      <c r="O30" s="785"/>
      <c r="P30" s="785"/>
      <c r="Q30" s="785"/>
      <c r="R30" s="785"/>
      <c r="S30" s="672"/>
      <c r="T30" s="786"/>
      <c r="U30" s="787"/>
      <c r="V30" s="3121" t="str">
        <f>IF(AND(sch_clinic_scale_others_specify&gt;0, ISBLANK(sch_clinic_scale_others_unit)), "Please provide details.", "")</f>
        <v/>
      </c>
      <c r="W30" s="3122"/>
      <c r="X30" s="3122"/>
      <c r="Y30" s="3122"/>
      <c r="Z30" s="3122"/>
      <c r="AA30" s="3123"/>
      <c r="AD30" s="668"/>
      <c r="AE30" s="668"/>
      <c r="AF30" s="668"/>
      <c r="AI30" s="668"/>
      <c r="AJ30" s="668"/>
      <c r="AK30" s="668"/>
      <c r="AL30" s="668"/>
      <c r="AM30" s="668"/>
      <c r="AN30" s="668"/>
      <c r="AO30" s="668"/>
      <c r="AP30" s="668"/>
      <c r="AQ30" s="788"/>
      <c r="AZ30" s="403"/>
      <c r="BA30" s="403"/>
      <c r="BB30" s="403"/>
      <c r="BC30" s="403"/>
    </row>
    <row r="31" spans="6:55" ht="6" customHeight="1" thickTop="1" x14ac:dyDescent="0.4">
      <c r="F31" s="779"/>
      <c r="H31" s="780"/>
      <c r="I31" s="789"/>
      <c r="J31" s="789"/>
      <c r="K31" s="789"/>
      <c r="L31" s="789"/>
      <c r="M31" s="789"/>
      <c r="N31" s="789"/>
      <c r="O31" s="789"/>
      <c r="P31" s="789"/>
      <c r="Q31" s="789"/>
      <c r="R31" s="668"/>
      <c r="T31" s="668"/>
      <c r="U31" s="403"/>
      <c r="V31" s="403"/>
      <c r="Y31" s="668"/>
      <c r="Z31" s="403"/>
      <c r="AA31" s="403"/>
      <c r="AB31" s="403"/>
      <c r="AC31" s="403"/>
      <c r="AD31" s="403"/>
      <c r="AE31" s="403"/>
      <c r="AG31" s="668"/>
      <c r="AH31" s="668"/>
      <c r="AI31" s="668"/>
      <c r="AJ31" s="668"/>
      <c r="AK31" s="668"/>
      <c r="AL31" s="668"/>
      <c r="AM31" s="668"/>
      <c r="AN31" s="668"/>
      <c r="AO31" s="668"/>
      <c r="AP31" s="668"/>
      <c r="AQ31" s="788"/>
      <c r="AZ31" s="403"/>
      <c r="BA31" s="403"/>
      <c r="BB31" s="403"/>
      <c r="BC31" s="403"/>
    </row>
    <row r="32" spans="6:55" ht="20.5" x14ac:dyDescent="0.35">
      <c r="F32" s="779"/>
      <c r="G32" s="780" t="s">
        <v>1292</v>
      </c>
      <c r="H32" s="520"/>
      <c r="I32" s="521"/>
      <c r="J32" s="521"/>
      <c r="K32" s="521"/>
      <c r="L32" s="521"/>
      <c r="M32" s="521"/>
      <c r="N32" s="521"/>
      <c r="O32" s="521"/>
      <c r="P32" s="521"/>
      <c r="Q32" s="521"/>
      <c r="R32" s="425"/>
      <c r="S32" s="402"/>
      <c r="T32" s="402"/>
      <c r="U32" s="402"/>
      <c r="V32" s="402"/>
      <c r="W32" s="402"/>
      <c r="X32" s="790"/>
      <c r="Y32" s="425"/>
      <c r="Z32" s="425"/>
      <c r="AA32" s="425"/>
      <c r="AB32" s="425"/>
      <c r="AC32" s="425"/>
      <c r="AD32" s="425"/>
      <c r="AE32" s="402"/>
      <c r="AF32" s="402"/>
      <c r="AG32" s="402"/>
      <c r="AH32" s="402"/>
      <c r="AI32" s="402"/>
      <c r="AJ32" s="402"/>
      <c r="AK32" s="402"/>
      <c r="AL32" s="402"/>
      <c r="AM32" s="402"/>
      <c r="AN32" s="402"/>
      <c r="AO32" s="402"/>
      <c r="AP32" s="402"/>
      <c r="AQ32" s="404"/>
      <c r="AZ32" s="403"/>
      <c r="BA32" s="403"/>
      <c r="BB32" s="403"/>
      <c r="BC32" s="403"/>
    </row>
    <row r="33" spans="2:55" x14ac:dyDescent="0.35">
      <c r="F33" s="779"/>
      <c r="G33" s="399"/>
      <c r="H33" s="527"/>
      <c r="I33" s="527"/>
      <c r="J33" s="527"/>
      <c r="K33" s="441" t="b">
        <v>0</v>
      </c>
      <c r="L33" s="402" t="s">
        <v>518</v>
      </c>
      <c r="M33" s="399"/>
      <c r="N33" s="399"/>
      <c r="O33" s="399"/>
      <c r="P33" s="399"/>
      <c r="Q33" s="399"/>
      <c r="R33" s="399"/>
      <c r="U33" s="441" t="b">
        <v>1</v>
      </c>
      <c r="V33" s="402" t="s">
        <v>520</v>
      </c>
      <c r="W33" s="399"/>
      <c r="X33" s="399"/>
      <c r="Y33" s="399"/>
      <c r="Z33" s="399"/>
      <c r="AA33" s="399"/>
      <c r="AD33" s="441" t="b">
        <v>0</v>
      </c>
      <c r="AE33" s="593" t="s">
        <v>1093</v>
      </c>
      <c r="AF33" s="399"/>
      <c r="AG33" s="399"/>
      <c r="AH33" s="399"/>
      <c r="AI33" s="2691"/>
      <c r="AJ33" s="2691"/>
      <c r="AK33" s="2691"/>
      <c r="AL33" s="2691"/>
      <c r="AM33" s="2691"/>
      <c r="AN33" s="2691"/>
      <c r="AO33" s="695"/>
      <c r="AP33" s="399"/>
      <c r="AQ33" s="783"/>
      <c r="AZ33" s="403"/>
      <c r="BA33" s="403"/>
      <c r="BB33" s="403"/>
      <c r="BC33" s="403"/>
    </row>
    <row r="34" spans="2:55" ht="20" x14ac:dyDescent="0.35">
      <c r="F34" s="779"/>
      <c r="G34" s="399"/>
      <c r="H34" s="527"/>
      <c r="I34" s="527"/>
      <c r="J34" s="527"/>
      <c r="K34" s="441" t="b">
        <v>0</v>
      </c>
      <c r="L34" s="402" t="s">
        <v>519</v>
      </c>
      <c r="M34" s="399"/>
      <c r="N34" s="399"/>
      <c r="O34" s="399"/>
      <c r="P34" s="399"/>
      <c r="Q34" s="399"/>
      <c r="R34" s="399"/>
      <c r="U34" s="441" t="b">
        <v>0</v>
      </c>
      <c r="V34" s="402" t="s">
        <v>521</v>
      </c>
      <c r="W34" s="399"/>
      <c r="X34" s="399"/>
      <c r="Y34" s="399"/>
      <c r="Z34" s="399"/>
      <c r="AA34" s="399"/>
      <c r="AB34" s="425"/>
      <c r="AC34" s="402"/>
      <c r="AD34" s="402"/>
      <c r="AE34" s="402"/>
      <c r="AF34" s="402"/>
      <c r="AG34" s="399"/>
      <c r="AH34" s="399"/>
      <c r="AI34" s="743" t="str">
        <f>IF(AND(clinic_tools_height_others=TRUE,ISBLANK(sch_clinic_tools_height_others_specify)),"Please specify.",IF(AND(clinic_tools_height_others=FALSE,(sch_clinic_tools_height_others_specify&gt;0)),"Please check Others if you have entries.",""))</f>
        <v/>
      </c>
      <c r="AJ34" s="425"/>
      <c r="AK34" s="425"/>
      <c r="AL34" s="425"/>
      <c r="AM34" s="425"/>
      <c r="AN34" s="425"/>
      <c r="AP34" s="399"/>
      <c r="AQ34" s="483"/>
      <c r="AZ34" s="403"/>
      <c r="BA34" s="403"/>
      <c r="BB34" s="403"/>
      <c r="BC34" s="403"/>
    </row>
    <row r="35" spans="2:55" ht="25" customHeight="1" x14ac:dyDescent="0.45">
      <c r="F35" s="779"/>
      <c r="G35" s="780" t="s">
        <v>1031</v>
      </c>
      <c r="H35" s="780"/>
      <c r="I35" s="781"/>
      <c r="J35" s="781"/>
      <c r="K35" s="781"/>
      <c r="L35" s="781"/>
      <c r="M35" s="781"/>
      <c r="N35" s="781"/>
      <c r="O35" s="781"/>
      <c r="P35" s="781"/>
      <c r="Q35" s="781"/>
      <c r="R35" s="668"/>
      <c r="U35" s="403"/>
      <c r="V35" s="403"/>
      <c r="W35" s="403"/>
      <c r="X35" s="782"/>
      <c r="Y35" s="668"/>
      <c r="Z35" s="668"/>
      <c r="AA35" s="3119">
        <v>2</v>
      </c>
      <c r="AB35" s="3119"/>
      <c r="AC35" s="3119"/>
      <c r="AD35" s="3119"/>
      <c r="AE35" s="3119"/>
      <c r="AF35" s="3119"/>
      <c r="AG35" s="403"/>
      <c r="AH35" s="403"/>
      <c r="AI35" s="403"/>
      <c r="AJ35" s="403"/>
      <c r="AK35" s="403"/>
      <c r="AL35" s="403"/>
      <c r="AM35" s="403"/>
      <c r="AN35" s="403"/>
      <c r="AO35" s="403"/>
      <c r="AP35" s="403"/>
      <c r="AQ35" s="469"/>
      <c r="AZ35" s="403"/>
      <c r="BA35" s="403"/>
      <c r="BB35" s="403"/>
      <c r="BC35" s="403"/>
    </row>
    <row r="36" spans="2:55" ht="25" customHeight="1" x14ac:dyDescent="0.45">
      <c r="F36" s="779"/>
      <c r="G36" s="780" t="s">
        <v>1032</v>
      </c>
      <c r="H36" s="780"/>
      <c r="I36" s="781"/>
      <c r="J36" s="781"/>
      <c r="K36" s="781"/>
      <c r="L36" s="781"/>
      <c r="M36" s="781"/>
      <c r="N36" s="781"/>
      <c r="O36" s="781"/>
      <c r="P36" s="781"/>
      <c r="Q36" s="781"/>
      <c r="R36" s="668"/>
      <c r="S36" s="403"/>
      <c r="T36" s="403"/>
      <c r="U36" s="403"/>
      <c r="W36" s="403"/>
      <c r="X36" s="782"/>
      <c r="Y36" s="668"/>
      <c r="Z36" s="668"/>
      <c r="AA36" s="3119">
        <v>3</v>
      </c>
      <c r="AB36" s="3119"/>
      <c r="AC36" s="3119"/>
      <c r="AD36" s="3119"/>
      <c r="AE36" s="3119"/>
      <c r="AF36" s="3119"/>
      <c r="AG36" s="403"/>
      <c r="AH36" s="403"/>
      <c r="AI36" s="403"/>
      <c r="AJ36" s="403"/>
      <c r="AK36" s="403"/>
      <c r="AL36" s="403"/>
      <c r="AM36" s="403"/>
      <c r="AN36" s="403"/>
      <c r="AO36" s="403"/>
      <c r="AP36" s="403"/>
      <c r="AQ36" s="469"/>
      <c r="AZ36" s="403"/>
      <c r="BA36" s="403"/>
      <c r="BB36" s="403"/>
      <c r="BC36" s="403"/>
    </row>
    <row r="37" spans="2:55" ht="25" customHeight="1" x14ac:dyDescent="0.45">
      <c r="F37" s="779"/>
      <c r="G37" s="780" t="s">
        <v>1033</v>
      </c>
      <c r="H37" s="780"/>
      <c r="I37" s="781"/>
      <c r="J37" s="781"/>
      <c r="K37" s="781"/>
      <c r="L37" s="781"/>
      <c r="M37" s="781"/>
      <c r="N37" s="781"/>
      <c r="O37" s="781"/>
      <c r="P37" s="781"/>
      <c r="Q37" s="781"/>
      <c r="R37" s="668"/>
      <c r="S37" s="403"/>
      <c r="T37" s="403"/>
      <c r="U37" s="403"/>
      <c r="X37" s="782"/>
      <c r="Y37" s="668"/>
      <c r="Z37" s="668"/>
      <c r="AA37" s="3119">
        <v>2</v>
      </c>
      <c r="AB37" s="3119"/>
      <c r="AC37" s="3119"/>
      <c r="AD37" s="3119"/>
      <c r="AE37" s="3119"/>
      <c r="AF37" s="3119"/>
      <c r="AG37" s="403"/>
      <c r="AH37" s="403"/>
      <c r="AI37" s="403"/>
      <c r="AJ37" s="403"/>
      <c r="AK37" s="403"/>
      <c r="AL37" s="403"/>
      <c r="AM37" s="403"/>
      <c r="AN37" s="403"/>
      <c r="AO37" s="403"/>
      <c r="AP37" s="403"/>
      <c r="AQ37" s="469"/>
      <c r="AZ37" s="403"/>
      <c r="BA37" s="403"/>
      <c r="BB37" s="403"/>
      <c r="BC37" s="403"/>
    </row>
    <row r="38" spans="2:55" ht="25" customHeight="1" x14ac:dyDescent="0.45">
      <c r="F38" s="779"/>
      <c r="G38" s="780" t="s">
        <v>1034</v>
      </c>
      <c r="H38" s="780"/>
      <c r="I38" s="781"/>
      <c r="J38" s="781"/>
      <c r="K38" s="781"/>
      <c r="L38" s="781"/>
      <c r="M38" s="781"/>
      <c r="N38" s="781"/>
      <c r="O38" s="781"/>
      <c r="P38" s="781"/>
      <c r="Q38" s="781"/>
      <c r="R38" s="668"/>
      <c r="S38" s="403"/>
      <c r="T38" s="403"/>
      <c r="U38" s="403"/>
      <c r="V38" s="403"/>
      <c r="W38" s="403"/>
      <c r="X38" s="782"/>
      <c r="Y38" s="668"/>
      <c r="Z38" s="668"/>
      <c r="AA38" s="3119">
        <v>1</v>
      </c>
      <c r="AB38" s="3119"/>
      <c r="AC38" s="3119"/>
      <c r="AD38" s="3119"/>
      <c r="AE38" s="3119"/>
      <c r="AF38" s="3119"/>
      <c r="AG38" s="403"/>
      <c r="AH38" s="403"/>
      <c r="AI38" s="403"/>
      <c r="AJ38" s="403"/>
      <c r="AK38" s="403"/>
      <c r="AL38" s="403"/>
      <c r="AM38" s="403"/>
      <c r="AN38" s="403"/>
      <c r="AO38" s="403"/>
      <c r="AP38" s="403"/>
      <c r="AQ38" s="469"/>
      <c r="AZ38" s="403"/>
      <c r="BA38" s="403"/>
      <c r="BB38" s="403"/>
      <c r="BC38" s="403"/>
    </row>
    <row r="39" spans="2:55" ht="11.25" customHeight="1" thickBot="1" x14ac:dyDescent="0.4">
      <c r="F39" s="777"/>
      <c r="G39" s="529"/>
      <c r="H39" s="529"/>
      <c r="I39" s="778"/>
      <c r="J39" s="408"/>
      <c r="K39" s="408"/>
      <c r="L39" s="408"/>
      <c r="M39" s="408"/>
      <c r="N39" s="408"/>
      <c r="O39" s="408"/>
      <c r="P39" s="408"/>
      <c r="Q39" s="408"/>
      <c r="R39" s="408"/>
      <c r="S39" s="672"/>
      <c r="T39" s="672"/>
      <c r="U39" s="672"/>
      <c r="V39" s="672"/>
      <c r="W39" s="672"/>
      <c r="X39" s="408"/>
      <c r="Y39" s="672"/>
      <c r="Z39" s="672"/>
      <c r="AA39" s="672"/>
      <c r="AB39" s="672"/>
      <c r="AC39" s="672"/>
      <c r="AD39" s="672"/>
      <c r="AE39" s="408"/>
      <c r="AF39" s="408"/>
      <c r="AG39" s="408"/>
      <c r="AH39" s="408"/>
      <c r="AI39" s="408"/>
      <c r="AJ39" s="408"/>
      <c r="AK39" s="408"/>
      <c r="AL39" s="408"/>
      <c r="AM39" s="408"/>
      <c r="AN39" s="408"/>
      <c r="AO39" s="408"/>
      <c r="AP39" s="408"/>
      <c r="AQ39" s="409"/>
    </row>
    <row r="40" spans="2:55" s="761" customFormat="1" ht="10" customHeight="1" thickTop="1" x14ac:dyDescent="0.3">
      <c r="F40" s="85"/>
      <c r="G40" s="762"/>
      <c r="H40" s="762"/>
      <c r="I40" s="762"/>
      <c r="J40" s="762"/>
      <c r="K40" s="762"/>
      <c r="L40" s="763"/>
      <c r="M40" s="763"/>
      <c r="N40" s="763"/>
      <c r="O40" s="763"/>
      <c r="P40" s="763"/>
      <c r="Q40" s="763"/>
      <c r="R40" s="763"/>
      <c r="S40" s="763"/>
      <c r="T40" s="763"/>
      <c r="U40" s="763"/>
      <c r="V40" s="763"/>
      <c r="W40" s="763"/>
      <c r="X40" s="763"/>
      <c r="Y40" s="763"/>
      <c r="Z40" s="763"/>
      <c r="AA40" s="763"/>
      <c r="AB40" s="763"/>
      <c r="AC40" s="763"/>
      <c r="AD40" s="763"/>
      <c r="AE40" s="763"/>
      <c r="AF40" s="763"/>
      <c r="AG40" s="763"/>
      <c r="AH40" s="763"/>
      <c r="AI40" s="763"/>
      <c r="AJ40" s="763"/>
      <c r="AK40" s="763"/>
      <c r="AL40" s="763"/>
      <c r="AM40" s="763"/>
      <c r="AN40" s="763"/>
      <c r="AO40" s="763"/>
      <c r="AP40" s="763"/>
      <c r="AQ40" s="763"/>
      <c r="AR40" s="763"/>
      <c r="AS40" s="763"/>
      <c r="AT40" s="763"/>
      <c r="AU40" s="763"/>
    </row>
    <row r="41" spans="2:55" s="44" customFormat="1" ht="25" customHeight="1" x14ac:dyDescent="0.35">
      <c r="G41" s="85"/>
      <c r="I41" s="85"/>
      <c r="K41" s="85"/>
      <c r="M41" s="85"/>
      <c r="O41" s="85"/>
      <c r="X41" s="85"/>
      <c r="Z41" s="85"/>
      <c r="AB41" s="85"/>
      <c r="AD41" s="85"/>
      <c r="AF41" s="85"/>
      <c r="AH41" s="85"/>
    </row>
    <row r="42" spans="2:55" s="73" customFormat="1" ht="14" x14ac:dyDescent="0.3">
      <c r="B42" s="74" t="s">
        <v>913</v>
      </c>
      <c r="Q42" s="74" t="s">
        <v>908</v>
      </c>
      <c r="AI42" s="74" t="s">
        <v>922</v>
      </c>
    </row>
    <row r="43" spans="2:55" s="73" customFormat="1" ht="21.75" customHeight="1" x14ac:dyDescent="0.3">
      <c r="B43" s="74" t="s">
        <v>811</v>
      </c>
      <c r="F43" s="1482" t="str">
        <f>SchInfo!F38</f>
        <v>MELCHESIEDICK Q. BOLANIO/ March 17, 2023</v>
      </c>
      <c r="G43" s="1482"/>
      <c r="H43" s="1482"/>
      <c r="I43" s="1482"/>
      <c r="J43" s="1482"/>
      <c r="K43" s="1482"/>
      <c r="L43" s="1482"/>
      <c r="M43" s="1482"/>
      <c r="N43" s="1482"/>
      <c r="Q43" s="1482" t="str">
        <f>'Table33a-b'!R42</f>
        <v>RACQUEL N. ACOMPAÑADO</v>
      </c>
      <c r="R43" s="1482"/>
      <c r="S43" s="1482"/>
      <c r="T43" s="1482"/>
      <c r="U43" s="1482"/>
      <c r="V43" s="1482"/>
      <c r="W43" s="1482"/>
      <c r="X43" s="1482"/>
      <c r="Y43" s="1482"/>
      <c r="Z43" s="1482"/>
      <c r="AA43" s="1482"/>
      <c r="AB43" s="1482"/>
      <c r="AC43" s="1482"/>
      <c r="AD43" s="1482"/>
      <c r="AE43" s="1482"/>
      <c r="AF43" s="1482"/>
      <c r="AI43" s="1484" t="str">
        <f>SchInfo!R38</f>
        <v>MICHAEL T. JAMIS   /  March 17, 2023</v>
      </c>
      <c r="AJ43" s="1484"/>
      <c r="AK43" s="1484"/>
      <c r="AL43" s="1484"/>
      <c r="AM43" s="1484"/>
      <c r="AN43" s="1484"/>
      <c r="AO43" s="1484"/>
      <c r="AP43" s="1484"/>
      <c r="AQ43" s="1484"/>
      <c r="AR43" s="1484"/>
      <c r="AS43" s="1484"/>
      <c r="AT43" s="1484"/>
      <c r="AU43" s="1484"/>
    </row>
    <row r="44" spans="2:55" s="68" customFormat="1" ht="13.5" x14ac:dyDescent="0.3">
      <c r="B44" s="210"/>
      <c r="F44" s="1452" t="s">
        <v>779</v>
      </c>
      <c r="G44" s="1452"/>
      <c r="H44" s="1452"/>
      <c r="I44" s="1452"/>
      <c r="J44" s="1452"/>
      <c r="K44" s="1452"/>
      <c r="L44" s="1452"/>
      <c r="M44" s="1452"/>
      <c r="N44" s="1452"/>
      <c r="O44" s="64"/>
      <c r="P44" s="64"/>
      <c r="Q44" s="1452" t="s">
        <v>779</v>
      </c>
      <c r="R44" s="1452"/>
      <c r="S44" s="1452"/>
      <c r="T44" s="1452"/>
      <c r="U44" s="1452"/>
      <c r="V44" s="1452"/>
      <c r="W44" s="1452"/>
      <c r="X44" s="1452"/>
      <c r="Y44" s="1452"/>
      <c r="Z44" s="1452"/>
      <c r="AA44" s="1452"/>
      <c r="AB44" s="1452"/>
      <c r="AC44" s="1452"/>
      <c r="AD44" s="1452"/>
      <c r="AE44" s="1452"/>
      <c r="AF44" s="1452"/>
      <c r="AI44" s="1485"/>
      <c r="AJ44" s="1485"/>
      <c r="AK44" s="1485"/>
      <c r="AL44" s="1485"/>
      <c r="AM44" s="1485"/>
      <c r="AN44" s="1485"/>
      <c r="AO44" s="1485"/>
      <c r="AP44" s="1485"/>
      <c r="AQ44" s="1485"/>
      <c r="AR44" s="1485"/>
      <c r="AS44" s="1485"/>
      <c r="AT44" s="1485"/>
      <c r="AU44" s="1485"/>
    </row>
    <row r="45" spans="2:55" s="73" customFormat="1" ht="21.75" customHeight="1" x14ac:dyDescent="0.3">
      <c r="B45" s="74" t="s">
        <v>784</v>
      </c>
      <c r="F45" s="1482" t="str">
        <f>SchInfo!F40</f>
        <v>Principal IV</v>
      </c>
      <c r="G45" s="1482"/>
      <c r="H45" s="1482"/>
      <c r="I45" s="1482"/>
      <c r="J45" s="1482"/>
      <c r="K45" s="1482"/>
      <c r="L45" s="1482"/>
      <c r="M45" s="1482"/>
      <c r="N45" s="1482"/>
      <c r="Q45" s="74" t="s">
        <v>784</v>
      </c>
      <c r="U45" s="1482" t="str">
        <f>'Table33a-b'!V44</f>
        <v>Nurse II</v>
      </c>
      <c r="V45" s="1482"/>
      <c r="W45" s="1482"/>
      <c r="X45" s="1482"/>
      <c r="Y45" s="1482"/>
      <c r="Z45" s="1482"/>
      <c r="AA45" s="1482"/>
      <c r="AB45" s="1482"/>
      <c r="AC45" s="1482"/>
      <c r="AD45" s="1482"/>
      <c r="AE45" s="1482"/>
      <c r="AF45" s="1482"/>
      <c r="AI45" s="1452" t="s">
        <v>779</v>
      </c>
      <c r="AJ45" s="1452"/>
      <c r="AK45" s="1452"/>
      <c r="AL45" s="1452"/>
      <c r="AM45" s="1452"/>
      <c r="AN45" s="1452"/>
      <c r="AO45" s="1452"/>
      <c r="AP45" s="1452"/>
      <c r="AQ45" s="1452"/>
      <c r="AR45" s="1452"/>
      <c r="AS45" s="1452"/>
      <c r="AT45" s="1452"/>
      <c r="AU45" s="1452"/>
    </row>
    <row r="46" spans="2:55" x14ac:dyDescent="0.3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sheetData>
  <sheetProtection algorithmName="SHA-512" hashValue="hoHvys3+bOjSeKlW+S42QzT8oz1xXUm5vOSyh4LGTuZXmFr28LB2/XOVEgGxqXwBiG3pvJcet8Psv6pHrVhhSw==" saltValue="Ga4gKG6PGl6XWcGiWr+4Hw==" spinCount="100000" sheet="1" objects="1" scenarios="1"/>
  <mergeCells count="73">
    <mergeCell ref="AA36:AF36"/>
    <mergeCell ref="AA37:AF37"/>
    <mergeCell ref="AA38:AF38"/>
    <mergeCell ref="AI33:AN33"/>
    <mergeCell ref="S12:W12"/>
    <mergeCell ref="X12:AB12"/>
    <mergeCell ref="S13:W13"/>
    <mergeCell ref="X13:AB13"/>
    <mergeCell ref="AA35:AF35"/>
    <mergeCell ref="AC13:AG13"/>
    <mergeCell ref="AH13:AL13"/>
    <mergeCell ref="AM13:AQ13"/>
    <mergeCell ref="V30:AA30"/>
    <mergeCell ref="F13:R13"/>
    <mergeCell ref="I25:U26"/>
    <mergeCell ref="V29:AA29"/>
    <mergeCell ref="V28:AA28"/>
    <mergeCell ref="V27:AA27"/>
    <mergeCell ref="I27:U27"/>
    <mergeCell ref="I28:U28"/>
    <mergeCell ref="I29:M29"/>
    <mergeCell ref="N29:U29"/>
    <mergeCell ref="V25:AA26"/>
    <mergeCell ref="F11:R11"/>
    <mergeCell ref="F12:R12"/>
    <mergeCell ref="F9:R10"/>
    <mergeCell ref="AM12:AQ12"/>
    <mergeCell ref="S11:W11"/>
    <mergeCell ref="X11:AB11"/>
    <mergeCell ref="S9:W10"/>
    <mergeCell ref="X9:AB10"/>
    <mergeCell ref="AM11:AQ11"/>
    <mergeCell ref="AH12:AL12"/>
    <mergeCell ref="AH9:AL10"/>
    <mergeCell ref="AM9:AQ10"/>
    <mergeCell ref="AC11:AG11"/>
    <mergeCell ref="AH11:AL11"/>
    <mergeCell ref="AC9:AG10"/>
    <mergeCell ref="AC12:AG12"/>
    <mergeCell ref="F3:M6"/>
    <mergeCell ref="N3:S4"/>
    <mergeCell ref="N5:P5"/>
    <mergeCell ref="Q5:S5"/>
    <mergeCell ref="AO5:AQ5"/>
    <mergeCell ref="T3:Y4"/>
    <mergeCell ref="Z3:AE4"/>
    <mergeCell ref="AF3:AK4"/>
    <mergeCell ref="AL3:AQ4"/>
    <mergeCell ref="T5:V5"/>
    <mergeCell ref="W5:Y5"/>
    <mergeCell ref="Z5:AB5"/>
    <mergeCell ref="AC5:AE5"/>
    <mergeCell ref="AF5:AH5"/>
    <mergeCell ref="AI5:AK5"/>
    <mergeCell ref="AL5:AN5"/>
    <mergeCell ref="N6:P6"/>
    <mergeCell ref="Q6:S6"/>
    <mergeCell ref="T6:V6"/>
    <mergeCell ref="W6:Y6"/>
    <mergeCell ref="Z6:AB6"/>
    <mergeCell ref="AC6:AE6"/>
    <mergeCell ref="AF6:AH6"/>
    <mergeCell ref="AI6:AK6"/>
    <mergeCell ref="AL6:AN6"/>
    <mergeCell ref="AO6:AQ6"/>
    <mergeCell ref="AI45:AU45"/>
    <mergeCell ref="F43:N43"/>
    <mergeCell ref="F45:N45"/>
    <mergeCell ref="Q43:AF43"/>
    <mergeCell ref="U45:AF45"/>
    <mergeCell ref="AI43:AU44"/>
    <mergeCell ref="F44:N44"/>
    <mergeCell ref="Q44:AF44"/>
  </mergeCells>
  <dataValidations count="2">
    <dataValidation type="whole" allowBlank="1" showInputMessage="1" showErrorMessage="1" errorTitle="GJHSP SY 2022-2023" error="Please enter valid number between 0-20,000." sqref="S11:AL13 N6:AK6" xr:uid="{C5D9BFC0-F5A3-42EA-AB49-1D5C3958617C}">
      <formula1>0</formula1>
      <formula2>20000</formula2>
    </dataValidation>
    <dataValidation type="whole" allowBlank="1" showInputMessage="1" showErrorMessage="1" errorTitle="GJHSP SY 2022-2023" error="Please enter valid number between 0-2,000." sqref="AA35:AF38 V27:AA29" xr:uid="{6D2CA71D-4483-4771-B8EC-BCCBA19453CA}">
      <formula1>0</formula1>
      <formula2>2000</formula2>
    </dataValidation>
  </dataValidations>
  <printOptions horizontalCentered="1" verticalCentered="1"/>
  <pageMargins left="0.25" right="0.25" top="0.2" bottom="0.2" header="0" footer="0.1"/>
  <pageSetup paperSize="14" scale="70" orientation="landscape" r:id="rId1"/>
  <headerFooter alignWithMargins="0">
    <oddFooter>&amp;L&amp;10&amp;F &amp;A&amp;R&amp;10Page 30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61441" r:id="rId4" name="Check Box 1">
              <controlPr defaultSize="0" autoFill="0" autoLine="0" autoPict="0">
                <anchor moveWithCells="1">
                  <from>
                    <xdr:col>23</xdr:col>
                    <xdr:colOff>266700</xdr:colOff>
                    <xdr:row>18</xdr:row>
                    <xdr:rowOff>0</xdr:rowOff>
                  </from>
                  <to>
                    <xdr:col>24</xdr:col>
                    <xdr:colOff>196850</xdr:colOff>
                    <xdr:row>18</xdr:row>
                    <xdr:rowOff>222250</xdr:rowOff>
                  </to>
                </anchor>
              </controlPr>
            </control>
          </mc:Choice>
        </mc:AlternateContent>
        <mc:AlternateContent xmlns:mc="http://schemas.openxmlformats.org/markup-compatibility/2006">
          <mc:Choice Requires="x14">
            <control shapeId="61442" r:id="rId5" name="Check Box 2">
              <controlPr defaultSize="0" autoFill="0" autoLine="0" autoPict="0">
                <anchor moveWithCells="1">
                  <from>
                    <xdr:col>24</xdr:col>
                    <xdr:colOff>0</xdr:colOff>
                    <xdr:row>20</xdr:row>
                    <xdr:rowOff>0</xdr:rowOff>
                  </from>
                  <to>
                    <xdr:col>24</xdr:col>
                    <xdr:colOff>203200</xdr:colOff>
                    <xdr:row>20</xdr:row>
                    <xdr:rowOff>222250</xdr:rowOff>
                  </to>
                </anchor>
              </controlPr>
            </control>
          </mc:Choice>
        </mc:AlternateContent>
        <mc:AlternateContent xmlns:mc="http://schemas.openxmlformats.org/markup-compatibility/2006">
          <mc:Choice Requires="x14">
            <control shapeId="61443" r:id="rId6" name="Check Box 3">
              <controlPr defaultSize="0" autoFill="0" autoLine="0" autoPict="0">
                <anchor moveWithCells="1">
                  <from>
                    <xdr:col>28</xdr:col>
                    <xdr:colOff>266700</xdr:colOff>
                    <xdr:row>18</xdr:row>
                    <xdr:rowOff>0</xdr:rowOff>
                  </from>
                  <to>
                    <xdr:col>29</xdr:col>
                    <xdr:colOff>196850</xdr:colOff>
                    <xdr:row>18</xdr:row>
                    <xdr:rowOff>222250</xdr:rowOff>
                  </to>
                </anchor>
              </controlPr>
            </control>
          </mc:Choice>
        </mc:AlternateContent>
        <mc:AlternateContent xmlns:mc="http://schemas.openxmlformats.org/markup-compatibility/2006">
          <mc:Choice Requires="x14">
            <control shapeId="61444" r:id="rId7" name="Check Box 4">
              <controlPr defaultSize="0" autoFill="0" autoLine="0" autoPict="0">
                <anchor moveWithCells="1">
                  <from>
                    <xdr:col>28</xdr:col>
                    <xdr:colOff>266700</xdr:colOff>
                    <xdr:row>20</xdr:row>
                    <xdr:rowOff>0</xdr:rowOff>
                  </from>
                  <to>
                    <xdr:col>29</xdr:col>
                    <xdr:colOff>196850</xdr:colOff>
                    <xdr:row>20</xdr:row>
                    <xdr:rowOff>222250</xdr:rowOff>
                  </to>
                </anchor>
              </controlPr>
            </control>
          </mc:Choice>
        </mc:AlternateContent>
        <mc:AlternateContent xmlns:mc="http://schemas.openxmlformats.org/markup-compatibility/2006">
          <mc:Choice Requires="x14">
            <control shapeId="61445" r:id="rId8" name="Check Box 5">
              <controlPr defaultSize="0" autoFill="0" autoLine="0" autoPict="0">
                <anchor moveWithCells="1">
                  <from>
                    <xdr:col>9</xdr:col>
                    <xdr:colOff>266700</xdr:colOff>
                    <xdr:row>32</xdr:row>
                    <xdr:rowOff>0</xdr:rowOff>
                  </from>
                  <to>
                    <xdr:col>10</xdr:col>
                    <xdr:colOff>196850</xdr:colOff>
                    <xdr:row>33</xdr:row>
                    <xdr:rowOff>25400</xdr:rowOff>
                  </to>
                </anchor>
              </controlPr>
            </control>
          </mc:Choice>
        </mc:AlternateContent>
        <mc:AlternateContent xmlns:mc="http://schemas.openxmlformats.org/markup-compatibility/2006">
          <mc:Choice Requires="x14">
            <control shapeId="61446" r:id="rId9" name="Check Box 6">
              <controlPr defaultSize="0" autoFill="0" autoLine="0" autoPict="0">
                <anchor moveWithCells="1">
                  <from>
                    <xdr:col>9</xdr:col>
                    <xdr:colOff>266700</xdr:colOff>
                    <xdr:row>33</xdr:row>
                    <xdr:rowOff>0</xdr:rowOff>
                  </from>
                  <to>
                    <xdr:col>10</xdr:col>
                    <xdr:colOff>196850</xdr:colOff>
                    <xdr:row>33</xdr:row>
                    <xdr:rowOff>222250</xdr:rowOff>
                  </to>
                </anchor>
              </controlPr>
            </control>
          </mc:Choice>
        </mc:AlternateContent>
        <mc:AlternateContent xmlns:mc="http://schemas.openxmlformats.org/markup-compatibility/2006">
          <mc:Choice Requires="x14">
            <control shapeId="61447" r:id="rId10" name="Check Box 7">
              <controlPr defaultSize="0" autoFill="0" autoLine="0" autoPict="0">
                <anchor moveWithCells="1">
                  <from>
                    <xdr:col>19</xdr:col>
                    <xdr:colOff>266700</xdr:colOff>
                    <xdr:row>32</xdr:row>
                    <xdr:rowOff>0</xdr:rowOff>
                  </from>
                  <to>
                    <xdr:col>20</xdr:col>
                    <xdr:colOff>196850</xdr:colOff>
                    <xdr:row>33</xdr:row>
                    <xdr:rowOff>25400</xdr:rowOff>
                  </to>
                </anchor>
              </controlPr>
            </control>
          </mc:Choice>
        </mc:AlternateContent>
        <mc:AlternateContent xmlns:mc="http://schemas.openxmlformats.org/markup-compatibility/2006">
          <mc:Choice Requires="x14">
            <control shapeId="61448" r:id="rId11" name="Check Box 8">
              <controlPr defaultSize="0" autoFill="0" autoLine="0" autoPict="0">
                <anchor moveWithCells="1">
                  <from>
                    <xdr:col>19</xdr:col>
                    <xdr:colOff>266700</xdr:colOff>
                    <xdr:row>33</xdr:row>
                    <xdr:rowOff>0</xdr:rowOff>
                  </from>
                  <to>
                    <xdr:col>20</xdr:col>
                    <xdr:colOff>196850</xdr:colOff>
                    <xdr:row>33</xdr:row>
                    <xdr:rowOff>222250</xdr:rowOff>
                  </to>
                </anchor>
              </controlPr>
            </control>
          </mc:Choice>
        </mc:AlternateContent>
        <mc:AlternateContent xmlns:mc="http://schemas.openxmlformats.org/markup-compatibility/2006">
          <mc:Choice Requires="x14">
            <control shapeId="61449" r:id="rId12" name="Check Box 9">
              <controlPr defaultSize="0" autoFill="0" autoLine="0" autoPict="0">
                <anchor moveWithCells="1">
                  <from>
                    <xdr:col>28</xdr:col>
                    <xdr:colOff>266700</xdr:colOff>
                    <xdr:row>32</xdr:row>
                    <xdr:rowOff>0</xdr:rowOff>
                  </from>
                  <to>
                    <xdr:col>29</xdr:col>
                    <xdr:colOff>196850</xdr:colOff>
                    <xdr:row>33</xdr:row>
                    <xdr:rowOff>25400</xdr:rowOff>
                  </to>
                </anchor>
              </controlPr>
            </control>
          </mc:Choice>
        </mc:AlternateContent>
      </controls>
    </mc:Choice>
  </mc:AlternateConten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8"/>
  <dimension ref="B1:AN56"/>
  <sheetViews>
    <sheetView showGridLines="0" zoomScaleNormal="100" workbookViewId="0">
      <selection activeCell="AG41" sqref="AG41:AK41"/>
    </sheetView>
  </sheetViews>
  <sheetFormatPr defaultColWidth="9" defaultRowHeight="15.5" x14ac:dyDescent="0.35"/>
  <cols>
    <col min="1" max="1" width="2.08203125" style="546" customWidth="1"/>
    <col min="2" max="37" width="3.58203125" style="546" customWidth="1"/>
    <col min="38" max="38" width="2.08203125" style="546" customWidth="1"/>
    <col min="39" max="39" width="3.58203125" style="546" customWidth="1"/>
    <col min="40" max="16384" width="9" style="546"/>
  </cols>
  <sheetData>
    <row r="1" spans="2:37" ht="12" customHeight="1" x14ac:dyDescent="0.35"/>
    <row r="2" spans="2:37" x14ac:dyDescent="0.35">
      <c r="B2" s="813" t="s">
        <v>12723</v>
      </c>
    </row>
    <row r="3" spans="2:37" s="402" customFormat="1" ht="16" thickBot="1" x14ac:dyDescent="0.4">
      <c r="B3" s="419" t="s">
        <v>1091</v>
      </c>
    </row>
    <row r="4" spans="2:37" ht="8.15" customHeight="1" thickTop="1" x14ac:dyDescent="0.35">
      <c r="B4" s="814"/>
      <c r="C4" s="815"/>
      <c r="D4" s="816"/>
      <c r="E4" s="816"/>
      <c r="F4" s="816"/>
      <c r="G4" s="816"/>
      <c r="H4" s="816"/>
      <c r="I4" s="816"/>
      <c r="J4" s="816"/>
      <c r="K4" s="816"/>
      <c r="L4" s="816"/>
      <c r="M4" s="816"/>
      <c r="N4" s="816"/>
      <c r="O4" s="816"/>
      <c r="P4" s="816"/>
      <c r="Q4" s="816"/>
      <c r="R4" s="816"/>
      <c r="S4" s="816"/>
      <c r="T4" s="816"/>
      <c r="U4" s="816"/>
      <c r="V4" s="816"/>
      <c r="W4" s="816"/>
      <c r="X4" s="816"/>
      <c r="Y4" s="816"/>
      <c r="Z4" s="816"/>
      <c r="AA4" s="816"/>
      <c r="AB4" s="816"/>
      <c r="AC4" s="816"/>
      <c r="AD4" s="816"/>
      <c r="AE4" s="816"/>
      <c r="AF4" s="816"/>
      <c r="AG4" s="816"/>
      <c r="AH4" s="816"/>
      <c r="AI4" s="816"/>
      <c r="AJ4" s="816"/>
      <c r="AK4" s="817"/>
    </row>
    <row r="5" spans="2:37" ht="20.149999999999999" customHeight="1" x14ac:dyDescent="0.4">
      <c r="B5" s="808" t="s">
        <v>267</v>
      </c>
      <c r="C5" s="809"/>
      <c r="D5" s="426"/>
      <c r="E5" s="426"/>
      <c r="F5" s="818"/>
      <c r="G5" s="818"/>
      <c r="H5" s="818"/>
      <c r="I5" s="818"/>
      <c r="J5" s="818"/>
      <c r="K5" s="818"/>
      <c r="L5" s="818"/>
      <c r="M5" s="818"/>
      <c r="N5" s="818"/>
      <c r="O5" s="818"/>
      <c r="P5" s="668"/>
      <c r="Q5" s="403"/>
      <c r="R5" s="403"/>
      <c r="U5" s="819"/>
      <c r="V5" s="819"/>
      <c r="W5" s="668"/>
      <c r="X5" s="403"/>
      <c r="AD5" s="1414" t="b">
        <v>0</v>
      </c>
      <c r="AE5" s="403" t="s">
        <v>272</v>
      </c>
      <c r="AH5" s="820"/>
      <c r="AI5" s="403" t="s">
        <v>273</v>
      </c>
      <c r="AK5" s="404"/>
    </row>
    <row r="6" spans="2:37" ht="20.149999999999999" customHeight="1" x14ac:dyDescent="0.35">
      <c r="B6" s="808"/>
      <c r="C6" s="809"/>
      <c r="D6" s="426"/>
      <c r="E6" s="426" t="s">
        <v>422</v>
      </c>
      <c r="F6" s="818"/>
      <c r="G6" s="818"/>
      <c r="H6" s="818"/>
      <c r="I6" s="818"/>
      <c r="J6" s="818"/>
      <c r="K6" s="818"/>
      <c r="L6" s="818"/>
      <c r="M6" s="818"/>
      <c r="N6" s="818"/>
      <c r="O6" s="818"/>
      <c r="P6" s="425"/>
      <c r="Q6" s="402"/>
      <c r="R6" s="403"/>
      <c r="U6" s="818"/>
      <c r="V6" s="818"/>
      <c r="W6" s="425"/>
      <c r="X6" s="402"/>
      <c r="AK6" s="404"/>
    </row>
    <row r="7" spans="2:37" ht="20.149999999999999" customHeight="1" x14ac:dyDescent="0.35">
      <c r="B7" s="779"/>
      <c r="F7" s="426" t="s">
        <v>778</v>
      </c>
      <c r="G7" s="805"/>
      <c r="H7" s="805"/>
      <c r="I7" s="805"/>
      <c r="J7" s="805"/>
      <c r="K7" s="805"/>
      <c r="L7" s="805"/>
      <c r="AK7" s="404"/>
    </row>
    <row r="8" spans="2:37" ht="20.149999999999999" customHeight="1" x14ac:dyDescent="0.35">
      <c r="B8" s="779" t="s">
        <v>268</v>
      </c>
      <c r="D8" s="426"/>
      <c r="E8" s="426"/>
      <c r="F8" s="805"/>
      <c r="G8" s="805"/>
      <c r="H8" s="805"/>
      <c r="I8" s="805"/>
      <c r="J8" s="441" t="b">
        <v>1</v>
      </c>
      <c r="K8" s="590" t="s">
        <v>269</v>
      </c>
      <c r="L8" s="805"/>
      <c r="S8" s="538"/>
      <c r="T8" s="590"/>
      <c r="X8" s="441" t="b">
        <v>0</v>
      </c>
      <c r="Y8" s="590" t="s">
        <v>66</v>
      </c>
      <c r="AK8" s="404"/>
    </row>
    <row r="9" spans="2:37" ht="20.149999999999999" customHeight="1" x14ac:dyDescent="0.35">
      <c r="B9" s="779"/>
      <c r="D9" s="426"/>
      <c r="E9" s="426"/>
      <c r="F9" s="805"/>
      <c r="G9" s="805"/>
      <c r="H9" s="805"/>
      <c r="I9" s="805"/>
      <c r="J9" s="441" t="b">
        <v>1</v>
      </c>
      <c r="K9" s="590" t="s">
        <v>270</v>
      </c>
      <c r="L9" s="805"/>
      <c r="S9" s="538"/>
      <c r="T9" s="590"/>
      <c r="X9" s="441" t="b">
        <v>0</v>
      </c>
      <c r="Y9" s="807" t="s">
        <v>1093</v>
      </c>
      <c r="Z9" s="399"/>
      <c r="AA9" s="399"/>
      <c r="AB9" s="399"/>
      <c r="AC9" s="2691"/>
      <c r="AD9" s="2691"/>
      <c r="AE9" s="2691"/>
      <c r="AF9" s="2691"/>
      <c r="AG9" s="2691"/>
      <c r="AH9" s="2691"/>
      <c r="AI9" s="2691"/>
      <c r="AJ9" s="230"/>
      <c r="AK9" s="404"/>
    </row>
    <row r="10" spans="2:37" ht="20.149999999999999" customHeight="1" x14ac:dyDescent="0.35">
      <c r="B10" s="779"/>
      <c r="D10" s="426"/>
      <c r="E10" s="426"/>
      <c r="F10" s="805"/>
      <c r="G10" s="805"/>
      <c r="H10" s="805"/>
      <c r="I10" s="805"/>
      <c r="J10" s="441" t="b">
        <v>1</v>
      </c>
      <c r="K10" s="590" t="s">
        <v>271</v>
      </c>
      <c r="L10" s="805"/>
      <c r="S10" s="538"/>
      <c r="T10" s="590"/>
      <c r="AC10" s="822" t="str">
        <f>IF(AND(ws_ifyes_others=TRUE,ISBLANK(ws_ifyes_others_specify)),"Please specify.",IF(AND(ws_ifyes_others=FALSE,(ws_ifyes_others_specify&gt;0)),"Please check Others if you have entries.",""))</f>
        <v/>
      </c>
      <c r="AK10" s="404"/>
    </row>
    <row r="11" spans="2:37" ht="20.149999999999999" customHeight="1" x14ac:dyDescent="0.35">
      <c r="B11" s="779"/>
      <c r="D11" s="426"/>
      <c r="E11" s="426"/>
      <c r="F11" s="426" t="s">
        <v>1144</v>
      </c>
      <c r="G11" s="805"/>
      <c r="H11" s="805"/>
      <c r="I11" s="805"/>
      <c r="J11" s="805"/>
      <c r="K11" s="805"/>
      <c r="L11" s="805"/>
      <c r="X11" s="538"/>
      <c r="Y11" s="3173"/>
      <c r="Z11" s="3173"/>
      <c r="AA11" s="3173"/>
      <c r="AB11" s="3173"/>
      <c r="AC11" s="3173"/>
      <c r="AD11" s="3173"/>
      <c r="AE11" s="3173"/>
      <c r="AK11" s="404"/>
    </row>
    <row r="12" spans="2:37" ht="20.149999999999999" customHeight="1" x14ac:dyDescent="0.35">
      <c r="B12" s="804"/>
      <c r="C12" s="805"/>
      <c r="E12" s="426"/>
      <c r="F12" s="426" t="s">
        <v>451</v>
      </c>
      <c r="G12" s="426"/>
      <c r="H12" s="426"/>
      <c r="I12" s="426"/>
      <c r="J12" s="426"/>
      <c r="K12" s="426"/>
      <c r="L12" s="426"/>
      <c r="M12" s="426"/>
      <c r="N12" s="426"/>
      <c r="O12" s="426"/>
      <c r="P12" s="426"/>
      <c r="Q12" s="426"/>
      <c r="R12" s="426"/>
      <c r="S12" s="426"/>
      <c r="T12" s="426"/>
      <c r="U12" s="426"/>
      <c r="V12" s="426"/>
      <c r="W12" s="426"/>
      <c r="X12" s="426"/>
      <c r="Y12" s="426"/>
      <c r="Z12" s="426"/>
      <c r="AA12" s="426"/>
      <c r="AB12" s="426"/>
      <c r="AC12" s="426"/>
      <c r="AD12" s="426"/>
      <c r="AE12" s="426"/>
      <c r="AF12" s="426"/>
      <c r="AG12" s="426"/>
      <c r="AH12" s="426"/>
      <c r="AI12" s="426"/>
      <c r="AJ12" s="812"/>
      <c r="AK12" s="404"/>
    </row>
    <row r="13" spans="2:37" ht="20.149999999999999" customHeight="1" x14ac:dyDescent="0.35">
      <c r="B13" s="811"/>
      <c r="C13" s="426"/>
      <c r="E13" s="805"/>
      <c r="F13" s="810"/>
      <c r="G13" s="810"/>
      <c r="H13" s="810"/>
      <c r="I13" s="810"/>
      <c r="J13" s="441" t="b">
        <v>1</v>
      </c>
      <c r="K13" s="590" t="s">
        <v>57</v>
      </c>
      <c r="L13" s="810"/>
      <c r="M13" s="538"/>
      <c r="N13" s="538"/>
      <c r="O13" s="538"/>
      <c r="P13" s="538"/>
      <c r="Q13" s="538"/>
      <c r="R13" s="538"/>
      <c r="S13" s="538"/>
      <c r="T13" s="538"/>
      <c r="U13" s="538"/>
      <c r="V13" s="538"/>
      <c r="W13" s="538"/>
      <c r="X13" s="441" t="b">
        <v>0</v>
      </c>
      <c r="Y13" s="590" t="s">
        <v>58</v>
      </c>
      <c r="Z13" s="803"/>
      <c r="AA13" s="810"/>
      <c r="AB13" s="538"/>
      <c r="AC13" s="538"/>
      <c r="AD13" s="538"/>
      <c r="AE13" s="538"/>
      <c r="AF13" s="538"/>
      <c r="AG13" s="538"/>
      <c r="AH13" s="538"/>
      <c r="AI13" s="538"/>
      <c r="AJ13" s="538"/>
      <c r="AK13" s="404"/>
    </row>
    <row r="14" spans="2:37" ht="20.149999999999999" customHeight="1" x14ac:dyDescent="0.35">
      <c r="B14" s="811"/>
      <c r="C14" s="426"/>
      <c r="D14" s="426"/>
      <c r="E14" s="805"/>
      <c r="F14" s="810"/>
      <c r="G14" s="810"/>
      <c r="H14" s="810"/>
      <c r="I14" s="810"/>
      <c r="J14" s="441" t="b">
        <v>0</v>
      </c>
      <c r="K14" s="590" t="s">
        <v>60</v>
      </c>
      <c r="L14" s="810"/>
      <c r="M14" s="538"/>
      <c r="N14" s="538"/>
      <c r="O14" s="538"/>
      <c r="P14" s="538"/>
      <c r="Q14" s="538"/>
      <c r="R14" s="538"/>
      <c r="S14" s="538"/>
      <c r="T14" s="538"/>
      <c r="U14" s="538"/>
      <c r="V14" s="538"/>
      <c r="W14" s="538"/>
      <c r="X14" s="441" t="b">
        <v>0</v>
      </c>
      <c r="Y14" s="590" t="s">
        <v>61</v>
      </c>
      <c r="Z14" s="803"/>
      <c r="AA14" s="810"/>
      <c r="AB14" s="538"/>
      <c r="AC14" s="538"/>
      <c r="AD14" s="538"/>
      <c r="AE14" s="538"/>
      <c r="AF14" s="538"/>
      <c r="AG14" s="538"/>
      <c r="AH14" s="538"/>
      <c r="AI14" s="538"/>
      <c r="AJ14" s="538"/>
      <c r="AK14" s="404"/>
    </row>
    <row r="15" spans="2:37" ht="20.149999999999999" customHeight="1" x14ac:dyDescent="0.35">
      <c r="B15" s="811"/>
      <c r="C15" s="426"/>
      <c r="D15" s="426"/>
      <c r="E15" s="805"/>
      <c r="F15" s="810"/>
      <c r="G15" s="810"/>
      <c r="H15" s="810"/>
      <c r="I15" s="810"/>
      <c r="J15" s="441" t="b">
        <v>0</v>
      </c>
      <c r="K15" s="590" t="s">
        <v>59</v>
      </c>
      <c r="L15" s="810"/>
      <c r="M15" s="538"/>
      <c r="N15" s="538"/>
      <c r="O15" s="538"/>
      <c r="P15" s="538"/>
      <c r="Q15" s="538"/>
      <c r="R15" s="538"/>
      <c r="S15" s="538"/>
      <c r="T15" s="538"/>
      <c r="U15" s="538"/>
      <c r="V15" s="538"/>
      <c r="W15" s="538"/>
      <c r="X15" s="441" t="b">
        <v>0</v>
      </c>
      <c r="Y15" s="807" t="s">
        <v>1093</v>
      </c>
      <c r="Z15" s="399"/>
      <c r="AA15" s="399"/>
      <c r="AB15" s="399"/>
      <c r="AC15" s="2691"/>
      <c r="AD15" s="2691"/>
      <c r="AE15" s="2691"/>
      <c r="AF15" s="2691"/>
      <c r="AG15" s="2691"/>
      <c r="AH15" s="2691"/>
      <c r="AI15" s="2691"/>
      <c r="AJ15" s="230" t="str">
        <f>IF(AND(ws_ifyes_fundsource_others=TRUE,ISBLANK(ws_ifyes_fundsource_others_specify)),"Please specify.",IF(AND(ws_ifyes_fundsource_others=FALSE,(ws_ifyes_fundsource_others_specify&gt;0)),"Please check Others if you have entries.",""))</f>
        <v/>
      </c>
      <c r="AK15" s="404"/>
    </row>
    <row r="16" spans="2:37" ht="20.149999999999999" customHeight="1" x14ac:dyDescent="0.35">
      <c r="B16" s="779"/>
      <c r="F16" s="546" t="s">
        <v>425</v>
      </c>
      <c r="AD16" s="680" t="b">
        <v>0</v>
      </c>
      <c r="AE16" s="403" t="s">
        <v>272</v>
      </c>
      <c r="AH16" s="680"/>
      <c r="AI16" s="403" t="s">
        <v>273</v>
      </c>
      <c r="AK16" s="469"/>
    </row>
    <row r="17" spans="2:37" ht="20.149999999999999" customHeight="1" x14ac:dyDescent="0.35">
      <c r="B17" s="779"/>
      <c r="F17" s="546" t="s">
        <v>426</v>
      </c>
      <c r="AD17" s="680" t="b">
        <v>1</v>
      </c>
      <c r="AE17" s="403" t="s">
        <v>272</v>
      </c>
      <c r="AH17" s="680"/>
      <c r="AI17" s="403" t="s">
        <v>273</v>
      </c>
      <c r="AK17" s="469"/>
    </row>
    <row r="18" spans="2:37" ht="20.149999999999999" customHeight="1" x14ac:dyDescent="0.35">
      <c r="B18" s="779"/>
      <c r="G18" s="546" t="s">
        <v>642</v>
      </c>
      <c r="AD18" s="680" t="b">
        <v>0</v>
      </c>
      <c r="AE18" s="403" t="s">
        <v>272</v>
      </c>
      <c r="AH18" s="680"/>
      <c r="AI18" s="403" t="s">
        <v>273</v>
      </c>
      <c r="AK18" s="469"/>
    </row>
    <row r="19" spans="2:37" ht="20" x14ac:dyDescent="0.4">
      <c r="B19" s="779"/>
      <c r="G19" s="546" t="s">
        <v>643</v>
      </c>
      <c r="AD19" s="668"/>
      <c r="AE19" s="403"/>
      <c r="AH19" s="668"/>
      <c r="AI19" s="403"/>
      <c r="AK19" s="469"/>
    </row>
    <row r="20" spans="2:37" ht="20.149999999999999" customHeight="1" x14ac:dyDescent="0.35">
      <c r="B20" s="811"/>
      <c r="C20" s="426"/>
      <c r="D20" s="426"/>
      <c r="E20" s="805"/>
      <c r="F20" s="810"/>
      <c r="G20" s="810"/>
      <c r="H20" s="810"/>
      <c r="I20" s="810"/>
      <c r="J20" s="441" t="b">
        <v>0</v>
      </c>
      <c r="K20" s="590" t="s">
        <v>318</v>
      </c>
      <c r="L20" s="810"/>
      <c r="M20" s="538"/>
      <c r="N20" s="538"/>
      <c r="O20" s="538"/>
      <c r="P20" s="538"/>
      <c r="Q20" s="538"/>
      <c r="R20" s="538"/>
      <c r="S20" s="538"/>
      <c r="T20" s="538"/>
      <c r="U20" s="538"/>
      <c r="V20" s="538"/>
      <c r="W20" s="538"/>
      <c r="X20" s="441" t="b">
        <v>1</v>
      </c>
      <c r="Y20" s="590" t="s">
        <v>522</v>
      </c>
      <c r="Z20" s="803"/>
      <c r="AA20" s="810"/>
      <c r="AB20" s="538"/>
      <c r="AD20" s="538"/>
      <c r="AE20" s="538"/>
      <c r="AF20" s="538"/>
      <c r="AG20" s="538"/>
      <c r="AH20" s="538"/>
      <c r="AI20" s="538"/>
      <c r="AJ20" s="538"/>
      <c r="AK20" s="404"/>
    </row>
    <row r="21" spans="2:37" ht="20.149999999999999" customHeight="1" x14ac:dyDescent="0.35">
      <c r="B21" s="811"/>
      <c r="C21" s="426"/>
      <c r="D21" s="426"/>
      <c r="E21" s="805"/>
      <c r="F21" s="810"/>
      <c r="G21" s="810"/>
      <c r="H21" s="810"/>
      <c r="I21" s="810"/>
      <c r="J21" s="441" t="b">
        <v>0</v>
      </c>
      <c r="K21" s="590" t="s">
        <v>317</v>
      </c>
      <c r="L21" s="810"/>
      <c r="M21" s="538"/>
      <c r="N21" s="538"/>
      <c r="O21" s="538"/>
      <c r="P21" s="538"/>
      <c r="Q21" s="538"/>
      <c r="R21" s="538"/>
      <c r="S21" s="538"/>
      <c r="T21" s="538"/>
      <c r="U21" s="538"/>
      <c r="V21" s="538"/>
      <c r="W21" s="538"/>
      <c r="X21" s="441" t="b">
        <v>0</v>
      </c>
      <c r="Y21" s="807" t="s">
        <v>1093</v>
      </c>
      <c r="Z21" s="399"/>
      <c r="AA21" s="399"/>
      <c r="AB21" s="399"/>
      <c r="AC21" s="2691"/>
      <c r="AD21" s="2691"/>
      <c r="AE21" s="2691"/>
      <c r="AF21" s="2691"/>
      <c r="AG21" s="2691"/>
      <c r="AH21" s="2691"/>
      <c r="AI21" s="2691"/>
      <c r="AJ21" s="230" t="str">
        <f>IF(AND(ws_water_test_frequency_others=TRUE,ISBLANK(ws_water_test_frequency_others_specify)),"Please specify.",IF(AND(ws_water_test_frequency_others=FALSE,(ws_water_test_frequency_others_specify&gt;0)),"Please check Others if you have entries.",""))</f>
        <v/>
      </c>
      <c r="AK21" s="404"/>
    </row>
    <row r="22" spans="2:37" ht="20.149999999999999" customHeight="1" x14ac:dyDescent="0.4">
      <c r="B22" s="779"/>
      <c r="G22" s="546" t="s">
        <v>644</v>
      </c>
      <c r="U22" s="3172" t="s">
        <v>12824</v>
      </c>
      <c r="V22" s="3172"/>
      <c r="W22" s="3172"/>
      <c r="X22" s="3172"/>
      <c r="Y22" s="3172"/>
      <c r="Z22" s="3172"/>
      <c r="AA22" s="3172"/>
      <c r="AD22" s="668"/>
      <c r="AE22" s="403"/>
      <c r="AH22" s="668"/>
      <c r="AI22" s="403"/>
      <c r="AK22" s="469"/>
    </row>
    <row r="23" spans="2:37" ht="20.149999999999999" customHeight="1" x14ac:dyDescent="0.35">
      <c r="B23" s="779"/>
      <c r="F23" s="546" t="s">
        <v>651</v>
      </c>
      <c r="AD23" s="680" t="b">
        <v>0</v>
      </c>
      <c r="AE23" s="403" t="s">
        <v>272</v>
      </c>
      <c r="AH23" s="680"/>
      <c r="AI23" s="403" t="s">
        <v>273</v>
      </c>
      <c r="AK23" s="469"/>
    </row>
    <row r="24" spans="2:37" ht="20.149999999999999" customHeight="1" x14ac:dyDescent="0.35">
      <c r="B24" s="779"/>
      <c r="AB24" s="538"/>
      <c r="AC24" s="538"/>
      <c r="AD24" s="538"/>
      <c r="AE24" s="538"/>
      <c r="AF24" s="538"/>
      <c r="AG24" s="538"/>
      <c r="AH24" s="538"/>
      <c r="AI24" s="538"/>
      <c r="AJ24" s="538"/>
      <c r="AK24" s="404"/>
    </row>
    <row r="25" spans="2:37" ht="20.149999999999999" customHeight="1" x14ac:dyDescent="0.35">
      <c r="B25" s="808" t="s">
        <v>274</v>
      </c>
      <c r="C25" s="809"/>
      <c r="E25" s="806"/>
      <c r="F25" s="806"/>
      <c r="G25" s="806"/>
      <c r="H25" s="806"/>
      <c r="I25" s="806"/>
      <c r="J25" s="806"/>
      <c r="K25" s="806"/>
      <c r="L25" s="806"/>
      <c r="M25" s="810"/>
      <c r="N25" s="810"/>
      <c r="O25" s="810"/>
      <c r="P25" s="810"/>
      <c r="Q25" s="810"/>
      <c r="R25" s="810"/>
      <c r="S25" s="810"/>
      <c r="T25" s="810"/>
      <c r="U25" s="810"/>
      <c r="V25" s="810"/>
      <c r="W25" s="538"/>
      <c r="AD25" s="680" t="b">
        <v>1</v>
      </c>
      <c r="AE25" s="403" t="s">
        <v>272</v>
      </c>
      <c r="AH25" s="680"/>
      <c r="AI25" s="403" t="s">
        <v>273</v>
      </c>
      <c r="AK25" s="404"/>
    </row>
    <row r="26" spans="2:37" ht="20.149999999999999" customHeight="1" x14ac:dyDescent="0.35">
      <c r="B26" s="804"/>
      <c r="C26" s="805"/>
      <c r="E26" s="806"/>
      <c r="F26" s="546" t="s">
        <v>307</v>
      </c>
      <c r="G26" s="806"/>
      <c r="H26" s="806"/>
      <c r="I26" s="806"/>
      <c r="J26" s="806"/>
      <c r="K26" s="806"/>
      <c r="L26" s="806"/>
      <c r="M26" s="810"/>
      <c r="N26" s="810"/>
      <c r="O26" s="810"/>
      <c r="P26" s="810"/>
      <c r="Q26" s="810"/>
      <c r="R26" s="810"/>
      <c r="S26" s="810"/>
      <c r="T26" s="810"/>
      <c r="U26" s="810"/>
      <c r="V26" s="810"/>
      <c r="W26" s="810"/>
      <c r="X26" s="538"/>
      <c r="Y26" s="402"/>
      <c r="AD26" s="3174"/>
      <c r="AE26" s="3174"/>
      <c r="AK26" s="404"/>
    </row>
    <row r="27" spans="2:37" ht="20.149999999999999" customHeight="1" x14ac:dyDescent="0.35">
      <c r="B27" s="804"/>
      <c r="C27" s="805"/>
      <c r="D27" s="546" t="s">
        <v>268</v>
      </c>
      <c r="E27" s="806"/>
      <c r="G27" s="538"/>
      <c r="H27" s="538"/>
      <c r="I27" s="538"/>
      <c r="J27" s="441" t="b">
        <v>1</v>
      </c>
      <c r="K27" s="590" t="s">
        <v>275</v>
      </c>
      <c r="L27" s="538"/>
      <c r="N27" s="590"/>
      <c r="O27" s="590"/>
      <c r="P27" s="590"/>
      <c r="Q27" s="590"/>
      <c r="R27" s="590"/>
      <c r="S27" s="590"/>
      <c r="T27" s="590"/>
      <c r="U27" s="590"/>
      <c r="V27" s="590"/>
      <c r="W27" s="590"/>
      <c r="X27" s="538"/>
      <c r="Y27" s="402"/>
      <c r="AK27" s="404"/>
    </row>
    <row r="28" spans="2:37" ht="20.149999999999999" customHeight="1" x14ac:dyDescent="0.35">
      <c r="B28" s="804"/>
      <c r="C28" s="805"/>
      <c r="E28" s="806"/>
      <c r="G28" s="538"/>
      <c r="H28" s="538"/>
      <c r="I28" s="538"/>
      <c r="J28" s="441" t="b">
        <v>1</v>
      </c>
      <c r="K28" s="590" t="s">
        <v>276</v>
      </c>
      <c r="L28" s="538"/>
      <c r="N28" s="590"/>
      <c r="O28" s="590"/>
      <c r="P28" s="590"/>
      <c r="Q28" s="590"/>
      <c r="R28" s="590"/>
      <c r="S28" s="590"/>
      <c r="T28" s="590"/>
      <c r="U28" s="590"/>
      <c r="V28" s="590"/>
      <c r="W28" s="590"/>
      <c r="X28" s="538"/>
      <c r="Y28" s="402"/>
      <c r="AH28" s="810"/>
      <c r="AK28" s="404"/>
    </row>
    <row r="29" spans="2:37" ht="20.149999999999999" customHeight="1" x14ac:dyDescent="0.35">
      <c r="B29" s="804"/>
      <c r="C29" s="805"/>
      <c r="E29" s="806"/>
      <c r="G29" s="538"/>
      <c r="H29" s="538"/>
      <c r="I29" s="538"/>
      <c r="J29" s="441" t="b">
        <v>0</v>
      </c>
      <c r="K29" s="590" t="s">
        <v>509</v>
      </c>
      <c r="L29" s="538"/>
      <c r="N29" s="590"/>
      <c r="O29" s="590"/>
      <c r="P29" s="590"/>
      <c r="Q29" s="590"/>
      <c r="R29" s="590"/>
      <c r="S29" s="590"/>
      <c r="T29" s="590"/>
      <c r="U29" s="590"/>
      <c r="V29" s="590"/>
      <c r="W29" s="590"/>
      <c r="X29" s="538"/>
      <c r="Y29" s="402"/>
      <c r="AK29" s="404"/>
    </row>
    <row r="30" spans="2:37" ht="20.149999999999999" customHeight="1" x14ac:dyDescent="0.35">
      <c r="B30" s="804"/>
      <c r="C30" s="805"/>
      <c r="E30" s="806"/>
      <c r="G30" s="538"/>
      <c r="H30" s="538"/>
      <c r="I30" s="538"/>
      <c r="J30" s="441" t="b">
        <v>0</v>
      </c>
      <c r="K30" s="807" t="s">
        <v>1093</v>
      </c>
      <c r="L30" s="399"/>
      <c r="M30" s="399"/>
      <c r="N30" s="399"/>
      <c r="O30" s="2691"/>
      <c r="P30" s="2691"/>
      <c r="Q30" s="2691"/>
      <c r="R30" s="2691"/>
      <c r="S30" s="2691"/>
      <c r="T30" s="2691"/>
      <c r="U30" s="2691"/>
      <c r="W30" s="590"/>
      <c r="X30" s="538"/>
      <c r="Y30" s="402"/>
      <c r="AK30" s="404"/>
    </row>
    <row r="31" spans="2:37" ht="13.75" customHeight="1" thickBot="1" x14ac:dyDescent="0.4">
      <c r="B31" s="777"/>
      <c r="C31" s="798"/>
      <c r="D31" s="799"/>
      <c r="E31" s="800"/>
      <c r="F31" s="800"/>
      <c r="G31" s="800"/>
      <c r="H31" s="800"/>
      <c r="I31" s="800"/>
      <c r="J31" s="800"/>
      <c r="K31" s="800"/>
      <c r="L31" s="800"/>
      <c r="M31" s="801"/>
      <c r="N31" s="801"/>
      <c r="O31" s="821" t="str">
        <f>IF(AND(ws_mechanism_safetodrink_yes_others=TRUE,ISBLANK(ws_mechanism_safetodrink_yes_others_specify)),"Please specify.",IF(AND(ws_mechanism_safetodrink_yes_others=FALSE,(ws_mechanism_safetodrink_yes_others_specify&gt;0)),"Please check Others if you have entries.",""))</f>
        <v/>
      </c>
      <c r="P31" s="801"/>
      <c r="Q31" s="801"/>
      <c r="R31" s="801"/>
      <c r="S31" s="801"/>
      <c r="T31" s="801"/>
      <c r="U31" s="801"/>
      <c r="V31" s="801"/>
      <c r="W31" s="801"/>
      <c r="X31" s="802"/>
      <c r="Y31" s="408"/>
      <c r="Z31" s="798"/>
      <c r="AA31" s="798"/>
      <c r="AB31" s="802"/>
      <c r="AC31" s="802"/>
      <c r="AD31" s="802"/>
      <c r="AE31" s="802"/>
      <c r="AF31" s="802"/>
      <c r="AG31" s="802"/>
      <c r="AH31" s="802"/>
      <c r="AI31" s="802"/>
      <c r="AJ31" s="802"/>
      <c r="AK31" s="409"/>
    </row>
    <row r="32" spans="2:37" ht="16" thickTop="1" x14ac:dyDescent="0.35">
      <c r="B32" s="3124" t="s">
        <v>289</v>
      </c>
      <c r="C32" s="3124"/>
      <c r="D32" s="3124"/>
      <c r="E32" s="3124"/>
      <c r="F32" s="3124"/>
      <c r="G32" s="3124"/>
      <c r="H32" s="3124"/>
      <c r="I32" s="3124"/>
      <c r="J32" s="3124"/>
      <c r="K32" s="3124"/>
      <c r="L32" s="3124"/>
      <c r="M32" s="3124"/>
      <c r="N32" s="3124"/>
      <c r="O32" s="3124"/>
      <c r="P32" s="3124"/>
      <c r="Q32" s="3124"/>
      <c r="R32" s="3124"/>
      <c r="S32" s="3124"/>
      <c r="T32" s="3124"/>
      <c r="U32" s="3124"/>
      <c r="V32" s="3124"/>
      <c r="W32" s="3124"/>
      <c r="X32" s="3124"/>
      <c r="Y32" s="3124"/>
      <c r="Z32" s="3124"/>
      <c r="AA32" s="3124"/>
      <c r="AB32" s="3124"/>
      <c r="AC32" s="3124"/>
      <c r="AD32" s="3124"/>
      <c r="AE32" s="3124"/>
      <c r="AF32" s="3124"/>
      <c r="AG32" s="3124"/>
      <c r="AH32" s="3124"/>
      <c r="AI32" s="3124"/>
      <c r="AJ32" s="3124"/>
      <c r="AK32" s="3124"/>
    </row>
    <row r="33" spans="2:40" x14ac:dyDescent="0.35">
      <c r="B33" s="3124" t="s">
        <v>290</v>
      </c>
      <c r="C33" s="3124"/>
      <c r="D33" s="3124"/>
      <c r="E33" s="3124"/>
      <c r="F33" s="3124"/>
      <c r="G33" s="3124"/>
      <c r="H33" s="3124"/>
      <c r="I33" s="3124"/>
      <c r="J33" s="3124"/>
      <c r="K33" s="3124"/>
      <c r="L33" s="3124"/>
      <c r="M33" s="3124"/>
      <c r="N33" s="3124"/>
      <c r="O33" s="3124"/>
      <c r="P33" s="3124"/>
      <c r="Q33" s="3124"/>
      <c r="R33" s="3124"/>
      <c r="S33" s="3124"/>
      <c r="T33" s="3124"/>
      <c r="U33" s="3124"/>
      <c r="V33" s="3124"/>
      <c r="W33" s="3124"/>
      <c r="X33" s="3124"/>
      <c r="Y33" s="3124"/>
      <c r="Z33" s="3124"/>
      <c r="AA33" s="3124"/>
      <c r="AB33" s="3124"/>
      <c r="AC33" s="3124"/>
      <c r="AD33" s="3124"/>
      <c r="AE33" s="3124"/>
      <c r="AF33" s="3124"/>
      <c r="AG33" s="3124"/>
      <c r="AH33" s="3124"/>
      <c r="AI33" s="3124"/>
      <c r="AJ33" s="3124"/>
      <c r="AK33" s="3124"/>
    </row>
    <row r="34" spans="2:40" x14ac:dyDescent="0.35">
      <c r="B34" s="3124" t="s">
        <v>291</v>
      </c>
      <c r="C34" s="3124"/>
      <c r="D34" s="3124"/>
      <c r="E34" s="3124"/>
      <c r="F34" s="3124"/>
      <c r="G34" s="3124"/>
      <c r="H34" s="3124"/>
      <c r="I34" s="3124"/>
      <c r="J34" s="3124"/>
      <c r="K34" s="3124"/>
      <c r="L34" s="3124"/>
      <c r="M34" s="3124"/>
      <c r="N34" s="3124"/>
      <c r="O34" s="3124"/>
      <c r="P34" s="3124"/>
      <c r="Q34" s="3124"/>
      <c r="R34" s="3124"/>
      <c r="S34" s="3124"/>
      <c r="T34" s="3124"/>
      <c r="U34" s="3124"/>
      <c r="V34" s="3124"/>
      <c r="W34" s="3124"/>
      <c r="X34" s="3124"/>
      <c r="Y34" s="3124"/>
      <c r="Z34" s="3124"/>
      <c r="AA34" s="3124"/>
      <c r="AB34" s="3124"/>
      <c r="AC34" s="3124"/>
      <c r="AD34" s="3124"/>
      <c r="AE34" s="3124"/>
      <c r="AF34" s="3124"/>
      <c r="AG34" s="3124"/>
      <c r="AH34" s="3124"/>
      <c r="AI34" s="3124"/>
      <c r="AJ34" s="3124"/>
      <c r="AK34" s="3124"/>
    </row>
    <row r="35" spans="2:40" x14ac:dyDescent="0.35">
      <c r="B35" s="3124" t="s">
        <v>292</v>
      </c>
      <c r="C35" s="3124"/>
      <c r="D35" s="3124"/>
      <c r="E35" s="3124"/>
      <c r="F35" s="3124"/>
      <c r="G35" s="3124"/>
      <c r="H35" s="3124"/>
      <c r="I35" s="3124"/>
      <c r="J35" s="3124"/>
      <c r="K35" s="3124"/>
      <c r="L35" s="3124"/>
      <c r="M35" s="3124"/>
      <c r="N35" s="3124"/>
      <c r="O35" s="3124"/>
      <c r="P35" s="3124"/>
      <c r="Q35" s="3124"/>
      <c r="R35" s="3124"/>
      <c r="S35" s="3124"/>
      <c r="T35" s="3124"/>
      <c r="U35" s="3124"/>
      <c r="V35" s="3124"/>
      <c r="W35" s="3124"/>
      <c r="X35" s="3124"/>
      <c r="Y35" s="3124"/>
      <c r="Z35" s="3124"/>
      <c r="AA35" s="3124"/>
      <c r="AB35" s="3124"/>
      <c r="AC35" s="3124"/>
      <c r="AD35" s="3124"/>
      <c r="AE35" s="3124"/>
      <c r="AF35" s="3124"/>
      <c r="AG35" s="3124"/>
      <c r="AH35" s="3124"/>
      <c r="AI35" s="3124"/>
      <c r="AJ35" s="3124"/>
      <c r="AK35" s="3124"/>
    </row>
    <row r="36" spans="2:40" ht="20.149999999999999" customHeight="1" x14ac:dyDescent="0.35">
      <c r="B36" s="401"/>
      <c r="C36" s="401"/>
      <c r="D36" s="401"/>
      <c r="E36" s="401"/>
      <c r="F36" s="401"/>
      <c r="G36" s="401"/>
      <c r="H36" s="401"/>
      <c r="I36" s="401"/>
      <c r="J36" s="401"/>
      <c r="K36" s="401"/>
      <c r="L36" s="401"/>
      <c r="M36" s="401"/>
      <c r="N36" s="401"/>
      <c r="O36" s="401"/>
      <c r="P36" s="401"/>
      <c r="Q36" s="401"/>
      <c r="R36" s="401"/>
      <c r="S36" s="401"/>
      <c r="T36" s="401"/>
      <c r="U36" s="401"/>
      <c r="V36" s="401"/>
      <c r="W36" s="401"/>
      <c r="X36" s="401"/>
      <c r="Y36" s="401"/>
      <c r="Z36" s="401"/>
      <c r="AA36" s="401"/>
      <c r="AB36" s="401"/>
      <c r="AC36" s="401"/>
      <c r="AD36" s="401"/>
      <c r="AE36" s="401"/>
      <c r="AF36" s="401"/>
      <c r="AG36" s="401"/>
      <c r="AH36" s="401"/>
      <c r="AI36" s="401"/>
      <c r="AJ36" s="401"/>
      <c r="AK36" s="401"/>
    </row>
    <row r="37" spans="2:40" ht="16" thickBot="1" x14ac:dyDescent="0.4">
      <c r="B37" s="502" t="s">
        <v>12724</v>
      </c>
      <c r="C37" s="502"/>
      <c r="D37" s="502"/>
      <c r="E37" s="502"/>
      <c r="F37" s="502"/>
      <c r="G37" s="502"/>
      <c r="H37" s="803"/>
      <c r="I37" s="803"/>
      <c r="J37" s="803"/>
      <c r="K37" s="803"/>
      <c r="L37" s="803"/>
      <c r="M37" s="803"/>
      <c r="N37" s="803"/>
      <c r="O37" s="803"/>
      <c r="P37" s="803"/>
    </row>
    <row r="38" spans="2:40" ht="28.5" customHeight="1" thickTop="1" thickBot="1" x14ac:dyDescent="0.4">
      <c r="B38" s="3158" t="s">
        <v>277</v>
      </c>
      <c r="C38" s="3151"/>
      <c r="D38" s="3151"/>
      <c r="E38" s="3151"/>
      <c r="F38" s="3151"/>
      <c r="G38" s="3151"/>
      <c r="H38" s="3151"/>
      <c r="I38" s="3151"/>
      <c r="J38" s="3151"/>
      <c r="K38" s="3151"/>
      <c r="L38" s="3159"/>
      <c r="M38" s="3164" t="s">
        <v>278</v>
      </c>
      <c r="N38" s="3165"/>
      <c r="O38" s="3165"/>
      <c r="P38" s="3165"/>
      <c r="Q38" s="3165"/>
      <c r="R38" s="3165"/>
      <c r="S38" s="3165"/>
      <c r="T38" s="3165"/>
      <c r="U38" s="3165"/>
      <c r="V38" s="3166"/>
      <c r="W38" s="3143" t="s">
        <v>288</v>
      </c>
      <c r="X38" s="3144"/>
      <c r="Y38" s="3144"/>
      <c r="Z38" s="3144"/>
      <c r="AA38" s="3145"/>
      <c r="AB38" s="3149" t="s">
        <v>934</v>
      </c>
      <c r="AC38" s="3144"/>
      <c r="AD38" s="3144"/>
      <c r="AE38" s="3144"/>
      <c r="AF38" s="3145"/>
      <c r="AG38" s="3151" t="s">
        <v>429</v>
      </c>
      <c r="AH38" s="3151"/>
      <c r="AI38" s="3151"/>
      <c r="AJ38" s="3151"/>
      <c r="AK38" s="3152"/>
    </row>
    <row r="39" spans="2:40" ht="28.5" customHeight="1" thickBot="1" x14ac:dyDescent="0.4">
      <c r="B39" s="3160"/>
      <c r="C39" s="3153"/>
      <c r="D39" s="3153"/>
      <c r="E39" s="3153"/>
      <c r="F39" s="3153"/>
      <c r="G39" s="3153"/>
      <c r="H39" s="3153"/>
      <c r="I39" s="3153"/>
      <c r="J39" s="3153"/>
      <c r="K39" s="3153"/>
      <c r="L39" s="3161"/>
      <c r="M39" s="3162" t="s">
        <v>427</v>
      </c>
      <c r="N39" s="3153"/>
      <c r="O39" s="3153"/>
      <c r="P39" s="3153"/>
      <c r="Q39" s="3150"/>
      <c r="R39" s="3163" t="s">
        <v>428</v>
      </c>
      <c r="S39" s="3153"/>
      <c r="T39" s="3153"/>
      <c r="U39" s="3153"/>
      <c r="V39" s="3161"/>
      <c r="W39" s="3146"/>
      <c r="X39" s="3147"/>
      <c r="Y39" s="3147"/>
      <c r="Z39" s="3147"/>
      <c r="AA39" s="3148"/>
      <c r="AB39" s="3150"/>
      <c r="AC39" s="3147"/>
      <c r="AD39" s="3147"/>
      <c r="AE39" s="3147"/>
      <c r="AF39" s="3148"/>
      <c r="AG39" s="3153"/>
      <c r="AH39" s="3153"/>
      <c r="AI39" s="3153"/>
      <c r="AJ39" s="3153"/>
      <c r="AK39" s="3154"/>
    </row>
    <row r="40" spans="2:40" ht="30" customHeight="1" thickTop="1" x14ac:dyDescent="0.35">
      <c r="B40" s="3140" t="s">
        <v>287</v>
      </c>
      <c r="C40" s="3141"/>
      <c r="D40" s="3141"/>
      <c r="E40" s="3141"/>
      <c r="F40" s="3141"/>
      <c r="G40" s="3141"/>
      <c r="H40" s="3141"/>
      <c r="I40" s="3141"/>
      <c r="J40" s="3141"/>
      <c r="K40" s="3141"/>
      <c r="L40" s="3142"/>
      <c r="M40" s="3167">
        <v>13</v>
      </c>
      <c r="N40" s="3156"/>
      <c r="O40" s="3156"/>
      <c r="P40" s="3156"/>
      <c r="Q40" s="3168"/>
      <c r="R40" s="3169">
        <v>0</v>
      </c>
      <c r="S40" s="3156"/>
      <c r="T40" s="3156"/>
      <c r="U40" s="3156"/>
      <c r="V40" s="3170"/>
      <c r="W40" s="3167">
        <v>0</v>
      </c>
      <c r="X40" s="3156"/>
      <c r="Y40" s="3156"/>
      <c r="Z40" s="3156"/>
      <c r="AA40" s="3171"/>
      <c r="AB40" s="3138">
        <f>SUM(M40:AA40)</f>
        <v>13</v>
      </c>
      <c r="AC40" s="3138"/>
      <c r="AD40" s="3138"/>
      <c r="AE40" s="3138"/>
      <c r="AF40" s="3139"/>
      <c r="AG40" s="3155">
        <v>3</v>
      </c>
      <c r="AH40" s="3156"/>
      <c r="AI40" s="3156"/>
      <c r="AJ40" s="3156"/>
      <c r="AK40" s="3157"/>
    </row>
    <row r="41" spans="2:40" ht="30" customHeight="1" thickBot="1" x14ac:dyDescent="0.4">
      <c r="B41" s="3135" t="s">
        <v>279</v>
      </c>
      <c r="C41" s="3136"/>
      <c r="D41" s="3136"/>
      <c r="E41" s="3136"/>
      <c r="F41" s="3136"/>
      <c r="G41" s="3136"/>
      <c r="H41" s="3136"/>
      <c r="I41" s="3136"/>
      <c r="J41" s="3136"/>
      <c r="K41" s="3136"/>
      <c r="L41" s="3137"/>
      <c r="M41" s="3125">
        <v>13</v>
      </c>
      <c r="N41" s="3126"/>
      <c r="O41" s="3126"/>
      <c r="P41" s="3126"/>
      <c r="Q41" s="3127"/>
      <c r="R41" s="3128">
        <v>0</v>
      </c>
      <c r="S41" s="3126"/>
      <c r="T41" s="3126"/>
      <c r="U41" s="3126"/>
      <c r="V41" s="3129"/>
      <c r="W41" s="3125">
        <v>0</v>
      </c>
      <c r="X41" s="3126"/>
      <c r="Y41" s="3126"/>
      <c r="Z41" s="3126"/>
      <c r="AA41" s="3130"/>
      <c r="AB41" s="3131">
        <f>SUM(M41:AA41)</f>
        <v>13</v>
      </c>
      <c r="AC41" s="3131"/>
      <c r="AD41" s="3131"/>
      <c r="AE41" s="3131"/>
      <c r="AF41" s="3132"/>
      <c r="AG41" s="3133">
        <v>0</v>
      </c>
      <c r="AH41" s="3126"/>
      <c r="AI41" s="3126"/>
      <c r="AJ41" s="3126"/>
      <c r="AK41" s="3134"/>
    </row>
    <row r="42" spans="2:40" ht="16" thickTop="1" x14ac:dyDescent="0.35">
      <c r="B42" s="3124" t="s">
        <v>734</v>
      </c>
      <c r="C42" s="3124"/>
      <c r="D42" s="3124"/>
      <c r="E42" s="3124"/>
      <c r="F42" s="3124"/>
      <c r="G42" s="3124"/>
      <c r="H42" s="3124"/>
      <c r="I42" s="3124"/>
      <c r="J42" s="3124"/>
      <c r="K42" s="3124"/>
      <c r="L42" s="3124"/>
      <c r="M42" s="3124"/>
      <c r="N42" s="3124"/>
      <c r="O42" s="3124"/>
      <c r="P42" s="3124"/>
      <c r="Q42" s="3124"/>
      <c r="R42" s="3124"/>
      <c r="S42" s="3124"/>
      <c r="T42" s="3124"/>
      <c r="U42" s="3124"/>
      <c r="V42" s="3124"/>
      <c r="W42" s="3124"/>
      <c r="X42" s="3124"/>
      <c r="Y42" s="3124"/>
      <c r="Z42" s="3124"/>
      <c r="AA42" s="3124"/>
      <c r="AB42" s="3124"/>
      <c r="AC42" s="3124"/>
      <c r="AD42" s="3124"/>
      <c r="AE42" s="3124"/>
      <c r="AF42" s="3124"/>
      <c r="AG42" s="3124"/>
      <c r="AH42" s="3124"/>
      <c r="AI42" s="3124"/>
      <c r="AJ42" s="3124"/>
      <c r="AK42" s="3124"/>
      <c r="AL42" s="797"/>
    </row>
    <row r="43" spans="2:40" x14ac:dyDescent="0.35">
      <c r="B43" s="3124" t="s">
        <v>735</v>
      </c>
      <c r="C43" s="3124"/>
      <c r="D43" s="3124"/>
      <c r="E43" s="3124"/>
      <c r="F43" s="3124"/>
      <c r="G43" s="3124"/>
      <c r="H43" s="3124"/>
      <c r="I43" s="3124"/>
      <c r="J43" s="3124"/>
      <c r="K43" s="3124"/>
      <c r="L43" s="3124"/>
      <c r="M43" s="3124"/>
      <c r="N43" s="3124"/>
      <c r="O43" s="3124"/>
      <c r="P43" s="3124"/>
      <c r="Q43" s="3124"/>
      <c r="R43" s="3124"/>
      <c r="S43" s="3124"/>
      <c r="T43" s="3124"/>
      <c r="U43" s="3124"/>
      <c r="V43" s="3124"/>
      <c r="W43" s="3124"/>
      <c r="X43" s="3124"/>
      <c r="Y43" s="3124"/>
      <c r="Z43" s="3124"/>
      <c r="AA43" s="3124"/>
      <c r="AB43" s="3124"/>
      <c r="AC43" s="3124"/>
      <c r="AD43" s="3124"/>
      <c r="AE43" s="3124"/>
      <c r="AF43" s="3124"/>
      <c r="AG43" s="3124"/>
      <c r="AH43" s="3124"/>
      <c r="AI43" s="3124"/>
      <c r="AJ43" s="3124"/>
      <c r="AK43" s="3124"/>
      <c r="AN43" s="797"/>
    </row>
    <row r="44" spans="2:40" ht="15.75" customHeight="1" x14ac:dyDescent="0.35">
      <c r="B44" s="3124" t="s">
        <v>736</v>
      </c>
      <c r="C44" s="3124"/>
      <c r="D44" s="3124"/>
      <c r="E44" s="3124"/>
      <c r="F44" s="3124"/>
      <c r="G44" s="3124"/>
      <c r="H44" s="3124"/>
      <c r="I44" s="3124"/>
      <c r="J44" s="3124"/>
      <c r="K44" s="3124"/>
      <c r="L44" s="3124"/>
      <c r="M44" s="3124"/>
      <c r="N44" s="3124"/>
      <c r="O44" s="3124"/>
      <c r="P44" s="3124"/>
      <c r="Q44" s="3124"/>
      <c r="R44" s="3124"/>
      <c r="S44" s="3124"/>
      <c r="T44" s="3124"/>
      <c r="U44" s="3124"/>
      <c r="V44" s="3124"/>
      <c r="W44" s="3124"/>
      <c r="X44" s="3124"/>
      <c r="Y44" s="3124"/>
      <c r="Z44" s="3124"/>
      <c r="AA44" s="3124"/>
      <c r="AB44" s="3124"/>
      <c r="AC44" s="3124"/>
      <c r="AD44" s="3124"/>
      <c r="AE44" s="3124"/>
      <c r="AF44" s="3124"/>
      <c r="AG44" s="3124"/>
      <c r="AH44" s="3124"/>
      <c r="AI44" s="3124"/>
      <c r="AJ44" s="3124"/>
      <c r="AK44" s="3124"/>
    </row>
    <row r="45" spans="2:40" x14ac:dyDescent="0.35">
      <c r="B45" s="3124" t="s">
        <v>737</v>
      </c>
      <c r="C45" s="3124"/>
      <c r="D45" s="3124"/>
      <c r="E45" s="3124"/>
      <c r="F45" s="3124"/>
      <c r="G45" s="3124"/>
      <c r="H45" s="3124"/>
      <c r="I45" s="3124"/>
      <c r="J45" s="3124"/>
      <c r="K45" s="3124"/>
      <c r="L45" s="3124"/>
      <c r="M45" s="3124"/>
      <c r="N45" s="3124"/>
      <c r="O45" s="3124"/>
      <c r="P45" s="3124"/>
      <c r="Q45" s="3124"/>
      <c r="R45" s="3124"/>
      <c r="S45" s="3124"/>
      <c r="T45" s="3124"/>
      <c r="U45" s="3124"/>
      <c r="V45" s="3124"/>
      <c r="W45" s="3124"/>
      <c r="X45" s="3124"/>
      <c r="Y45" s="3124"/>
      <c r="Z45" s="3124"/>
      <c r="AA45" s="3124"/>
      <c r="AB45" s="3124"/>
      <c r="AC45" s="3124"/>
      <c r="AD45" s="3124"/>
      <c r="AE45" s="3124"/>
      <c r="AF45" s="3124"/>
      <c r="AG45" s="3124"/>
      <c r="AH45" s="3124"/>
      <c r="AI45" s="3124"/>
      <c r="AJ45" s="3124"/>
      <c r="AK45" s="3124"/>
    </row>
    <row r="46" spans="2:40" x14ac:dyDescent="0.35">
      <c r="B46" s="3124" t="s">
        <v>738</v>
      </c>
      <c r="C46" s="3124"/>
      <c r="D46" s="3124"/>
      <c r="E46" s="3124"/>
      <c r="F46" s="3124"/>
      <c r="G46" s="3124"/>
      <c r="H46" s="3124"/>
      <c r="I46" s="3124"/>
      <c r="J46" s="3124"/>
      <c r="K46" s="3124"/>
      <c r="L46" s="3124"/>
      <c r="M46" s="3124"/>
      <c r="N46" s="3124"/>
      <c r="O46" s="3124"/>
      <c r="P46" s="3124"/>
      <c r="Q46" s="3124"/>
      <c r="R46" s="3124"/>
      <c r="S46" s="3124"/>
      <c r="T46" s="3124"/>
      <c r="U46" s="3124"/>
      <c r="V46" s="3124"/>
      <c r="W46" s="3124"/>
      <c r="X46" s="3124"/>
      <c r="Y46" s="3124"/>
      <c r="Z46" s="3124"/>
      <c r="AA46" s="3124"/>
      <c r="AB46" s="3124"/>
      <c r="AC46" s="3124"/>
      <c r="AD46" s="3124"/>
      <c r="AE46" s="3124"/>
      <c r="AF46" s="3124"/>
      <c r="AG46" s="3124"/>
      <c r="AH46" s="3124"/>
      <c r="AI46" s="3124"/>
      <c r="AJ46" s="3124"/>
      <c r="AK46" s="3124"/>
    </row>
    <row r="47" spans="2:40" s="44" customFormat="1" ht="30.75" customHeight="1" x14ac:dyDescent="0.35">
      <c r="C47" s="85"/>
      <c r="E47" s="85"/>
      <c r="G47" s="85"/>
      <c r="I47" s="85"/>
      <c r="K47" s="85"/>
      <c r="M47" s="85"/>
      <c r="O47" s="85"/>
      <c r="Q47" s="85"/>
      <c r="T47" s="85"/>
      <c r="W47" s="85"/>
      <c r="Y47" s="85"/>
      <c r="AA47" s="85"/>
      <c r="AC47" s="85"/>
      <c r="AE47" s="85"/>
      <c r="AG47" s="85"/>
      <c r="AJ47" s="85"/>
    </row>
    <row r="48" spans="2:40" s="73" customFormat="1" ht="14" x14ac:dyDescent="0.3">
      <c r="B48" s="74" t="s">
        <v>12</v>
      </c>
      <c r="V48" s="74" t="s">
        <v>908</v>
      </c>
    </row>
    <row r="49" spans="2:38" s="73" customFormat="1" ht="21.75" customHeight="1" x14ac:dyDescent="0.3">
      <c r="B49" s="74" t="s">
        <v>811</v>
      </c>
      <c r="F49" s="1482" t="str">
        <f>SchInfo!F38</f>
        <v>MELCHESIEDICK Q. BOLANIO/ March 17, 2023</v>
      </c>
      <c r="G49" s="1482"/>
      <c r="H49" s="1482"/>
      <c r="I49" s="1482"/>
      <c r="J49" s="1482"/>
      <c r="K49" s="1482"/>
      <c r="L49" s="1482"/>
      <c r="M49" s="1482"/>
      <c r="N49" s="1482"/>
      <c r="O49" s="1482"/>
      <c r="P49" s="1482"/>
      <c r="Q49" s="1482"/>
      <c r="V49" s="1482" t="str">
        <f>'Table33a-b'!R42</f>
        <v>RACQUEL N. ACOMPAÑADO</v>
      </c>
      <c r="W49" s="1482"/>
      <c r="X49" s="1482"/>
      <c r="Y49" s="1482"/>
      <c r="Z49" s="1482"/>
      <c r="AA49" s="1482"/>
      <c r="AB49" s="1482"/>
      <c r="AC49" s="1482"/>
      <c r="AD49" s="1482"/>
      <c r="AE49" s="1482"/>
      <c r="AF49" s="1482"/>
      <c r="AG49" s="1482"/>
      <c r="AH49" s="1482"/>
      <c r="AI49" s="1482"/>
      <c r="AJ49" s="1482"/>
      <c r="AK49" s="1482"/>
    </row>
    <row r="50" spans="2:38" s="68" customFormat="1" ht="13.5" x14ac:dyDescent="0.3">
      <c r="B50" s="210"/>
      <c r="F50" s="1452" t="s">
        <v>779</v>
      </c>
      <c r="G50" s="1452"/>
      <c r="H50" s="1452"/>
      <c r="I50" s="1452"/>
      <c r="J50" s="1452"/>
      <c r="K50" s="1452"/>
      <c r="L50" s="1452"/>
      <c r="M50" s="1452"/>
      <c r="N50" s="1452"/>
      <c r="O50" s="1452"/>
      <c r="P50" s="1452"/>
      <c r="Q50" s="1452"/>
      <c r="R50" s="64"/>
      <c r="S50" s="64"/>
      <c r="T50" s="64"/>
      <c r="U50" s="64"/>
      <c r="V50" s="1452" t="s">
        <v>779</v>
      </c>
      <c r="W50" s="1452"/>
      <c r="X50" s="1452"/>
      <c r="Y50" s="1452"/>
      <c r="Z50" s="1452"/>
      <c r="AA50" s="1452"/>
      <c r="AB50" s="1452"/>
      <c r="AC50" s="1452"/>
      <c r="AD50" s="1452"/>
      <c r="AE50" s="1452"/>
      <c r="AF50" s="1452"/>
      <c r="AG50" s="1452"/>
      <c r="AH50" s="1452"/>
      <c r="AI50" s="1452"/>
      <c r="AJ50" s="1452"/>
      <c r="AK50" s="1452"/>
    </row>
    <row r="51" spans="2:38" s="73" customFormat="1" ht="21.75" customHeight="1" x14ac:dyDescent="0.3">
      <c r="B51" s="74" t="s">
        <v>784</v>
      </c>
      <c r="F51" s="1482" t="str">
        <f>SchInfo!F40</f>
        <v>Principal IV</v>
      </c>
      <c r="G51" s="1482"/>
      <c r="H51" s="1482"/>
      <c r="I51" s="1482"/>
      <c r="J51" s="1482"/>
      <c r="K51" s="1482"/>
      <c r="L51" s="1482"/>
      <c r="M51" s="1482"/>
      <c r="N51" s="1482"/>
      <c r="O51" s="1482"/>
      <c r="P51" s="1482"/>
      <c r="Q51" s="1482"/>
      <c r="V51" s="74" t="s">
        <v>784</v>
      </c>
      <c r="Z51" s="1482" t="str">
        <f>'Table33a-b'!V44</f>
        <v>Nurse II</v>
      </c>
      <c r="AA51" s="1482"/>
      <c r="AB51" s="1482"/>
      <c r="AC51" s="1482"/>
      <c r="AD51" s="1482"/>
      <c r="AE51" s="1482"/>
      <c r="AF51" s="1482"/>
      <c r="AG51" s="1482"/>
      <c r="AH51" s="1482"/>
      <c r="AI51" s="1482"/>
      <c r="AJ51" s="1482"/>
      <c r="AK51" s="1482"/>
    </row>
    <row r="52" spans="2:38" s="124" customFormat="1" ht="30.75" customHeight="1" x14ac:dyDescent="0.35">
      <c r="B52" s="123"/>
      <c r="D52" s="123"/>
      <c r="F52" s="123"/>
      <c r="H52" s="123"/>
      <c r="J52" s="123"/>
      <c r="L52" s="44"/>
      <c r="M52" s="85"/>
      <c r="N52" s="44"/>
      <c r="O52" s="85"/>
      <c r="P52" s="44"/>
      <c r="Q52" s="85"/>
      <c r="R52" s="44"/>
      <c r="S52" s="85"/>
      <c r="T52" s="44"/>
      <c r="U52" s="85"/>
      <c r="V52" s="44"/>
      <c r="W52" s="85"/>
      <c r="X52" s="44"/>
      <c r="Y52" s="85"/>
      <c r="Z52" s="44"/>
      <c r="AA52" s="85"/>
      <c r="AB52" s="123"/>
      <c r="AD52" s="123"/>
      <c r="AF52" s="123"/>
      <c r="AH52" s="123"/>
      <c r="AJ52" s="123"/>
      <c r="AL52" s="123"/>
    </row>
    <row r="53" spans="2:38" s="73" customFormat="1" ht="14" x14ac:dyDescent="0.3">
      <c r="L53" s="74" t="s">
        <v>922</v>
      </c>
    </row>
    <row r="54" spans="2:38" s="73" customFormat="1" ht="21.75" customHeight="1" x14ac:dyDescent="0.3">
      <c r="L54" s="1484" t="str">
        <f>SchInfo!R38</f>
        <v>MICHAEL T. JAMIS   /  March 17, 2023</v>
      </c>
      <c r="M54" s="1484"/>
      <c r="N54" s="1484"/>
      <c r="O54" s="1484"/>
      <c r="P54" s="1484"/>
      <c r="Q54" s="1484"/>
      <c r="R54" s="1484"/>
      <c r="S54" s="1484"/>
      <c r="T54" s="1484"/>
      <c r="U54" s="1484"/>
      <c r="V54" s="1484"/>
      <c r="W54" s="1484"/>
      <c r="X54" s="1484"/>
      <c r="Y54" s="1484"/>
      <c r="Z54" s="1484"/>
      <c r="AA54" s="1484"/>
    </row>
    <row r="55" spans="2:38" s="68" customFormat="1" ht="15" customHeight="1" x14ac:dyDescent="0.3">
      <c r="L55" s="1485"/>
      <c r="M55" s="1485"/>
      <c r="N55" s="1485"/>
      <c r="O55" s="1485"/>
      <c r="P55" s="1485"/>
      <c r="Q55" s="1485"/>
      <c r="R55" s="1485"/>
      <c r="S55" s="1485"/>
      <c r="T55" s="1485"/>
      <c r="U55" s="1485"/>
      <c r="V55" s="1485"/>
      <c r="W55" s="1485"/>
      <c r="X55" s="1485"/>
      <c r="Y55" s="1485"/>
      <c r="Z55" s="1485"/>
      <c r="AA55" s="1485"/>
    </row>
    <row r="56" spans="2:38" x14ac:dyDescent="0.35">
      <c r="L56" s="1452" t="s">
        <v>779</v>
      </c>
      <c r="M56" s="1452"/>
      <c r="N56" s="1452"/>
      <c r="O56" s="1452"/>
      <c r="P56" s="1452"/>
      <c r="Q56" s="1452"/>
      <c r="R56" s="1452"/>
      <c r="S56" s="1452"/>
      <c r="T56" s="1452"/>
      <c r="U56" s="1452"/>
      <c r="V56" s="1452"/>
      <c r="W56" s="1452"/>
      <c r="X56" s="1452"/>
      <c r="Y56" s="1452"/>
      <c r="Z56" s="1452"/>
      <c r="AA56" s="1452"/>
    </row>
  </sheetData>
  <sheetProtection algorithmName="SHA-512" hashValue="J1d4rEL3MsD3PIKR9TUtedKDLlpj65DvPk8MKWqiDLhU9Bp//C4hy9vNJJLZOBcrmVmX2VzH1QfC8KIkRp1Tyw==" saltValue="xOr5Xb6KTVCCGVcl0jKOIA==" spinCount="100000" sheet="1" objects="1" scenarios="1" selectLockedCells="1"/>
  <mergeCells count="43">
    <mergeCell ref="O30:U30"/>
    <mergeCell ref="U22:AA22"/>
    <mergeCell ref="AC9:AI9"/>
    <mergeCell ref="Y11:AE11"/>
    <mergeCell ref="AC15:AI15"/>
    <mergeCell ref="AC21:AI21"/>
    <mergeCell ref="AD26:AE26"/>
    <mergeCell ref="L56:AA56"/>
    <mergeCell ref="B32:AK32"/>
    <mergeCell ref="B33:AK33"/>
    <mergeCell ref="B34:AK34"/>
    <mergeCell ref="B40:L40"/>
    <mergeCell ref="W38:AA39"/>
    <mergeCell ref="AB38:AF39"/>
    <mergeCell ref="AG38:AK39"/>
    <mergeCell ref="AG40:AK40"/>
    <mergeCell ref="B38:L39"/>
    <mergeCell ref="M39:Q39"/>
    <mergeCell ref="R39:V39"/>
    <mergeCell ref="M38:V38"/>
    <mergeCell ref="M40:Q40"/>
    <mergeCell ref="R40:V40"/>
    <mergeCell ref="W40:AA40"/>
    <mergeCell ref="B43:AK43"/>
    <mergeCell ref="B44:AK44"/>
    <mergeCell ref="B45:AK45"/>
    <mergeCell ref="B46:AK46"/>
    <mergeCell ref="B42:AK42"/>
    <mergeCell ref="B35:AK35"/>
    <mergeCell ref="M41:Q41"/>
    <mergeCell ref="R41:V41"/>
    <mergeCell ref="W41:AA41"/>
    <mergeCell ref="AB41:AF41"/>
    <mergeCell ref="AG41:AK41"/>
    <mergeCell ref="B41:L41"/>
    <mergeCell ref="AB40:AF40"/>
    <mergeCell ref="F50:Q50"/>
    <mergeCell ref="L54:AA55"/>
    <mergeCell ref="V49:AK49"/>
    <mergeCell ref="Z51:AK51"/>
    <mergeCell ref="F49:Q49"/>
    <mergeCell ref="F51:Q51"/>
    <mergeCell ref="V50:AK50"/>
  </mergeCells>
  <conditionalFormatting sqref="H18">
    <cfRule type="expression" dxfId="79" priority="20">
      <formula>$AD$17</formula>
    </cfRule>
  </conditionalFormatting>
  <conditionalFormatting sqref="F26">
    <cfRule type="expression" dxfId="78" priority="11">
      <formula>$J$30</formula>
    </cfRule>
    <cfRule type="expression" dxfId="77" priority="12">
      <formula>$J$29</formula>
    </cfRule>
    <cfRule type="expression" dxfId="76" priority="13">
      <formula>$J$28</formula>
    </cfRule>
    <cfRule type="expression" dxfId="75" priority="14">
      <formula>$J$27</formula>
    </cfRule>
    <cfRule type="expression" dxfId="74" priority="15">
      <formula>$AD$25</formula>
    </cfRule>
  </conditionalFormatting>
  <conditionalFormatting sqref="F7:G7">
    <cfRule type="expression" dxfId="73" priority="10">
      <formula>AND(AD5=TRUE, OR(J8=TRUE, J9=TRUE, J10=TRUE,X8=TRUE,X9=TRUE))</formula>
    </cfRule>
  </conditionalFormatting>
  <conditionalFormatting sqref="F12">
    <cfRule type="expression" dxfId="72" priority="8">
      <formula>AND(AD5=TRUE, OR(J13=TRUE, J14=TRUE, J15=TRUE,X13=TRUE,X14=TRUE,X15=TRUE))</formula>
    </cfRule>
  </conditionalFormatting>
  <conditionalFormatting sqref="F16">
    <cfRule type="expression" dxfId="71" priority="7">
      <formula>AND(AD5=TRUE, AD16=TRUE)</formula>
    </cfRule>
  </conditionalFormatting>
  <conditionalFormatting sqref="F17">
    <cfRule type="expression" dxfId="70" priority="6">
      <formula>AND(AD5=TRUE, AD17=TRUE)</formula>
    </cfRule>
  </conditionalFormatting>
  <conditionalFormatting sqref="G18">
    <cfRule type="expression" dxfId="69" priority="5">
      <formula>AND(AD5=TRUE, AD18=TRUE)</formula>
    </cfRule>
  </conditionalFormatting>
  <conditionalFormatting sqref="G19">
    <cfRule type="expression" dxfId="68" priority="4">
      <formula>AND(AD17=TRUE, OR(J20=TRUE, J21=TRUE, X20=TRUE,X21=TRUE))</formula>
    </cfRule>
  </conditionalFormatting>
  <conditionalFormatting sqref="G22">
    <cfRule type="expression" dxfId="67" priority="3">
      <formula>AND(AD17=TRUE, U22&gt;0)</formula>
    </cfRule>
  </conditionalFormatting>
  <conditionalFormatting sqref="F23">
    <cfRule type="expression" dxfId="66" priority="2">
      <formula>AND(AD17=TRUE, AD23=TRUE)</formula>
    </cfRule>
  </conditionalFormatting>
  <conditionalFormatting sqref="E6">
    <cfRule type="expression" dxfId="65" priority="1">
      <formula>AND(AD17=TRUE, AD23=TRUE)</formula>
    </cfRule>
  </conditionalFormatting>
  <dataValidations count="2">
    <dataValidation type="decimal" allowBlank="1" showInputMessage="1" showErrorMessage="1" errorTitle="GJHSP SY 2022-2023" error="Please enter valid number between 0-1,000,000.00." sqref="Y11:AE11" xr:uid="{D854F8BA-934A-4FB2-BE19-4492CE9D73E1}">
      <formula1>0</formula1>
      <formula2>1000000</formula2>
    </dataValidation>
    <dataValidation type="whole" allowBlank="1" showInputMessage="1" showErrorMessage="1" errorTitle="GJHSP SY 2022-2023" error="Please enter valid number between 0-999." sqref="M40:AA41 AG40:AK41" xr:uid="{7CD9EB5D-569B-43CD-9C94-1A95EDF7D226}">
      <formula1>0</formula1>
      <formula2>999</formula2>
    </dataValidation>
  </dataValidations>
  <printOptions horizontalCentered="1" verticalCentered="1"/>
  <pageMargins left="0.23622047244094491" right="0.23622047244094491" top="0.19685039370078741" bottom="0.19685039370078741" header="0" footer="0.11811023622047245"/>
  <pageSetup paperSize="14" scale="70" orientation="portrait" r:id="rId1"/>
  <headerFooter alignWithMargins="0">
    <oddFooter>&amp;L&amp;10&amp;F &amp;A&amp;R&amp;10Page 31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62465" r:id="rId4" name="Check Box 1">
              <controlPr defaultSize="0" autoFill="0" autoLine="0" autoPict="0">
                <anchor moveWithCells="1">
                  <from>
                    <xdr:col>28</xdr:col>
                    <xdr:colOff>260350</xdr:colOff>
                    <xdr:row>4</xdr:row>
                    <xdr:rowOff>12700</xdr:rowOff>
                  </from>
                  <to>
                    <xdr:col>29</xdr:col>
                    <xdr:colOff>203200</xdr:colOff>
                    <xdr:row>4</xdr:row>
                    <xdr:rowOff>234950</xdr:rowOff>
                  </to>
                </anchor>
              </controlPr>
            </control>
          </mc:Choice>
        </mc:AlternateContent>
        <mc:AlternateContent xmlns:mc="http://schemas.openxmlformats.org/markup-compatibility/2006">
          <mc:Choice Requires="x14">
            <control shapeId="62466" r:id="rId5" name="Check Box 2">
              <controlPr defaultSize="0" autoFill="0" autoLine="0" autoPict="0">
                <anchor moveWithCells="1">
                  <from>
                    <xdr:col>32</xdr:col>
                    <xdr:colOff>260350</xdr:colOff>
                    <xdr:row>4</xdr:row>
                    <xdr:rowOff>12700</xdr:rowOff>
                  </from>
                  <to>
                    <xdr:col>33</xdr:col>
                    <xdr:colOff>203200</xdr:colOff>
                    <xdr:row>4</xdr:row>
                    <xdr:rowOff>234950</xdr:rowOff>
                  </to>
                </anchor>
              </controlPr>
            </control>
          </mc:Choice>
        </mc:AlternateContent>
        <mc:AlternateContent xmlns:mc="http://schemas.openxmlformats.org/markup-compatibility/2006">
          <mc:Choice Requires="x14">
            <control shapeId="62467" r:id="rId6" name="Check Box 3">
              <controlPr defaultSize="0" autoFill="0" autoLine="0" autoPict="0">
                <anchor moveWithCells="1">
                  <from>
                    <xdr:col>8</xdr:col>
                    <xdr:colOff>260350</xdr:colOff>
                    <xdr:row>7</xdr:row>
                    <xdr:rowOff>12700</xdr:rowOff>
                  </from>
                  <to>
                    <xdr:col>9</xdr:col>
                    <xdr:colOff>203200</xdr:colOff>
                    <xdr:row>7</xdr:row>
                    <xdr:rowOff>234950</xdr:rowOff>
                  </to>
                </anchor>
              </controlPr>
            </control>
          </mc:Choice>
        </mc:AlternateContent>
        <mc:AlternateContent xmlns:mc="http://schemas.openxmlformats.org/markup-compatibility/2006">
          <mc:Choice Requires="x14">
            <control shapeId="62468" r:id="rId7" name="Check Box 4">
              <controlPr defaultSize="0" autoFill="0" autoLine="0" autoPict="0">
                <anchor moveWithCells="1">
                  <from>
                    <xdr:col>8</xdr:col>
                    <xdr:colOff>260350</xdr:colOff>
                    <xdr:row>8</xdr:row>
                    <xdr:rowOff>12700</xdr:rowOff>
                  </from>
                  <to>
                    <xdr:col>9</xdr:col>
                    <xdr:colOff>203200</xdr:colOff>
                    <xdr:row>8</xdr:row>
                    <xdr:rowOff>234950</xdr:rowOff>
                  </to>
                </anchor>
              </controlPr>
            </control>
          </mc:Choice>
        </mc:AlternateContent>
        <mc:AlternateContent xmlns:mc="http://schemas.openxmlformats.org/markup-compatibility/2006">
          <mc:Choice Requires="x14">
            <control shapeId="62469" r:id="rId8" name="Check Box 5">
              <controlPr defaultSize="0" autoFill="0" autoLine="0" autoPict="0">
                <anchor moveWithCells="1">
                  <from>
                    <xdr:col>8</xdr:col>
                    <xdr:colOff>260350</xdr:colOff>
                    <xdr:row>9</xdr:row>
                    <xdr:rowOff>12700</xdr:rowOff>
                  </from>
                  <to>
                    <xdr:col>9</xdr:col>
                    <xdr:colOff>203200</xdr:colOff>
                    <xdr:row>9</xdr:row>
                    <xdr:rowOff>234950</xdr:rowOff>
                  </to>
                </anchor>
              </controlPr>
            </control>
          </mc:Choice>
        </mc:AlternateContent>
        <mc:AlternateContent xmlns:mc="http://schemas.openxmlformats.org/markup-compatibility/2006">
          <mc:Choice Requires="x14">
            <control shapeId="62470" r:id="rId9" name="Check Box 6">
              <controlPr defaultSize="0" autoFill="0" autoLine="0" autoPict="0">
                <anchor moveWithCells="1">
                  <from>
                    <xdr:col>22</xdr:col>
                    <xdr:colOff>260350</xdr:colOff>
                    <xdr:row>7</xdr:row>
                    <xdr:rowOff>12700</xdr:rowOff>
                  </from>
                  <to>
                    <xdr:col>23</xdr:col>
                    <xdr:colOff>203200</xdr:colOff>
                    <xdr:row>7</xdr:row>
                    <xdr:rowOff>234950</xdr:rowOff>
                  </to>
                </anchor>
              </controlPr>
            </control>
          </mc:Choice>
        </mc:AlternateContent>
        <mc:AlternateContent xmlns:mc="http://schemas.openxmlformats.org/markup-compatibility/2006">
          <mc:Choice Requires="x14">
            <control shapeId="62471" r:id="rId10" name="Check Box 7">
              <controlPr defaultSize="0" autoFill="0" autoLine="0" autoPict="0">
                <anchor moveWithCells="1">
                  <from>
                    <xdr:col>22</xdr:col>
                    <xdr:colOff>260350</xdr:colOff>
                    <xdr:row>8</xdr:row>
                    <xdr:rowOff>12700</xdr:rowOff>
                  </from>
                  <to>
                    <xdr:col>23</xdr:col>
                    <xdr:colOff>203200</xdr:colOff>
                    <xdr:row>8</xdr:row>
                    <xdr:rowOff>234950</xdr:rowOff>
                  </to>
                </anchor>
              </controlPr>
            </control>
          </mc:Choice>
        </mc:AlternateContent>
        <mc:AlternateContent xmlns:mc="http://schemas.openxmlformats.org/markup-compatibility/2006">
          <mc:Choice Requires="x14">
            <control shapeId="62472" r:id="rId11" name="Check Box 8">
              <controlPr defaultSize="0" autoFill="0" autoLine="0" autoPict="0">
                <anchor moveWithCells="1">
                  <from>
                    <xdr:col>8</xdr:col>
                    <xdr:colOff>260350</xdr:colOff>
                    <xdr:row>12</xdr:row>
                    <xdr:rowOff>12700</xdr:rowOff>
                  </from>
                  <to>
                    <xdr:col>9</xdr:col>
                    <xdr:colOff>203200</xdr:colOff>
                    <xdr:row>12</xdr:row>
                    <xdr:rowOff>234950</xdr:rowOff>
                  </to>
                </anchor>
              </controlPr>
            </control>
          </mc:Choice>
        </mc:AlternateContent>
        <mc:AlternateContent xmlns:mc="http://schemas.openxmlformats.org/markup-compatibility/2006">
          <mc:Choice Requires="x14">
            <control shapeId="62473" r:id="rId12" name="Check Box 9">
              <controlPr defaultSize="0" autoFill="0" autoLine="0" autoPict="0">
                <anchor moveWithCells="1">
                  <from>
                    <xdr:col>8</xdr:col>
                    <xdr:colOff>260350</xdr:colOff>
                    <xdr:row>13</xdr:row>
                    <xdr:rowOff>12700</xdr:rowOff>
                  </from>
                  <to>
                    <xdr:col>9</xdr:col>
                    <xdr:colOff>203200</xdr:colOff>
                    <xdr:row>13</xdr:row>
                    <xdr:rowOff>234950</xdr:rowOff>
                  </to>
                </anchor>
              </controlPr>
            </control>
          </mc:Choice>
        </mc:AlternateContent>
        <mc:AlternateContent xmlns:mc="http://schemas.openxmlformats.org/markup-compatibility/2006">
          <mc:Choice Requires="x14">
            <control shapeId="62474" r:id="rId13" name="Check Box 10">
              <controlPr defaultSize="0" autoFill="0" autoLine="0" autoPict="0">
                <anchor moveWithCells="1">
                  <from>
                    <xdr:col>8</xdr:col>
                    <xdr:colOff>260350</xdr:colOff>
                    <xdr:row>14</xdr:row>
                    <xdr:rowOff>12700</xdr:rowOff>
                  </from>
                  <to>
                    <xdr:col>9</xdr:col>
                    <xdr:colOff>203200</xdr:colOff>
                    <xdr:row>14</xdr:row>
                    <xdr:rowOff>234950</xdr:rowOff>
                  </to>
                </anchor>
              </controlPr>
            </control>
          </mc:Choice>
        </mc:AlternateContent>
        <mc:AlternateContent xmlns:mc="http://schemas.openxmlformats.org/markup-compatibility/2006">
          <mc:Choice Requires="x14">
            <control shapeId="62475" r:id="rId14" name="Check Box 11">
              <controlPr defaultSize="0" autoFill="0" autoLine="0" autoPict="0">
                <anchor moveWithCells="1">
                  <from>
                    <xdr:col>22</xdr:col>
                    <xdr:colOff>260350</xdr:colOff>
                    <xdr:row>12</xdr:row>
                    <xdr:rowOff>12700</xdr:rowOff>
                  </from>
                  <to>
                    <xdr:col>23</xdr:col>
                    <xdr:colOff>203200</xdr:colOff>
                    <xdr:row>12</xdr:row>
                    <xdr:rowOff>234950</xdr:rowOff>
                  </to>
                </anchor>
              </controlPr>
            </control>
          </mc:Choice>
        </mc:AlternateContent>
        <mc:AlternateContent xmlns:mc="http://schemas.openxmlformats.org/markup-compatibility/2006">
          <mc:Choice Requires="x14">
            <control shapeId="62476" r:id="rId15" name="Check Box 12">
              <controlPr defaultSize="0" autoFill="0" autoLine="0" autoPict="0">
                <anchor moveWithCells="1">
                  <from>
                    <xdr:col>22</xdr:col>
                    <xdr:colOff>260350</xdr:colOff>
                    <xdr:row>13</xdr:row>
                    <xdr:rowOff>12700</xdr:rowOff>
                  </from>
                  <to>
                    <xdr:col>23</xdr:col>
                    <xdr:colOff>203200</xdr:colOff>
                    <xdr:row>13</xdr:row>
                    <xdr:rowOff>234950</xdr:rowOff>
                  </to>
                </anchor>
              </controlPr>
            </control>
          </mc:Choice>
        </mc:AlternateContent>
        <mc:AlternateContent xmlns:mc="http://schemas.openxmlformats.org/markup-compatibility/2006">
          <mc:Choice Requires="x14">
            <control shapeId="62477" r:id="rId16" name="Check Box 13">
              <controlPr defaultSize="0" autoFill="0" autoLine="0" autoPict="0">
                <anchor moveWithCells="1">
                  <from>
                    <xdr:col>22</xdr:col>
                    <xdr:colOff>260350</xdr:colOff>
                    <xdr:row>14</xdr:row>
                    <xdr:rowOff>12700</xdr:rowOff>
                  </from>
                  <to>
                    <xdr:col>23</xdr:col>
                    <xdr:colOff>203200</xdr:colOff>
                    <xdr:row>14</xdr:row>
                    <xdr:rowOff>234950</xdr:rowOff>
                  </to>
                </anchor>
              </controlPr>
            </control>
          </mc:Choice>
        </mc:AlternateContent>
        <mc:AlternateContent xmlns:mc="http://schemas.openxmlformats.org/markup-compatibility/2006">
          <mc:Choice Requires="x14">
            <control shapeId="62478" r:id="rId17" name="Check Box 14">
              <controlPr defaultSize="0" autoFill="0" autoLine="0" autoPict="0">
                <anchor moveWithCells="1">
                  <from>
                    <xdr:col>28</xdr:col>
                    <xdr:colOff>260350</xdr:colOff>
                    <xdr:row>15</xdr:row>
                    <xdr:rowOff>12700</xdr:rowOff>
                  </from>
                  <to>
                    <xdr:col>29</xdr:col>
                    <xdr:colOff>203200</xdr:colOff>
                    <xdr:row>15</xdr:row>
                    <xdr:rowOff>234950</xdr:rowOff>
                  </to>
                </anchor>
              </controlPr>
            </control>
          </mc:Choice>
        </mc:AlternateContent>
        <mc:AlternateContent xmlns:mc="http://schemas.openxmlformats.org/markup-compatibility/2006">
          <mc:Choice Requires="x14">
            <control shapeId="62479" r:id="rId18" name="Check Box 15">
              <controlPr defaultSize="0" autoFill="0" autoLine="0" autoPict="0">
                <anchor moveWithCells="1">
                  <from>
                    <xdr:col>28</xdr:col>
                    <xdr:colOff>260350</xdr:colOff>
                    <xdr:row>16</xdr:row>
                    <xdr:rowOff>12700</xdr:rowOff>
                  </from>
                  <to>
                    <xdr:col>29</xdr:col>
                    <xdr:colOff>203200</xdr:colOff>
                    <xdr:row>16</xdr:row>
                    <xdr:rowOff>234950</xdr:rowOff>
                  </to>
                </anchor>
              </controlPr>
            </control>
          </mc:Choice>
        </mc:AlternateContent>
        <mc:AlternateContent xmlns:mc="http://schemas.openxmlformats.org/markup-compatibility/2006">
          <mc:Choice Requires="x14">
            <control shapeId="62480" r:id="rId19" name="Check Box 16">
              <controlPr defaultSize="0" autoFill="0" autoLine="0" autoPict="0">
                <anchor moveWithCells="1">
                  <from>
                    <xdr:col>32</xdr:col>
                    <xdr:colOff>260350</xdr:colOff>
                    <xdr:row>15</xdr:row>
                    <xdr:rowOff>12700</xdr:rowOff>
                  </from>
                  <to>
                    <xdr:col>33</xdr:col>
                    <xdr:colOff>203200</xdr:colOff>
                    <xdr:row>15</xdr:row>
                    <xdr:rowOff>234950</xdr:rowOff>
                  </to>
                </anchor>
              </controlPr>
            </control>
          </mc:Choice>
        </mc:AlternateContent>
        <mc:AlternateContent xmlns:mc="http://schemas.openxmlformats.org/markup-compatibility/2006">
          <mc:Choice Requires="x14">
            <control shapeId="62481" r:id="rId20" name="Check Box 17">
              <controlPr defaultSize="0" autoFill="0" autoLine="0" autoPict="0">
                <anchor moveWithCells="1">
                  <from>
                    <xdr:col>32</xdr:col>
                    <xdr:colOff>260350</xdr:colOff>
                    <xdr:row>16</xdr:row>
                    <xdr:rowOff>12700</xdr:rowOff>
                  </from>
                  <to>
                    <xdr:col>33</xdr:col>
                    <xdr:colOff>203200</xdr:colOff>
                    <xdr:row>16</xdr:row>
                    <xdr:rowOff>234950</xdr:rowOff>
                  </to>
                </anchor>
              </controlPr>
            </control>
          </mc:Choice>
        </mc:AlternateContent>
        <mc:AlternateContent xmlns:mc="http://schemas.openxmlformats.org/markup-compatibility/2006">
          <mc:Choice Requires="x14">
            <control shapeId="62482" r:id="rId21" name="Check Box 18">
              <controlPr defaultSize="0" autoFill="0" autoLine="0" autoPict="0">
                <anchor moveWithCells="1">
                  <from>
                    <xdr:col>32</xdr:col>
                    <xdr:colOff>260350</xdr:colOff>
                    <xdr:row>17</xdr:row>
                    <xdr:rowOff>12700</xdr:rowOff>
                  </from>
                  <to>
                    <xdr:col>33</xdr:col>
                    <xdr:colOff>203200</xdr:colOff>
                    <xdr:row>17</xdr:row>
                    <xdr:rowOff>234950</xdr:rowOff>
                  </to>
                </anchor>
              </controlPr>
            </control>
          </mc:Choice>
        </mc:AlternateContent>
        <mc:AlternateContent xmlns:mc="http://schemas.openxmlformats.org/markup-compatibility/2006">
          <mc:Choice Requires="x14">
            <control shapeId="62483" r:id="rId22" name="Check Box 19">
              <controlPr defaultSize="0" autoFill="0" autoLine="0" autoPict="0">
                <anchor moveWithCells="1">
                  <from>
                    <xdr:col>28</xdr:col>
                    <xdr:colOff>260350</xdr:colOff>
                    <xdr:row>17</xdr:row>
                    <xdr:rowOff>12700</xdr:rowOff>
                  </from>
                  <to>
                    <xdr:col>29</xdr:col>
                    <xdr:colOff>203200</xdr:colOff>
                    <xdr:row>17</xdr:row>
                    <xdr:rowOff>234950</xdr:rowOff>
                  </to>
                </anchor>
              </controlPr>
            </control>
          </mc:Choice>
        </mc:AlternateContent>
        <mc:AlternateContent xmlns:mc="http://schemas.openxmlformats.org/markup-compatibility/2006">
          <mc:Choice Requires="x14">
            <control shapeId="62484" r:id="rId23" name="Check Box 20">
              <controlPr defaultSize="0" autoFill="0" autoLine="0" autoPict="0">
                <anchor moveWithCells="1">
                  <from>
                    <xdr:col>22</xdr:col>
                    <xdr:colOff>260350</xdr:colOff>
                    <xdr:row>19</xdr:row>
                    <xdr:rowOff>12700</xdr:rowOff>
                  </from>
                  <to>
                    <xdr:col>23</xdr:col>
                    <xdr:colOff>203200</xdr:colOff>
                    <xdr:row>19</xdr:row>
                    <xdr:rowOff>234950</xdr:rowOff>
                  </to>
                </anchor>
              </controlPr>
            </control>
          </mc:Choice>
        </mc:AlternateContent>
        <mc:AlternateContent xmlns:mc="http://schemas.openxmlformats.org/markup-compatibility/2006">
          <mc:Choice Requires="x14">
            <control shapeId="62485" r:id="rId24" name="Check Box 21">
              <controlPr defaultSize="0" autoFill="0" autoLine="0" autoPict="0">
                <anchor moveWithCells="1">
                  <from>
                    <xdr:col>22</xdr:col>
                    <xdr:colOff>260350</xdr:colOff>
                    <xdr:row>20</xdr:row>
                    <xdr:rowOff>12700</xdr:rowOff>
                  </from>
                  <to>
                    <xdr:col>23</xdr:col>
                    <xdr:colOff>203200</xdr:colOff>
                    <xdr:row>20</xdr:row>
                    <xdr:rowOff>234950</xdr:rowOff>
                  </to>
                </anchor>
              </controlPr>
            </control>
          </mc:Choice>
        </mc:AlternateContent>
        <mc:AlternateContent xmlns:mc="http://schemas.openxmlformats.org/markup-compatibility/2006">
          <mc:Choice Requires="x14">
            <control shapeId="62486" r:id="rId25" name="Check Box 22">
              <controlPr defaultSize="0" autoFill="0" autoLine="0" autoPict="0">
                <anchor moveWithCells="1">
                  <from>
                    <xdr:col>8</xdr:col>
                    <xdr:colOff>260350</xdr:colOff>
                    <xdr:row>19</xdr:row>
                    <xdr:rowOff>12700</xdr:rowOff>
                  </from>
                  <to>
                    <xdr:col>9</xdr:col>
                    <xdr:colOff>203200</xdr:colOff>
                    <xdr:row>19</xdr:row>
                    <xdr:rowOff>234950</xdr:rowOff>
                  </to>
                </anchor>
              </controlPr>
            </control>
          </mc:Choice>
        </mc:AlternateContent>
        <mc:AlternateContent xmlns:mc="http://schemas.openxmlformats.org/markup-compatibility/2006">
          <mc:Choice Requires="x14">
            <control shapeId="62487" r:id="rId26" name="Check Box 23">
              <controlPr defaultSize="0" autoFill="0" autoLine="0" autoPict="0">
                <anchor moveWithCells="1">
                  <from>
                    <xdr:col>8</xdr:col>
                    <xdr:colOff>260350</xdr:colOff>
                    <xdr:row>20</xdr:row>
                    <xdr:rowOff>12700</xdr:rowOff>
                  </from>
                  <to>
                    <xdr:col>9</xdr:col>
                    <xdr:colOff>203200</xdr:colOff>
                    <xdr:row>20</xdr:row>
                    <xdr:rowOff>234950</xdr:rowOff>
                  </to>
                </anchor>
              </controlPr>
            </control>
          </mc:Choice>
        </mc:AlternateContent>
        <mc:AlternateContent xmlns:mc="http://schemas.openxmlformats.org/markup-compatibility/2006">
          <mc:Choice Requires="x14">
            <control shapeId="62488" r:id="rId27" name="Check Box 24">
              <controlPr defaultSize="0" autoFill="0" autoLine="0" autoPict="0">
                <anchor moveWithCells="1">
                  <from>
                    <xdr:col>28</xdr:col>
                    <xdr:colOff>260350</xdr:colOff>
                    <xdr:row>22</xdr:row>
                    <xdr:rowOff>12700</xdr:rowOff>
                  </from>
                  <to>
                    <xdr:col>29</xdr:col>
                    <xdr:colOff>203200</xdr:colOff>
                    <xdr:row>22</xdr:row>
                    <xdr:rowOff>234950</xdr:rowOff>
                  </to>
                </anchor>
              </controlPr>
            </control>
          </mc:Choice>
        </mc:AlternateContent>
        <mc:AlternateContent xmlns:mc="http://schemas.openxmlformats.org/markup-compatibility/2006">
          <mc:Choice Requires="x14">
            <control shapeId="62489" r:id="rId28" name="Check Box 25">
              <controlPr defaultSize="0" autoFill="0" autoLine="0" autoPict="0">
                <anchor moveWithCells="1">
                  <from>
                    <xdr:col>32</xdr:col>
                    <xdr:colOff>260350</xdr:colOff>
                    <xdr:row>22</xdr:row>
                    <xdr:rowOff>12700</xdr:rowOff>
                  </from>
                  <to>
                    <xdr:col>33</xdr:col>
                    <xdr:colOff>203200</xdr:colOff>
                    <xdr:row>22</xdr:row>
                    <xdr:rowOff>234950</xdr:rowOff>
                  </to>
                </anchor>
              </controlPr>
            </control>
          </mc:Choice>
        </mc:AlternateContent>
        <mc:AlternateContent xmlns:mc="http://schemas.openxmlformats.org/markup-compatibility/2006">
          <mc:Choice Requires="x14">
            <control shapeId="62490" r:id="rId29" name="Check Box 26">
              <controlPr defaultSize="0" autoFill="0" autoLine="0" autoPict="0">
                <anchor moveWithCells="1">
                  <from>
                    <xdr:col>28</xdr:col>
                    <xdr:colOff>260350</xdr:colOff>
                    <xdr:row>24</xdr:row>
                    <xdr:rowOff>12700</xdr:rowOff>
                  </from>
                  <to>
                    <xdr:col>29</xdr:col>
                    <xdr:colOff>203200</xdr:colOff>
                    <xdr:row>24</xdr:row>
                    <xdr:rowOff>234950</xdr:rowOff>
                  </to>
                </anchor>
              </controlPr>
            </control>
          </mc:Choice>
        </mc:AlternateContent>
        <mc:AlternateContent xmlns:mc="http://schemas.openxmlformats.org/markup-compatibility/2006">
          <mc:Choice Requires="x14">
            <control shapeId="62491" r:id="rId30" name="Check Box 27">
              <controlPr defaultSize="0" autoFill="0" autoLine="0" autoPict="0">
                <anchor moveWithCells="1">
                  <from>
                    <xdr:col>32</xdr:col>
                    <xdr:colOff>260350</xdr:colOff>
                    <xdr:row>24</xdr:row>
                    <xdr:rowOff>12700</xdr:rowOff>
                  </from>
                  <to>
                    <xdr:col>33</xdr:col>
                    <xdr:colOff>203200</xdr:colOff>
                    <xdr:row>24</xdr:row>
                    <xdr:rowOff>234950</xdr:rowOff>
                  </to>
                </anchor>
              </controlPr>
            </control>
          </mc:Choice>
        </mc:AlternateContent>
        <mc:AlternateContent xmlns:mc="http://schemas.openxmlformats.org/markup-compatibility/2006">
          <mc:Choice Requires="x14">
            <control shapeId="62492" r:id="rId31" name="Check Box 28">
              <controlPr defaultSize="0" autoFill="0" autoLine="0" autoPict="0">
                <anchor moveWithCells="1">
                  <from>
                    <xdr:col>8</xdr:col>
                    <xdr:colOff>260350</xdr:colOff>
                    <xdr:row>26</xdr:row>
                    <xdr:rowOff>12700</xdr:rowOff>
                  </from>
                  <to>
                    <xdr:col>9</xdr:col>
                    <xdr:colOff>203200</xdr:colOff>
                    <xdr:row>26</xdr:row>
                    <xdr:rowOff>234950</xdr:rowOff>
                  </to>
                </anchor>
              </controlPr>
            </control>
          </mc:Choice>
        </mc:AlternateContent>
        <mc:AlternateContent xmlns:mc="http://schemas.openxmlformats.org/markup-compatibility/2006">
          <mc:Choice Requires="x14">
            <control shapeId="62493" r:id="rId32" name="Check Box 29">
              <controlPr defaultSize="0" autoFill="0" autoLine="0" autoPict="0">
                <anchor moveWithCells="1">
                  <from>
                    <xdr:col>8</xdr:col>
                    <xdr:colOff>260350</xdr:colOff>
                    <xdr:row>27</xdr:row>
                    <xdr:rowOff>12700</xdr:rowOff>
                  </from>
                  <to>
                    <xdr:col>9</xdr:col>
                    <xdr:colOff>203200</xdr:colOff>
                    <xdr:row>27</xdr:row>
                    <xdr:rowOff>234950</xdr:rowOff>
                  </to>
                </anchor>
              </controlPr>
            </control>
          </mc:Choice>
        </mc:AlternateContent>
        <mc:AlternateContent xmlns:mc="http://schemas.openxmlformats.org/markup-compatibility/2006">
          <mc:Choice Requires="x14">
            <control shapeId="62494" r:id="rId33" name="Check Box 30">
              <controlPr defaultSize="0" autoFill="0" autoLine="0" autoPict="0">
                <anchor moveWithCells="1">
                  <from>
                    <xdr:col>8</xdr:col>
                    <xdr:colOff>260350</xdr:colOff>
                    <xdr:row>28</xdr:row>
                    <xdr:rowOff>12700</xdr:rowOff>
                  </from>
                  <to>
                    <xdr:col>9</xdr:col>
                    <xdr:colOff>203200</xdr:colOff>
                    <xdr:row>28</xdr:row>
                    <xdr:rowOff>234950</xdr:rowOff>
                  </to>
                </anchor>
              </controlPr>
            </control>
          </mc:Choice>
        </mc:AlternateContent>
        <mc:AlternateContent xmlns:mc="http://schemas.openxmlformats.org/markup-compatibility/2006">
          <mc:Choice Requires="x14">
            <control shapeId="62495" r:id="rId34" name="Check Box 31">
              <controlPr defaultSize="0" autoFill="0" autoLine="0" autoPict="0">
                <anchor moveWithCells="1">
                  <from>
                    <xdr:col>8</xdr:col>
                    <xdr:colOff>260350</xdr:colOff>
                    <xdr:row>29</xdr:row>
                    <xdr:rowOff>12700</xdr:rowOff>
                  </from>
                  <to>
                    <xdr:col>9</xdr:col>
                    <xdr:colOff>203200</xdr:colOff>
                    <xdr:row>29</xdr:row>
                    <xdr:rowOff>234950</xdr:rowOff>
                  </to>
                </anchor>
              </controlPr>
            </control>
          </mc:Choice>
        </mc:AlternateContent>
      </controls>
    </mc:Choice>
  </mc:AlternateConten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B5757-78ED-4D14-9194-B139F6A98982}">
  <sheetPr codeName="Sheet29">
    <pageSetUpPr fitToPage="1"/>
  </sheetPr>
  <dimension ref="B1:BN45"/>
  <sheetViews>
    <sheetView showGridLines="0" topLeftCell="B1" zoomScaleNormal="100" workbookViewId="0">
      <selection activeCell="Y38" sqref="Y38"/>
    </sheetView>
  </sheetViews>
  <sheetFormatPr defaultColWidth="9" defaultRowHeight="15.5" x14ac:dyDescent="0.35"/>
  <cols>
    <col min="1" max="1" width="2.08203125" style="546" customWidth="1"/>
    <col min="2" max="62" width="3.58203125" style="546" customWidth="1"/>
    <col min="63" max="63" width="2.08203125" style="546" customWidth="1"/>
    <col min="64" max="67" width="3.58203125" style="546" customWidth="1"/>
    <col min="68" max="16384" width="9" style="546"/>
  </cols>
  <sheetData>
    <row r="1" spans="2:66" ht="12" customHeight="1" x14ac:dyDescent="0.35"/>
    <row r="2" spans="2:66" s="402" customFormat="1" ht="20" x14ac:dyDescent="0.3">
      <c r="B2" s="459" t="s">
        <v>12725</v>
      </c>
      <c r="M2" s="425"/>
      <c r="O2" s="425"/>
      <c r="AC2" s="531"/>
      <c r="AD2" s="531"/>
      <c r="AE2" s="531"/>
      <c r="AF2" s="531"/>
      <c r="AG2" s="531"/>
      <c r="AH2" s="531"/>
      <c r="AI2" s="531"/>
      <c r="AJ2" s="531"/>
      <c r="AK2" s="531"/>
      <c r="AL2" s="531"/>
      <c r="AM2" s="531"/>
      <c r="AN2" s="531"/>
      <c r="AO2" s="531"/>
      <c r="AP2" s="531"/>
      <c r="AQ2" s="531"/>
    </row>
    <row r="3" spans="2:66" s="402" customFormat="1" ht="15" customHeight="1" thickBot="1" x14ac:dyDescent="0.4">
      <c r="B3" s="826" t="s">
        <v>1098</v>
      </c>
      <c r="I3" s="425"/>
      <c r="K3" s="425"/>
      <c r="T3" s="531"/>
      <c r="U3" s="531"/>
      <c r="W3" s="531"/>
      <c r="X3" s="531"/>
      <c r="Z3" s="531"/>
      <c r="AA3" s="531"/>
      <c r="AC3" s="531"/>
      <c r="AD3" s="531"/>
      <c r="AF3" s="531"/>
      <c r="AG3" s="531"/>
      <c r="AH3" s="531"/>
      <c r="AI3" s="531"/>
      <c r="AJ3" s="531"/>
      <c r="AK3" s="531"/>
      <c r="AL3" s="531"/>
      <c r="AM3" s="531"/>
      <c r="AN3" s="531"/>
    </row>
    <row r="4" spans="2:66" s="402" customFormat="1" ht="15.75" customHeight="1" thickTop="1" x14ac:dyDescent="0.35">
      <c r="B4" s="2595" t="s">
        <v>627</v>
      </c>
      <c r="C4" s="2596"/>
      <c r="D4" s="2596"/>
      <c r="E4" s="2596"/>
      <c r="F4" s="2596"/>
      <c r="G4" s="2596"/>
      <c r="H4" s="2596"/>
      <c r="I4" s="2596"/>
      <c r="J4" s="2596"/>
      <c r="K4" s="2596"/>
      <c r="L4" s="2596"/>
      <c r="M4" s="2596"/>
      <c r="N4" s="2596"/>
      <c r="O4" s="2596"/>
      <c r="P4" s="2597"/>
      <c r="Q4" s="2742" t="s">
        <v>87</v>
      </c>
      <c r="R4" s="2596"/>
      <c r="S4" s="2596"/>
      <c r="T4" s="2596"/>
      <c r="U4" s="2597"/>
      <c r="V4" s="2997" t="s">
        <v>88</v>
      </c>
      <c r="W4" s="2741"/>
      <c r="X4" s="2741"/>
      <c r="Y4" s="2741"/>
      <c r="Z4" s="2989"/>
      <c r="AA4" s="2997" t="s">
        <v>89</v>
      </c>
      <c r="AB4" s="2741"/>
      <c r="AC4" s="2741"/>
      <c r="AD4" s="2741"/>
      <c r="AE4" s="2989"/>
      <c r="AF4" s="3013" t="s">
        <v>90</v>
      </c>
      <c r="AG4" s="3014"/>
      <c r="AH4" s="3014"/>
      <c r="AI4" s="3014"/>
      <c r="AJ4" s="3015"/>
      <c r="AK4" s="3019" t="s">
        <v>362</v>
      </c>
      <c r="AL4" s="3020"/>
      <c r="AM4" s="3020"/>
      <c r="AN4" s="3020"/>
      <c r="AO4" s="3021"/>
    </row>
    <row r="5" spans="2:66" s="402" customFormat="1" ht="16" thickBot="1" x14ac:dyDescent="0.4">
      <c r="B5" s="2598"/>
      <c r="C5" s="2599"/>
      <c r="D5" s="2599"/>
      <c r="E5" s="2599"/>
      <c r="F5" s="2599"/>
      <c r="G5" s="2599"/>
      <c r="H5" s="2599"/>
      <c r="I5" s="2599"/>
      <c r="J5" s="2599"/>
      <c r="K5" s="2599"/>
      <c r="L5" s="2599"/>
      <c r="M5" s="2599"/>
      <c r="N5" s="2599"/>
      <c r="O5" s="2599"/>
      <c r="P5" s="2600"/>
      <c r="Q5" s="3219"/>
      <c r="R5" s="2599"/>
      <c r="S5" s="2599"/>
      <c r="T5" s="2599"/>
      <c r="U5" s="2600"/>
      <c r="V5" s="2583"/>
      <c r="W5" s="2584"/>
      <c r="X5" s="2584"/>
      <c r="Y5" s="2584"/>
      <c r="Z5" s="2991"/>
      <c r="AA5" s="2583"/>
      <c r="AB5" s="2584"/>
      <c r="AC5" s="2584"/>
      <c r="AD5" s="2584"/>
      <c r="AE5" s="2991"/>
      <c r="AF5" s="3220"/>
      <c r="AG5" s="3221"/>
      <c r="AH5" s="3221"/>
      <c r="AI5" s="3221"/>
      <c r="AJ5" s="3222"/>
      <c r="AK5" s="2587"/>
      <c r="AL5" s="2588"/>
      <c r="AM5" s="2588"/>
      <c r="AN5" s="2588"/>
      <c r="AO5" s="2589"/>
    </row>
    <row r="6" spans="2:66" s="403" customFormat="1" ht="25.5" customHeight="1" thickTop="1" x14ac:dyDescent="0.35">
      <c r="B6" s="3216" t="s">
        <v>523</v>
      </c>
      <c r="C6" s="3217"/>
      <c r="D6" s="3217"/>
      <c r="E6" s="3217"/>
      <c r="F6" s="3217"/>
      <c r="G6" s="3217"/>
      <c r="H6" s="3217"/>
      <c r="I6" s="3217"/>
      <c r="J6" s="3217"/>
      <c r="K6" s="3217"/>
      <c r="L6" s="3217"/>
      <c r="M6" s="3217"/>
      <c r="N6" s="3217"/>
      <c r="O6" s="3217"/>
      <c r="P6" s="3218"/>
      <c r="Q6" s="3071">
        <v>0</v>
      </c>
      <c r="R6" s="3072"/>
      <c r="S6" s="3072"/>
      <c r="T6" s="3072"/>
      <c r="U6" s="3073"/>
      <c r="V6" s="3071">
        <v>0</v>
      </c>
      <c r="W6" s="3072"/>
      <c r="X6" s="3072"/>
      <c r="Y6" s="3072"/>
      <c r="Z6" s="3073"/>
      <c r="AA6" s="3071">
        <v>0</v>
      </c>
      <c r="AB6" s="3072"/>
      <c r="AC6" s="3072"/>
      <c r="AD6" s="3072"/>
      <c r="AE6" s="3073"/>
      <c r="AF6" s="3071">
        <v>0</v>
      </c>
      <c r="AG6" s="3072"/>
      <c r="AH6" s="3072"/>
      <c r="AI6" s="3072"/>
      <c r="AJ6" s="3084"/>
      <c r="AK6" s="2548">
        <f>SUM(Q6:AJ6)</f>
        <v>0</v>
      </c>
      <c r="AL6" s="2549"/>
      <c r="AM6" s="2549"/>
      <c r="AN6" s="2549"/>
      <c r="AO6" s="2550"/>
    </row>
    <row r="7" spans="2:66" s="403" customFormat="1" ht="18" customHeight="1" x14ac:dyDescent="0.35">
      <c r="B7" s="3226" t="s">
        <v>739</v>
      </c>
      <c r="C7" s="3227"/>
      <c r="D7" s="3227"/>
      <c r="E7" s="3227"/>
      <c r="F7" s="3227"/>
      <c r="G7" s="3227"/>
      <c r="H7" s="3227"/>
      <c r="I7" s="3227"/>
      <c r="J7" s="3227"/>
      <c r="K7" s="3227"/>
      <c r="L7" s="3227"/>
      <c r="M7" s="3227"/>
      <c r="N7" s="3227"/>
      <c r="O7" s="3227"/>
      <c r="P7" s="3228"/>
      <c r="Q7" s="3229"/>
      <c r="R7" s="3230"/>
      <c r="S7" s="3230"/>
      <c r="T7" s="3230"/>
      <c r="U7" s="3230"/>
      <c r="V7" s="3230"/>
      <c r="W7" s="3230"/>
      <c r="X7" s="3230"/>
      <c r="Y7" s="3230"/>
      <c r="Z7" s="3230"/>
      <c r="AA7" s="3230"/>
      <c r="AB7" s="3230"/>
      <c r="AC7" s="3230"/>
      <c r="AD7" s="3230"/>
      <c r="AE7" s="3230"/>
      <c r="AF7" s="3230"/>
      <c r="AG7" s="3230"/>
      <c r="AH7" s="3230"/>
      <c r="AI7" s="3230"/>
      <c r="AJ7" s="3230"/>
      <c r="AK7" s="3230"/>
      <c r="AL7" s="3230"/>
      <c r="AM7" s="3230"/>
      <c r="AN7" s="3230"/>
      <c r="AO7" s="3231"/>
    </row>
    <row r="8" spans="2:66" s="403" customFormat="1" ht="25.5" customHeight="1" x14ac:dyDescent="0.35">
      <c r="B8" s="3223" t="s">
        <v>628</v>
      </c>
      <c r="C8" s="3224"/>
      <c r="D8" s="3224"/>
      <c r="E8" s="3224"/>
      <c r="F8" s="3224"/>
      <c r="G8" s="3224"/>
      <c r="H8" s="3224"/>
      <c r="I8" s="3224"/>
      <c r="J8" s="3224"/>
      <c r="K8" s="3224"/>
      <c r="L8" s="3224"/>
      <c r="M8" s="3224"/>
      <c r="N8" s="3224"/>
      <c r="O8" s="3224"/>
      <c r="P8" s="3225"/>
      <c r="Q8" s="2981">
        <v>0</v>
      </c>
      <c r="R8" s="2979"/>
      <c r="S8" s="2979"/>
      <c r="T8" s="2979"/>
      <c r="U8" s="2980"/>
      <c r="V8" s="2981">
        <v>0</v>
      </c>
      <c r="W8" s="2979"/>
      <c r="X8" s="2979"/>
      <c r="Y8" s="2979"/>
      <c r="Z8" s="2980"/>
      <c r="AA8" s="2981">
        <v>0</v>
      </c>
      <c r="AB8" s="2979"/>
      <c r="AC8" s="2979"/>
      <c r="AD8" s="2979"/>
      <c r="AE8" s="2980"/>
      <c r="AF8" s="2981">
        <v>0</v>
      </c>
      <c r="AG8" s="2979"/>
      <c r="AH8" s="2979"/>
      <c r="AI8" s="2979"/>
      <c r="AJ8" s="2983"/>
      <c r="AK8" s="2545">
        <f>SUM(Q8:AJ8)</f>
        <v>0</v>
      </c>
      <c r="AL8" s="2546"/>
      <c r="AM8" s="2546"/>
      <c r="AN8" s="2546"/>
      <c r="AO8" s="2547"/>
    </row>
    <row r="9" spans="2:66" s="403" customFormat="1" ht="25.5" customHeight="1" x14ac:dyDescent="0.35">
      <c r="B9" s="3223" t="s">
        <v>629</v>
      </c>
      <c r="C9" s="3224"/>
      <c r="D9" s="3224"/>
      <c r="E9" s="3224"/>
      <c r="F9" s="3224"/>
      <c r="G9" s="3224"/>
      <c r="H9" s="3224"/>
      <c r="I9" s="3224"/>
      <c r="J9" s="3224"/>
      <c r="K9" s="3224"/>
      <c r="L9" s="3224"/>
      <c r="M9" s="3224"/>
      <c r="N9" s="3224"/>
      <c r="O9" s="3224"/>
      <c r="P9" s="3225"/>
      <c r="Q9" s="2981">
        <v>0</v>
      </c>
      <c r="R9" s="2979"/>
      <c r="S9" s="2979"/>
      <c r="T9" s="2979"/>
      <c r="U9" s="2980"/>
      <c r="V9" s="2981">
        <v>0</v>
      </c>
      <c r="W9" s="2979"/>
      <c r="X9" s="2979"/>
      <c r="Y9" s="2979"/>
      <c r="Z9" s="2980"/>
      <c r="AA9" s="2981">
        <v>0</v>
      </c>
      <c r="AB9" s="2979"/>
      <c r="AC9" s="2979"/>
      <c r="AD9" s="2979"/>
      <c r="AE9" s="2980"/>
      <c r="AF9" s="2981">
        <v>0</v>
      </c>
      <c r="AG9" s="2979"/>
      <c r="AH9" s="2979"/>
      <c r="AI9" s="2979"/>
      <c r="AJ9" s="2983"/>
      <c r="AK9" s="2545">
        <f>SUM(Q9:AJ9)</f>
        <v>0</v>
      </c>
      <c r="AL9" s="2546"/>
      <c r="AM9" s="2546"/>
      <c r="AN9" s="2546"/>
      <c r="AO9" s="2547"/>
    </row>
    <row r="10" spans="2:66" s="403" customFormat="1" ht="18" customHeight="1" x14ac:dyDescent="0.35">
      <c r="B10" s="3226" t="s">
        <v>1332</v>
      </c>
      <c r="C10" s="3227"/>
      <c r="D10" s="3227"/>
      <c r="E10" s="3227"/>
      <c r="F10" s="3227"/>
      <c r="G10" s="3227"/>
      <c r="H10" s="3227"/>
      <c r="I10" s="3227"/>
      <c r="J10" s="3227"/>
      <c r="K10" s="3227"/>
      <c r="L10" s="3227"/>
      <c r="M10" s="3227"/>
      <c r="N10" s="3227"/>
      <c r="O10" s="3227"/>
      <c r="P10" s="3228"/>
      <c r="Q10" s="3229"/>
      <c r="R10" s="3230"/>
      <c r="S10" s="3230"/>
      <c r="T10" s="3230"/>
      <c r="U10" s="3230"/>
      <c r="V10" s="3230"/>
      <c r="W10" s="3230"/>
      <c r="X10" s="3230"/>
      <c r="Y10" s="3230"/>
      <c r="Z10" s="3230"/>
      <c r="AA10" s="3230"/>
      <c r="AB10" s="3230"/>
      <c r="AC10" s="3230"/>
      <c r="AD10" s="3230"/>
      <c r="AE10" s="3230"/>
      <c r="AF10" s="3230"/>
      <c r="AG10" s="3230"/>
      <c r="AH10" s="3230"/>
      <c r="AI10" s="3230"/>
      <c r="AJ10" s="3230"/>
      <c r="AK10" s="3230"/>
      <c r="AL10" s="3230"/>
      <c r="AM10" s="3230"/>
      <c r="AN10" s="3230"/>
      <c r="AO10" s="3231"/>
    </row>
    <row r="11" spans="2:66" s="403" customFormat="1" ht="25.5" customHeight="1" x14ac:dyDescent="0.35">
      <c r="B11" s="3223" t="s">
        <v>1333</v>
      </c>
      <c r="C11" s="3224"/>
      <c r="D11" s="3224"/>
      <c r="E11" s="3224"/>
      <c r="F11" s="3224"/>
      <c r="G11" s="3224"/>
      <c r="H11" s="3224"/>
      <c r="I11" s="3224"/>
      <c r="J11" s="3224"/>
      <c r="K11" s="3224"/>
      <c r="L11" s="3224"/>
      <c r="M11" s="3224"/>
      <c r="N11" s="3224"/>
      <c r="O11" s="3224"/>
      <c r="P11" s="3225"/>
      <c r="Q11" s="2981">
        <v>0</v>
      </c>
      <c r="R11" s="2979"/>
      <c r="S11" s="2979"/>
      <c r="T11" s="2979"/>
      <c r="U11" s="2980"/>
      <c r="V11" s="2981">
        <v>0</v>
      </c>
      <c r="W11" s="2979"/>
      <c r="X11" s="2979"/>
      <c r="Y11" s="2979"/>
      <c r="Z11" s="2980"/>
      <c r="AA11" s="2981">
        <v>0</v>
      </c>
      <c r="AB11" s="2979"/>
      <c r="AC11" s="2979"/>
      <c r="AD11" s="2979"/>
      <c r="AE11" s="2980"/>
      <c r="AF11" s="2981">
        <v>0</v>
      </c>
      <c r="AG11" s="2979"/>
      <c r="AH11" s="2979"/>
      <c r="AI11" s="2979"/>
      <c r="AJ11" s="2983"/>
      <c r="AK11" s="2545">
        <f>SUM(Q11:AJ11)</f>
        <v>0</v>
      </c>
      <c r="AL11" s="2546"/>
      <c r="AM11" s="2546"/>
      <c r="AN11" s="2546"/>
      <c r="AO11" s="2547"/>
    </row>
    <row r="12" spans="2:66" s="403" customFormat="1" ht="25.5" customHeight="1" x14ac:dyDescent="0.35">
      <c r="B12" s="3223" t="s">
        <v>1334</v>
      </c>
      <c r="C12" s="3224"/>
      <c r="D12" s="3224"/>
      <c r="E12" s="3224"/>
      <c r="F12" s="3224"/>
      <c r="G12" s="3224"/>
      <c r="H12" s="3224"/>
      <c r="I12" s="3224"/>
      <c r="J12" s="3224"/>
      <c r="K12" s="3224"/>
      <c r="L12" s="3224"/>
      <c r="M12" s="3224"/>
      <c r="N12" s="3224"/>
      <c r="O12" s="3224"/>
      <c r="P12" s="3225"/>
      <c r="Q12" s="2981">
        <v>0</v>
      </c>
      <c r="R12" s="2979"/>
      <c r="S12" s="2979"/>
      <c r="T12" s="2979"/>
      <c r="U12" s="2980"/>
      <c r="V12" s="2981">
        <v>0</v>
      </c>
      <c r="W12" s="2979"/>
      <c r="X12" s="2979"/>
      <c r="Y12" s="2979"/>
      <c r="Z12" s="2980"/>
      <c r="AA12" s="2981">
        <v>0</v>
      </c>
      <c r="AB12" s="2979"/>
      <c r="AC12" s="2979"/>
      <c r="AD12" s="2979"/>
      <c r="AE12" s="2980"/>
      <c r="AF12" s="2981">
        <v>0</v>
      </c>
      <c r="AG12" s="2979"/>
      <c r="AH12" s="2979"/>
      <c r="AI12" s="2979"/>
      <c r="AJ12" s="2983"/>
      <c r="AK12" s="2545">
        <f t="shared" ref="AK12:AK14" si="0">SUM(Q12:AJ12)</f>
        <v>0</v>
      </c>
      <c r="AL12" s="2546"/>
      <c r="AM12" s="2546"/>
      <c r="AN12" s="2546"/>
      <c r="AO12" s="2547"/>
    </row>
    <row r="13" spans="2:66" s="403" customFormat="1" ht="25.5" customHeight="1" x14ac:dyDescent="0.35">
      <c r="B13" s="3226" t="s">
        <v>524</v>
      </c>
      <c r="C13" s="3227"/>
      <c r="D13" s="3227"/>
      <c r="E13" s="3227"/>
      <c r="F13" s="3227"/>
      <c r="G13" s="3227"/>
      <c r="H13" s="3227"/>
      <c r="I13" s="3227"/>
      <c r="J13" s="3227"/>
      <c r="K13" s="3227"/>
      <c r="L13" s="3227"/>
      <c r="M13" s="3227"/>
      <c r="N13" s="3227"/>
      <c r="O13" s="3227"/>
      <c r="P13" s="3228"/>
      <c r="Q13" s="2981">
        <v>0</v>
      </c>
      <c r="R13" s="2979"/>
      <c r="S13" s="2979"/>
      <c r="T13" s="2979"/>
      <c r="U13" s="2980"/>
      <c r="V13" s="2981">
        <v>0</v>
      </c>
      <c r="W13" s="2979"/>
      <c r="X13" s="2979"/>
      <c r="Y13" s="2979"/>
      <c r="Z13" s="2980"/>
      <c r="AA13" s="2981">
        <v>0</v>
      </c>
      <c r="AB13" s="2979"/>
      <c r="AC13" s="2979"/>
      <c r="AD13" s="2979"/>
      <c r="AE13" s="2980"/>
      <c r="AF13" s="2981">
        <v>0</v>
      </c>
      <c r="AG13" s="2979"/>
      <c r="AH13" s="2979"/>
      <c r="AI13" s="2979"/>
      <c r="AJ13" s="2983"/>
      <c r="AK13" s="2545">
        <f t="shared" si="0"/>
        <v>0</v>
      </c>
      <c r="AL13" s="2546"/>
      <c r="AM13" s="2546"/>
      <c r="AN13" s="2546"/>
      <c r="AO13" s="2547"/>
    </row>
    <row r="14" spans="2:66" s="403" customFormat="1" ht="25.5" customHeight="1" thickBot="1" x14ac:dyDescent="0.4">
      <c r="B14" s="3232" t="s">
        <v>525</v>
      </c>
      <c r="C14" s="3233"/>
      <c r="D14" s="3233"/>
      <c r="E14" s="3233"/>
      <c r="F14" s="3233"/>
      <c r="G14" s="3233"/>
      <c r="H14" s="3233"/>
      <c r="I14" s="3233"/>
      <c r="J14" s="3233"/>
      <c r="K14" s="3233"/>
      <c r="L14" s="3233"/>
      <c r="M14" s="3233"/>
      <c r="N14" s="3233"/>
      <c r="O14" s="3233"/>
      <c r="P14" s="3234"/>
      <c r="Q14" s="3001">
        <v>0</v>
      </c>
      <c r="R14" s="3002"/>
      <c r="S14" s="3002"/>
      <c r="T14" s="3002"/>
      <c r="U14" s="3120"/>
      <c r="V14" s="3001">
        <v>0</v>
      </c>
      <c r="W14" s="3002"/>
      <c r="X14" s="3002"/>
      <c r="Y14" s="3002"/>
      <c r="Z14" s="3120"/>
      <c r="AA14" s="3001">
        <v>0</v>
      </c>
      <c r="AB14" s="3002"/>
      <c r="AC14" s="3002"/>
      <c r="AD14" s="3002"/>
      <c r="AE14" s="3120"/>
      <c r="AF14" s="3001">
        <v>0</v>
      </c>
      <c r="AG14" s="3002"/>
      <c r="AH14" s="3002"/>
      <c r="AI14" s="3002"/>
      <c r="AJ14" s="3005"/>
      <c r="AK14" s="2542">
        <f t="shared" si="0"/>
        <v>0</v>
      </c>
      <c r="AL14" s="2543"/>
      <c r="AM14" s="2543"/>
      <c r="AN14" s="2543"/>
      <c r="AO14" s="2544"/>
    </row>
    <row r="15" spans="2:66" s="761" customFormat="1" ht="7.5" customHeight="1" thickTop="1" x14ac:dyDescent="0.3">
      <c r="B15" s="85"/>
      <c r="C15" s="762"/>
      <c r="D15" s="762"/>
      <c r="E15" s="762"/>
      <c r="F15" s="762"/>
      <c r="G15" s="762"/>
      <c r="H15" s="763"/>
      <c r="I15" s="763"/>
      <c r="J15" s="763"/>
      <c r="K15" s="763"/>
      <c r="L15" s="763"/>
      <c r="M15" s="763"/>
      <c r="N15" s="763"/>
      <c r="O15" s="763"/>
      <c r="P15" s="763"/>
      <c r="Q15" s="763"/>
      <c r="R15" s="763"/>
      <c r="S15" s="763"/>
      <c r="T15" s="763"/>
      <c r="U15" s="763"/>
      <c r="V15" s="763"/>
      <c r="W15" s="763"/>
      <c r="X15" s="763"/>
      <c r="Y15" s="763"/>
      <c r="Z15" s="763"/>
      <c r="AA15" s="763"/>
      <c r="AB15" s="763"/>
      <c r="AC15" s="763"/>
      <c r="AD15" s="763"/>
      <c r="AE15" s="763"/>
      <c r="AF15" s="763"/>
      <c r="AG15" s="763"/>
      <c r="AH15" s="763"/>
      <c r="AI15" s="763"/>
      <c r="AJ15" s="763"/>
      <c r="AK15" s="763"/>
      <c r="AL15" s="763"/>
      <c r="AM15" s="763"/>
      <c r="AN15" s="763"/>
      <c r="AO15" s="763"/>
      <c r="AP15" s="763"/>
      <c r="AQ15" s="763"/>
    </row>
    <row r="16" spans="2:66" s="87" customFormat="1" ht="30" customHeight="1" x14ac:dyDescent="0.3">
      <c r="B16" s="827" t="s">
        <v>150</v>
      </c>
      <c r="C16" s="2893" t="s">
        <v>740</v>
      </c>
      <c r="D16" s="2893"/>
      <c r="E16" s="2893"/>
      <c r="F16" s="2893"/>
      <c r="G16" s="2893"/>
      <c r="H16" s="2893"/>
      <c r="I16" s="2893"/>
      <c r="J16" s="2893"/>
      <c r="K16" s="2893"/>
      <c r="L16" s="2893"/>
      <c r="M16" s="2893"/>
      <c r="N16" s="2893"/>
      <c r="O16" s="2893"/>
      <c r="P16" s="2893"/>
      <c r="Q16" s="2893"/>
      <c r="R16" s="2893"/>
      <c r="S16" s="2893"/>
      <c r="T16" s="2893"/>
      <c r="U16" s="2893"/>
      <c r="V16" s="2893"/>
      <c r="W16" s="2893"/>
      <c r="X16" s="2893"/>
      <c r="Y16" s="2893"/>
      <c r="Z16" s="2893"/>
      <c r="AA16" s="2893"/>
      <c r="AB16" s="2893"/>
      <c r="AC16" s="2893"/>
      <c r="AD16" s="2893"/>
      <c r="AE16" s="2893"/>
      <c r="AF16" s="2893"/>
      <c r="AG16" s="2893"/>
      <c r="AH16" s="2893"/>
      <c r="AI16" s="2893"/>
      <c r="AJ16" s="2893"/>
      <c r="AK16" s="2893"/>
      <c r="AL16" s="2893"/>
      <c r="AM16" s="2893"/>
      <c r="AN16" s="2893"/>
      <c r="AO16" s="2893"/>
      <c r="AP16" s="688"/>
      <c r="AQ16" s="688"/>
      <c r="AR16" s="688"/>
      <c r="AS16" s="688"/>
      <c r="AT16" s="688"/>
      <c r="AU16" s="688"/>
      <c r="AV16" s="688"/>
      <c r="AW16" s="688"/>
      <c r="AX16" s="688"/>
      <c r="AY16" s="688"/>
      <c r="AZ16" s="688"/>
      <c r="BA16" s="688"/>
      <c r="BB16" s="688"/>
      <c r="BC16" s="688"/>
      <c r="BD16" s="828"/>
      <c r="BE16" s="828"/>
      <c r="BF16" s="828"/>
      <c r="BG16" s="828"/>
      <c r="BH16" s="828"/>
      <c r="BI16" s="828"/>
      <c r="BJ16" s="828"/>
      <c r="BK16" s="828"/>
      <c r="BL16" s="828"/>
      <c r="BM16" s="828"/>
      <c r="BN16" s="828"/>
    </row>
    <row r="17" spans="2:66" s="87" customFormat="1" ht="15" customHeight="1" x14ac:dyDescent="0.3">
      <c r="B17" s="827" t="s">
        <v>151</v>
      </c>
      <c r="C17" s="2893" t="s">
        <v>741</v>
      </c>
      <c r="D17" s="2893"/>
      <c r="E17" s="2893"/>
      <c r="F17" s="2893"/>
      <c r="G17" s="2893"/>
      <c r="H17" s="2893"/>
      <c r="I17" s="2893"/>
      <c r="J17" s="2893"/>
      <c r="K17" s="2893"/>
      <c r="L17" s="2893"/>
      <c r="M17" s="2893"/>
      <c r="N17" s="2893"/>
      <c r="O17" s="2893"/>
      <c r="P17" s="2893"/>
      <c r="Q17" s="2893"/>
      <c r="R17" s="2893"/>
      <c r="S17" s="2893"/>
      <c r="T17" s="2893"/>
      <c r="U17" s="2893"/>
      <c r="V17" s="2893"/>
      <c r="W17" s="2893"/>
      <c r="X17" s="2893"/>
      <c r="Y17" s="2893"/>
      <c r="Z17" s="2893"/>
      <c r="AA17" s="2893"/>
      <c r="AB17" s="2893"/>
      <c r="AC17" s="2893"/>
      <c r="AD17" s="2893"/>
      <c r="AE17" s="2893"/>
      <c r="AF17" s="2893"/>
      <c r="AG17" s="2893"/>
      <c r="AH17" s="2893"/>
      <c r="AI17" s="2893"/>
      <c r="AJ17" s="2893"/>
      <c r="AK17" s="2893"/>
      <c r="AL17" s="2893"/>
      <c r="AM17" s="2893"/>
      <c r="AN17" s="2893"/>
      <c r="AO17" s="2893"/>
      <c r="AP17" s="688"/>
      <c r="AQ17" s="688"/>
      <c r="AR17" s="688"/>
      <c r="AS17" s="688"/>
      <c r="AT17" s="688"/>
      <c r="AU17" s="688"/>
      <c r="AV17" s="688"/>
      <c r="AW17" s="688"/>
      <c r="AX17" s="688"/>
      <c r="AY17" s="688"/>
      <c r="AZ17" s="688"/>
      <c r="BA17" s="688"/>
      <c r="BB17" s="688"/>
      <c r="BC17" s="688"/>
      <c r="BD17" s="828"/>
      <c r="BE17" s="828"/>
      <c r="BF17" s="828"/>
      <c r="BG17" s="828"/>
      <c r="BH17" s="828"/>
      <c r="BI17" s="828"/>
      <c r="BJ17" s="828"/>
      <c r="BK17" s="828"/>
      <c r="BL17" s="828"/>
      <c r="BM17" s="828"/>
      <c r="BN17" s="828"/>
    </row>
    <row r="18" spans="2:66" s="87" customFormat="1" ht="15" customHeight="1" x14ac:dyDescent="0.3">
      <c r="B18" s="827" t="s">
        <v>152</v>
      </c>
      <c r="C18" s="2893" t="s">
        <v>742</v>
      </c>
      <c r="D18" s="2893"/>
      <c r="E18" s="2893"/>
      <c r="F18" s="2893"/>
      <c r="G18" s="2893"/>
      <c r="H18" s="2893"/>
      <c r="I18" s="2893"/>
      <c r="J18" s="2893"/>
      <c r="K18" s="2893"/>
      <c r="L18" s="2893"/>
      <c r="M18" s="2893"/>
      <c r="N18" s="2893"/>
      <c r="O18" s="2893"/>
      <c r="P18" s="2893"/>
      <c r="Q18" s="2893"/>
      <c r="R18" s="2893"/>
      <c r="S18" s="2893"/>
      <c r="T18" s="2893"/>
      <c r="U18" s="2893"/>
      <c r="V18" s="2893"/>
      <c r="W18" s="2893"/>
      <c r="X18" s="2893"/>
      <c r="Y18" s="2893"/>
      <c r="Z18" s="2893"/>
      <c r="AA18" s="2893"/>
      <c r="AB18" s="2893"/>
      <c r="AC18" s="2893"/>
      <c r="AD18" s="2893"/>
      <c r="AE18" s="2893"/>
      <c r="AF18" s="2893"/>
      <c r="AG18" s="2893"/>
      <c r="AH18" s="2893"/>
      <c r="AI18" s="2893"/>
      <c r="AJ18" s="2893"/>
      <c r="AK18" s="2893"/>
      <c r="AL18" s="2893"/>
      <c r="AM18" s="2893"/>
      <c r="AN18" s="2893"/>
      <c r="AO18" s="2893"/>
      <c r="AP18" s="688"/>
      <c r="AQ18" s="688"/>
      <c r="AR18" s="688"/>
      <c r="AS18" s="688"/>
      <c r="AT18" s="688"/>
      <c r="AU18" s="688"/>
      <c r="AV18" s="688"/>
      <c r="AW18" s="688"/>
      <c r="AX18" s="688"/>
      <c r="AY18" s="688"/>
      <c r="AZ18" s="688"/>
      <c r="BA18" s="688"/>
      <c r="BB18" s="688"/>
      <c r="BC18" s="688"/>
      <c r="BD18" s="828"/>
      <c r="BE18" s="828"/>
      <c r="BF18" s="828"/>
      <c r="BG18" s="828"/>
      <c r="BH18" s="828"/>
      <c r="BI18" s="828"/>
      <c r="BJ18" s="829"/>
      <c r="BK18" s="829"/>
      <c r="BL18" s="829"/>
      <c r="BM18" s="829"/>
      <c r="BN18" s="829"/>
    </row>
    <row r="19" spans="2:66" s="761" customFormat="1" ht="20" customHeight="1" x14ac:dyDescent="0.3">
      <c r="B19" s="85"/>
      <c r="C19" s="762"/>
      <c r="D19" s="762"/>
      <c r="E19" s="762"/>
      <c r="F19" s="762"/>
      <c r="G19" s="762"/>
      <c r="H19" s="763"/>
      <c r="I19" s="763"/>
      <c r="J19" s="763"/>
      <c r="K19" s="763"/>
      <c r="L19" s="763"/>
      <c r="M19" s="763"/>
      <c r="N19" s="763"/>
      <c r="O19" s="763"/>
      <c r="P19" s="763"/>
      <c r="Q19" s="763"/>
      <c r="R19" s="763"/>
      <c r="S19" s="763"/>
      <c r="T19" s="763"/>
      <c r="U19" s="763"/>
      <c r="V19" s="763"/>
      <c r="W19" s="763"/>
      <c r="X19" s="763"/>
      <c r="Y19" s="763"/>
      <c r="Z19" s="763"/>
      <c r="AA19" s="763"/>
      <c r="AB19" s="763"/>
      <c r="AC19" s="763"/>
      <c r="AD19" s="763"/>
      <c r="AE19" s="763"/>
      <c r="AF19" s="763"/>
      <c r="AG19" s="763"/>
      <c r="AH19" s="763"/>
      <c r="AI19" s="763"/>
      <c r="AJ19" s="763"/>
      <c r="AK19" s="763"/>
      <c r="AL19" s="763"/>
      <c r="AM19" s="763"/>
      <c r="AN19" s="763"/>
      <c r="AO19" s="763"/>
      <c r="AP19" s="763"/>
      <c r="AQ19" s="763"/>
      <c r="AR19" s="763"/>
    </row>
    <row r="20" spans="2:66" s="402" customFormat="1" ht="20" x14ac:dyDescent="0.3">
      <c r="B20" s="459" t="s">
        <v>12726</v>
      </c>
      <c r="M20" s="425"/>
      <c r="O20" s="425"/>
      <c r="AC20" s="531"/>
      <c r="AD20" s="531"/>
      <c r="AE20" s="531"/>
      <c r="AF20" s="531"/>
      <c r="AG20" s="531"/>
      <c r="AH20" s="531"/>
      <c r="AI20" s="531"/>
      <c r="AJ20" s="531"/>
      <c r="AK20" s="531"/>
      <c r="AL20" s="531"/>
      <c r="AM20" s="531"/>
      <c r="AN20" s="531"/>
      <c r="AO20" s="531"/>
      <c r="AP20" s="531"/>
      <c r="AQ20" s="531"/>
    </row>
    <row r="21" spans="2:66" s="402" customFormat="1" ht="15" customHeight="1" thickBot="1" x14ac:dyDescent="0.4">
      <c r="B21" s="826" t="s">
        <v>1098</v>
      </c>
      <c r="I21" s="425"/>
      <c r="K21" s="425"/>
      <c r="T21" s="531"/>
      <c r="U21" s="531"/>
      <c r="W21" s="531"/>
      <c r="X21" s="531"/>
      <c r="Z21" s="531"/>
      <c r="AA21" s="531"/>
      <c r="AC21" s="531"/>
      <c r="AD21" s="531"/>
      <c r="AF21" s="531"/>
      <c r="AG21" s="531"/>
      <c r="AH21" s="531"/>
      <c r="AI21" s="531"/>
      <c r="AJ21" s="531"/>
      <c r="AK21" s="531"/>
      <c r="AL21" s="531"/>
      <c r="AM21" s="531"/>
      <c r="AN21" s="531"/>
    </row>
    <row r="22" spans="2:66" s="402" customFormat="1" ht="15.75" customHeight="1" thickTop="1" x14ac:dyDescent="0.35">
      <c r="B22" s="2595" t="s">
        <v>627</v>
      </c>
      <c r="C22" s="2596"/>
      <c r="D22" s="2596"/>
      <c r="E22" s="2596"/>
      <c r="F22" s="2596"/>
      <c r="G22" s="2596"/>
      <c r="H22" s="2596"/>
      <c r="I22" s="2596"/>
      <c r="J22" s="2596"/>
      <c r="K22" s="2596"/>
      <c r="L22" s="2596"/>
      <c r="M22" s="2596"/>
      <c r="N22" s="2596"/>
      <c r="O22" s="2596"/>
      <c r="P22" s="2597"/>
      <c r="Q22" s="2742" t="s">
        <v>87</v>
      </c>
      <c r="R22" s="2596"/>
      <c r="S22" s="2596"/>
      <c r="T22" s="2596"/>
      <c r="U22" s="2597"/>
      <c r="V22" s="2997" t="s">
        <v>88</v>
      </c>
      <c r="W22" s="2741"/>
      <c r="X22" s="2741"/>
      <c r="Y22" s="2741"/>
      <c r="Z22" s="2989"/>
      <c r="AA22" s="2997" t="s">
        <v>89</v>
      </c>
      <c r="AB22" s="2741"/>
      <c r="AC22" s="2741"/>
      <c r="AD22" s="2741"/>
      <c r="AE22" s="2989"/>
      <c r="AF22" s="3013" t="s">
        <v>90</v>
      </c>
      <c r="AG22" s="3014"/>
      <c r="AH22" s="3014"/>
      <c r="AI22" s="3014"/>
      <c r="AJ22" s="3015"/>
      <c r="AK22" s="3019" t="s">
        <v>362</v>
      </c>
      <c r="AL22" s="3020"/>
      <c r="AM22" s="3020"/>
      <c r="AN22" s="3020"/>
      <c r="AO22" s="3021"/>
    </row>
    <row r="23" spans="2:66" s="402" customFormat="1" ht="16" thickBot="1" x14ac:dyDescent="0.4">
      <c r="B23" s="3235"/>
      <c r="C23" s="3075"/>
      <c r="D23" s="3075"/>
      <c r="E23" s="3075"/>
      <c r="F23" s="3075"/>
      <c r="G23" s="3075"/>
      <c r="H23" s="3075"/>
      <c r="I23" s="3075"/>
      <c r="J23" s="3075"/>
      <c r="K23" s="3075"/>
      <c r="L23" s="3075"/>
      <c r="M23" s="3075"/>
      <c r="N23" s="3075"/>
      <c r="O23" s="3075"/>
      <c r="P23" s="3076"/>
      <c r="Q23" s="3074"/>
      <c r="R23" s="3075"/>
      <c r="S23" s="3075"/>
      <c r="T23" s="3075"/>
      <c r="U23" s="3076"/>
      <c r="V23" s="3077"/>
      <c r="W23" s="2995"/>
      <c r="X23" s="2995"/>
      <c r="Y23" s="2995"/>
      <c r="Z23" s="2996"/>
      <c r="AA23" s="3077"/>
      <c r="AB23" s="2995"/>
      <c r="AC23" s="2995"/>
      <c r="AD23" s="2995"/>
      <c r="AE23" s="2996"/>
      <c r="AF23" s="3078"/>
      <c r="AG23" s="3079"/>
      <c r="AH23" s="3079"/>
      <c r="AI23" s="3079"/>
      <c r="AJ23" s="3080"/>
      <c r="AK23" s="3081"/>
      <c r="AL23" s="3082"/>
      <c r="AM23" s="3082"/>
      <c r="AN23" s="3082"/>
      <c r="AO23" s="3083"/>
    </row>
    <row r="24" spans="2:66" s="403" customFormat="1" ht="25.5" customHeight="1" thickTop="1" x14ac:dyDescent="0.35">
      <c r="B24" s="3216" t="s">
        <v>523</v>
      </c>
      <c r="C24" s="3217"/>
      <c r="D24" s="3217"/>
      <c r="E24" s="3217"/>
      <c r="F24" s="3217"/>
      <c r="G24" s="3217"/>
      <c r="H24" s="3217"/>
      <c r="I24" s="3217"/>
      <c r="J24" s="3217"/>
      <c r="K24" s="3217"/>
      <c r="L24" s="3217"/>
      <c r="M24" s="3217"/>
      <c r="N24" s="3217"/>
      <c r="O24" s="3217"/>
      <c r="P24" s="3218"/>
      <c r="Q24" s="3071">
        <v>105</v>
      </c>
      <c r="R24" s="3072"/>
      <c r="S24" s="3072"/>
      <c r="T24" s="3072"/>
      <c r="U24" s="3073"/>
      <c r="V24" s="3071">
        <v>115</v>
      </c>
      <c r="W24" s="3072"/>
      <c r="X24" s="3072"/>
      <c r="Y24" s="3072"/>
      <c r="Z24" s="3073"/>
      <c r="AA24" s="3071">
        <v>120</v>
      </c>
      <c r="AB24" s="3072"/>
      <c r="AC24" s="3072"/>
      <c r="AD24" s="3072"/>
      <c r="AE24" s="3073"/>
      <c r="AF24" s="3071">
        <v>96</v>
      </c>
      <c r="AG24" s="3072"/>
      <c r="AH24" s="3072"/>
      <c r="AI24" s="3072"/>
      <c r="AJ24" s="3084"/>
      <c r="AK24" s="2548">
        <f>SUM(Q24:AJ24)</f>
        <v>436</v>
      </c>
      <c r="AL24" s="2549"/>
      <c r="AM24" s="2549"/>
      <c r="AN24" s="2549"/>
      <c r="AO24" s="2550"/>
    </row>
    <row r="25" spans="2:66" s="403" customFormat="1" ht="25.5" customHeight="1" x14ac:dyDescent="0.35">
      <c r="B25" s="3226" t="s">
        <v>632</v>
      </c>
      <c r="C25" s="3227"/>
      <c r="D25" s="3227"/>
      <c r="E25" s="3227"/>
      <c r="F25" s="3227"/>
      <c r="G25" s="3227"/>
      <c r="H25" s="3227"/>
      <c r="I25" s="3227"/>
      <c r="J25" s="3227"/>
      <c r="K25" s="3227"/>
      <c r="L25" s="3227"/>
      <c r="M25" s="3227"/>
      <c r="N25" s="3227"/>
      <c r="O25" s="3227"/>
      <c r="P25" s="3228"/>
      <c r="Q25" s="2981">
        <v>1</v>
      </c>
      <c r="R25" s="2979"/>
      <c r="S25" s="2979"/>
      <c r="T25" s="2979"/>
      <c r="U25" s="2980"/>
      <c r="V25" s="2981">
        <v>2</v>
      </c>
      <c r="W25" s="2979"/>
      <c r="X25" s="2979"/>
      <c r="Y25" s="2979"/>
      <c r="Z25" s="2980"/>
      <c r="AA25" s="2981">
        <v>1</v>
      </c>
      <c r="AB25" s="2979"/>
      <c r="AC25" s="2979"/>
      <c r="AD25" s="2979"/>
      <c r="AE25" s="2980"/>
      <c r="AF25" s="2981">
        <v>0</v>
      </c>
      <c r="AG25" s="2979"/>
      <c r="AH25" s="2979"/>
      <c r="AI25" s="2979"/>
      <c r="AJ25" s="2983"/>
      <c r="AK25" s="2545">
        <f t="shared" ref="AK25:AK27" si="1">SUM(Q25:AJ25)</f>
        <v>4</v>
      </c>
      <c r="AL25" s="2546"/>
      <c r="AM25" s="2546"/>
      <c r="AN25" s="2546"/>
      <c r="AO25" s="2547"/>
    </row>
    <row r="26" spans="2:66" s="403" customFormat="1" ht="35.15" customHeight="1" x14ac:dyDescent="0.35">
      <c r="B26" s="3226" t="s">
        <v>634</v>
      </c>
      <c r="C26" s="3227"/>
      <c r="D26" s="3227"/>
      <c r="E26" s="3227"/>
      <c r="F26" s="3227"/>
      <c r="G26" s="3227"/>
      <c r="H26" s="3227"/>
      <c r="I26" s="3227"/>
      <c r="J26" s="3227"/>
      <c r="K26" s="3227"/>
      <c r="L26" s="3227"/>
      <c r="M26" s="3227"/>
      <c r="N26" s="3227"/>
      <c r="O26" s="3227"/>
      <c r="P26" s="3228"/>
      <c r="Q26" s="2981">
        <v>105</v>
      </c>
      <c r="R26" s="2979"/>
      <c r="S26" s="2979"/>
      <c r="T26" s="2979"/>
      <c r="U26" s="2980"/>
      <c r="V26" s="2981">
        <v>115</v>
      </c>
      <c r="W26" s="2979"/>
      <c r="X26" s="2979"/>
      <c r="Y26" s="2979"/>
      <c r="Z26" s="2980"/>
      <c r="AA26" s="2981">
        <v>120</v>
      </c>
      <c r="AB26" s="2979"/>
      <c r="AC26" s="2979"/>
      <c r="AD26" s="2979"/>
      <c r="AE26" s="2980"/>
      <c r="AF26" s="2981">
        <v>96</v>
      </c>
      <c r="AG26" s="2979"/>
      <c r="AH26" s="2979"/>
      <c r="AI26" s="2979"/>
      <c r="AJ26" s="2983"/>
      <c r="AK26" s="2545">
        <f t="shared" si="1"/>
        <v>436</v>
      </c>
      <c r="AL26" s="2546"/>
      <c r="AM26" s="2546"/>
      <c r="AN26" s="2546"/>
      <c r="AO26" s="2547"/>
    </row>
    <row r="27" spans="2:66" s="403" customFormat="1" ht="35.15" customHeight="1" thickBot="1" x14ac:dyDescent="0.4">
      <c r="B27" s="3232" t="s">
        <v>633</v>
      </c>
      <c r="C27" s="3233"/>
      <c r="D27" s="3233"/>
      <c r="E27" s="3233"/>
      <c r="F27" s="3233"/>
      <c r="G27" s="3233"/>
      <c r="H27" s="3233"/>
      <c r="I27" s="3233"/>
      <c r="J27" s="3233"/>
      <c r="K27" s="3233"/>
      <c r="L27" s="3233"/>
      <c r="M27" s="3233"/>
      <c r="N27" s="3233"/>
      <c r="O27" s="3233"/>
      <c r="P27" s="3234"/>
      <c r="Q27" s="3001">
        <v>6</v>
      </c>
      <c r="R27" s="3002"/>
      <c r="S27" s="3002"/>
      <c r="T27" s="3002"/>
      <c r="U27" s="3120"/>
      <c r="V27" s="3001">
        <v>1</v>
      </c>
      <c r="W27" s="3002"/>
      <c r="X27" s="3002"/>
      <c r="Y27" s="3002"/>
      <c r="Z27" s="3120"/>
      <c r="AA27" s="3001">
        <v>3</v>
      </c>
      <c r="AB27" s="3002"/>
      <c r="AC27" s="3002"/>
      <c r="AD27" s="3002"/>
      <c r="AE27" s="3120"/>
      <c r="AF27" s="3001">
        <v>4</v>
      </c>
      <c r="AG27" s="3002"/>
      <c r="AH27" s="3002"/>
      <c r="AI27" s="3002"/>
      <c r="AJ27" s="3005"/>
      <c r="AK27" s="2542">
        <f t="shared" si="1"/>
        <v>14</v>
      </c>
      <c r="AL27" s="2543"/>
      <c r="AM27" s="2543"/>
      <c r="AN27" s="2543"/>
      <c r="AO27" s="2544"/>
    </row>
    <row r="28" spans="2:66" s="761" customFormat="1" ht="20" customHeight="1" thickTop="1" x14ac:dyDescent="0.3">
      <c r="B28" s="762"/>
      <c r="C28" s="763"/>
      <c r="D28" s="763"/>
      <c r="E28" s="763"/>
      <c r="F28" s="763"/>
      <c r="G28" s="763"/>
      <c r="H28" s="763"/>
      <c r="I28" s="763"/>
      <c r="J28" s="763"/>
      <c r="K28" s="763"/>
      <c r="L28" s="763"/>
      <c r="M28" s="763"/>
      <c r="N28" s="763"/>
      <c r="O28" s="763"/>
      <c r="P28" s="763"/>
      <c r="Q28" s="763"/>
      <c r="R28" s="763"/>
      <c r="S28" s="763"/>
      <c r="T28" s="763"/>
      <c r="U28" s="763"/>
      <c r="V28" s="763"/>
      <c r="W28" s="763"/>
      <c r="X28" s="763"/>
      <c r="Y28" s="763"/>
      <c r="Z28" s="763"/>
      <c r="AA28" s="763"/>
      <c r="AB28" s="763"/>
      <c r="AC28" s="763"/>
      <c r="AD28" s="763"/>
      <c r="AE28" s="763"/>
      <c r="AF28" s="763"/>
      <c r="AG28" s="763"/>
      <c r="AH28" s="763"/>
      <c r="AI28" s="763"/>
      <c r="AJ28" s="763"/>
      <c r="AK28" s="763"/>
      <c r="AL28" s="763"/>
    </row>
    <row r="29" spans="2:66" s="825" customFormat="1" ht="18" x14ac:dyDescent="0.4">
      <c r="B29" s="459" t="s">
        <v>12771</v>
      </c>
      <c r="C29" s="823"/>
      <c r="D29" s="823"/>
      <c r="E29" s="823"/>
      <c r="F29" s="823"/>
      <c r="G29" s="823"/>
      <c r="H29" s="823"/>
      <c r="I29" s="823"/>
      <c r="J29" s="823"/>
      <c r="K29" s="823"/>
      <c r="L29" s="824"/>
      <c r="M29" s="824"/>
      <c r="N29" s="824"/>
      <c r="O29" s="824"/>
      <c r="P29" s="824"/>
      <c r="Q29" s="824"/>
      <c r="R29" s="824"/>
      <c r="S29" s="824"/>
      <c r="T29" s="824"/>
      <c r="U29" s="824"/>
      <c r="V29" s="824"/>
      <c r="W29" s="824"/>
      <c r="X29" s="824"/>
      <c r="Y29" s="824"/>
      <c r="Z29" s="824"/>
      <c r="AA29" s="824"/>
      <c r="AB29" s="824"/>
      <c r="AC29" s="824"/>
      <c r="AD29" s="824"/>
      <c r="AE29" s="824"/>
      <c r="AF29" s="824"/>
      <c r="AG29" s="824"/>
      <c r="AH29" s="824"/>
      <c r="AI29" s="824"/>
      <c r="AJ29" s="824"/>
      <c r="AK29" s="824"/>
      <c r="AL29" s="823"/>
    </row>
    <row r="30" spans="2:66" s="501" customFormat="1" ht="16.5" customHeight="1" thickBot="1" x14ac:dyDescent="0.5">
      <c r="B30" s="826" t="s">
        <v>1335</v>
      </c>
      <c r="D30" s="780"/>
      <c r="E30" s="781"/>
      <c r="F30" s="781"/>
      <c r="G30" s="781"/>
      <c r="H30" s="781"/>
      <c r="I30" s="781"/>
      <c r="J30" s="781"/>
      <c r="K30" s="781"/>
      <c r="L30" s="781"/>
      <c r="M30" s="781"/>
      <c r="N30" s="668"/>
      <c r="O30" s="403"/>
      <c r="P30" s="403"/>
      <c r="Q30" s="403"/>
      <c r="R30" s="403"/>
      <c r="S30" s="403"/>
      <c r="T30" s="782"/>
      <c r="U30" s="668"/>
      <c r="V30" s="668"/>
      <c r="W30" s="668"/>
      <c r="X30" s="668"/>
      <c r="Y30" s="668"/>
      <c r="Z30" s="668"/>
      <c r="AA30" s="403"/>
      <c r="AB30" s="403"/>
      <c r="AC30" s="403"/>
      <c r="AD30" s="403"/>
      <c r="AE30" s="403"/>
      <c r="AF30" s="403"/>
      <c r="AG30" s="403"/>
      <c r="AH30" s="403"/>
      <c r="AI30" s="403"/>
      <c r="AJ30" s="403"/>
      <c r="AU30" s="403"/>
    </row>
    <row r="31" spans="2:66" s="501" customFormat="1" ht="16.5" thickTop="1" thickBot="1" x14ac:dyDescent="0.4">
      <c r="B31" s="3239" t="s">
        <v>635</v>
      </c>
      <c r="C31" s="3240"/>
      <c r="D31" s="3240"/>
      <c r="E31" s="3240"/>
      <c r="F31" s="3241"/>
      <c r="G31" s="3245" t="s">
        <v>12788</v>
      </c>
      <c r="H31" s="3246"/>
      <c r="I31" s="3246"/>
      <c r="J31" s="3246"/>
      <c r="K31" s="3246"/>
      <c r="L31" s="3246"/>
      <c r="M31" s="3246"/>
      <c r="N31" s="3246"/>
      <c r="O31" s="3246"/>
      <c r="P31" s="3246"/>
      <c r="Q31" s="3246"/>
      <c r="R31" s="3246"/>
      <c r="S31" s="3246"/>
      <c r="T31" s="3246"/>
      <c r="U31" s="3246"/>
      <c r="V31" s="3246"/>
      <c r="W31" s="3246"/>
      <c r="X31" s="3246"/>
      <c r="Y31" s="3246"/>
      <c r="Z31" s="3246"/>
      <c r="AA31" s="3246"/>
      <c r="AB31" s="3246"/>
      <c r="AC31" s="3246"/>
      <c r="AD31" s="3246"/>
      <c r="AE31" s="3246"/>
      <c r="AF31" s="3246"/>
      <c r="AG31" s="3246"/>
      <c r="AH31" s="3246"/>
      <c r="AI31" s="3246"/>
      <c r="AJ31" s="3246"/>
      <c r="AK31" s="3246"/>
      <c r="AL31" s="3246"/>
      <c r="AM31" s="3246"/>
      <c r="AN31" s="3246"/>
      <c r="AO31" s="3246"/>
      <c r="AP31" s="3246"/>
      <c r="AQ31" s="3246"/>
      <c r="AR31" s="3246"/>
      <c r="AS31" s="3246"/>
      <c r="AT31" s="3246"/>
      <c r="AU31" s="3246"/>
      <c r="AV31" s="3246"/>
      <c r="AW31" s="3246"/>
      <c r="AX31" s="3246"/>
      <c r="AY31" s="3246"/>
      <c r="AZ31" s="3246"/>
      <c r="BA31" s="3246"/>
      <c r="BB31" s="3246"/>
      <c r="BC31" s="3246"/>
      <c r="BD31" s="3246"/>
      <c r="BE31" s="3246"/>
      <c r="BF31" s="3246"/>
      <c r="BG31" s="3246"/>
      <c r="BH31" s="3246"/>
      <c r="BI31" s="3246"/>
      <c r="BJ31" s="3247"/>
      <c r="BK31" s="403"/>
      <c r="BL31" s="403"/>
      <c r="BM31" s="403"/>
      <c r="BN31" s="403"/>
    </row>
    <row r="32" spans="2:66" s="501" customFormat="1" ht="16" thickBot="1" x14ac:dyDescent="0.4">
      <c r="B32" s="3242"/>
      <c r="C32" s="3243"/>
      <c r="D32" s="3243"/>
      <c r="E32" s="3243"/>
      <c r="F32" s="3244"/>
      <c r="G32" s="3179" t="s">
        <v>649</v>
      </c>
      <c r="H32" s="3180"/>
      <c r="I32" s="3180"/>
      <c r="J32" s="3180"/>
      <c r="K32" s="3180"/>
      <c r="L32" s="3180"/>
      <c r="M32" s="3180"/>
      <c r="N32" s="3180"/>
      <c r="O32" s="3180"/>
      <c r="P32" s="3180"/>
      <c r="Q32" s="3180"/>
      <c r="R32" s="3180"/>
      <c r="S32" s="3180"/>
      <c r="T32" s="3180"/>
      <c r="U32" s="3180"/>
      <c r="V32" s="3180"/>
      <c r="W32" s="3180"/>
      <c r="X32" s="3180"/>
      <c r="Y32" s="3180"/>
      <c r="Z32" s="3180"/>
      <c r="AA32" s="3180"/>
      <c r="AB32" s="3180"/>
      <c r="AC32" s="3180"/>
      <c r="AD32" s="3180"/>
      <c r="AE32" s="3180"/>
      <c r="AF32" s="3180"/>
      <c r="AG32" s="3180"/>
      <c r="AH32" s="3181"/>
      <c r="AI32" s="3179" t="s">
        <v>650</v>
      </c>
      <c r="AJ32" s="3180"/>
      <c r="AK32" s="3180"/>
      <c r="AL32" s="3180"/>
      <c r="AM32" s="3180"/>
      <c r="AN32" s="3180"/>
      <c r="AO32" s="3180"/>
      <c r="AP32" s="3180"/>
      <c r="AQ32" s="3180"/>
      <c r="AR32" s="3180"/>
      <c r="AS32" s="3180"/>
      <c r="AT32" s="3180"/>
      <c r="AU32" s="3180"/>
      <c r="AV32" s="3180"/>
      <c r="AW32" s="3180"/>
      <c r="AX32" s="3180"/>
      <c r="AY32" s="3180"/>
      <c r="AZ32" s="3180"/>
      <c r="BA32" s="3180"/>
      <c r="BB32" s="3180"/>
      <c r="BC32" s="3180"/>
      <c r="BD32" s="3180"/>
      <c r="BE32" s="3180"/>
      <c r="BF32" s="3180"/>
      <c r="BG32" s="3180"/>
      <c r="BH32" s="3180"/>
      <c r="BI32" s="3180"/>
      <c r="BJ32" s="3248"/>
    </row>
    <row r="33" spans="2:62" s="501" customFormat="1" ht="16.25" customHeight="1" thickBot="1" x14ac:dyDescent="0.4">
      <c r="B33" s="3242"/>
      <c r="C33" s="3243"/>
      <c r="D33" s="3243"/>
      <c r="E33" s="3243"/>
      <c r="F33" s="3244"/>
      <c r="G33" s="3179" t="s">
        <v>1338</v>
      </c>
      <c r="H33" s="3180"/>
      <c r="I33" s="3180"/>
      <c r="J33" s="3180"/>
      <c r="K33" s="3180"/>
      <c r="L33" s="3180"/>
      <c r="M33" s="3180"/>
      <c r="N33" s="3180"/>
      <c r="O33" s="3180"/>
      <c r="P33" s="3180"/>
      <c r="Q33" s="3180"/>
      <c r="R33" s="3180"/>
      <c r="S33" s="3180"/>
      <c r="T33" s="3181"/>
      <c r="U33" s="3175" t="s">
        <v>12777</v>
      </c>
      <c r="V33" s="3176"/>
      <c r="W33" s="3176"/>
      <c r="X33" s="3176"/>
      <c r="Y33" s="3176"/>
      <c r="Z33" s="3177"/>
      <c r="AA33" s="3203" t="s">
        <v>12778</v>
      </c>
      <c r="AB33" s="3204"/>
      <c r="AC33" s="3204"/>
      <c r="AD33" s="3204"/>
      <c r="AE33" s="3204"/>
      <c r="AF33" s="3204"/>
      <c r="AG33" s="3204"/>
      <c r="AH33" s="3205"/>
      <c r="AI33" s="3179" t="s">
        <v>1336</v>
      </c>
      <c r="AJ33" s="3180"/>
      <c r="AK33" s="3180"/>
      <c r="AL33" s="3180"/>
      <c r="AM33" s="3180"/>
      <c r="AN33" s="3180"/>
      <c r="AO33" s="3180"/>
      <c r="AP33" s="3180"/>
      <c r="AQ33" s="3180"/>
      <c r="AR33" s="3180"/>
      <c r="AS33" s="3180"/>
      <c r="AT33" s="3180"/>
      <c r="AU33" s="3180"/>
      <c r="AV33" s="3180"/>
      <c r="AW33" s="3175" t="s">
        <v>1337</v>
      </c>
      <c r="AX33" s="3176"/>
      <c r="AY33" s="3176"/>
      <c r="AZ33" s="3176"/>
      <c r="BA33" s="3176"/>
      <c r="BB33" s="3177"/>
      <c r="BC33" s="3175" t="s">
        <v>1338</v>
      </c>
      <c r="BD33" s="3176"/>
      <c r="BE33" s="3176"/>
      <c r="BF33" s="3176"/>
      <c r="BG33" s="3176"/>
      <c r="BH33" s="3176"/>
      <c r="BI33" s="3176"/>
      <c r="BJ33" s="3178"/>
    </row>
    <row r="34" spans="2:62" s="501" customFormat="1" ht="16" thickBot="1" x14ac:dyDescent="0.4">
      <c r="B34" s="3242"/>
      <c r="C34" s="3243"/>
      <c r="D34" s="3243"/>
      <c r="E34" s="3243"/>
      <c r="F34" s="3244"/>
      <c r="G34" s="3249" t="s">
        <v>247</v>
      </c>
      <c r="H34" s="3201"/>
      <c r="I34" s="3200" t="s">
        <v>248</v>
      </c>
      <c r="J34" s="3201"/>
      <c r="K34" s="3200" t="s">
        <v>249</v>
      </c>
      <c r="L34" s="3201"/>
      <c r="M34" s="3200" t="s">
        <v>250</v>
      </c>
      <c r="N34" s="3201"/>
      <c r="O34" s="3200" t="s">
        <v>1339</v>
      </c>
      <c r="P34" s="3201"/>
      <c r="Q34" s="3200" t="s">
        <v>129</v>
      </c>
      <c r="R34" s="3201"/>
      <c r="S34" s="3200" t="s">
        <v>241</v>
      </c>
      <c r="T34" s="3199"/>
      <c r="U34" s="3193" t="s">
        <v>241</v>
      </c>
      <c r="V34" s="3194"/>
      <c r="W34" s="3195" t="s">
        <v>242</v>
      </c>
      <c r="X34" s="3195"/>
      <c r="Y34" s="3194" t="s">
        <v>243</v>
      </c>
      <c r="Z34" s="3196"/>
      <c r="AA34" s="3197" t="s">
        <v>12779</v>
      </c>
      <c r="AB34" s="3198"/>
      <c r="AC34" s="3199" t="s">
        <v>244</v>
      </c>
      <c r="AD34" s="3199"/>
      <c r="AE34" s="3200" t="s">
        <v>245</v>
      </c>
      <c r="AF34" s="3201"/>
      <c r="AG34" s="3199" t="s">
        <v>246</v>
      </c>
      <c r="AH34" s="3202"/>
      <c r="AI34" s="3256" t="s">
        <v>247</v>
      </c>
      <c r="AJ34" s="3237"/>
      <c r="AK34" s="3236" t="s">
        <v>248</v>
      </c>
      <c r="AL34" s="3237"/>
      <c r="AM34" s="3236" t="s">
        <v>249</v>
      </c>
      <c r="AN34" s="3237"/>
      <c r="AO34" s="3236" t="s">
        <v>250</v>
      </c>
      <c r="AP34" s="3237"/>
      <c r="AQ34" s="3236" t="s">
        <v>1339</v>
      </c>
      <c r="AR34" s="3237"/>
      <c r="AS34" s="3236" t="s">
        <v>129</v>
      </c>
      <c r="AT34" s="3237"/>
      <c r="AU34" s="3236" t="s">
        <v>241</v>
      </c>
      <c r="AV34" s="3238"/>
      <c r="AW34" s="3193" t="s">
        <v>241</v>
      </c>
      <c r="AX34" s="3194"/>
      <c r="AY34" s="3195" t="s">
        <v>242</v>
      </c>
      <c r="AZ34" s="3195"/>
      <c r="BA34" s="3194" t="s">
        <v>243</v>
      </c>
      <c r="BB34" s="3196"/>
      <c r="BC34" s="3193" t="s">
        <v>243</v>
      </c>
      <c r="BD34" s="3194"/>
      <c r="BE34" s="3194" t="s">
        <v>244</v>
      </c>
      <c r="BF34" s="3194"/>
      <c r="BG34" s="3194" t="s">
        <v>245</v>
      </c>
      <c r="BH34" s="3194"/>
      <c r="BI34" s="3194" t="s">
        <v>246</v>
      </c>
      <c r="BJ34" s="3250"/>
    </row>
    <row r="35" spans="2:62" s="501" customFormat="1" ht="25.5" customHeight="1" thickTop="1" x14ac:dyDescent="0.35">
      <c r="B35" s="3251" t="s">
        <v>636</v>
      </c>
      <c r="C35" s="3252"/>
      <c r="D35" s="3252"/>
      <c r="E35" s="3252"/>
      <c r="F35" s="3253"/>
      <c r="G35" s="3184">
        <v>0</v>
      </c>
      <c r="H35" s="3183"/>
      <c r="I35" s="3182">
        <v>0</v>
      </c>
      <c r="J35" s="3183"/>
      <c r="K35" s="3182">
        <v>0</v>
      </c>
      <c r="L35" s="3183"/>
      <c r="M35" s="3182">
        <v>0</v>
      </c>
      <c r="N35" s="3183"/>
      <c r="O35" s="3182">
        <v>0</v>
      </c>
      <c r="P35" s="3183"/>
      <c r="Q35" s="3182">
        <v>0</v>
      </c>
      <c r="R35" s="3183"/>
      <c r="S35" s="3182">
        <v>0</v>
      </c>
      <c r="T35" s="3192"/>
      <c r="U35" s="3190">
        <v>0</v>
      </c>
      <c r="V35" s="3191"/>
      <c r="W35" s="3191">
        <v>0</v>
      </c>
      <c r="X35" s="3191"/>
      <c r="Y35" s="3191">
        <v>0</v>
      </c>
      <c r="Z35" s="3206"/>
      <c r="AA35" s="3184">
        <v>0</v>
      </c>
      <c r="AB35" s="3183"/>
      <c r="AC35" s="3192">
        <v>0</v>
      </c>
      <c r="AD35" s="3192"/>
      <c r="AE35" s="3182">
        <v>0</v>
      </c>
      <c r="AF35" s="3183"/>
      <c r="AG35" s="3192">
        <v>0</v>
      </c>
      <c r="AH35" s="3254"/>
      <c r="AI35" s="3184">
        <v>0</v>
      </c>
      <c r="AJ35" s="3183"/>
      <c r="AK35" s="3182">
        <v>0</v>
      </c>
      <c r="AL35" s="3183"/>
      <c r="AM35" s="3182">
        <v>0</v>
      </c>
      <c r="AN35" s="3183"/>
      <c r="AO35" s="3182">
        <v>0</v>
      </c>
      <c r="AP35" s="3183"/>
      <c r="AQ35" s="3182">
        <v>0</v>
      </c>
      <c r="AR35" s="3183"/>
      <c r="AS35" s="3182">
        <v>0</v>
      </c>
      <c r="AT35" s="3183"/>
      <c r="AU35" s="3182">
        <v>0</v>
      </c>
      <c r="AV35" s="3192"/>
      <c r="AW35" s="3190">
        <v>0</v>
      </c>
      <c r="AX35" s="3191"/>
      <c r="AY35" s="3191">
        <v>0</v>
      </c>
      <c r="AZ35" s="3191"/>
      <c r="BA35" s="3191">
        <v>0</v>
      </c>
      <c r="BB35" s="3206"/>
      <c r="BC35" s="3190">
        <v>0</v>
      </c>
      <c r="BD35" s="3191"/>
      <c r="BE35" s="3191">
        <v>0</v>
      </c>
      <c r="BF35" s="3191"/>
      <c r="BG35" s="3191">
        <v>0</v>
      </c>
      <c r="BH35" s="3191"/>
      <c r="BI35" s="3191">
        <v>0</v>
      </c>
      <c r="BJ35" s="3255"/>
    </row>
    <row r="36" spans="2:62" s="501" customFormat="1" ht="25.5" customHeight="1" thickBot="1" x14ac:dyDescent="0.4">
      <c r="B36" s="3257" t="s">
        <v>1102</v>
      </c>
      <c r="C36" s="3258"/>
      <c r="D36" s="3258"/>
      <c r="E36" s="3258"/>
      <c r="F36" s="3259"/>
      <c r="G36" s="3215">
        <v>0</v>
      </c>
      <c r="H36" s="3186"/>
      <c r="I36" s="3185">
        <v>0</v>
      </c>
      <c r="J36" s="3186"/>
      <c r="K36" s="3185">
        <v>0</v>
      </c>
      <c r="L36" s="3186"/>
      <c r="M36" s="3185">
        <v>0</v>
      </c>
      <c r="N36" s="3186"/>
      <c r="O36" s="3185">
        <v>0</v>
      </c>
      <c r="P36" s="3186"/>
      <c r="Q36" s="3185">
        <v>0</v>
      </c>
      <c r="R36" s="3186"/>
      <c r="S36" s="3185">
        <v>0</v>
      </c>
      <c r="T36" s="3187"/>
      <c r="U36" s="3188">
        <v>0</v>
      </c>
      <c r="V36" s="3189"/>
      <c r="W36" s="3189">
        <v>0</v>
      </c>
      <c r="X36" s="3189"/>
      <c r="Y36" s="3189">
        <v>0</v>
      </c>
      <c r="Z36" s="3209"/>
      <c r="AA36" s="3215">
        <v>0</v>
      </c>
      <c r="AB36" s="3186"/>
      <c r="AC36" s="3187">
        <v>0</v>
      </c>
      <c r="AD36" s="3187"/>
      <c r="AE36" s="3185">
        <v>0</v>
      </c>
      <c r="AF36" s="3186"/>
      <c r="AG36" s="3187">
        <v>1</v>
      </c>
      <c r="AH36" s="3260"/>
      <c r="AI36" s="3215">
        <v>0</v>
      </c>
      <c r="AJ36" s="3186"/>
      <c r="AK36" s="3185">
        <v>0</v>
      </c>
      <c r="AL36" s="3186"/>
      <c r="AM36" s="3185">
        <v>0</v>
      </c>
      <c r="AN36" s="3186"/>
      <c r="AO36" s="3185">
        <v>0</v>
      </c>
      <c r="AP36" s="3186"/>
      <c r="AQ36" s="3185">
        <v>0</v>
      </c>
      <c r="AR36" s="3186"/>
      <c r="AS36" s="3185">
        <v>0</v>
      </c>
      <c r="AT36" s="3186"/>
      <c r="AU36" s="3185">
        <v>0</v>
      </c>
      <c r="AV36" s="3187"/>
      <c r="AW36" s="3188">
        <v>0</v>
      </c>
      <c r="AX36" s="3189"/>
      <c r="AY36" s="3189">
        <v>0</v>
      </c>
      <c r="AZ36" s="3189"/>
      <c r="BA36" s="3189">
        <v>0</v>
      </c>
      <c r="BB36" s="3209"/>
      <c r="BC36" s="3188">
        <v>0</v>
      </c>
      <c r="BD36" s="3189"/>
      <c r="BE36" s="3189">
        <v>0</v>
      </c>
      <c r="BF36" s="3189"/>
      <c r="BG36" s="3189">
        <v>0</v>
      </c>
      <c r="BH36" s="3189"/>
      <c r="BI36" s="3189">
        <v>0</v>
      </c>
      <c r="BJ36" s="3261"/>
    </row>
    <row r="37" spans="2:62" s="501" customFormat="1" ht="25.5" customHeight="1" thickTop="1" thickBot="1" x14ac:dyDescent="0.4">
      <c r="B37" s="3262" t="s">
        <v>16</v>
      </c>
      <c r="C37" s="3263"/>
      <c r="D37" s="3263"/>
      <c r="E37" s="3263"/>
      <c r="F37" s="3264"/>
      <c r="G37" s="3214">
        <f>SUM(G35:H36)</f>
        <v>0</v>
      </c>
      <c r="H37" s="3213"/>
      <c r="I37" s="3211">
        <f t="shared" ref="I37" si="2">SUM(I35:J36)</f>
        <v>0</v>
      </c>
      <c r="J37" s="3213"/>
      <c r="K37" s="3211">
        <f t="shared" ref="K37" si="3">SUM(K35:L36)</f>
        <v>0</v>
      </c>
      <c r="L37" s="3213"/>
      <c r="M37" s="3211">
        <f t="shared" ref="M37" si="4">SUM(M35:N36)</f>
        <v>0</v>
      </c>
      <c r="N37" s="3213"/>
      <c r="O37" s="3211">
        <f t="shared" ref="O37" si="5">SUM(O35:P36)</f>
        <v>0</v>
      </c>
      <c r="P37" s="3213"/>
      <c r="Q37" s="3211">
        <f t="shared" ref="Q37" si="6">SUM(Q35:R36)</f>
        <v>0</v>
      </c>
      <c r="R37" s="3213"/>
      <c r="S37" s="3211">
        <f t="shared" ref="S37" si="7">SUM(S35:T36)</f>
        <v>0</v>
      </c>
      <c r="T37" s="3212"/>
      <c r="U37" s="3265">
        <f t="shared" ref="U37" si="8">SUM(U35:V36)</f>
        <v>0</v>
      </c>
      <c r="V37" s="3266"/>
      <c r="W37" s="3266">
        <f t="shared" ref="W37" si="9">SUM(W35:X36)</f>
        <v>0</v>
      </c>
      <c r="X37" s="3266"/>
      <c r="Y37" s="3266">
        <f t="shared" ref="Y37" si="10">SUM(Y35:Z36)</f>
        <v>0</v>
      </c>
      <c r="Z37" s="3267"/>
      <c r="AA37" s="3214">
        <f t="shared" ref="AA37" si="11">SUM(AA35:AB36)</f>
        <v>0</v>
      </c>
      <c r="AB37" s="3213"/>
      <c r="AC37" s="3212">
        <f t="shared" ref="AC37" si="12">SUM(AC35:AD36)</f>
        <v>0</v>
      </c>
      <c r="AD37" s="3213"/>
      <c r="AE37" s="3211">
        <f t="shared" ref="AE37" si="13">SUM(AE35:AF36)</f>
        <v>0</v>
      </c>
      <c r="AF37" s="3213"/>
      <c r="AG37" s="3212">
        <f t="shared" ref="AG37" si="14">SUM(AG35:AH36)</f>
        <v>1</v>
      </c>
      <c r="AH37" s="3213"/>
      <c r="AI37" s="3214">
        <f t="shared" ref="AI37" si="15">SUM(AI35:AJ36)</f>
        <v>0</v>
      </c>
      <c r="AJ37" s="3213"/>
      <c r="AK37" s="3211">
        <f t="shared" ref="AK37" si="16">SUM(AK35:AL36)</f>
        <v>0</v>
      </c>
      <c r="AL37" s="3213"/>
      <c r="AM37" s="3211">
        <f t="shared" ref="AM37" si="17">SUM(AM35:AN36)</f>
        <v>0</v>
      </c>
      <c r="AN37" s="3213"/>
      <c r="AO37" s="3211">
        <f t="shared" ref="AO37" si="18">SUM(AO35:AP36)</f>
        <v>0</v>
      </c>
      <c r="AP37" s="3213"/>
      <c r="AQ37" s="3211">
        <f t="shared" ref="AQ37" si="19">SUM(AQ35:AR36)</f>
        <v>0</v>
      </c>
      <c r="AR37" s="3213"/>
      <c r="AS37" s="3211">
        <f t="shared" ref="AS37" si="20">SUM(AS35:AT36)</f>
        <v>0</v>
      </c>
      <c r="AT37" s="3213"/>
      <c r="AU37" s="3211">
        <f t="shared" ref="AU37" si="21">SUM(AU35:AV36)</f>
        <v>0</v>
      </c>
      <c r="AV37" s="3212"/>
      <c r="AW37" s="3210">
        <f t="shared" ref="AW37" si="22">SUM(AW35:AX36)</f>
        <v>0</v>
      </c>
      <c r="AX37" s="3207"/>
      <c r="AY37" s="3207">
        <f t="shared" ref="AY37" si="23">SUM(AY35:AZ36)</f>
        <v>0</v>
      </c>
      <c r="AZ37" s="3207"/>
      <c r="BA37" s="3207">
        <f t="shared" ref="BA37" si="24">SUM(BA35:BB36)</f>
        <v>0</v>
      </c>
      <c r="BB37" s="3208"/>
      <c r="BC37" s="3214">
        <f t="shared" ref="BC37" si="25">SUM(BC35:BD36)</f>
        <v>0</v>
      </c>
      <c r="BD37" s="3213"/>
      <c r="BE37" s="3212">
        <f t="shared" ref="BE37" si="26">SUM(BE35:BF36)</f>
        <v>0</v>
      </c>
      <c r="BF37" s="3213"/>
      <c r="BG37" s="3211">
        <f t="shared" ref="BG37" si="27">SUM(BG35:BH36)</f>
        <v>0</v>
      </c>
      <c r="BH37" s="3213"/>
      <c r="BI37" s="3211">
        <f t="shared" ref="BI37" si="28">SUM(BI35:BJ36)</f>
        <v>0</v>
      </c>
      <c r="BJ37" s="3268"/>
    </row>
    <row r="38" spans="2:62" s="501" customFormat="1" ht="30.5" customHeight="1" thickTop="1" x14ac:dyDescent="0.35"/>
    <row r="39" spans="2:62" s="73" customFormat="1" ht="14" x14ac:dyDescent="0.3">
      <c r="B39" s="74" t="s">
        <v>913</v>
      </c>
      <c r="W39" s="74" t="s">
        <v>908</v>
      </c>
      <c r="AR39" s="74" t="s">
        <v>922</v>
      </c>
    </row>
    <row r="40" spans="2:62" s="73" customFormat="1" ht="21.75" customHeight="1" x14ac:dyDescent="0.3">
      <c r="B40" s="74" t="s">
        <v>811</v>
      </c>
      <c r="F40" s="1482" t="str">
        <f>SchInfo!F38</f>
        <v>MELCHESIEDICK Q. BOLANIO/ March 17, 2023</v>
      </c>
      <c r="G40" s="1482"/>
      <c r="H40" s="1482"/>
      <c r="I40" s="1482"/>
      <c r="J40" s="1482"/>
      <c r="K40" s="1482"/>
      <c r="L40" s="1482"/>
      <c r="M40" s="1482"/>
      <c r="N40" s="1482"/>
      <c r="O40" s="1482"/>
      <c r="P40" s="1482"/>
      <c r="Q40" s="1482"/>
      <c r="R40" s="1482"/>
      <c r="S40" s="1482"/>
      <c r="T40" s="545"/>
      <c r="W40" s="1482" t="str">
        <f>'Table33a-b'!R42</f>
        <v>RACQUEL N. ACOMPAÑADO</v>
      </c>
      <c r="X40" s="1482"/>
      <c r="Y40" s="1482"/>
      <c r="Z40" s="1482"/>
      <c r="AA40" s="1482"/>
      <c r="AB40" s="1482"/>
      <c r="AC40" s="1482"/>
      <c r="AD40" s="1482"/>
      <c r="AE40" s="1482"/>
      <c r="AF40" s="1482"/>
      <c r="AG40" s="1482"/>
      <c r="AH40" s="1482"/>
      <c r="AI40" s="1482"/>
      <c r="AJ40" s="1482"/>
      <c r="AK40" s="1482"/>
      <c r="AL40" s="1482"/>
      <c r="AM40" s="1482"/>
      <c r="AN40" s="1482"/>
      <c r="AO40" s="545"/>
      <c r="AR40" s="1484" t="str">
        <f>SchInfo!R38</f>
        <v>MICHAEL T. JAMIS   /  March 17, 2023</v>
      </c>
      <c r="AS40" s="1484"/>
      <c r="AT40" s="1484"/>
      <c r="AU40" s="1484"/>
      <c r="AV40" s="1484"/>
      <c r="AW40" s="1484"/>
      <c r="AX40" s="1484"/>
      <c r="AY40" s="1484"/>
      <c r="AZ40" s="1484"/>
      <c r="BA40" s="1484"/>
      <c r="BB40" s="1484"/>
      <c r="BC40" s="1484"/>
      <c r="BD40" s="1484"/>
      <c r="BE40" s="1484"/>
      <c r="BF40" s="1484"/>
      <c r="BG40" s="1484"/>
      <c r="BH40" s="1484"/>
      <c r="BI40" s="1484"/>
    </row>
    <row r="41" spans="2:62" s="68" customFormat="1" ht="13.5" customHeight="1" x14ac:dyDescent="0.3">
      <c r="B41" s="210"/>
      <c r="F41" s="1452" t="s">
        <v>779</v>
      </c>
      <c r="G41" s="1452"/>
      <c r="H41" s="1452"/>
      <c r="I41" s="1452"/>
      <c r="J41" s="1452"/>
      <c r="K41" s="1452"/>
      <c r="L41" s="1452"/>
      <c r="M41" s="1452"/>
      <c r="N41" s="1452"/>
      <c r="O41" s="1452"/>
      <c r="P41" s="1452"/>
      <c r="Q41" s="1452"/>
      <c r="R41" s="1452"/>
      <c r="S41" s="1452"/>
      <c r="T41" s="220"/>
      <c r="U41" s="172"/>
      <c r="V41" s="64"/>
      <c r="W41" s="1452" t="s">
        <v>779</v>
      </c>
      <c r="X41" s="1452"/>
      <c r="Y41" s="1452"/>
      <c r="Z41" s="1452"/>
      <c r="AA41" s="1452"/>
      <c r="AB41" s="1452"/>
      <c r="AC41" s="1452"/>
      <c r="AD41" s="1452"/>
      <c r="AE41" s="1452"/>
      <c r="AF41" s="1452"/>
      <c r="AG41" s="1452"/>
      <c r="AH41" s="1452"/>
      <c r="AI41" s="1452"/>
      <c r="AJ41" s="1452"/>
      <c r="AK41" s="1452"/>
      <c r="AL41" s="1452"/>
      <c r="AM41" s="1452"/>
      <c r="AN41" s="1452"/>
      <c r="AO41" s="220"/>
      <c r="AR41" s="1485"/>
      <c r="AS41" s="1485"/>
      <c r="AT41" s="1485"/>
      <c r="AU41" s="1485"/>
      <c r="AV41" s="1485"/>
      <c r="AW41" s="1485"/>
      <c r="AX41" s="1485"/>
      <c r="AY41" s="1485"/>
      <c r="AZ41" s="1485"/>
      <c r="BA41" s="1485"/>
      <c r="BB41" s="1485"/>
      <c r="BC41" s="1485"/>
      <c r="BD41" s="1485"/>
      <c r="BE41" s="1485"/>
      <c r="BF41" s="1485"/>
      <c r="BG41" s="1485"/>
      <c r="BH41" s="1485"/>
      <c r="BI41" s="1485"/>
    </row>
    <row r="42" spans="2:62" s="73" customFormat="1" ht="21.75" customHeight="1" x14ac:dyDescent="0.3">
      <c r="B42" s="74" t="s">
        <v>784</v>
      </c>
      <c r="F42" s="1482" t="str">
        <f>SchInfo!F40</f>
        <v>Principal IV</v>
      </c>
      <c r="G42" s="1482"/>
      <c r="H42" s="1482"/>
      <c r="I42" s="1482"/>
      <c r="J42" s="1482"/>
      <c r="K42" s="1482"/>
      <c r="L42" s="1482"/>
      <c r="M42" s="1482"/>
      <c r="N42" s="1482"/>
      <c r="O42" s="1482"/>
      <c r="P42" s="1482"/>
      <c r="Q42" s="1482"/>
      <c r="R42" s="1482"/>
      <c r="S42" s="1482"/>
      <c r="T42" s="545"/>
      <c r="W42" s="74" t="s">
        <v>784</v>
      </c>
      <c r="AA42" s="1482" t="str">
        <f>'Table33a-b'!V44</f>
        <v>Nurse II</v>
      </c>
      <c r="AB42" s="1482"/>
      <c r="AC42" s="1482"/>
      <c r="AD42" s="1482"/>
      <c r="AE42" s="1482"/>
      <c r="AF42" s="1482"/>
      <c r="AG42" s="1482"/>
      <c r="AH42" s="1482"/>
      <c r="AI42" s="1482"/>
      <c r="AJ42" s="1482"/>
      <c r="AK42" s="1482"/>
      <c r="AL42" s="1482"/>
      <c r="AM42" s="1482"/>
      <c r="AN42" s="1482"/>
      <c r="AO42" s="545"/>
      <c r="AR42" s="1452" t="s">
        <v>779</v>
      </c>
      <c r="AS42" s="1452"/>
      <c r="AT42" s="1452"/>
      <c r="AU42" s="1452"/>
      <c r="AV42" s="1452"/>
      <c r="AW42" s="1452"/>
      <c r="AX42" s="1452"/>
      <c r="AY42" s="1452"/>
      <c r="AZ42" s="1452"/>
      <c r="BA42" s="1452"/>
      <c r="BB42" s="1452"/>
      <c r="BC42" s="1452"/>
      <c r="BD42" s="1452"/>
      <c r="BE42" s="1452"/>
      <c r="BF42" s="1452"/>
      <c r="BG42" s="1452"/>
      <c r="BH42" s="1452"/>
      <c r="BI42" s="1452"/>
    </row>
    <row r="43" spans="2:62" s="73" customFormat="1" ht="14" x14ac:dyDescent="0.3"/>
    <row r="44" spans="2:62" s="68" customFormat="1" ht="14" x14ac:dyDescent="0.3">
      <c r="AI44" s="73"/>
      <c r="AJ44" s="73"/>
      <c r="AK44" s="73"/>
      <c r="AL44" s="73"/>
      <c r="AM44" s="73"/>
      <c r="AN44" s="73"/>
      <c r="AO44" s="73"/>
      <c r="AP44" s="73"/>
      <c r="AQ44" s="73"/>
      <c r="AR44" s="73"/>
      <c r="AS44" s="73"/>
      <c r="AT44" s="73"/>
      <c r="AU44" s="73"/>
    </row>
    <row r="45" spans="2:62" x14ac:dyDescent="0.35">
      <c r="AI45" s="68"/>
      <c r="AJ45" s="68"/>
      <c r="AK45" s="68"/>
      <c r="AL45" s="68"/>
      <c r="AM45" s="68"/>
      <c r="AN45" s="68"/>
      <c r="AO45" s="68"/>
      <c r="AP45" s="68"/>
      <c r="AQ45" s="68"/>
      <c r="AR45" s="68"/>
      <c r="AS45" s="68"/>
      <c r="AT45" s="68"/>
      <c r="AU45" s="68"/>
    </row>
  </sheetData>
  <sheetProtection algorithmName="SHA-512" hashValue="KwzkDzQZhL1CgdSDQokaqdrbksEblhz6U0VsnHG1VxryQShbYeel8za+olsgNYFQIKvDBP8QGiPcJKgx8BU+zg==" saltValue="1UFj1voOUPEi041PZqeIFQ==" spinCount="100000" sheet="1" objects="1" scenarios="1"/>
  <mergeCells count="218">
    <mergeCell ref="F40:S40"/>
    <mergeCell ref="W40:AN40"/>
    <mergeCell ref="AR40:BI41"/>
    <mergeCell ref="F41:S41"/>
    <mergeCell ref="W41:AN41"/>
    <mergeCell ref="F42:S42"/>
    <mergeCell ref="AA42:AN42"/>
    <mergeCell ref="AR42:BI42"/>
    <mergeCell ref="W37:X37"/>
    <mergeCell ref="Y37:Z37"/>
    <mergeCell ref="AA37:AB37"/>
    <mergeCell ref="AC37:AD37"/>
    <mergeCell ref="AE37:AF37"/>
    <mergeCell ref="AG37:AH37"/>
    <mergeCell ref="BC37:BD37"/>
    <mergeCell ref="BE37:BF37"/>
    <mergeCell ref="BG37:BH37"/>
    <mergeCell ref="BI37:BJ37"/>
    <mergeCell ref="Y36:Z36"/>
    <mergeCell ref="B37:F37"/>
    <mergeCell ref="G37:H37"/>
    <mergeCell ref="I37:J37"/>
    <mergeCell ref="K37:L37"/>
    <mergeCell ref="M37:N37"/>
    <mergeCell ref="O37:P37"/>
    <mergeCell ref="Q37:R37"/>
    <mergeCell ref="S37:T37"/>
    <mergeCell ref="U37:V37"/>
    <mergeCell ref="AG35:AH35"/>
    <mergeCell ref="BC35:BD35"/>
    <mergeCell ref="BE35:BF35"/>
    <mergeCell ref="BG35:BH35"/>
    <mergeCell ref="BI35:BJ35"/>
    <mergeCell ref="AI34:AJ34"/>
    <mergeCell ref="AK34:AL34"/>
    <mergeCell ref="B36:F36"/>
    <mergeCell ref="G36:H36"/>
    <mergeCell ref="I36:J36"/>
    <mergeCell ref="K36:L36"/>
    <mergeCell ref="M36:N36"/>
    <mergeCell ref="O36:P36"/>
    <mergeCell ref="Q36:R36"/>
    <mergeCell ref="S36:T36"/>
    <mergeCell ref="U36:V36"/>
    <mergeCell ref="AA36:AB36"/>
    <mergeCell ref="AC36:AD36"/>
    <mergeCell ref="AE36:AF36"/>
    <mergeCell ref="AG36:AH36"/>
    <mergeCell ref="BC36:BD36"/>
    <mergeCell ref="BE36:BF36"/>
    <mergeCell ref="BG36:BH36"/>
    <mergeCell ref="BI36:BJ36"/>
    <mergeCell ref="B35:F35"/>
    <mergeCell ref="G35:H35"/>
    <mergeCell ref="I35:J35"/>
    <mergeCell ref="K35:L35"/>
    <mergeCell ref="M35:N35"/>
    <mergeCell ref="O35:P35"/>
    <mergeCell ref="Q35:R35"/>
    <mergeCell ref="S35:T35"/>
    <mergeCell ref="U35:V35"/>
    <mergeCell ref="AI33:AV33"/>
    <mergeCell ref="AM34:AN34"/>
    <mergeCell ref="AO34:AP34"/>
    <mergeCell ref="AQ34:AR34"/>
    <mergeCell ref="AS34:AT34"/>
    <mergeCell ref="AU34:AV34"/>
    <mergeCell ref="AW34:AX34"/>
    <mergeCell ref="AY34:AZ34"/>
    <mergeCell ref="B31:F34"/>
    <mergeCell ref="G31:BJ31"/>
    <mergeCell ref="G32:AH32"/>
    <mergeCell ref="AI32:BJ32"/>
    <mergeCell ref="G34:H34"/>
    <mergeCell ref="I34:J34"/>
    <mergeCell ref="K34:L34"/>
    <mergeCell ref="M34:N34"/>
    <mergeCell ref="O34:P34"/>
    <mergeCell ref="Q34:R34"/>
    <mergeCell ref="S34:T34"/>
    <mergeCell ref="BA34:BB34"/>
    <mergeCell ref="BC34:BD34"/>
    <mergeCell ref="BE34:BF34"/>
    <mergeCell ref="BG34:BH34"/>
    <mergeCell ref="BI34:BJ34"/>
    <mergeCell ref="AK27:AO27"/>
    <mergeCell ref="B26:P26"/>
    <mergeCell ref="Q26:U26"/>
    <mergeCell ref="V26:Z26"/>
    <mergeCell ref="AA26:AE26"/>
    <mergeCell ref="AF26:AJ26"/>
    <mergeCell ref="AK26:AO26"/>
    <mergeCell ref="B25:P25"/>
    <mergeCell ref="Q25:U25"/>
    <mergeCell ref="V25:Z25"/>
    <mergeCell ref="AA25:AE25"/>
    <mergeCell ref="AF25:AJ25"/>
    <mergeCell ref="AK25:AO25"/>
    <mergeCell ref="B27:P27"/>
    <mergeCell ref="Q27:U27"/>
    <mergeCell ref="V27:Z27"/>
    <mergeCell ref="AA27:AE27"/>
    <mergeCell ref="AF27:AJ27"/>
    <mergeCell ref="B24:P24"/>
    <mergeCell ref="Q24:U24"/>
    <mergeCell ref="V24:Z24"/>
    <mergeCell ref="AA24:AE24"/>
    <mergeCell ref="AF24:AJ24"/>
    <mergeCell ref="AK24:AO24"/>
    <mergeCell ref="C16:AO16"/>
    <mergeCell ref="C17:AO17"/>
    <mergeCell ref="C18:AO18"/>
    <mergeCell ref="B22:P23"/>
    <mergeCell ref="Q22:U23"/>
    <mergeCell ref="V22:Z23"/>
    <mergeCell ref="AA22:AE23"/>
    <mergeCell ref="AF22:AJ23"/>
    <mergeCell ref="AK22:AO23"/>
    <mergeCell ref="B14:P14"/>
    <mergeCell ref="Q14:U14"/>
    <mergeCell ref="V14:Z14"/>
    <mergeCell ref="AA14:AE14"/>
    <mergeCell ref="AF14:AJ14"/>
    <mergeCell ref="AK14:AO14"/>
    <mergeCell ref="B13:P13"/>
    <mergeCell ref="Q13:U13"/>
    <mergeCell ref="V13:Z13"/>
    <mergeCell ref="AA13:AE13"/>
    <mergeCell ref="AF13:AJ13"/>
    <mergeCell ref="AK13:AO13"/>
    <mergeCell ref="B12:P12"/>
    <mergeCell ref="Q12:U12"/>
    <mergeCell ref="V12:Z12"/>
    <mergeCell ref="AA12:AE12"/>
    <mergeCell ref="AF12:AJ12"/>
    <mergeCell ref="AK12:AO12"/>
    <mergeCell ref="B10:P10"/>
    <mergeCell ref="Q10:AO10"/>
    <mergeCell ref="B11:P11"/>
    <mergeCell ref="Q11:U11"/>
    <mergeCell ref="V11:Z11"/>
    <mergeCell ref="AA11:AE11"/>
    <mergeCell ref="AF11:AJ11"/>
    <mergeCell ref="AK11:AO11"/>
    <mergeCell ref="B9:P9"/>
    <mergeCell ref="Q9:U9"/>
    <mergeCell ref="V9:Z9"/>
    <mergeCell ref="AA9:AE9"/>
    <mergeCell ref="AF9:AJ9"/>
    <mergeCell ref="AK9:AO9"/>
    <mergeCell ref="B7:P7"/>
    <mergeCell ref="Q7:AO7"/>
    <mergeCell ref="B8:P8"/>
    <mergeCell ref="Q8:U8"/>
    <mergeCell ref="V8:Z8"/>
    <mergeCell ref="AA8:AE8"/>
    <mergeCell ref="AF8:AJ8"/>
    <mergeCell ref="AK8:AO8"/>
    <mergeCell ref="B6:P6"/>
    <mergeCell ref="Q6:U6"/>
    <mergeCell ref="V6:Z6"/>
    <mergeCell ref="AA6:AE6"/>
    <mergeCell ref="AF6:AJ6"/>
    <mergeCell ref="AK6:AO6"/>
    <mergeCell ref="B4:P5"/>
    <mergeCell ref="Q4:U5"/>
    <mergeCell ref="V4:Z5"/>
    <mergeCell ref="AA4:AE5"/>
    <mergeCell ref="AF4:AJ5"/>
    <mergeCell ref="AK4:AO5"/>
    <mergeCell ref="Y35:Z35"/>
    <mergeCell ref="W35:X35"/>
    <mergeCell ref="BA37:BB37"/>
    <mergeCell ref="BA36:BB36"/>
    <mergeCell ref="BA35:BB35"/>
    <mergeCell ref="AY35:AZ35"/>
    <mergeCell ref="AY36:AZ36"/>
    <mergeCell ref="AY37:AZ37"/>
    <mergeCell ref="AW37:AX37"/>
    <mergeCell ref="AU37:AV37"/>
    <mergeCell ref="AS37:AT37"/>
    <mergeCell ref="AQ37:AR37"/>
    <mergeCell ref="AO37:AP37"/>
    <mergeCell ref="AM37:AN37"/>
    <mergeCell ref="AK37:AL37"/>
    <mergeCell ref="AI37:AJ37"/>
    <mergeCell ref="AI36:AJ36"/>
    <mergeCell ref="AK36:AL36"/>
    <mergeCell ref="AM36:AN36"/>
    <mergeCell ref="AO36:AP36"/>
    <mergeCell ref="AQ36:AR36"/>
    <mergeCell ref="AA35:AB35"/>
    <mergeCell ref="AC35:AD35"/>
    <mergeCell ref="AE35:AF35"/>
    <mergeCell ref="AW33:BB33"/>
    <mergeCell ref="BC33:BJ33"/>
    <mergeCell ref="G33:T33"/>
    <mergeCell ref="AK35:AL35"/>
    <mergeCell ref="AI35:AJ35"/>
    <mergeCell ref="AS36:AT36"/>
    <mergeCell ref="AU36:AV36"/>
    <mergeCell ref="AW36:AX36"/>
    <mergeCell ref="AW35:AX35"/>
    <mergeCell ref="AU35:AV35"/>
    <mergeCell ref="AS35:AT35"/>
    <mergeCell ref="AQ35:AR35"/>
    <mergeCell ref="AO35:AP35"/>
    <mergeCell ref="AM35:AN35"/>
    <mergeCell ref="W36:X36"/>
    <mergeCell ref="U34:V34"/>
    <mergeCell ref="W34:X34"/>
    <mergeCell ref="Y34:Z34"/>
    <mergeCell ref="AA34:AB34"/>
    <mergeCell ref="AC34:AD34"/>
    <mergeCell ref="AE34:AF34"/>
    <mergeCell ref="AG34:AH34"/>
    <mergeCell ref="U33:Z33"/>
    <mergeCell ref="AA33:AH33"/>
  </mergeCells>
  <dataValidations count="2">
    <dataValidation type="whole" allowBlank="1" showInputMessage="1" showErrorMessage="1" errorTitle="GJHSP SY 2022-2023" error="Please enter valid number between 0-20,000." sqref="G35:AH36 Q6:AJ6 Q8:AJ9 Q11:AJ14 Q24:AJ27" xr:uid="{056A6C70-CDB8-432A-9845-4743A7F4770B}">
      <formula1>0</formula1>
      <formula2>20000</formula2>
    </dataValidation>
    <dataValidation type="whole" allowBlank="1" showInputMessage="1" showErrorMessage="1" errorTitle="GJHSP SY 2022-2023" error="Please enter valid number between 0-999." sqref="AI35:BJ36" xr:uid="{B056B7B3-76BE-4466-8793-17EBC3F38448}">
      <formula1>0</formula1>
      <formula2>999</formula2>
    </dataValidation>
  </dataValidations>
  <printOptions horizontalCentered="1" verticalCentered="1"/>
  <pageMargins left="0.23622047244094491" right="0.23622047244094491" top="0.19685039370078741" bottom="0.19685039370078741" header="0" footer="0.11811023622047245"/>
  <pageSetup paperSize="14" scale="64" orientation="landscape" r:id="rId1"/>
  <headerFooter alignWithMargins="0">
    <oddFooter>&amp;L&amp;10&amp;F &amp;A&amp;R&amp;10Page 32 of 63</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11B77-1319-4D14-A53E-CEB055C7199B}">
  <sheetPr codeName="Sheet30"/>
  <dimension ref="B1:BD51"/>
  <sheetViews>
    <sheetView showGridLines="0" zoomScaleNormal="100" workbookViewId="0">
      <selection activeCell="W14" sqref="W14"/>
    </sheetView>
  </sheetViews>
  <sheetFormatPr defaultColWidth="9" defaultRowHeight="15.5" x14ac:dyDescent="0.35"/>
  <cols>
    <col min="1" max="1" width="2.08203125" style="546" customWidth="1"/>
    <col min="2" max="40" width="3.58203125" style="546" customWidth="1"/>
    <col min="41" max="41" width="2.08203125" style="546" customWidth="1"/>
    <col min="42" max="44" width="3.58203125" style="546" customWidth="1"/>
    <col min="45" max="16384" width="9" style="546"/>
  </cols>
  <sheetData>
    <row r="1" spans="2:48" ht="12" customHeight="1" x14ac:dyDescent="0.35"/>
    <row r="2" spans="2:48" x14ac:dyDescent="0.35">
      <c r="B2" s="502" t="s">
        <v>12727</v>
      </c>
      <c r="C2" s="502"/>
      <c r="D2" s="502"/>
      <c r="E2" s="502"/>
      <c r="F2" s="502"/>
      <c r="G2" s="502"/>
      <c r="H2" s="502"/>
      <c r="I2" s="502"/>
      <c r="J2" s="502"/>
      <c r="K2" s="502"/>
      <c r="L2" s="503"/>
      <c r="M2" s="503"/>
      <c r="N2" s="503"/>
      <c r="O2" s="503"/>
      <c r="P2" s="503"/>
      <c r="Q2" s="503"/>
      <c r="R2" s="503"/>
      <c r="S2" s="503"/>
      <c r="T2" s="503"/>
      <c r="U2" s="503"/>
      <c r="V2" s="503"/>
      <c r="W2" s="503"/>
      <c r="X2" s="503"/>
      <c r="Y2" s="503"/>
      <c r="Z2" s="503"/>
      <c r="AA2" s="503"/>
      <c r="AB2" s="503"/>
      <c r="AC2" s="503"/>
      <c r="AD2" s="503"/>
      <c r="AE2" s="503"/>
      <c r="AF2" s="503"/>
      <c r="AG2" s="503"/>
      <c r="AH2" s="503"/>
      <c r="AI2" s="503"/>
      <c r="AJ2" s="503"/>
      <c r="AK2" s="503"/>
      <c r="AL2" s="502"/>
    </row>
    <row r="3" spans="2:48" s="402" customFormat="1" ht="16" thickBot="1" x14ac:dyDescent="0.4">
      <c r="B3" s="419" t="s">
        <v>1091</v>
      </c>
    </row>
    <row r="4" spans="2:48" s="501" customFormat="1" ht="5.25" customHeight="1" thickTop="1" x14ac:dyDescent="0.35">
      <c r="B4" s="533"/>
      <c r="C4" s="535"/>
      <c r="D4" s="792"/>
      <c r="E4" s="506"/>
      <c r="F4" s="506"/>
      <c r="G4" s="506"/>
      <c r="H4" s="506"/>
      <c r="I4" s="506"/>
      <c r="J4" s="506"/>
      <c r="K4" s="506"/>
      <c r="L4" s="506"/>
      <c r="M4" s="506"/>
      <c r="N4" s="506"/>
      <c r="O4" s="462"/>
      <c r="P4" s="462"/>
      <c r="Q4" s="462"/>
      <c r="R4" s="462"/>
      <c r="S4" s="462"/>
      <c r="T4" s="462"/>
      <c r="U4" s="422"/>
      <c r="V4" s="793"/>
      <c r="W4" s="793"/>
      <c r="X4" s="793"/>
      <c r="Y4" s="793"/>
      <c r="Z4" s="793"/>
      <c r="AA4" s="793"/>
      <c r="AB4" s="462"/>
      <c r="AC4" s="462"/>
      <c r="AD4" s="462"/>
      <c r="AE4" s="462"/>
      <c r="AF4" s="462"/>
      <c r="AG4" s="462"/>
      <c r="AH4" s="462"/>
      <c r="AI4" s="462"/>
      <c r="AJ4" s="462"/>
      <c r="AK4" s="462"/>
      <c r="AL4" s="535"/>
      <c r="AM4" s="535"/>
      <c r="AN4" s="536"/>
      <c r="AS4" s="403"/>
      <c r="AT4" s="403"/>
      <c r="AU4" s="403"/>
      <c r="AV4" s="403"/>
    </row>
    <row r="5" spans="2:48" s="501" customFormat="1" ht="25" customHeight="1" x14ac:dyDescent="0.45">
      <c r="B5" s="834"/>
      <c r="C5" s="851" t="s">
        <v>150</v>
      </c>
      <c r="D5" s="780" t="s">
        <v>1035</v>
      </c>
      <c r="E5" s="780"/>
      <c r="F5" s="781"/>
      <c r="G5" s="781"/>
      <c r="H5" s="781"/>
      <c r="I5" s="781"/>
      <c r="J5" s="781"/>
      <c r="K5" s="781"/>
      <c r="L5" s="781"/>
      <c r="M5" s="781"/>
      <c r="N5" s="781"/>
      <c r="O5" s="668"/>
      <c r="P5" s="403"/>
      <c r="Q5" s="403"/>
      <c r="R5" s="403"/>
      <c r="S5" s="403"/>
      <c r="T5" s="403"/>
      <c r="U5" s="782"/>
      <c r="V5" s="668"/>
      <c r="W5" s="668"/>
      <c r="X5" s="668"/>
      <c r="Y5" s="668"/>
      <c r="Z5" s="668"/>
      <c r="AA5" s="680" t="b">
        <v>1</v>
      </c>
      <c r="AB5" s="403" t="s">
        <v>65</v>
      </c>
      <c r="AC5" s="403"/>
      <c r="AF5" s="680"/>
      <c r="AG5" s="403" t="s">
        <v>11</v>
      </c>
      <c r="AH5" s="668"/>
      <c r="AI5" s="403"/>
      <c r="AJ5" s="403"/>
      <c r="AK5" s="403"/>
      <c r="AN5" s="850"/>
      <c r="AS5" s="403"/>
      <c r="AT5" s="403"/>
      <c r="AU5" s="403"/>
      <c r="AV5" s="403"/>
    </row>
    <row r="6" spans="2:48" s="501" customFormat="1" ht="6" customHeight="1" x14ac:dyDescent="0.4">
      <c r="B6" s="834"/>
      <c r="E6" s="849"/>
      <c r="F6" s="503"/>
      <c r="G6" s="503"/>
      <c r="H6" s="503"/>
      <c r="I6" s="503"/>
      <c r="J6" s="503"/>
      <c r="K6" s="503"/>
      <c r="L6" s="503"/>
      <c r="M6" s="503"/>
      <c r="N6" s="503"/>
      <c r="O6" s="668"/>
      <c r="Q6" s="668"/>
      <c r="R6" s="761"/>
      <c r="S6" s="403"/>
      <c r="V6" s="668"/>
      <c r="W6" s="761"/>
      <c r="X6" s="403"/>
      <c r="Y6" s="403"/>
      <c r="Z6" s="403"/>
      <c r="AA6" s="403"/>
      <c r="AB6" s="403"/>
      <c r="AC6" s="403"/>
      <c r="AE6" s="668"/>
      <c r="AF6" s="668"/>
      <c r="AG6" s="668"/>
      <c r="AH6" s="668"/>
      <c r="AI6" s="668"/>
      <c r="AJ6" s="668"/>
      <c r="AK6" s="668"/>
      <c r="AN6" s="850"/>
      <c r="AS6" s="403"/>
      <c r="AT6" s="403"/>
      <c r="AU6" s="403"/>
      <c r="AV6" s="403"/>
    </row>
    <row r="7" spans="2:48" s="501" customFormat="1" ht="25" customHeight="1" x14ac:dyDescent="0.45">
      <c r="B7" s="834"/>
      <c r="C7" s="851" t="s">
        <v>151</v>
      </c>
      <c r="D7" s="780" t="s">
        <v>1036</v>
      </c>
      <c r="E7" s="780"/>
      <c r="F7" s="781"/>
      <c r="G7" s="781"/>
      <c r="H7" s="781"/>
      <c r="I7" s="781"/>
      <c r="J7" s="781"/>
      <c r="K7" s="781"/>
      <c r="L7" s="781"/>
      <c r="M7" s="781"/>
      <c r="N7" s="781"/>
      <c r="O7" s="668"/>
      <c r="P7" s="403"/>
      <c r="Q7" s="403"/>
      <c r="R7" s="403"/>
      <c r="S7" s="403"/>
      <c r="T7" s="403"/>
      <c r="U7" s="782"/>
      <c r="V7" s="668"/>
      <c r="W7" s="668"/>
      <c r="X7" s="668"/>
      <c r="Y7" s="668"/>
      <c r="Z7" s="668"/>
      <c r="AA7" s="680" t="b">
        <v>0</v>
      </c>
      <c r="AB7" s="403" t="s">
        <v>65</v>
      </c>
      <c r="AC7" s="403"/>
      <c r="AF7" s="680"/>
      <c r="AG7" s="403" t="s">
        <v>11</v>
      </c>
      <c r="AH7" s="668"/>
      <c r="AI7" s="403"/>
      <c r="AJ7" s="403"/>
      <c r="AK7" s="403"/>
      <c r="AN7" s="850"/>
      <c r="AS7" s="403"/>
      <c r="AT7" s="403"/>
      <c r="AU7" s="403"/>
      <c r="AV7" s="403"/>
    </row>
    <row r="8" spans="2:48" s="501" customFormat="1" ht="6" customHeight="1" x14ac:dyDescent="0.4">
      <c r="B8" s="834"/>
      <c r="E8" s="849"/>
      <c r="F8" s="503"/>
      <c r="G8" s="503"/>
      <c r="H8" s="503"/>
      <c r="I8" s="503"/>
      <c r="J8" s="503"/>
      <c r="K8" s="503"/>
      <c r="L8" s="503"/>
      <c r="M8" s="503"/>
      <c r="N8" s="503"/>
      <c r="O8" s="668"/>
      <c r="Q8" s="668"/>
      <c r="R8" s="761"/>
      <c r="S8" s="403"/>
      <c r="V8" s="668"/>
      <c r="W8" s="761"/>
      <c r="X8" s="403"/>
      <c r="Y8" s="403"/>
      <c r="Z8" s="403"/>
      <c r="AA8" s="403"/>
      <c r="AB8" s="403"/>
      <c r="AC8" s="403"/>
      <c r="AE8" s="668"/>
      <c r="AF8" s="668"/>
      <c r="AG8" s="668"/>
      <c r="AH8" s="668"/>
      <c r="AI8" s="668"/>
      <c r="AJ8" s="668"/>
      <c r="AK8" s="668"/>
      <c r="AN8" s="850"/>
      <c r="AS8" s="403"/>
      <c r="AT8" s="403"/>
      <c r="AU8" s="403"/>
      <c r="AV8" s="403"/>
    </row>
    <row r="9" spans="2:48" s="501" customFormat="1" ht="25" customHeight="1" x14ac:dyDescent="0.45">
      <c r="B9" s="834"/>
      <c r="C9" s="851" t="s">
        <v>152</v>
      </c>
      <c r="D9" s="780" t="s">
        <v>1247</v>
      </c>
      <c r="E9" s="780"/>
      <c r="F9" s="781"/>
      <c r="G9" s="781"/>
      <c r="H9" s="781"/>
      <c r="I9" s="781"/>
      <c r="J9" s="781"/>
      <c r="K9" s="781"/>
      <c r="L9" s="781"/>
      <c r="M9" s="781"/>
      <c r="N9" s="781"/>
      <c r="O9" s="668"/>
      <c r="P9" s="403"/>
      <c r="Q9" s="403"/>
      <c r="R9" s="403"/>
      <c r="S9" s="403"/>
      <c r="T9" s="403"/>
      <c r="U9" s="782"/>
      <c r="V9" s="668"/>
      <c r="W9" s="668"/>
      <c r="X9" s="668"/>
      <c r="Y9" s="668"/>
      <c r="Z9" s="668"/>
      <c r="AA9" s="668"/>
      <c r="AB9" s="403"/>
      <c r="AC9" s="403"/>
      <c r="AD9" s="403"/>
      <c r="AE9" s="403"/>
      <c r="AF9" s="403"/>
      <c r="AG9" s="403"/>
      <c r="AH9" s="403"/>
      <c r="AI9" s="403"/>
      <c r="AJ9" s="403"/>
      <c r="AK9" s="403"/>
      <c r="AN9" s="850"/>
      <c r="AS9" s="403"/>
      <c r="AT9" s="403"/>
      <c r="AU9" s="403"/>
      <c r="AV9" s="403"/>
    </row>
    <row r="10" spans="2:48" s="501" customFormat="1" ht="6" customHeight="1" thickBot="1" x14ac:dyDescent="0.45">
      <c r="B10" s="834"/>
      <c r="E10" s="849"/>
      <c r="F10" s="503"/>
      <c r="G10" s="503"/>
      <c r="H10" s="503"/>
      <c r="I10" s="503"/>
      <c r="J10" s="503"/>
      <c r="K10" s="503"/>
      <c r="L10" s="503"/>
      <c r="M10" s="503"/>
      <c r="N10" s="503"/>
      <c r="O10" s="668"/>
      <c r="Q10" s="668"/>
      <c r="R10" s="761"/>
      <c r="S10" s="403"/>
      <c r="V10" s="668"/>
      <c r="W10" s="761"/>
      <c r="X10" s="403"/>
      <c r="Y10" s="403"/>
      <c r="Z10" s="403"/>
      <c r="AA10" s="403"/>
      <c r="AB10" s="403"/>
      <c r="AC10" s="403"/>
      <c r="AE10" s="668"/>
      <c r="AF10" s="668"/>
      <c r="AG10" s="668"/>
      <c r="AH10" s="668"/>
      <c r="AI10" s="668"/>
      <c r="AJ10" s="668"/>
      <c r="AK10" s="668"/>
      <c r="AN10" s="850"/>
      <c r="AS10" s="403"/>
      <c r="AT10" s="403"/>
      <c r="AU10" s="403"/>
      <c r="AV10" s="403"/>
    </row>
    <row r="11" spans="2:48" s="501" customFormat="1" ht="35" customHeight="1" thickTop="1" thickBot="1" x14ac:dyDescent="0.45">
      <c r="B11" s="834"/>
      <c r="D11" s="3239" t="s">
        <v>564</v>
      </c>
      <c r="E11" s="3240"/>
      <c r="F11" s="3240"/>
      <c r="G11" s="3240"/>
      <c r="H11" s="3240"/>
      <c r="I11" s="3240"/>
      <c r="J11" s="3240"/>
      <c r="K11" s="3241"/>
      <c r="L11" s="3269" t="s">
        <v>323</v>
      </c>
      <c r="M11" s="3240"/>
      <c r="N11" s="3240"/>
      <c r="O11" s="3240"/>
      <c r="P11" s="3240"/>
      <c r="Q11" s="3240"/>
      <c r="R11" s="3270"/>
      <c r="S11" s="418"/>
      <c r="T11" s="418"/>
      <c r="U11" s="418"/>
      <c r="V11" s="418"/>
      <c r="W11" s="418"/>
      <c r="X11" s="418"/>
      <c r="Y11" s="418"/>
      <c r="Z11" s="418"/>
      <c r="AA11" s="418"/>
      <c r="AB11" s="418"/>
      <c r="AC11" s="418"/>
      <c r="AD11" s="418"/>
      <c r="AE11" s="418"/>
      <c r="AF11" s="418"/>
      <c r="AG11" s="668"/>
      <c r="AH11" s="668"/>
      <c r="AI11" s="668"/>
      <c r="AN11" s="850"/>
      <c r="AQ11" s="403"/>
      <c r="AR11" s="403"/>
      <c r="AS11" s="403"/>
      <c r="AT11" s="403"/>
    </row>
    <row r="12" spans="2:48" s="501" customFormat="1" ht="30" customHeight="1" thickTop="1" x14ac:dyDescent="0.4">
      <c r="B12" s="834"/>
      <c r="D12" s="840"/>
      <c r="E12" s="841"/>
      <c r="F12" s="841"/>
      <c r="G12" s="841" t="s">
        <v>87</v>
      </c>
      <c r="H12" s="841"/>
      <c r="I12" s="841"/>
      <c r="J12" s="841"/>
      <c r="K12" s="842"/>
      <c r="L12" s="3184">
        <v>10</v>
      </c>
      <c r="M12" s="3192"/>
      <c r="N12" s="3192"/>
      <c r="O12" s="3192"/>
      <c r="P12" s="3192"/>
      <c r="Q12" s="3192"/>
      <c r="R12" s="3271"/>
      <c r="S12" s="512"/>
      <c r="T12" s="512"/>
      <c r="U12" s="512"/>
      <c r="V12" s="512"/>
      <c r="W12" s="512"/>
      <c r="X12" s="512"/>
      <c r="Y12" s="512"/>
      <c r="Z12" s="512"/>
      <c r="AA12" s="512"/>
      <c r="AB12" s="512"/>
      <c r="AC12" s="512"/>
      <c r="AD12" s="512"/>
      <c r="AE12" s="512"/>
      <c r="AF12" s="512"/>
      <c r="AG12" s="668"/>
      <c r="AH12" s="668"/>
      <c r="AI12" s="668"/>
      <c r="AN12" s="850"/>
      <c r="AQ12" s="403"/>
      <c r="AR12" s="403"/>
      <c r="AS12" s="403"/>
      <c r="AT12" s="403"/>
    </row>
    <row r="13" spans="2:48" s="501" customFormat="1" ht="30" customHeight="1" x14ac:dyDescent="0.4">
      <c r="B13" s="834"/>
      <c r="D13" s="843"/>
      <c r="E13" s="844"/>
      <c r="F13" s="844"/>
      <c r="G13" s="844" t="s">
        <v>88</v>
      </c>
      <c r="H13" s="844"/>
      <c r="I13" s="844"/>
      <c r="J13" s="844"/>
      <c r="K13" s="845"/>
      <c r="L13" s="3272">
        <v>40</v>
      </c>
      <c r="M13" s="3273"/>
      <c r="N13" s="3273"/>
      <c r="O13" s="3273"/>
      <c r="P13" s="3273"/>
      <c r="Q13" s="3273"/>
      <c r="R13" s="3274"/>
      <c r="S13" s="512"/>
      <c r="T13" s="512"/>
      <c r="U13" s="512"/>
      <c r="V13" s="512"/>
      <c r="W13" s="512"/>
      <c r="X13" s="512"/>
      <c r="Y13" s="512"/>
      <c r="Z13" s="512"/>
      <c r="AA13" s="512"/>
      <c r="AB13" s="512"/>
      <c r="AC13" s="512"/>
      <c r="AD13" s="512"/>
      <c r="AE13" s="512"/>
      <c r="AF13" s="512"/>
      <c r="AG13" s="668"/>
      <c r="AH13" s="668"/>
      <c r="AI13" s="668"/>
      <c r="AN13" s="850"/>
      <c r="AQ13" s="403"/>
      <c r="AR13" s="403"/>
      <c r="AS13" s="403"/>
      <c r="AT13" s="403"/>
    </row>
    <row r="14" spans="2:48" s="501" customFormat="1" ht="30" customHeight="1" x14ac:dyDescent="0.4">
      <c r="B14" s="834"/>
      <c r="D14" s="843"/>
      <c r="E14" s="844"/>
      <c r="F14" s="844"/>
      <c r="G14" s="844" t="s">
        <v>89</v>
      </c>
      <c r="H14" s="844"/>
      <c r="I14" s="844"/>
      <c r="J14" s="844"/>
      <c r="K14" s="845"/>
      <c r="L14" s="3272">
        <v>8</v>
      </c>
      <c r="M14" s="3273"/>
      <c r="N14" s="3273"/>
      <c r="O14" s="3273"/>
      <c r="P14" s="3273"/>
      <c r="Q14" s="3273"/>
      <c r="R14" s="3274"/>
      <c r="S14" s="512"/>
      <c r="T14" s="512"/>
      <c r="U14" s="512"/>
      <c r="V14" s="512"/>
      <c r="W14" s="512"/>
      <c r="X14" s="512"/>
      <c r="Y14" s="512"/>
      <c r="Z14" s="512"/>
      <c r="AA14" s="512"/>
      <c r="AB14" s="512"/>
      <c r="AC14" s="512"/>
      <c r="AD14" s="512"/>
      <c r="AE14" s="512"/>
      <c r="AF14" s="512"/>
      <c r="AG14" s="668"/>
      <c r="AH14" s="668"/>
      <c r="AI14" s="668"/>
      <c r="AN14" s="850"/>
      <c r="AQ14" s="403"/>
      <c r="AR14" s="403"/>
      <c r="AS14" s="403"/>
      <c r="AT14" s="403"/>
    </row>
    <row r="15" spans="2:48" s="501" customFormat="1" ht="30" customHeight="1" thickBot="1" x14ac:dyDescent="0.45">
      <c r="B15" s="834"/>
      <c r="D15" s="854"/>
      <c r="E15" s="855"/>
      <c r="F15" s="855"/>
      <c r="G15" s="855" t="s">
        <v>90</v>
      </c>
      <c r="H15" s="855"/>
      <c r="I15" s="855"/>
      <c r="J15" s="855"/>
      <c r="K15" s="856"/>
      <c r="L15" s="3215">
        <v>200</v>
      </c>
      <c r="M15" s="3187"/>
      <c r="N15" s="3187"/>
      <c r="O15" s="3187"/>
      <c r="P15" s="3187"/>
      <c r="Q15" s="3187"/>
      <c r="R15" s="3275"/>
      <c r="S15" s="512"/>
      <c r="T15" s="512"/>
      <c r="U15" s="512"/>
      <c r="V15" s="512"/>
      <c r="W15" s="512"/>
      <c r="X15" s="512"/>
      <c r="Y15" s="512"/>
      <c r="Z15" s="512"/>
      <c r="AA15" s="512"/>
      <c r="AB15" s="512"/>
      <c r="AC15" s="512"/>
      <c r="AD15" s="512"/>
      <c r="AE15" s="512"/>
      <c r="AF15" s="512"/>
      <c r="AG15" s="668"/>
      <c r="AH15" s="668"/>
      <c r="AI15" s="668"/>
      <c r="AN15" s="850"/>
      <c r="AQ15" s="403"/>
      <c r="AR15" s="403"/>
      <c r="AS15" s="403"/>
      <c r="AT15" s="403"/>
    </row>
    <row r="16" spans="2:48" s="501" customFormat="1" ht="30" customHeight="1" thickTop="1" thickBot="1" x14ac:dyDescent="0.45">
      <c r="B16" s="834"/>
      <c r="D16" s="3276" t="s">
        <v>16</v>
      </c>
      <c r="E16" s="3277"/>
      <c r="F16" s="3277"/>
      <c r="G16" s="3277"/>
      <c r="H16" s="3277"/>
      <c r="I16" s="3277"/>
      <c r="J16" s="3277"/>
      <c r="K16" s="3278"/>
      <c r="L16" s="3279">
        <f>SUM(L12:R15)</f>
        <v>258</v>
      </c>
      <c r="M16" s="3280"/>
      <c r="N16" s="3280"/>
      <c r="O16" s="3280"/>
      <c r="P16" s="3280"/>
      <c r="Q16" s="3280"/>
      <c r="R16" s="3281"/>
      <c r="S16" s="512"/>
      <c r="T16" s="512"/>
      <c r="U16" s="512"/>
      <c r="V16" s="512"/>
      <c r="W16" s="512"/>
      <c r="X16" s="512"/>
      <c r="Y16" s="512"/>
      <c r="Z16" s="512"/>
      <c r="AA16" s="512"/>
      <c r="AB16" s="512"/>
      <c r="AC16" s="512"/>
      <c r="AD16" s="512"/>
      <c r="AE16" s="512"/>
      <c r="AF16" s="512"/>
      <c r="AG16" s="668"/>
      <c r="AH16" s="668"/>
      <c r="AI16" s="668"/>
      <c r="AN16" s="850"/>
      <c r="AQ16" s="403"/>
      <c r="AR16" s="403"/>
      <c r="AS16" s="403"/>
      <c r="AT16" s="403"/>
    </row>
    <row r="17" spans="2:56" s="501" customFormat="1" ht="6" customHeight="1" thickTop="1" x14ac:dyDescent="0.4">
      <c r="B17" s="834"/>
      <c r="E17" s="849"/>
      <c r="F17" s="503"/>
      <c r="G17" s="503"/>
      <c r="H17" s="503"/>
      <c r="I17" s="503"/>
      <c r="J17" s="503"/>
      <c r="K17" s="503"/>
      <c r="L17" s="503"/>
      <c r="M17" s="503"/>
      <c r="N17" s="503"/>
      <c r="O17" s="668"/>
      <c r="Q17" s="668"/>
      <c r="R17" s="761"/>
      <c r="S17" s="403"/>
      <c r="V17" s="668"/>
      <c r="W17" s="761"/>
      <c r="X17" s="403"/>
      <c r="Y17" s="403"/>
      <c r="Z17" s="403"/>
      <c r="AA17" s="403"/>
      <c r="AB17" s="403"/>
      <c r="AC17" s="403"/>
      <c r="AE17" s="668"/>
      <c r="AF17" s="668"/>
      <c r="AG17" s="668"/>
      <c r="AH17" s="668"/>
      <c r="AI17" s="668"/>
      <c r="AJ17" s="668"/>
      <c r="AK17" s="668"/>
      <c r="AN17" s="850"/>
      <c r="AS17" s="403"/>
      <c r="AT17" s="403"/>
      <c r="AU17" s="403"/>
      <c r="AV17" s="403"/>
    </row>
    <row r="18" spans="2:56" s="501" customFormat="1" ht="30" customHeight="1" x14ac:dyDescent="0.4">
      <c r="B18" s="834"/>
      <c r="C18" s="525" t="s">
        <v>155</v>
      </c>
      <c r="D18" s="3287" t="s">
        <v>1037</v>
      </c>
      <c r="E18" s="3287"/>
      <c r="F18" s="3287"/>
      <c r="G18" s="3287"/>
      <c r="H18" s="3287"/>
      <c r="I18" s="3287"/>
      <c r="J18" s="3287"/>
      <c r="K18" s="3287"/>
      <c r="L18" s="3287"/>
      <c r="M18" s="3287"/>
      <c r="N18" s="3287"/>
      <c r="O18" s="3287"/>
      <c r="P18" s="3287"/>
      <c r="Q18" s="3287"/>
      <c r="R18" s="3287"/>
      <c r="S18" s="3287"/>
      <c r="T18" s="3287"/>
      <c r="U18" s="3287"/>
      <c r="V18" s="3287"/>
      <c r="W18" s="3287"/>
      <c r="X18" s="668"/>
      <c r="Y18" s="668"/>
      <c r="Z18" s="668"/>
      <c r="AA18" s="441" t="b">
        <v>1</v>
      </c>
      <c r="AB18" s="402" t="s">
        <v>65</v>
      </c>
      <c r="AC18" s="402"/>
      <c r="AD18" s="509"/>
      <c r="AE18" s="509"/>
      <c r="AF18" s="859"/>
      <c r="AG18" s="402" t="s">
        <v>11</v>
      </c>
      <c r="AH18" s="668"/>
      <c r="AI18" s="403"/>
      <c r="AJ18" s="403"/>
      <c r="AK18" s="403"/>
      <c r="AN18" s="850"/>
      <c r="AS18" s="403"/>
      <c r="AT18" s="403"/>
      <c r="AU18" s="403"/>
      <c r="AV18" s="403"/>
    </row>
    <row r="19" spans="2:56" s="501" customFormat="1" ht="6" customHeight="1" x14ac:dyDescent="0.4">
      <c r="B19" s="834"/>
      <c r="E19" s="849"/>
      <c r="F19" s="503"/>
      <c r="G19" s="503"/>
      <c r="H19" s="503"/>
      <c r="I19" s="503"/>
      <c r="J19" s="503"/>
      <c r="K19" s="503"/>
      <c r="L19" s="503"/>
      <c r="M19" s="503"/>
      <c r="N19" s="503"/>
      <c r="O19" s="668"/>
      <c r="Q19" s="668"/>
      <c r="R19" s="761"/>
      <c r="S19" s="403"/>
      <c r="V19" s="668"/>
      <c r="W19" s="761"/>
      <c r="X19" s="403"/>
      <c r="Y19" s="403"/>
      <c r="Z19" s="403"/>
      <c r="AA19" s="403"/>
      <c r="AB19" s="403"/>
      <c r="AC19" s="403"/>
      <c r="AE19" s="668"/>
      <c r="AF19" s="668"/>
      <c r="AG19" s="668"/>
      <c r="AH19" s="668"/>
      <c r="AI19" s="668"/>
      <c r="AJ19" s="668"/>
      <c r="AK19" s="668"/>
      <c r="AN19" s="850"/>
      <c r="AS19" s="403"/>
      <c r="AT19" s="403"/>
      <c r="AU19" s="403"/>
      <c r="AV19" s="403"/>
    </row>
    <row r="20" spans="2:56" s="501" customFormat="1" ht="25" customHeight="1" x14ac:dyDescent="0.45">
      <c r="B20" s="834"/>
      <c r="C20" s="851" t="s">
        <v>156</v>
      </c>
      <c r="D20" s="853" t="s">
        <v>12789</v>
      </c>
      <c r="E20" s="780"/>
      <c r="F20" s="781"/>
      <c r="G20" s="781"/>
      <c r="H20" s="781"/>
      <c r="I20" s="781"/>
      <c r="J20" s="781"/>
      <c r="K20" s="781"/>
      <c r="L20" s="781"/>
      <c r="M20" s="781"/>
      <c r="N20" s="781"/>
      <c r="O20" s="668"/>
      <c r="P20" s="403"/>
      <c r="Q20" s="403"/>
      <c r="R20" s="403"/>
      <c r="S20" s="403"/>
      <c r="T20" s="403"/>
      <c r="U20" s="782"/>
      <c r="V20" s="668"/>
      <c r="W20" s="668"/>
      <c r="X20" s="668"/>
      <c r="Y20" s="668"/>
      <c r="Z20" s="668"/>
      <c r="AA20" s="680" t="b">
        <v>0</v>
      </c>
      <c r="AB20" s="403" t="s">
        <v>65</v>
      </c>
      <c r="AC20" s="403"/>
      <c r="AF20" s="680"/>
      <c r="AG20" s="403" t="s">
        <v>11</v>
      </c>
      <c r="AH20" s="668"/>
      <c r="AI20" s="403"/>
      <c r="AJ20" s="403"/>
      <c r="AK20" s="403"/>
      <c r="AN20" s="850"/>
      <c r="AS20" s="403"/>
      <c r="AT20" s="403"/>
      <c r="AU20" s="403"/>
      <c r="AV20" s="403"/>
    </row>
    <row r="21" spans="2:56" s="501" customFormat="1" ht="6" customHeight="1" x14ac:dyDescent="0.4">
      <c r="B21" s="834"/>
      <c r="E21" s="849"/>
      <c r="F21" s="503"/>
      <c r="G21" s="503"/>
      <c r="H21" s="503"/>
      <c r="I21" s="503"/>
      <c r="J21" s="503"/>
      <c r="K21" s="503"/>
      <c r="L21" s="503"/>
      <c r="M21" s="503"/>
      <c r="N21" s="503"/>
      <c r="O21" s="668"/>
      <c r="Q21" s="668"/>
      <c r="R21" s="761"/>
      <c r="S21" s="403"/>
      <c r="V21" s="668"/>
      <c r="W21" s="761"/>
      <c r="X21" s="403"/>
      <c r="Y21" s="403"/>
      <c r="Z21" s="403"/>
      <c r="AA21" s="403"/>
      <c r="AB21" s="403"/>
      <c r="AC21" s="403"/>
      <c r="AE21" s="668"/>
      <c r="AF21" s="668"/>
      <c r="AG21" s="668"/>
      <c r="AH21" s="668"/>
      <c r="AI21" s="668"/>
      <c r="AJ21" s="668"/>
      <c r="AK21" s="668"/>
      <c r="AN21" s="850"/>
      <c r="AS21" s="403"/>
      <c r="AT21" s="403"/>
      <c r="AU21" s="403"/>
      <c r="AV21" s="403"/>
    </row>
    <row r="22" spans="2:56" s="501" customFormat="1" ht="18" customHeight="1" x14ac:dyDescent="0.45">
      <c r="B22" s="834"/>
      <c r="C22" s="851" t="s">
        <v>157</v>
      </c>
      <c r="D22" s="780" t="s">
        <v>1313</v>
      </c>
      <c r="E22" s="780"/>
      <c r="F22" s="781"/>
      <c r="G22" s="781"/>
      <c r="H22" s="781"/>
      <c r="I22" s="781"/>
      <c r="J22" s="781"/>
      <c r="K22" s="781"/>
      <c r="L22" s="781"/>
      <c r="M22" s="781"/>
      <c r="N22" s="781"/>
      <c r="O22" s="668"/>
      <c r="P22" s="403"/>
      <c r="Q22" s="403"/>
      <c r="R22" s="403"/>
      <c r="S22" s="403"/>
      <c r="T22" s="403"/>
      <c r="U22" s="782"/>
      <c r="V22" s="668"/>
      <c r="W22" s="668"/>
      <c r="X22" s="668"/>
      <c r="Y22" s="668"/>
      <c r="Z22" s="668"/>
      <c r="AA22" s="668"/>
      <c r="AB22" s="403"/>
      <c r="AC22" s="403"/>
      <c r="AF22" s="680" t="b">
        <v>1</v>
      </c>
      <c r="AG22" s="403" t="s">
        <v>65</v>
      </c>
      <c r="AH22" s="403"/>
      <c r="AK22" s="680"/>
      <c r="AL22" s="403" t="s">
        <v>11</v>
      </c>
      <c r="AN22" s="850"/>
      <c r="AS22" s="403"/>
      <c r="AT22" s="403"/>
      <c r="AU22" s="403"/>
      <c r="AV22" s="403"/>
    </row>
    <row r="23" spans="2:56" s="501" customFormat="1" ht="15.5" customHeight="1" x14ac:dyDescent="0.35">
      <c r="B23" s="834"/>
      <c r="D23" s="3286" t="s">
        <v>1314</v>
      </c>
      <c r="E23" s="3286"/>
      <c r="F23" s="3286"/>
      <c r="G23" s="3286"/>
      <c r="H23" s="3286"/>
      <c r="I23" s="3286"/>
      <c r="J23" s="3286"/>
      <c r="K23" s="3286"/>
      <c r="L23" s="3286"/>
      <c r="M23" s="3286"/>
      <c r="N23" s="3286"/>
      <c r="O23" s="3286"/>
      <c r="P23" s="3286"/>
      <c r="Q23" s="3286"/>
      <c r="R23" s="3286"/>
      <c r="S23" s="3286"/>
      <c r="T23" s="3286"/>
      <c r="U23" s="3286"/>
      <c r="V23" s="3286"/>
      <c r="W23" s="3286"/>
      <c r="X23" s="3286"/>
      <c r="Y23" s="3286"/>
      <c r="Z23" s="3286"/>
      <c r="AA23" s="3286"/>
      <c r="AB23" s="3286"/>
      <c r="AC23" s="789"/>
      <c r="AD23" s="789"/>
      <c r="AE23" s="789"/>
      <c r="AF23" s="1410" t="str" cm="1">
        <f t="array" ref="AF23">IF(AND(sch_conduct_menttraining_learners_ifyes=TRUE,ISBLANK(I26:AL29)),"Atleast one data entry to the following.","")</f>
        <v/>
      </c>
      <c r="AG23" s="1410"/>
      <c r="AH23" s="789"/>
      <c r="AI23" s="789"/>
      <c r="AJ23" s="789"/>
      <c r="AK23" s="789"/>
      <c r="AL23" s="789"/>
      <c r="AM23" s="789"/>
      <c r="AN23" s="850"/>
      <c r="AV23" s="403"/>
      <c r="AW23" s="403"/>
      <c r="AX23" s="403"/>
      <c r="AY23" s="403"/>
    </row>
    <row r="24" spans="2:56" s="501" customFormat="1" ht="6" customHeight="1" thickBot="1" x14ac:dyDescent="0.45">
      <c r="B24" s="834"/>
      <c r="E24" s="849"/>
      <c r="F24" s="503"/>
      <c r="G24" s="503"/>
      <c r="H24" s="503"/>
      <c r="I24" s="503"/>
      <c r="J24" s="503"/>
      <c r="K24" s="503"/>
      <c r="L24" s="503"/>
      <c r="M24" s="503"/>
      <c r="N24" s="503"/>
      <c r="O24" s="668"/>
      <c r="Q24" s="668"/>
      <c r="R24" s="761"/>
      <c r="S24" s="403"/>
      <c r="V24" s="668"/>
      <c r="W24" s="761"/>
      <c r="X24" s="403"/>
      <c r="Y24" s="403"/>
      <c r="Z24" s="403"/>
      <c r="AA24" s="403"/>
      <c r="AB24" s="403"/>
      <c r="AC24" s="403"/>
      <c r="AE24" s="668"/>
      <c r="AF24" s="668"/>
      <c r="AG24" s="668"/>
      <c r="AH24" s="668"/>
      <c r="AI24" s="668"/>
      <c r="AJ24" s="668"/>
      <c r="AK24" s="668"/>
      <c r="AN24" s="850"/>
      <c r="AS24" s="403"/>
      <c r="AT24" s="403"/>
      <c r="AU24" s="403"/>
      <c r="AV24" s="403"/>
    </row>
    <row r="25" spans="2:56" s="501" customFormat="1" ht="82" customHeight="1" thickTop="1" thickBot="1" x14ac:dyDescent="0.5">
      <c r="B25" s="834"/>
      <c r="D25" s="3282" t="s">
        <v>564</v>
      </c>
      <c r="E25" s="3283"/>
      <c r="F25" s="3283"/>
      <c r="G25" s="3283"/>
      <c r="H25" s="3284"/>
      <c r="I25" s="3269" t="s">
        <v>1315</v>
      </c>
      <c r="J25" s="3240"/>
      <c r="K25" s="3240"/>
      <c r="L25" s="3240"/>
      <c r="M25" s="3241"/>
      <c r="N25" s="3269" t="s">
        <v>1316</v>
      </c>
      <c r="O25" s="3240"/>
      <c r="P25" s="3240"/>
      <c r="Q25" s="3240"/>
      <c r="R25" s="3241"/>
      <c r="S25" s="3269" t="s">
        <v>1317</v>
      </c>
      <c r="T25" s="3240"/>
      <c r="U25" s="3240"/>
      <c r="V25" s="3240"/>
      <c r="W25" s="3241"/>
      <c r="X25" s="3269" t="s">
        <v>1038</v>
      </c>
      <c r="Y25" s="3240"/>
      <c r="Z25" s="3240"/>
      <c r="AA25" s="3240"/>
      <c r="AB25" s="3241"/>
      <c r="AC25" s="3269" t="s">
        <v>1318</v>
      </c>
      <c r="AD25" s="3240"/>
      <c r="AE25" s="3240"/>
      <c r="AF25" s="3240"/>
      <c r="AG25" s="3241"/>
      <c r="AH25" s="3269" t="s">
        <v>1319</v>
      </c>
      <c r="AI25" s="3240"/>
      <c r="AJ25" s="3240"/>
      <c r="AK25" s="3240"/>
      <c r="AL25" s="3270"/>
      <c r="AM25" s="852"/>
      <c r="AN25" s="838"/>
      <c r="AO25" s="668"/>
      <c r="AP25" s="668"/>
      <c r="AQ25" s="668"/>
      <c r="BA25" s="403"/>
      <c r="BB25" s="403"/>
      <c r="BC25" s="403"/>
      <c r="BD25" s="403"/>
    </row>
    <row r="26" spans="2:56" s="501" customFormat="1" ht="30" customHeight="1" thickTop="1" x14ac:dyDescent="0.45">
      <c r="B26" s="834"/>
      <c r="D26" s="840"/>
      <c r="E26" s="841" t="s">
        <v>87</v>
      </c>
      <c r="F26" s="841"/>
      <c r="G26" s="841"/>
      <c r="H26" s="842"/>
      <c r="I26" s="3288">
        <v>368</v>
      </c>
      <c r="J26" s="3289"/>
      <c r="K26" s="3289"/>
      <c r="L26" s="3289"/>
      <c r="M26" s="3290"/>
      <c r="N26" s="3288">
        <v>368</v>
      </c>
      <c r="O26" s="3289"/>
      <c r="P26" s="3289"/>
      <c r="Q26" s="3289"/>
      <c r="R26" s="3290"/>
      <c r="S26" s="3288">
        <v>368</v>
      </c>
      <c r="T26" s="3289"/>
      <c r="U26" s="3289"/>
      <c r="V26" s="3289"/>
      <c r="W26" s="3290"/>
      <c r="X26" s="3288">
        <v>368</v>
      </c>
      <c r="Y26" s="3289"/>
      <c r="Z26" s="3289"/>
      <c r="AA26" s="3289"/>
      <c r="AB26" s="3290"/>
      <c r="AC26" s="3288">
        <v>368</v>
      </c>
      <c r="AD26" s="3289"/>
      <c r="AE26" s="3289"/>
      <c r="AF26" s="3289"/>
      <c r="AG26" s="3290"/>
      <c r="AH26" s="3288">
        <v>0</v>
      </c>
      <c r="AI26" s="3289"/>
      <c r="AJ26" s="3289"/>
      <c r="AK26" s="3289"/>
      <c r="AL26" s="3295"/>
      <c r="AM26" s="513"/>
      <c r="AN26" s="838"/>
      <c r="AO26" s="668"/>
      <c r="AP26" s="668"/>
      <c r="AQ26" s="668"/>
      <c r="BA26" s="403"/>
      <c r="BB26" s="403"/>
      <c r="BC26" s="403"/>
      <c r="BD26" s="403"/>
    </row>
    <row r="27" spans="2:56" s="501" customFormat="1" ht="30" customHeight="1" x14ac:dyDescent="0.45">
      <c r="B27" s="834"/>
      <c r="D27" s="843"/>
      <c r="E27" s="844" t="s">
        <v>88</v>
      </c>
      <c r="F27" s="844"/>
      <c r="G27" s="844"/>
      <c r="H27" s="845"/>
      <c r="I27" s="3272">
        <v>354</v>
      </c>
      <c r="J27" s="3273"/>
      <c r="K27" s="3273"/>
      <c r="L27" s="3273"/>
      <c r="M27" s="3291"/>
      <c r="N27" s="3272">
        <v>354</v>
      </c>
      <c r="O27" s="3273"/>
      <c r="P27" s="3273"/>
      <c r="Q27" s="3273"/>
      <c r="R27" s="3291"/>
      <c r="S27" s="3272">
        <v>354</v>
      </c>
      <c r="T27" s="3273"/>
      <c r="U27" s="3273"/>
      <c r="V27" s="3273"/>
      <c r="W27" s="3291"/>
      <c r="X27" s="3272">
        <v>354</v>
      </c>
      <c r="Y27" s="3273"/>
      <c r="Z27" s="3273"/>
      <c r="AA27" s="3273"/>
      <c r="AB27" s="3291"/>
      <c r="AC27" s="3272">
        <v>354</v>
      </c>
      <c r="AD27" s="3273"/>
      <c r="AE27" s="3273"/>
      <c r="AF27" s="3273"/>
      <c r="AG27" s="3291"/>
      <c r="AH27" s="3272">
        <v>0</v>
      </c>
      <c r="AI27" s="3273"/>
      <c r="AJ27" s="3273"/>
      <c r="AK27" s="3273"/>
      <c r="AL27" s="3274"/>
      <c r="AM27" s="512"/>
      <c r="AN27" s="838"/>
      <c r="AO27" s="668"/>
      <c r="AP27" s="668"/>
      <c r="AQ27" s="668"/>
      <c r="BA27" s="403"/>
      <c r="BB27" s="403"/>
      <c r="BC27" s="403"/>
      <c r="BD27" s="403"/>
    </row>
    <row r="28" spans="2:56" s="501" customFormat="1" ht="30" customHeight="1" x14ac:dyDescent="0.45">
      <c r="B28" s="834"/>
      <c r="D28" s="843"/>
      <c r="E28" s="844" t="s">
        <v>89</v>
      </c>
      <c r="F28" s="844"/>
      <c r="G28" s="844"/>
      <c r="H28" s="845"/>
      <c r="I28" s="3272">
        <v>387</v>
      </c>
      <c r="J28" s="3273"/>
      <c r="K28" s="3273"/>
      <c r="L28" s="3273"/>
      <c r="M28" s="3291"/>
      <c r="N28" s="3272">
        <v>387</v>
      </c>
      <c r="O28" s="3273"/>
      <c r="P28" s="3273"/>
      <c r="Q28" s="3273"/>
      <c r="R28" s="3291"/>
      <c r="S28" s="3272">
        <v>387</v>
      </c>
      <c r="T28" s="3273"/>
      <c r="U28" s="3273"/>
      <c r="V28" s="3273"/>
      <c r="W28" s="3291"/>
      <c r="X28" s="3272">
        <v>387</v>
      </c>
      <c r="Y28" s="3273"/>
      <c r="Z28" s="3273"/>
      <c r="AA28" s="3273"/>
      <c r="AB28" s="3291"/>
      <c r="AC28" s="3272">
        <v>387</v>
      </c>
      <c r="AD28" s="3273"/>
      <c r="AE28" s="3273"/>
      <c r="AF28" s="3273"/>
      <c r="AG28" s="3291"/>
      <c r="AH28" s="3272">
        <v>0</v>
      </c>
      <c r="AI28" s="3273"/>
      <c r="AJ28" s="3273"/>
      <c r="AK28" s="3273"/>
      <c r="AL28" s="3274"/>
      <c r="AM28" s="512"/>
      <c r="AN28" s="838"/>
      <c r="AO28" s="668"/>
      <c r="AP28" s="668"/>
      <c r="AQ28" s="668"/>
      <c r="BA28" s="403"/>
      <c r="BB28" s="403"/>
      <c r="BC28" s="403"/>
      <c r="BD28" s="403"/>
    </row>
    <row r="29" spans="2:56" s="501" customFormat="1" ht="30" customHeight="1" thickBot="1" x14ac:dyDescent="0.5">
      <c r="B29" s="834"/>
      <c r="D29" s="846"/>
      <c r="E29" s="847" t="s">
        <v>90</v>
      </c>
      <c r="F29" s="847"/>
      <c r="G29" s="847"/>
      <c r="H29" s="848"/>
      <c r="I29" s="3292">
        <v>460</v>
      </c>
      <c r="J29" s="3293"/>
      <c r="K29" s="3293"/>
      <c r="L29" s="3293"/>
      <c r="M29" s="3294"/>
      <c r="N29" s="3292">
        <v>460</v>
      </c>
      <c r="O29" s="3293"/>
      <c r="P29" s="3293"/>
      <c r="Q29" s="3293"/>
      <c r="R29" s="3294"/>
      <c r="S29" s="3292">
        <v>460</v>
      </c>
      <c r="T29" s="3293"/>
      <c r="U29" s="3293"/>
      <c r="V29" s="3293"/>
      <c r="W29" s="3294"/>
      <c r="X29" s="3292">
        <v>460</v>
      </c>
      <c r="Y29" s="3293"/>
      <c r="Z29" s="3293"/>
      <c r="AA29" s="3293"/>
      <c r="AB29" s="3294"/>
      <c r="AC29" s="3292">
        <v>460</v>
      </c>
      <c r="AD29" s="3293"/>
      <c r="AE29" s="3293"/>
      <c r="AF29" s="3293"/>
      <c r="AG29" s="3294"/>
      <c r="AH29" s="3292">
        <v>0</v>
      </c>
      <c r="AI29" s="3293"/>
      <c r="AJ29" s="3293"/>
      <c r="AK29" s="3293"/>
      <c r="AL29" s="3296"/>
      <c r="AM29" s="512"/>
      <c r="AN29" s="838"/>
      <c r="AO29" s="668"/>
      <c r="AP29" s="668"/>
      <c r="AQ29" s="668"/>
      <c r="BA29" s="403"/>
      <c r="BB29" s="403"/>
      <c r="BC29" s="403"/>
      <c r="BD29" s="403"/>
    </row>
    <row r="30" spans="2:56" s="501" customFormat="1" ht="30" customHeight="1" thickTop="1" thickBot="1" x14ac:dyDescent="0.5">
      <c r="B30" s="834"/>
      <c r="D30" s="835"/>
      <c r="E30" s="836" t="s">
        <v>16</v>
      </c>
      <c r="F30" s="836"/>
      <c r="G30" s="836"/>
      <c r="H30" s="837"/>
      <c r="I30" s="3214">
        <f t="shared" ref="I30" si="0">SUM(I26:M29)</f>
        <v>1569</v>
      </c>
      <c r="J30" s="3212"/>
      <c r="K30" s="3212"/>
      <c r="L30" s="3212"/>
      <c r="M30" s="3285"/>
      <c r="N30" s="3214">
        <f t="shared" ref="N30" si="1">SUM(N26:R29)</f>
        <v>1569</v>
      </c>
      <c r="O30" s="3212"/>
      <c r="P30" s="3212"/>
      <c r="Q30" s="3212"/>
      <c r="R30" s="3285"/>
      <c r="S30" s="3214">
        <f t="shared" ref="S30" si="2">SUM(S26:W29)</f>
        <v>1569</v>
      </c>
      <c r="T30" s="3212"/>
      <c r="U30" s="3212"/>
      <c r="V30" s="3212"/>
      <c r="W30" s="3285"/>
      <c r="X30" s="3214">
        <f t="shared" ref="X30" si="3">SUM(X26:AB29)</f>
        <v>1569</v>
      </c>
      <c r="Y30" s="3212"/>
      <c r="Z30" s="3212"/>
      <c r="AA30" s="3212"/>
      <c r="AB30" s="3285"/>
      <c r="AC30" s="3214">
        <f t="shared" ref="AC30" si="4">SUM(AC26:AG29)</f>
        <v>1569</v>
      </c>
      <c r="AD30" s="3212"/>
      <c r="AE30" s="3212"/>
      <c r="AF30" s="3212"/>
      <c r="AG30" s="3285"/>
      <c r="AH30" s="3212">
        <f>SUM(AH26:AL29)</f>
        <v>0</v>
      </c>
      <c r="AI30" s="3212"/>
      <c r="AJ30" s="3212"/>
      <c r="AK30" s="3212"/>
      <c r="AL30" s="3268"/>
      <c r="AM30" s="512"/>
      <c r="AN30" s="838"/>
      <c r="AO30" s="668"/>
      <c r="AP30" s="668"/>
      <c r="AQ30" s="668"/>
      <c r="BA30" s="403"/>
      <c r="BB30" s="403"/>
      <c r="BC30" s="403"/>
      <c r="BD30" s="403"/>
    </row>
    <row r="31" spans="2:56" s="501" customFormat="1" ht="6" customHeight="1" thickTop="1" x14ac:dyDescent="0.4">
      <c r="B31" s="834"/>
      <c r="D31" s="849"/>
      <c r="E31" s="503"/>
      <c r="F31" s="503"/>
      <c r="G31" s="503"/>
      <c r="H31" s="503"/>
      <c r="I31" s="503"/>
      <c r="J31" s="503"/>
      <c r="K31" s="503"/>
      <c r="L31" s="503"/>
      <c r="M31" s="668"/>
      <c r="O31" s="668"/>
      <c r="P31" s="761"/>
      <c r="Q31" s="403"/>
      <c r="T31" s="668"/>
      <c r="U31" s="761"/>
      <c r="V31" s="403"/>
      <c r="W31" s="403"/>
      <c r="X31" s="403"/>
      <c r="Y31" s="403"/>
      <c r="Z31" s="403"/>
      <c r="AA31" s="403"/>
      <c r="AC31" s="668"/>
      <c r="AD31" s="668"/>
      <c r="AE31" s="668"/>
      <c r="AF31" s="668"/>
      <c r="AG31" s="668"/>
      <c r="AH31" s="668"/>
      <c r="AI31" s="668"/>
      <c r="AN31" s="850"/>
      <c r="AR31" s="403"/>
      <c r="AS31" s="403"/>
      <c r="AT31" s="403"/>
      <c r="AU31" s="403"/>
    </row>
    <row r="32" spans="2:56" s="501" customFormat="1" ht="18" customHeight="1" x14ac:dyDescent="0.45">
      <c r="B32" s="834"/>
      <c r="C32" s="851" t="s">
        <v>159</v>
      </c>
      <c r="D32" s="780" t="s">
        <v>1320</v>
      </c>
      <c r="E32" s="780"/>
      <c r="F32" s="781"/>
      <c r="G32" s="781"/>
      <c r="H32" s="781"/>
      <c r="I32" s="781"/>
      <c r="J32" s="781"/>
      <c r="K32" s="781"/>
      <c r="L32" s="781"/>
      <c r="M32" s="781"/>
      <c r="N32" s="781"/>
      <c r="O32" s="668"/>
      <c r="P32" s="403"/>
      <c r="Q32" s="403"/>
      <c r="R32" s="403"/>
      <c r="S32" s="403"/>
      <c r="T32" s="403"/>
      <c r="U32" s="782"/>
      <c r="V32" s="668"/>
      <c r="W32" s="668"/>
      <c r="X32" s="668"/>
      <c r="Y32" s="668"/>
      <c r="Z32" s="668"/>
      <c r="AA32" s="668"/>
      <c r="AB32" s="403"/>
      <c r="AC32" s="403"/>
      <c r="AF32" s="680" t="b">
        <v>1</v>
      </c>
      <c r="AG32" s="403" t="s">
        <v>65</v>
      </c>
      <c r="AH32" s="403"/>
      <c r="AK32" s="680"/>
      <c r="AL32" s="403" t="s">
        <v>11</v>
      </c>
      <c r="AN32" s="850"/>
      <c r="AS32" s="403"/>
      <c r="AT32" s="403"/>
      <c r="AU32" s="403"/>
      <c r="AV32" s="403"/>
    </row>
    <row r="33" spans="2:56" s="501" customFormat="1" ht="15.5" customHeight="1" x14ac:dyDescent="0.35">
      <c r="B33" s="834"/>
      <c r="D33" s="3286" t="s">
        <v>1321</v>
      </c>
      <c r="E33" s="3286"/>
      <c r="F33" s="3286"/>
      <c r="G33" s="3286"/>
      <c r="H33" s="3286"/>
      <c r="I33" s="3286"/>
      <c r="J33" s="3286"/>
      <c r="K33" s="3286"/>
      <c r="L33" s="3286"/>
      <c r="M33" s="3286"/>
      <c r="N33" s="3286"/>
      <c r="O33" s="3286"/>
      <c r="P33" s="3286"/>
      <c r="Q33" s="3286"/>
      <c r="R33" s="3286"/>
      <c r="S33" s="3286"/>
      <c r="T33" s="3286"/>
      <c r="U33" s="3286"/>
      <c r="V33" s="3286"/>
      <c r="W33" s="3286"/>
      <c r="X33" s="3286"/>
      <c r="Y33" s="3286"/>
      <c r="Z33" s="3286"/>
      <c r="AA33" s="3286"/>
      <c r="AB33" s="3286"/>
      <c r="AC33" s="789"/>
      <c r="AD33" s="789"/>
      <c r="AE33" s="789"/>
      <c r="AF33" s="1410" t="str" cm="1">
        <f t="array" ref="AF33">IF(AND(sch_conduct_menttraining_teachers_ifyes=TRUE,ISBLANK(I36:AL39)),"Atleast one data entry to the following.","")</f>
        <v/>
      </c>
      <c r="AG33" s="789"/>
      <c r="AH33" s="789"/>
      <c r="AI33" s="789"/>
      <c r="AJ33" s="789"/>
      <c r="AK33" s="789"/>
      <c r="AL33" s="789"/>
      <c r="AM33" s="789"/>
      <c r="AN33" s="850"/>
      <c r="AV33" s="403"/>
      <c r="AW33" s="403"/>
      <c r="AX33" s="403"/>
      <c r="AY33" s="403"/>
    </row>
    <row r="34" spans="2:56" s="501" customFormat="1" ht="6" customHeight="1" thickBot="1" x14ac:dyDescent="0.45">
      <c r="B34" s="834"/>
      <c r="E34" s="849"/>
      <c r="F34" s="503"/>
      <c r="G34" s="503"/>
      <c r="H34" s="503"/>
      <c r="I34" s="503"/>
      <c r="J34" s="503"/>
      <c r="K34" s="503"/>
      <c r="L34" s="503"/>
      <c r="M34" s="503"/>
      <c r="N34" s="503"/>
      <c r="O34" s="668"/>
      <c r="Q34" s="668"/>
      <c r="R34" s="761"/>
      <c r="S34" s="403"/>
      <c r="V34" s="668"/>
      <c r="W34" s="761"/>
      <c r="X34" s="403"/>
      <c r="Y34" s="403"/>
      <c r="Z34" s="403"/>
      <c r="AA34" s="403"/>
      <c r="AB34" s="403"/>
      <c r="AC34" s="403"/>
      <c r="AE34" s="668"/>
      <c r="AF34" s="668"/>
      <c r="AG34" s="668"/>
      <c r="AH34" s="668"/>
      <c r="AI34" s="668"/>
      <c r="AJ34" s="668"/>
      <c r="AK34" s="668"/>
      <c r="AN34" s="850"/>
      <c r="AS34" s="403"/>
      <c r="AT34" s="403"/>
      <c r="AU34" s="403"/>
      <c r="AV34" s="403"/>
    </row>
    <row r="35" spans="2:56" s="501" customFormat="1" ht="82" customHeight="1" thickTop="1" thickBot="1" x14ac:dyDescent="0.5">
      <c r="B35" s="834"/>
      <c r="D35" s="3282" t="s">
        <v>564</v>
      </c>
      <c r="E35" s="3283"/>
      <c r="F35" s="3283"/>
      <c r="G35" s="3283"/>
      <c r="H35" s="3284"/>
      <c r="I35" s="3269" t="s">
        <v>1315</v>
      </c>
      <c r="J35" s="3240"/>
      <c r="K35" s="3240"/>
      <c r="L35" s="3240"/>
      <c r="M35" s="3241"/>
      <c r="N35" s="3269" t="s">
        <v>1316</v>
      </c>
      <c r="O35" s="3240"/>
      <c r="P35" s="3240"/>
      <c r="Q35" s="3240"/>
      <c r="R35" s="3241"/>
      <c r="S35" s="3269" t="s">
        <v>1317</v>
      </c>
      <c r="T35" s="3240"/>
      <c r="U35" s="3240"/>
      <c r="V35" s="3240"/>
      <c r="W35" s="3241"/>
      <c r="X35" s="3269" t="s">
        <v>1038</v>
      </c>
      <c r="Y35" s="3240"/>
      <c r="Z35" s="3240"/>
      <c r="AA35" s="3240"/>
      <c r="AB35" s="3241"/>
      <c r="AC35" s="3269" t="s">
        <v>1318</v>
      </c>
      <c r="AD35" s="3240"/>
      <c r="AE35" s="3240"/>
      <c r="AF35" s="3240"/>
      <c r="AG35" s="3241"/>
      <c r="AH35" s="3269" t="s">
        <v>1319</v>
      </c>
      <c r="AI35" s="3240"/>
      <c r="AJ35" s="3240"/>
      <c r="AK35" s="3240"/>
      <c r="AL35" s="3270"/>
      <c r="AM35" s="852"/>
      <c r="AN35" s="838"/>
      <c r="AO35" s="668"/>
      <c r="AP35" s="668"/>
      <c r="AQ35" s="668"/>
      <c r="BA35" s="403"/>
      <c r="BB35" s="403"/>
      <c r="BC35" s="403"/>
      <c r="BD35" s="403"/>
    </row>
    <row r="36" spans="2:56" s="501" customFormat="1" ht="30" customHeight="1" thickTop="1" x14ac:dyDescent="0.45">
      <c r="B36" s="834"/>
      <c r="D36" s="840"/>
      <c r="E36" s="841" t="s">
        <v>87</v>
      </c>
      <c r="F36" s="841"/>
      <c r="G36" s="841"/>
      <c r="H36" s="842"/>
      <c r="I36" s="3288">
        <v>18</v>
      </c>
      <c r="J36" s="3289"/>
      <c r="K36" s="3289"/>
      <c r="L36" s="3289"/>
      <c r="M36" s="3290"/>
      <c r="N36" s="3288">
        <v>18</v>
      </c>
      <c r="O36" s="3289"/>
      <c r="P36" s="3289"/>
      <c r="Q36" s="3289"/>
      <c r="R36" s="3290"/>
      <c r="S36" s="3288">
        <v>18</v>
      </c>
      <c r="T36" s="3289"/>
      <c r="U36" s="3289"/>
      <c r="V36" s="3289"/>
      <c r="W36" s="3290"/>
      <c r="X36" s="3288">
        <v>18</v>
      </c>
      <c r="Y36" s="3289"/>
      <c r="Z36" s="3289"/>
      <c r="AA36" s="3289"/>
      <c r="AB36" s="3290"/>
      <c r="AC36" s="3288">
        <v>18</v>
      </c>
      <c r="AD36" s="3289"/>
      <c r="AE36" s="3289"/>
      <c r="AF36" s="3289"/>
      <c r="AG36" s="3290"/>
      <c r="AH36" s="3288">
        <v>0</v>
      </c>
      <c r="AI36" s="3289"/>
      <c r="AJ36" s="3289"/>
      <c r="AK36" s="3289"/>
      <c r="AL36" s="3295"/>
      <c r="AM36" s="513"/>
      <c r="AN36" s="838"/>
      <c r="AO36" s="668"/>
      <c r="AP36" s="668"/>
      <c r="AQ36" s="668"/>
      <c r="BA36" s="403"/>
      <c r="BB36" s="403"/>
      <c r="BC36" s="403"/>
      <c r="BD36" s="403"/>
    </row>
    <row r="37" spans="2:56" s="501" customFormat="1" ht="30" customHeight="1" x14ac:dyDescent="0.45">
      <c r="B37" s="834"/>
      <c r="D37" s="843"/>
      <c r="E37" s="844" t="s">
        <v>88</v>
      </c>
      <c r="F37" s="844"/>
      <c r="G37" s="844"/>
      <c r="H37" s="845"/>
      <c r="I37" s="3272">
        <v>18</v>
      </c>
      <c r="J37" s="3273"/>
      <c r="K37" s="3273"/>
      <c r="L37" s="3273"/>
      <c r="M37" s="3291"/>
      <c r="N37" s="3272">
        <v>18</v>
      </c>
      <c r="O37" s="3273"/>
      <c r="P37" s="3273"/>
      <c r="Q37" s="3273"/>
      <c r="R37" s="3291"/>
      <c r="S37" s="3272">
        <v>18</v>
      </c>
      <c r="T37" s="3273"/>
      <c r="U37" s="3273"/>
      <c r="V37" s="3273"/>
      <c r="W37" s="3291"/>
      <c r="X37" s="3272">
        <v>18</v>
      </c>
      <c r="Y37" s="3273"/>
      <c r="Z37" s="3273"/>
      <c r="AA37" s="3273"/>
      <c r="AB37" s="3291"/>
      <c r="AC37" s="3272">
        <v>18</v>
      </c>
      <c r="AD37" s="3273"/>
      <c r="AE37" s="3273"/>
      <c r="AF37" s="3273"/>
      <c r="AG37" s="3291"/>
      <c r="AH37" s="3272">
        <v>0</v>
      </c>
      <c r="AI37" s="3273"/>
      <c r="AJ37" s="3273"/>
      <c r="AK37" s="3273"/>
      <c r="AL37" s="3274"/>
      <c r="AM37" s="512"/>
      <c r="AN37" s="838"/>
      <c r="AO37" s="668"/>
      <c r="AP37" s="668"/>
      <c r="AQ37" s="668"/>
      <c r="BA37" s="403"/>
      <c r="BB37" s="403"/>
      <c r="BC37" s="403"/>
      <c r="BD37" s="403"/>
    </row>
    <row r="38" spans="2:56" s="501" customFormat="1" ht="30" customHeight="1" x14ac:dyDescent="0.45">
      <c r="B38" s="834"/>
      <c r="D38" s="843"/>
      <c r="E38" s="844" t="s">
        <v>89</v>
      </c>
      <c r="F38" s="844"/>
      <c r="G38" s="844"/>
      <c r="H38" s="845"/>
      <c r="I38" s="3272">
        <v>17</v>
      </c>
      <c r="J38" s="3273"/>
      <c r="K38" s="3273"/>
      <c r="L38" s="3273"/>
      <c r="M38" s="3291"/>
      <c r="N38" s="3272">
        <v>17</v>
      </c>
      <c r="O38" s="3273"/>
      <c r="P38" s="3273"/>
      <c r="Q38" s="3273"/>
      <c r="R38" s="3291"/>
      <c r="S38" s="3272">
        <v>17</v>
      </c>
      <c r="T38" s="3273"/>
      <c r="U38" s="3273"/>
      <c r="V38" s="3273"/>
      <c r="W38" s="3291"/>
      <c r="X38" s="3272">
        <v>17</v>
      </c>
      <c r="Y38" s="3273"/>
      <c r="Z38" s="3273"/>
      <c r="AA38" s="3273"/>
      <c r="AB38" s="3291"/>
      <c r="AC38" s="3272">
        <v>17</v>
      </c>
      <c r="AD38" s="3273"/>
      <c r="AE38" s="3273"/>
      <c r="AF38" s="3273"/>
      <c r="AG38" s="3291"/>
      <c r="AH38" s="3272">
        <v>0</v>
      </c>
      <c r="AI38" s="3273"/>
      <c r="AJ38" s="3273"/>
      <c r="AK38" s="3273"/>
      <c r="AL38" s="3274"/>
      <c r="AM38" s="512"/>
      <c r="AN38" s="838"/>
      <c r="AO38" s="668"/>
      <c r="AP38" s="668"/>
      <c r="AQ38" s="668"/>
      <c r="BA38" s="403"/>
      <c r="BB38" s="403"/>
      <c r="BC38" s="403"/>
      <c r="BD38" s="403"/>
    </row>
    <row r="39" spans="2:56" s="501" customFormat="1" ht="30" customHeight="1" thickBot="1" x14ac:dyDescent="0.5">
      <c r="B39" s="834"/>
      <c r="D39" s="846"/>
      <c r="E39" s="847" t="s">
        <v>90</v>
      </c>
      <c r="F39" s="847"/>
      <c r="G39" s="847"/>
      <c r="H39" s="848"/>
      <c r="I39" s="3292">
        <v>20</v>
      </c>
      <c r="J39" s="3293"/>
      <c r="K39" s="3293"/>
      <c r="L39" s="3293"/>
      <c r="M39" s="3294"/>
      <c r="N39" s="3292">
        <v>20</v>
      </c>
      <c r="O39" s="3293"/>
      <c r="P39" s="3293"/>
      <c r="Q39" s="3293"/>
      <c r="R39" s="3294"/>
      <c r="S39" s="3292">
        <v>20</v>
      </c>
      <c r="T39" s="3293"/>
      <c r="U39" s="3293"/>
      <c r="V39" s="3293"/>
      <c r="W39" s="3294"/>
      <c r="X39" s="3292">
        <v>20</v>
      </c>
      <c r="Y39" s="3293"/>
      <c r="Z39" s="3293"/>
      <c r="AA39" s="3293"/>
      <c r="AB39" s="3294"/>
      <c r="AC39" s="3292">
        <v>20</v>
      </c>
      <c r="AD39" s="3293"/>
      <c r="AE39" s="3293"/>
      <c r="AF39" s="3293"/>
      <c r="AG39" s="3294"/>
      <c r="AH39" s="3292">
        <v>0</v>
      </c>
      <c r="AI39" s="3293"/>
      <c r="AJ39" s="3293"/>
      <c r="AK39" s="3293"/>
      <c r="AL39" s="3296"/>
      <c r="AM39" s="512"/>
      <c r="AN39" s="838"/>
      <c r="AO39" s="668"/>
      <c r="AP39" s="668"/>
      <c r="AQ39" s="668"/>
      <c r="BA39" s="403"/>
      <c r="BB39" s="403"/>
      <c r="BC39" s="403"/>
      <c r="BD39" s="403"/>
    </row>
    <row r="40" spans="2:56" s="501" customFormat="1" ht="30" customHeight="1" thickTop="1" thickBot="1" x14ac:dyDescent="0.5">
      <c r="B40" s="834"/>
      <c r="D40" s="835"/>
      <c r="E40" s="836" t="s">
        <v>16</v>
      </c>
      <c r="F40" s="836"/>
      <c r="G40" s="836"/>
      <c r="H40" s="837"/>
      <c r="I40" s="3214">
        <f>SUM(I36:M39)</f>
        <v>73</v>
      </c>
      <c r="J40" s="3212"/>
      <c r="K40" s="3212"/>
      <c r="L40" s="3212"/>
      <c r="M40" s="3285"/>
      <c r="N40" s="3214">
        <f t="shared" ref="N40" si="5">SUM(N36:R39)</f>
        <v>73</v>
      </c>
      <c r="O40" s="3212"/>
      <c r="P40" s="3212"/>
      <c r="Q40" s="3212"/>
      <c r="R40" s="3285"/>
      <c r="S40" s="3214">
        <f t="shared" ref="S40" si="6">SUM(S36:W39)</f>
        <v>73</v>
      </c>
      <c r="T40" s="3212"/>
      <c r="U40" s="3212"/>
      <c r="V40" s="3212"/>
      <c r="W40" s="3285"/>
      <c r="X40" s="3214">
        <f t="shared" ref="X40" si="7">SUM(X36:AB39)</f>
        <v>73</v>
      </c>
      <c r="Y40" s="3212"/>
      <c r="Z40" s="3212"/>
      <c r="AA40" s="3212"/>
      <c r="AB40" s="3285"/>
      <c r="AC40" s="3214">
        <f t="shared" ref="AC40" si="8">SUM(AC36:AG39)</f>
        <v>73</v>
      </c>
      <c r="AD40" s="3212"/>
      <c r="AE40" s="3212"/>
      <c r="AF40" s="3212"/>
      <c r="AG40" s="3285"/>
      <c r="AH40" s="3214">
        <f t="shared" ref="AH40" si="9">SUM(AH36:AL39)</f>
        <v>0</v>
      </c>
      <c r="AI40" s="3212"/>
      <c r="AJ40" s="3212"/>
      <c r="AK40" s="3212"/>
      <c r="AL40" s="3285"/>
      <c r="AM40" s="512"/>
      <c r="AN40" s="838"/>
      <c r="AO40" s="668"/>
      <c r="AP40" s="668"/>
      <c r="AQ40" s="668"/>
      <c r="BA40" s="403"/>
      <c r="BB40" s="403"/>
      <c r="BC40" s="403"/>
      <c r="BD40" s="403"/>
    </row>
    <row r="41" spans="2:56" s="501" customFormat="1" ht="11.25" customHeight="1" thickTop="1" thickBot="1" x14ac:dyDescent="0.4">
      <c r="B41" s="532"/>
      <c r="C41" s="543"/>
      <c r="D41" s="529"/>
      <c r="E41" s="778"/>
      <c r="F41" s="408"/>
      <c r="G41" s="408"/>
      <c r="H41" s="408"/>
      <c r="I41" s="408"/>
      <c r="J41" s="408"/>
      <c r="K41" s="408"/>
      <c r="L41" s="408"/>
      <c r="M41" s="408"/>
      <c r="N41" s="672"/>
      <c r="O41" s="672"/>
      <c r="P41" s="672"/>
      <c r="Q41" s="672"/>
      <c r="R41" s="672"/>
      <c r="S41" s="408"/>
      <c r="T41" s="672"/>
      <c r="U41" s="672"/>
      <c r="V41" s="672"/>
      <c r="W41" s="672"/>
      <c r="X41" s="672"/>
      <c r="Y41" s="672"/>
      <c r="Z41" s="408"/>
      <c r="AA41" s="408"/>
      <c r="AB41" s="408"/>
      <c r="AC41" s="408"/>
      <c r="AD41" s="408"/>
      <c r="AE41" s="408"/>
      <c r="AF41" s="408"/>
      <c r="AG41" s="408"/>
      <c r="AH41" s="408"/>
      <c r="AI41" s="408"/>
      <c r="AJ41" s="543"/>
      <c r="AK41" s="543"/>
      <c r="AL41" s="543"/>
      <c r="AM41" s="543"/>
      <c r="AN41" s="544"/>
    </row>
    <row r="42" spans="2:56" s="44" customFormat="1" ht="30.75" customHeight="1" thickTop="1" x14ac:dyDescent="0.35">
      <c r="C42" s="85"/>
      <c r="E42" s="85"/>
      <c r="G42" s="85"/>
      <c r="I42" s="85"/>
      <c r="K42" s="85"/>
      <c r="M42" s="85"/>
      <c r="O42" s="85"/>
      <c r="P42" s="85"/>
      <c r="Q42" s="85"/>
      <c r="R42" s="85"/>
      <c r="S42" s="85"/>
      <c r="V42" s="85"/>
      <c r="Y42" s="85"/>
      <c r="AA42" s="85"/>
      <c r="AC42" s="85"/>
      <c r="AE42" s="85"/>
      <c r="AG42" s="85"/>
      <c r="AI42" s="85"/>
      <c r="AL42" s="85"/>
    </row>
    <row r="43" spans="2:56" s="73" customFormat="1" ht="14" x14ac:dyDescent="0.3">
      <c r="B43" s="74" t="s">
        <v>12</v>
      </c>
      <c r="Y43" s="74" t="s">
        <v>908</v>
      </c>
    </row>
    <row r="44" spans="2:56" s="73" customFormat="1" ht="21.75" customHeight="1" x14ac:dyDescent="0.3">
      <c r="B44" s="74" t="s">
        <v>811</v>
      </c>
      <c r="F44" s="1482" t="str">
        <f>SchInfo!F38</f>
        <v>MELCHESIEDICK Q. BOLANIO/ March 17, 2023</v>
      </c>
      <c r="G44" s="1482"/>
      <c r="H44" s="1482"/>
      <c r="I44" s="1482"/>
      <c r="J44" s="1482"/>
      <c r="K44" s="1482"/>
      <c r="L44" s="1482"/>
      <c r="M44" s="1482"/>
      <c r="N44" s="1482"/>
      <c r="O44" s="1482"/>
      <c r="P44" s="1482"/>
      <c r="Q44" s="1482"/>
      <c r="R44" s="545"/>
      <c r="S44" s="545"/>
      <c r="T44" s="545"/>
      <c r="U44" s="545"/>
      <c r="Y44" s="1482" t="str">
        <f>'Table33a-b'!R42</f>
        <v>RACQUEL N. ACOMPAÑADO</v>
      </c>
      <c r="Z44" s="1482"/>
      <c r="AA44" s="1482"/>
      <c r="AB44" s="1482"/>
      <c r="AC44" s="1482"/>
      <c r="AD44" s="1482"/>
      <c r="AE44" s="1482"/>
      <c r="AF44" s="1482"/>
      <c r="AG44" s="1482"/>
      <c r="AH44" s="1482"/>
      <c r="AI44" s="1482"/>
      <c r="AJ44" s="1482"/>
      <c r="AK44" s="1482"/>
      <c r="AL44" s="1482"/>
      <c r="AM44" s="1482"/>
      <c r="AN44" s="839"/>
    </row>
    <row r="45" spans="2:56" s="68" customFormat="1" ht="13.5" x14ac:dyDescent="0.3">
      <c r="B45" s="210"/>
      <c r="F45" s="1452" t="s">
        <v>779</v>
      </c>
      <c r="G45" s="1452"/>
      <c r="H45" s="1452"/>
      <c r="I45" s="1452"/>
      <c r="J45" s="1452"/>
      <c r="K45" s="1452"/>
      <c r="L45" s="1452"/>
      <c r="M45" s="1452"/>
      <c r="N45" s="1452"/>
      <c r="O45" s="1452"/>
      <c r="P45" s="1452"/>
      <c r="Q45" s="1452"/>
      <c r="R45" s="220"/>
      <c r="S45" s="220"/>
      <c r="T45" s="220"/>
      <c r="U45" s="220"/>
      <c r="V45" s="64"/>
      <c r="W45" s="64"/>
      <c r="X45" s="64"/>
      <c r="Y45" s="1452" t="s">
        <v>779</v>
      </c>
      <c r="Z45" s="1452"/>
      <c r="AA45" s="1452"/>
      <c r="AB45" s="1452"/>
      <c r="AC45" s="1452"/>
      <c r="AD45" s="1452"/>
      <c r="AE45" s="1452"/>
      <c r="AF45" s="1452"/>
      <c r="AG45" s="1452"/>
      <c r="AH45" s="1452"/>
      <c r="AI45" s="1452"/>
      <c r="AJ45" s="1452"/>
      <c r="AK45" s="1452"/>
      <c r="AL45" s="1452"/>
      <c r="AM45" s="1452"/>
    </row>
    <row r="46" spans="2:56" s="73" customFormat="1" ht="21.75" customHeight="1" x14ac:dyDescent="0.3">
      <c r="B46" s="74" t="s">
        <v>784</v>
      </c>
      <c r="F46" s="1482" t="str">
        <f>SchInfo!F40</f>
        <v>Principal IV</v>
      </c>
      <c r="G46" s="1482"/>
      <c r="H46" s="1482"/>
      <c r="I46" s="1482"/>
      <c r="J46" s="1482"/>
      <c r="K46" s="1482"/>
      <c r="L46" s="1482"/>
      <c r="M46" s="1482"/>
      <c r="N46" s="1482"/>
      <c r="O46" s="1482"/>
      <c r="P46" s="1482"/>
      <c r="Q46" s="1482"/>
      <c r="R46" s="545"/>
      <c r="S46" s="545"/>
      <c r="T46" s="545"/>
      <c r="U46" s="545"/>
      <c r="Y46" s="74" t="s">
        <v>784</v>
      </c>
      <c r="AC46" s="1482" t="str">
        <f>'Table33a-b'!V44</f>
        <v>Nurse II</v>
      </c>
      <c r="AD46" s="1482"/>
      <c r="AE46" s="1482"/>
      <c r="AF46" s="1482"/>
      <c r="AG46" s="1482"/>
      <c r="AH46" s="1482"/>
      <c r="AI46" s="1482"/>
      <c r="AJ46" s="1482"/>
      <c r="AK46" s="1482"/>
      <c r="AL46" s="1482"/>
      <c r="AM46" s="1482"/>
      <c r="AN46" s="839"/>
    </row>
    <row r="47" spans="2:56" s="124" customFormat="1" ht="30.75" customHeight="1" x14ac:dyDescent="0.35">
      <c r="B47" s="123"/>
      <c r="D47" s="123"/>
      <c r="F47" s="123"/>
      <c r="H47" s="123"/>
      <c r="J47" s="123"/>
      <c r="L47" s="123"/>
      <c r="N47" s="123"/>
      <c r="P47" s="123"/>
      <c r="R47" s="85"/>
      <c r="S47" s="85"/>
      <c r="T47" s="85"/>
      <c r="U47" s="85"/>
      <c r="V47" s="44"/>
      <c r="W47" s="85"/>
      <c r="X47" s="44"/>
      <c r="Y47" s="123"/>
      <c r="AA47" s="123"/>
      <c r="AC47" s="123"/>
      <c r="AE47" s="123"/>
      <c r="AG47" s="123"/>
      <c r="AI47" s="123"/>
      <c r="AK47" s="123"/>
      <c r="AM47" s="123"/>
    </row>
    <row r="48" spans="2:56" s="73" customFormat="1" ht="14" x14ac:dyDescent="0.3">
      <c r="N48" s="74" t="s">
        <v>922</v>
      </c>
    </row>
    <row r="49" spans="14:29" s="73" customFormat="1" ht="21.75" customHeight="1" x14ac:dyDescent="0.3">
      <c r="N49" s="1484" t="str">
        <f>SchInfo!R38</f>
        <v>MICHAEL T. JAMIS   /  March 17, 2023</v>
      </c>
      <c r="O49" s="1484"/>
      <c r="P49" s="1484"/>
      <c r="Q49" s="1484"/>
      <c r="R49" s="1484"/>
      <c r="S49" s="1484"/>
      <c r="T49" s="1484"/>
      <c r="U49" s="1484"/>
      <c r="V49" s="1484"/>
      <c r="W49" s="1484"/>
      <c r="X49" s="1484"/>
      <c r="Y49" s="1484"/>
      <c r="Z49" s="1484"/>
      <c r="AA49" s="1484"/>
      <c r="AB49" s="1484"/>
      <c r="AC49" s="1484"/>
    </row>
    <row r="50" spans="14:29" s="68" customFormat="1" ht="15" customHeight="1" x14ac:dyDescent="0.3">
      <c r="N50" s="1485"/>
      <c r="O50" s="1485"/>
      <c r="P50" s="1485"/>
      <c r="Q50" s="1485"/>
      <c r="R50" s="1485"/>
      <c r="S50" s="1485"/>
      <c r="T50" s="1485"/>
      <c r="U50" s="1485"/>
      <c r="V50" s="1485"/>
      <c r="W50" s="1485"/>
      <c r="X50" s="1485"/>
      <c r="Y50" s="1485"/>
      <c r="Z50" s="1485"/>
      <c r="AA50" s="1485"/>
      <c r="AB50" s="1485"/>
      <c r="AC50" s="1485"/>
    </row>
    <row r="51" spans="14:29" s="501" customFormat="1" x14ac:dyDescent="0.35">
      <c r="N51" s="1452" t="s">
        <v>779</v>
      </c>
      <c r="O51" s="1452"/>
      <c r="P51" s="1452"/>
      <c r="Q51" s="1452"/>
      <c r="R51" s="1452"/>
      <c r="S51" s="1452"/>
      <c r="T51" s="1452"/>
      <c r="U51" s="1452"/>
      <c r="V51" s="1452"/>
      <c r="W51" s="1452"/>
      <c r="X51" s="1452"/>
      <c r="Y51" s="1452"/>
      <c r="Z51" s="1452"/>
      <c r="AA51" s="1452"/>
      <c r="AB51" s="1452"/>
      <c r="AC51" s="1452"/>
    </row>
  </sheetData>
  <sheetProtection algorithmName="SHA-512" hashValue="K2YsK20DsHqA9xcZd8GviWiYJsFTN8xIGLK1ZlAM/FUAI5O46Mj05r3B6D/2XuULk9lDKXNHVbjVGPjzU6erzQ==" saltValue="C1euD/YmKb1UkueS+rDAfQ==" spinCount="100000" sheet="1" objects="1" scenarios="1"/>
  <mergeCells count="93">
    <mergeCell ref="N49:AC50"/>
    <mergeCell ref="N51:AC51"/>
    <mergeCell ref="I40:M40"/>
    <mergeCell ref="N40:R40"/>
    <mergeCell ref="S40:W40"/>
    <mergeCell ref="X40:AB40"/>
    <mergeCell ref="AC40:AG40"/>
    <mergeCell ref="F44:Q44"/>
    <mergeCell ref="Y44:AM44"/>
    <mergeCell ref="F45:Q45"/>
    <mergeCell ref="Y45:AM45"/>
    <mergeCell ref="F46:Q46"/>
    <mergeCell ref="AC46:AM46"/>
    <mergeCell ref="AH40:AL40"/>
    <mergeCell ref="AH38:AL38"/>
    <mergeCell ref="I39:M39"/>
    <mergeCell ref="N39:R39"/>
    <mergeCell ref="S39:W39"/>
    <mergeCell ref="X39:AB39"/>
    <mergeCell ref="AC39:AG39"/>
    <mergeCell ref="AH39:AL39"/>
    <mergeCell ref="I38:M38"/>
    <mergeCell ref="N38:R38"/>
    <mergeCell ref="S38:W38"/>
    <mergeCell ref="X38:AB38"/>
    <mergeCell ref="AC38:AG38"/>
    <mergeCell ref="AC35:AG35"/>
    <mergeCell ref="AH35:AL35"/>
    <mergeCell ref="I37:M37"/>
    <mergeCell ref="N37:R37"/>
    <mergeCell ref="S37:W37"/>
    <mergeCell ref="X37:AB37"/>
    <mergeCell ref="AC37:AG37"/>
    <mergeCell ref="AH37:AL37"/>
    <mergeCell ref="X36:AB36"/>
    <mergeCell ref="AC36:AG36"/>
    <mergeCell ref="AH36:AL36"/>
    <mergeCell ref="I36:M36"/>
    <mergeCell ref="N36:R36"/>
    <mergeCell ref="S36:W36"/>
    <mergeCell ref="D35:H35"/>
    <mergeCell ref="I35:M35"/>
    <mergeCell ref="N35:R35"/>
    <mergeCell ref="S35:W35"/>
    <mergeCell ref="X35:AB35"/>
    <mergeCell ref="AC30:AG30"/>
    <mergeCell ref="AH26:AL26"/>
    <mergeCell ref="AH27:AL27"/>
    <mergeCell ref="AH28:AL28"/>
    <mergeCell ref="AH29:AL29"/>
    <mergeCell ref="AH30:AL30"/>
    <mergeCell ref="AC26:AG26"/>
    <mergeCell ref="AC27:AG27"/>
    <mergeCell ref="AC28:AG28"/>
    <mergeCell ref="AC29:AG29"/>
    <mergeCell ref="N29:R29"/>
    <mergeCell ref="X26:AB26"/>
    <mergeCell ref="X27:AB27"/>
    <mergeCell ref="X28:AB28"/>
    <mergeCell ref="X29:AB29"/>
    <mergeCell ref="S26:W26"/>
    <mergeCell ref="S27:W27"/>
    <mergeCell ref="N26:R26"/>
    <mergeCell ref="N30:R30"/>
    <mergeCell ref="D23:AB23"/>
    <mergeCell ref="D33:AB33"/>
    <mergeCell ref="D18:W18"/>
    <mergeCell ref="I26:M26"/>
    <mergeCell ref="I27:M27"/>
    <mergeCell ref="I28:M28"/>
    <mergeCell ref="I29:M29"/>
    <mergeCell ref="I30:M30"/>
    <mergeCell ref="S28:W28"/>
    <mergeCell ref="S29:W29"/>
    <mergeCell ref="S30:W30"/>
    <mergeCell ref="X25:AB25"/>
    <mergeCell ref="X30:AB30"/>
    <mergeCell ref="N27:R27"/>
    <mergeCell ref="N28:R28"/>
    <mergeCell ref="AH25:AL25"/>
    <mergeCell ref="D11:K11"/>
    <mergeCell ref="L11:R11"/>
    <mergeCell ref="L12:R12"/>
    <mergeCell ref="L13:R13"/>
    <mergeCell ref="L14:R14"/>
    <mergeCell ref="L15:R15"/>
    <mergeCell ref="D16:K16"/>
    <mergeCell ref="L16:R16"/>
    <mergeCell ref="D25:H25"/>
    <mergeCell ref="I25:M25"/>
    <mergeCell ref="N25:R25"/>
    <mergeCell ref="S25:W25"/>
    <mergeCell ref="AC25:AG25"/>
  </mergeCells>
  <conditionalFormatting sqref="AF33">
    <cfRule type="expression" dxfId="64" priority="1">
      <formula>OR($I$36:$AL$39)&gt;0</formula>
    </cfRule>
    <cfRule type="expression" dxfId="63" priority="6">
      <formula>$AF$33</formula>
    </cfRule>
  </conditionalFormatting>
  <dataValidations count="2">
    <dataValidation type="whole" allowBlank="1" showInputMessage="1" showErrorMessage="1" errorTitle="GJHSP SY 2022-2023" error="Please enter valid number between 0-20,000." sqref="I26:AL29 L12:R15" xr:uid="{829FF4FE-62A6-425F-8599-9BCC2B9C1B9A}">
      <formula1>0</formula1>
      <formula2>20000</formula2>
    </dataValidation>
    <dataValidation type="whole" allowBlank="1" showInputMessage="1" showErrorMessage="1" errorTitle="GJHSP SY 2022-2023" error="Please enter valid number between 0-999." sqref="I36:AL39" xr:uid="{65361E1C-1447-4768-A852-E49F791FF9DF}">
      <formula1>0</formula1>
      <formula2>999</formula2>
    </dataValidation>
  </dataValidations>
  <printOptions horizontalCentered="1" verticalCentered="1"/>
  <pageMargins left="0.23622047244094491" right="0.23622047244094491" top="0.19685039370078741" bottom="0.19685039370078741" header="0" footer="0.11811023622047245"/>
  <pageSetup paperSize="14" scale="65" orientation="portrait" r:id="rId1"/>
  <headerFooter alignWithMargins="0">
    <oddFooter>&amp;L&amp;10&amp;F &amp;A&amp;R&amp;10Page 33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64513" r:id="rId4" name="Check Box 1">
              <controlPr defaultSize="0" autoFill="0" autoLine="0" autoPict="0">
                <anchor moveWithCells="1">
                  <from>
                    <xdr:col>25</xdr:col>
                    <xdr:colOff>266700</xdr:colOff>
                    <xdr:row>4</xdr:row>
                    <xdr:rowOff>69850</xdr:rowOff>
                  </from>
                  <to>
                    <xdr:col>27</xdr:col>
                    <xdr:colOff>152400</xdr:colOff>
                    <xdr:row>4</xdr:row>
                    <xdr:rowOff>292100</xdr:rowOff>
                  </to>
                </anchor>
              </controlPr>
            </control>
          </mc:Choice>
        </mc:AlternateContent>
        <mc:AlternateContent xmlns:mc="http://schemas.openxmlformats.org/markup-compatibility/2006">
          <mc:Choice Requires="x14">
            <control shapeId="64514" r:id="rId5" name="Check Box 2">
              <controlPr defaultSize="0" autoFill="0" autoLine="0" autoPict="0">
                <anchor moveWithCells="1">
                  <from>
                    <xdr:col>30</xdr:col>
                    <xdr:colOff>266700</xdr:colOff>
                    <xdr:row>4</xdr:row>
                    <xdr:rowOff>69850</xdr:rowOff>
                  </from>
                  <to>
                    <xdr:col>32</xdr:col>
                    <xdr:colOff>152400</xdr:colOff>
                    <xdr:row>4</xdr:row>
                    <xdr:rowOff>292100</xdr:rowOff>
                  </to>
                </anchor>
              </controlPr>
            </control>
          </mc:Choice>
        </mc:AlternateContent>
        <mc:AlternateContent xmlns:mc="http://schemas.openxmlformats.org/markup-compatibility/2006">
          <mc:Choice Requires="x14">
            <control shapeId="64515" r:id="rId6" name="Check Box 3">
              <controlPr defaultSize="0" autoFill="0" autoLine="0" autoPict="0">
                <anchor moveWithCells="1">
                  <from>
                    <xdr:col>25</xdr:col>
                    <xdr:colOff>266700</xdr:colOff>
                    <xdr:row>6</xdr:row>
                    <xdr:rowOff>69850</xdr:rowOff>
                  </from>
                  <to>
                    <xdr:col>27</xdr:col>
                    <xdr:colOff>152400</xdr:colOff>
                    <xdr:row>6</xdr:row>
                    <xdr:rowOff>292100</xdr:rowOff>
                  </to>
                </anchor>
              </controlPr>
            </control>
          </mc:Choice>
        </mc:AlternateContent>
        <mc:AlternateContent xmlns:mc="http://schemas.openxmlformats.org/markup-compatibility/2006">
          <mc:Choice Requires="x14">
            <control shapeId="64516" r:id="rId7" name="Check Box 4">
              <controlPr defaultSize="0" autoFill="0" autoLine="0" autoPict="0">
                <anchor moveWithCells="1">
                  <from>
                    <xdr:col>30</xdr:col>
                    <xdr:colOff>266700</xdr:colOff>
                    <xdr:row>6</xdr:row>
                    <xdr:rowOff>69850</xdr:rowOff>
                  </from>
                  <to>
                    <xdr:col>32</xdr:col>
                    <xdr:colOff>152400</xdr:colOff>
                    <xdr:row>6</xdr:row>
                    <xdr:rowOff>292100</xdr:rowOff>
                  </to>
                </anchor>
              </controlPr>
            </control>
          </mc:Choice>
        </mc:AlternateContent>
        <mc:AlternateContent xmlns:mc="http://schemas.openxmlformats.org/markup-compatibility/2006">
          <mc:Choice Requires="x14">
            <control shapeId="64517" r:id="rId8" name="Check Box 5">
              <controlPr defaultSize="0" autoFill="0" autoLine="0" autoPict="0">
                <anchor moveWithCells="1">
                  <from>
                    <xdr:col>25</xdr:col>
                    <xdr:colOff>266700</xdr:colOff>
                    <xdr:row>17</xdr:row>
                    <xdr:rowOff>69850</xdr:rowOff>
                  </from>
                  <to>
                    <xdr:col>27</xdr:col>
                    <xdr:colOff>152400</xdr:colOff>
                    <xdr:row>17</xdr:row>
                    <xdr:rowOff>292100</xdr:rowOff>
                  </to>
                </anchor>
              </controlPr>
            </control>
          </mc:Choice>
        </mc:AlternateContent>
        <mc:AlternateContent xmlns:mc="http://schemas.openxmlformats.org/markup-compatibility/2006">
          <mc:Choice Requires="x14">
            <control shapeId="64518" r:id="rId9" name="Check Box 6">
              <controlPr defaultSize="0" autoFill="0" autoLine="0" autoPict="0">
                <anchor moveWithCells="1">
                  <from>
                    <xdr:col>25</xdr:col>
                    <xdr:colOff>266700</xdr:colOff>
                    <xdr:row>19</xdr:row>
                    <xdr:rowOff>69850</xdr:rowOff>
                  </from>
                  <to>
                    <xdr:col>27</xdr:col>
                    <xdr:colOff>152400</xdr:colOff>
                    <xdr:row>19</xdr:row>
                    <xdr:rowOff>292100</xdr:rowOff>
                  </to>
                </anchor>
              </controlPr>
            </control>
          </mc:Choice>
        </mc:AlternateContent>
        <mc:AlternateContent xmlns:mc="http://schemas.openxmlformats.org/markup-compatibility/2006">
          <mc:Choice Requires="x14">
            <control shapeId="64519" r:id="rId10" name="Check Box 7">
              <controlPr defaultSize="0" autoFill="0" autoLine="0" autoPict="0">
                <anchor moveWithCells="1">
                  <from>
                    <xdr:col>30</xdr:col>
                    <xdr:colOff>266700</xdr:colOff>
                    <xdr:row>17</xdr:row>
                    <xdr:rowOff>69850</xdr:rowOff>
                  </from>
                  <to>
                    <xdr:col>32</xdr:col>
                    <xdr:colOff>152400</xdr:colOff>
                    <xdr:row>17</xdr:row>
                    <xdr:rowOff>292100</xdr:rowOff>
                  </to>
                </anchor>
              </controlPr>
            </control>
          </mc:Choice>
        </mc:AlternateContent>
        <mc:AlternateContent xmlns:mc="http://schemas.openxmlformats.org/markup-compatibility/2006">
          <mc:Choice Requires="x14">
            <control shapeId="64520" r:id="rId11" name="Check Box 8">
              <controlPr defaultSize="0" autoFill="0" autoLine="0" autoPict="0">
                <anchor moveWithCells="1">
                  <from>
                    <xdr:col>30</xdr:col>
                    <xdr:colOff>266700</xdr:colOff>
                    <xdr:row>19</xdr:row>
                    <xdr:rowOff>69850</xdr:rowOff>
                  </from>
                  <to>
                    <xdr:col>32</xdr:col>
                    <xdr:colOff>152400</xdr:colOff>
                    <xdr:row>19</xdr:row>
                    <xdr:rowOff>292100</xdr:rowOff>
                  </to>
                </anchor>
              </controlPr>
            </control>
          </mc:Choice>
        </mc:AlternateContent>
        <mc:AlternateContent xmlns:mc="http://schemas.openxmlformats.org/markup-compatibility/2006">
          <mc:Choice Requires="x14">
            <control shapeId="64521" r:id="rId12" name="Check Box 9">
              <controlPr defaultSize="0" autoFill="0" autoLine="0" autoPict="0">
                <anchor moveWithCells="1">
                  <from>
                    <xdr:col>31</xdr:col>
                    <xdr:colOff>0</xdr:colOff>
                    <xdr:row>20</xdr:row>
                    <xdr:rowOff>50800</xdr:rowOff>
                  </from>
                  <to>
                    <xdr:col>32</xdr:col>
                    <xdr:colOff>158750</xdr:colOff>
                    <xdr:row>21</xdr:row>
                    <xdr:rowOff>196850</xdr:rowOff>
                  </to>
                </anchor>
              </controlPr>
            </control>
          </mc:Choice>
        </mc:AlternateContent>
        <mc:AlternateContent xmlns:mc="http://schemas.openxmlformats.org/markup-compatibility/2006">
          <mc:Choice Requires="x14">
            <control shapeId="64522" r:id="rId13" name="Check Box 10">
              <controlPr defaultSize="0" autoFill="0" autoLine="0" autoPict="0">
                <anchor moveWithCells="1">
                  <from>
                    <xdr:col>35</xdr:col>
                    <xdr:colOff>260350</xdr:colOff>
                    <xdr:row>20</xdr:row>
                    <xdr:rowOff>50800</xdr:rowOff>
                  </from>
                  <to>
                    <xdr:col>37</xdr:col>
                    <xdr:colOff>146050</xdr:colOff>
                    <xdr:row>21</xdr:row>
                    <xdr:rowOff>196850</xdr:rowOff>
                  </to>
                </anchor>
              </controlPr>
            </control>
          </mc:Choice>
        </mc:AlternateContent>
        <mc:AlternateContent xmlns:mc="http://schemas.openxmlformats.org/markup-compatibility/2006">
          <mc:Choice Requires="x14">
            <control shapeId="64523" r:id="rId14" name="Check Box 11">
              <controlPr defaultSize="0" autoFill="0" autoLine="0" autoPict="0">
                <anchor moveWithCells="1">
                  <from>
                    <xdr:col>31</xdr:col>
                    <xdr:colOff>0</xdr:colOff>
                    <xdr:row>30</xdr:row>
                    <xdr:rowOff>63500</xdr:rowOff>
                  </from>
                  <to>
                    <xdr:col>32</xdr:col>
                    <xdr:colOff>158750</xdr:colOff>
                    <xdr:row>31</xdr:row>
                    <xdr:rowOff>203200</xdr:rowOff>
                  </to>
                </anchor>
              </controlPr>
            </control>
          </mc:Choice>
        </mc:AlternateContent>
        <mc:AlternateContent xmlns:mc="http://schemas.openxmlformats.org/markup-compatibility/2006">
          <mc:Choice Requires="x14">
            <control shapeId="64524" r:id="rId15" name="Check Box 12">
              <controlPr defaultSize="0" autoFill="0" autoLine="0" autoPict="0">
                <anchor moveWithCells="1">
                  <from>
                    <xdr:col>35</xdr:col>
                    <xdr:colOff>266700</xdr:colOff>
                    <xdr:row>30</xdr:row>
                    <xdr:rowOff>63500</xdr:rowOff>
                  </from>
                  <to>
                    <xdr:col>37</xdr:col>
                    <xdr:colOff>152400</xdr:colOff>
                    <xdr:row>31</xdr:row>
                    <xdr:rowOff>215900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0B7B1-64FD-4F9C-9DCE-1112ADDFF204}">
  <sheetPr codeName="Sheet31"/>
  <dimension ref="B1:BJ39"/>
  <sheetViews>
    <sheetView showGridLines="0" topLeftCell="K1" zoomScaleNormal="100" workbookViewId="0">
      <selection activeCell="H26" sqref="H26:AS26"/>
    </sheetView>
  </sheetViews>
  <sheetFormatPr defaultColWidth="9" defaultRowHeight="15.5" x14ac:dyDescent="0.35"/>
  <cols>
    <col min="1" max="1" width="2.08203125" style="546" customWidth="1"/>
    <col min="2" max="40" width="3.58203125" style="546" customWidth="1"/>
    <col min="41" max="41" width="2.08203125" style="546" customWidth="1"/>
    <col min="42" max="50" width="3.58203125" style="546" customWidth="1"/>
    <col min="51" max="51" width="2.08203125" style="546" customWidth="1"/>
    <col min="52" max="58" width="3.58203125" style="546" customWidth="1"/>
    <col min="59" max="16384" width="9" style="546"/>
  </cols>
  <sheetData>
    <row r="1" spans="7:62" ht="12" customHeight="1" x14ac:dyDescent="0.35"/>
    <row r="2" spans="7:62" x14ac:dyDescent="0.35">
      <c r="G2" s="502" t="s">
        <v>12728</v>
      </c>
      <c r="H2" s="502"/>
      <c r="I2" s="502"/>
      <c r="J2" s="502"/>
      <c r="K2" s="502"/>
      <c r="L2" s="502"/>
      <c r="M2" s="502"/>
      <c r="N2" s="502"/>
      <c r="O2" s="502"/>
      <c r="P2" s="502"/>
      <c r="Q2" s="503"/>
      <c r="R2" s="503"/>
      <c r="S2" s="503"/>
      <c r="T2" s="503"/>
      <c r="U2" s="503"/>
      <c r="V2" s="503"/>
      <c r="W2" s="503"/>
      <c r="X2" s="503"/>
      <c r="Y2" s="503"/>
      <c r="Z2" s="503"/>
      <c r="AA2" s="503"/>
      <c r="AB2" s="503"/>
      <c r="AC2" s="503"/>
      <c r="AD2" s="503"/>
      <c r="AE2" s="503"/>
      <c r="AF2" s="503"/>
      <c r="AG2" s="503"/>
      <c r="AH2" s="503"/>
      <c r="AI2" s="503"/>
      <c r="AJ2" s="503"/>
      <c r="AK2" s="503"/>
      <c r="AL2" s="503"/>
      <c r="AM2" s="503"/>
      <c r="AN2" s="503"/>
      <c r="AO2" s="503"/>
      <c r="AP2" s="503"/>
      <c r="AQ2" s="502"/>
    </row>
    <row r="3" spans="7:62" s="402" customFormat="1" ht="16" thickBot="1" x14ac:dyDescent="0.4">
      <c r="G3" s="419" t="s">
        <v>1098</v>
      </c>
    </row>
    <row r="4" spans="7:62" s="501" customFormat="1" ht="6" customHeight="1" thickTop="1" x14ac:dyDescent="0.35">
      <c r="G4" s="533"/>
      <c r="H4" s="535"/>
      <c r="I4" s="792"/>
      <c r="J4" s="506"/>
      <c r="K4" s="506"/>
      <c r="L4" s="506"/>
      <c r="M4" s="506"/>
      <c r="N4" s="506"/>
      <c r="O4" s="506"/>
      <c r="P4" s="506"/>
      <c r="Q4" s="506"/>
      <c r="R4" s="506"/>
      <c r="S4" s="506"/>
      <c r="T4" s="462"/>
      <c r="U4" s="462"/>
      <c r="V4" s="462"/>
      <c r="W4" s="462"/>
      <c r="X4" s="462"/>
      <c r="Y4" s="462"/>
      <c r="Z4" s="422"/>
      <c r="AA4" s="793"/>
      <c r="AB4" s="793"/>
      <c r="AC4" s="793"/>
      <c r="AD4" s="793"/>
      <c r="AE4" s="793"/>
      <c r="AF4" s="793"/>
      <c r="AG4" s="462"/>
      <c r="AH4" s="462"/>
      <c r="AI4" s="462"/>
      <c r="AJ4" s="462"/>
      <c r="AK4" s="462"/>
      <c r="AL4" s="462"/>
      <c r="AM4" s="462"/>
      <c r="AN4" s="462"/>
      <c r="AO4" s="462"/>
      <c r="AP4" s="462"/>
      <c r="AQ4" s="462"/>
      <c r="AR4" s="462"/>
      <c r="AS4" s="794"/>
      <c r="BA4" s="403"/>
      <c r="BB4" s="403"/>
      <c r="BC4" s="403"/>
      <c r="BD4" s="403"/>
    </row>
    <row r="5" spans="7:62" s="501" customFormat="1" ht="20.5" x14ac:dyDescent="0.45">
      <c r="G5" s="834"/>
      <c r="H5" s="851" t="s">
        <v>150</v>
      </c>
      <c r="I5" s="780" t="s">
        <v>1005</v>
      </c>
      <c r="J5" s="780"/>
      <c r="K5" s="781"/>
      <c r="L5" s="781"/>
      <c r="M5" s="781"/>
      <c r="N5" s="781"/>
      <c r="O5" s="781"/>
      <c r="P5" s="781"/>
      <c r="Q5" s="781"/>
      <c r="R5" s="781"/>
      <c r="S5" s="781"/>
      <c r="T5" s="668"/>
      <c r="U5" s="403"/>
      <c r="V5" s="403"/>
      <c r="W5" s="403"/>
      <c r="X5" s="403"/>
      <c r="Y5" s="403"/>
      <c r="Z5" s="782"/>
      <c r="AA5" s="668"/>
      <c r="AB5" s="668"/>
      <c r="AC5" s="668"/>
      <c r="AD5" s="668"/>
      <c r="AE5" s="668"/>
      <c r="AF5" s="668"/>
      <c r="AG5" s="403"/>
      <c r="AH5" s="403"/>
      <c r="AI5" s="403"/>
      <c r="AJ5" s="403"/>
      <c r="AK5" s="403"/>
      <c r="AL5" s="403"/>
      <c r="AM5" s="403"/>
      <c r="AN5" s="403"/>
      <c r="AO5" s="403"/>
      <c r="AP5" s="403"/>
      <c r="AQ5" s="403"/>
      <c r="AR5" s="403"/>
      <c r="AS5" s="469"/>
      <c r="BA5" s="403"/>
      <c r="BB5" s="403"/>
      <c r="BC5" s="403"/>
      <c r="BD5" s="403"/>
    </row>
    <row r="6" spans="7:62" s="501" customFormat="1" ht="6" customHeight="1" thickBot="1" x14ac:dyDescent="0.45">
      <c r="G6" s="834"/>
      <c r="J6" s="849"/>
      <c r="K6" s="503"/>
      <c r="L6" s="503"/>
      <c r="M6" s="503"/>
      <c r="N6" s="503"/>
      <c r="O6" s="503"/>
      <c r="P6" s="503"/>
      <c r="Q6" s="503"/>
      <c r="R6" s="503"/>
      <c r="S6" s="503"/>
      <c r="T6" s="668"/>
      <c r="V6" s="668"/>
      <c r="W6" s="761"/>
      <c r="X6" s="403"/>
      <c r="AA6" s="668"/>
      <c r="AB6" s="761"/>
      <c r="AC6" s="403"/>
      <c r="AD6" s="403"/>
      <c r="AE6" s="403"/>
      <c r="AF6" s="403"/>
      <c r="AG6" s="403"/>
      <c r="AH6" s="403"/>
      <c r="AJ6" s="668"/>
      <c r="AK6" s="668"/>
      <c r="AL6" s="668"/>
      <c r="AM6" s="668"/>
      <c r="AN6" s="668"/>
      <c r="AO6" s="668"/>
      <c r="AP6" s="668"/>
      <c r="AQ6" s="668"/>
      <c r="AR6" s="668"/>
      <c r="AS6" s="788"/>
      <c r="BA6" s="403"/>
      <c r="BB6" s="403"/>
      <c r="BC6" s="403"/>
      <c r="BD6" s="403"/>
    </row>
    <row r="7" spans="7:62" s="501" customFormat="1" ht="21.5" thickTop="1" thickBot="1" x14ac:dyDescent="0.5">
      <c r="G7" s="834"/>
      <c r="I7" s="3282" t="s">
        <v>1006</v>
      </c>
      <c r="J7" s="3283"/>
      <c r="K7" s="3283"/>
      <c r="L7" s="3283"/>
      <c r="M7" s="3283"/>
      <c r="N7" s="3283"/>
      <c r="O7" s="3284"/>
      <c r="P7" s="3310" t="s">
        <v>323</v>
      </c>
      <c r="Q7" s="3311"/>
      <c r="R7" s="3311"/>
      <c r="S7" s="3311"/>
      <c r="T7" s="3311"/>
      <c r="U7" s="3311"/>
      <c r="V7" s="3311"/>
      <c r="W7" s="3311"/>
      <c r="X7" s="3311"/>
      <c r="Y7" s="3311"/>
      <c r="Z7" s="3311"/>
      <c r="AA7" s="3311"/>
      <c r="AB7" s="3311"/>
      <c r="AC7" s="3311"/>
      <c r="AD7" s="3311"/>
      <c r="AE7" s="3311"/>
      <c r="AF7" s="3311"/>
      <c r="AG7" s="3311"/>
      <c r="AH7" s="3311"/>
      <c r="AI7" s="3311"/>
      <c r="AJ7" s="3311"/>
      <c r="AK7" s="3311"/>
      <c r="AL7" s="3311"/>
      <c r="AM7" s="3311"/>
      <c r="AN7" s="3311"/>
      <c r="AO7" s="3311"/>
      <c r="AP7" s="3311"/>
      <c r="AQ7" s="3312"/>
      <c r="AR7" s="832"/>
      <c r="AS7" s="867"/>
      <c r="AT7" s="852"/>
      <c r="AU7" s="857"/>
      <c r="AV7" s="668"/>
      <c r="AW7" s="668"/>
      <c r="AX7" s="668"/>
      <c r="BG7" s="403"/>
      <c r="BH7" s="403"/>
      <c r="BI7" s="403"/>
      <c r="BJ7" s="403"/>
    </row>
    <row r="8" spans="7:62" s="501" customFormat="1" ht="21" thickBot="1" x14ac:dyDescent="0.5">
      <c r="G8" s="834"/>
      <c r="I8" s="3309"/>
      <c r="J8" s="3199"/>
      <c r="K8" s="3199"/>
      <c r="L8" s="3199"/>
      <c r="M8" s="3199"/>
      <c r="N8" s="3199"/>
      <c r="O8" s="3202"/>
      <c r="P8" s="3179" t="s">
        <v>1322</v>
      </c>
      <c r="Q8" s="3180"/>
      <c r="R8" s="3180"/>
      <c r="S8" s="3180"/>
      <c r="T8" s="3180"/>
      <c r="U8" s="3180"/>
      <c r="V8" s="3180"/>
      <c r="W8" s="3180"/>
      <c r="X8" s="3180"/>
      <c r="Y8" s="3180"/>
      <c r="Z8" s="3180"/>
      <c r="AA8" s="3180"/>
      <c r="AB8" s="3180"/>
      <c r="AC8" s="3181"/>
      <c r="AD8" s="3249" t="s">
        <v>1070</v>
      </c>
      <c r="AE8" s="3199"/>
      <c r="AF8" s="3199"/>
      <c r="AG8" s="3199"/>
      <c r="AH8" s="3199"/>
      <c r="AI8" s="3199"/>
      <c r="AJ8" s="3202"/>
      <c r="AK8" s="3249" t="s">
        <v>1071</v>
      </c>
      <c r="AL8" s="3199"/>
      <c r="AM8" s="3199"/>
      <c r="AN8" s="3199"/>
      <c r="AO8" s="3199"/>
      <c r="AP8" s="3199"/>
      <c r="AQ8" s="3314"/>
      <c r="AR8" s="832"/>
      <c r="AS8" s="867"/>
      <c r="AT8" s="852"/>
      <c r="AU8" s="857"/>
      <c r="AV8" s="668"/>
      <c r="AW8" s="668"/>
      <c r="AX8" s="668"/>
      <c r="BG8" s="403"/>
      <c r="BH8" s="403"/>
      <c r="BI8" s="403"/>
      <c r="BJ8" s="403"/>
    </row>
    <row r="9" spans="7:62" s="501" customFormat="1" ht="31" customHeight="1" thickBot="1" x14ac:dyDescent="0.5">
      <c r="G9" s="834"/>
      <c r="I9" s="3309"/>
      <c r="J9" s="3199"/>
      <c r="K9" s="3199"/>
      <c r="L9" s="3199"/>
      <c r="M9" s="3199"/>
      <c r="N9" s="3199"/>
      <c r="O9" s="3202"/>
      <c r="P9" s="3313" t="s">
        <v>1325</v>
      </c>
      <c r="Q9" s="3243"/>
      <c r="R9" s="3243"/>
      <c r="S9" s="3243"/>
      <c r="T9" s="3243"/>
      <c r="U9" s="3243"/>
      <c r="V9" s="3244"/>
      <c r="W9" s="3313" t="s">
        <v>1326</v>
      </c>
      <c r="X9" s="3243"/>
      <c r="Y9" s="3243"/>
      <c r="Z9" s="3243"/>
      <c r="AA9" s="3243"/>
      <c r="AB9" s="3243"/>
      <c r="AC9" s="3244"/>
      <c r="AD9" s="3249"/>
      <c r="AE9" s="3199"/>
      <c r="AF9" s="3199"/>
      <c r="AG9" s="3199"/>
      <c r="AH9" s="3199"/>
      <c r="AI9" s="3199"/>
      <c r="AJ9" s="3202"/>
      <c r="AK9" s="3249"/>
      <c r="AL9" s="3199"/>
      <c r="AM9" s="3199"/>
      <c r="AN9" s="3199"/>
      <c r="AO9" s="3199"/>
      <c r="AP9" s="3199"/>
      <c r="AQ9" s="3314"/>
      <c r="AR9" s="832"/>
      <c r="AS9" s="867"/>
      <c r="AT9" s="852"/>
      <c r="AU9" s="857"/>
      <c r="AV9" s="668"/>
      <c r="AW9" s="668"/>
      <c r="AX9" s="668"/>
      <c r="BG9" s="403"/>
      <c r="BH9" s="403"/>
      <c r="BI9" s="403"/>
      <c r="BJ9" s="403"/>
    </row>
    <row r="10" spans="7:62" s="501" customFormat="1" ht="25" customHeight="1" thickTop="1" x14ac:dyDescent="0.45">
      <c r="G10" s="834"/>
      <c r="I10" s="3251" t="s">
        <v>1007</v>
      </c>
      <c r="J10" s="3252"/>
      <c r="K10" s="3252"/>
      <c r="L10" s="3252"/>
      <c r="M10" s="3252"/>
      <c r="N10" s="3252"/>
      <c r="O10" s="3253"/>
      <c r="P10" s="3288">
        <v>0</v>
      </c>
      <c r="Q10" s="3289"/>
      <c r="R10" s="3289"/>
      <c r="S10" s="3289"/>
      <c r="T10" s="3289"/>
      <c r="U10" s="3289"/>
      <c r="V10" s="3290"/>
      <c r="W10" s="3288">
        <v>0</v>
      </c>
      <c r="X10" s="3289"/>
      <c r="Y10" s="3289"/>
      <c r="Z10" s="3289"/>
      <c r="AA10" s="3289"/>
      <c r="AB10" s="3289"/>
      <c r="AC10" s="3290"/>
      <c r="AD10" s="3288">
        <v>0</v>
      </c>
      <c r="AE10" s="3289"/>
      <c r="AF10" s="3289"/>
      <c r="AG10" s="3289"/>
      <c r="AH10" s="3289"/>
      <c r="AI10" s="3289"/>
      <c r="AJ10" s="3290"/>
      <c r="AK10" s="3288">
        <v>0</v>
      </c>
      <c r="AL10" s="3289"/>
      <c r="AM10" s="3289"/>
      <c r="AN10" s="3289"/>
      <c r="AO10" s="3289"/>
      <c r="AP10" s="3289"/>
      <c r="AQ10" s="3295"/>
      <c r="AR10" s="831"/>
      <c r="AS10" s="865"/>
      <c r="AT10" s="513"/>
      <c r="AU10" s="857"/>
      <c r="AV10" s="668"/>
      <c r="AW10" s="668"/>
      <c r="AX10" s="668"/>
      <c r="BG10" s="403"/>
      <c r="BH10" s="403"/>
      <c r="BI10" s="403"/>
      <c r="BJ10" s="403"/>
    </row>
    <row r="11" spans="7:62" s="501" customFormat="1" ht="25" customHeight="1" x14ac:dyDescent="0.45">
      <c r="G11" s="834"/>
      <c r="I11" s="3306" t="s">
        <v>1008</v>
      </c>
      <c r="J11" s="3307"/>
      <c r="K11" s="3307"/>
      <c r="L11" s="3307"/>
      <c r="M11" s="3307"/>
      <c r="N11" s="3307"/>
      <c r="O11" s="3308"/>
      <c r="P11" s="3272">
        <v>0</v>
      </c>
      <c r="Q11" s="3273"/>
      <c r="R11" s="3273"/>
      <c r="S11" s="3273"/>
      <c r="T11" s="3273"/>
      <c r="U11" s="3273"/>
      <c r="V11" s="3291"/>
      <c r="W11" s="3272">
        <v>0</v>
      </c>
      <c r="X11" s="3273"/>
      <c r="Y11" s="3273"/>
      <c r="Z11" s="3273"/>
      <c r="AA11" s="3273"/>
      <c r="AB11" s="3273"/>
      <c r="AC11" s="3291"/>
      <c r="AD11" s="3272">
        <v>0</v>
      </c>
      <c r="AE11" s="3273"/>
      <c r="AF11" s="3273"/>
      <c r="AG11" s="3273"/>
      <c r="AH11" s="3273"/>
      <c r="AI11" s="3273"/>
      <c r="AJ11" s="3291"/>
      <c r="AK11" s="3272">
        <v>0</v>
      </c>
      <c r="AL11" s="3273"/>
      <c r="AM11" s="3273"/>
      <c r="AN11" s="3273"/>
      <c r="AO11" s="3273"/>
      <c r="AP11" s="3273"/>
      <c r="AQ11" s="3274"/>
      <c r="AR11" s="860"/>
      <c r="AS11" s="861"/>
      <c r="AT11" s="512"/>
      <c r="AU11" s="857"/>
      <c r="AV11" s="668"/>
      <c r="AW11" s="668"/>
      <c r="AX11" s="668"/>
      <c r="BG11" s="403"/>
      <c r="BH11" s="403"/>
      <c r="BI11" s="403"/>
      <c r="BJ11" s="403"/>
    </row>
    <row r="12" spans="7:62" s="501" customFormat="1" ht="25" customHeight="1" thickBot="1" x14ac:dyDescent="0.5">
      <c r="G12" s="834"/>
      <c r="I12" s="3299" t="s">
        <v>1009</v>
      </c>
      <c r="J12" s="3300"/>
      <c r="K12" s="3300"/>
      <c r="L12" s="3300"/>
      <c r="M12" s="3300"/>
      <c r="N12" s="3300"/>
      <c r="O12" s="3301"/>
      <c r="P12" s="3215">
        <v>0</v>
      </c>
      <c r="Q12" s="3187"/>
      <c r="R12" s="3187"/>
      <c r="S12" s="3187"/>
      <c r="T12" s="3187"/>
      <c r="U12" s="3187"/>
      <c r="V12" s="3260"/>
      <c r="W12" s="3215">
        <v>0</v>
      </c>
      <c r="X12" s="3187"/>
      <c r="Y12" s="3187"/>
      <c r="Z12" s="3187"/>
      <c r="AA12" s="3187"/>
      <c r="AB12" s="3187"/>
      <c r="AC12" s="3260"/>
      <c r="AD12" s="3215">
        <v>0</v>
      </c>
      <c r="AE12" s="3187"/>
      <c r="AF12" s="3187"/>
      <c r="AG12" s="3187"/>
      <c r="AH12" s="3187"/>
      <c r="AI12" s="3187"/>
      <c r="AJ12" s="3260"/>
      <c r="AK12" s="3215">
        <v>0</v>
      </c>
      <c r="AL12" s="3187"/>
      <c r="AM12" s="3187"/>
      <c r="AN12" s="3187"/>
      <c r="AO12" s="3187"/>
      <c r="AP12" s="3187"/>
      <c r="AQ12" s="3275"/>
      <c r="AR12" s="860"/>
      <c r="AS12" s="861"/>
      <c r="AT12" s="512"/>
      <c r="AU12" s="857"/>
      <c r="AV12" s="668"/>
      <c r="AW12" s="668"/>
      <c r="AX12" s="668"/>
      <c r="BG12" s="403"/>
      <c r="BH12" s="403"/>
      <c r="BI12" s="403"/>
      <c r="BJ12" s="403"/>
    </row>
    <row r="13" spans="7:62" s="501" customFormat="1" ht="25" customHeight="1" thickTop="1" thickBot="1" x14ac:dyDescent="0.5">
      <c r="G13" s="834"/>
      <c r="I13" s="3302" t="s">
        <v>16</v>
      </c>
      <c r="J13" s="3303"/>
      <c r="K13" s="3303"/>
      <c r="L13" s="3303"/>
      <c r="M13" s="3303"/>
      <c r="N13" s="3303"/>
      <c r="O13" s="3304"/>
      <c r="P13" s="3279">
        <f>SUM(P10:V12)</f>
        <v>0</v>
      </c>
      <c r="Q13" s="3280"/>
      <c r="R13" s="3280"/>
      <c r="S13" s="3280"/>
      <c r="T13" s="3280"/>
      <c r="U13" s="3280"/>
      <c r="V13" s="3305"/>
      <c r="W13" s="3279">
        <f t="shared" ref="W13" si="0">SUM(W10:AC12)</f>
        <v>0</v>
      </c>
      <c r="X13" s="3280"/>
      <c r="Y13" s="3280"/>
      <c r="Z13" s="3280"/>
      <c r="AA13" s="3280"/>
      <c r="AB13" s="3280"/>
      <c r="AC13" s="3305"/>
      <c r="AD13" s="3279">
        <f t="shared" ref="AD13" si="1">SUM(AD10:AJ12)</f>
        <v>0</v>
      </c>
      <c r="AE13" s="3280"/>
      <c r="AF13" s="3280"/>
      <c r="AG13" s="3280"/>
      <c r="AH13" s="3280"/>
      <c r="AI13" s="3280"/>
      <c r="AJ13" s="3305"/>
      <c r="AK13" s="3279">
        <f t="shared" ref="AK13" si="2">SUM(AK10:AQ12)</f>
        <v>0</v>
      </c>
      <c r="AL13" s="3280"/>
      <c r="AM13" s="3280"/>
      <c r="AN13" s="3280"/>
      <c r="AO13" s="3280"/>
      <c r="AP13" s="3280"/>
      <c r="AQ13" s="3305"/>
      <c r="AR13" s="860"/>
      <c r="AS13" s="861"/>
      <c r="AT13" s="512"/>
      <c r="AU13" s="857"/>
      <c r="AV13" s="668"/>
      <c r="AW13" s="668"/>
      <c r="AX13" s="668"/>
      <c r="BG13" s="403"/>
      <c r="BH13" s="403"/>
      <c r="BI13" s="403"/>
      <c r="BJ13" s="403"/>
    </row>
    <row r="14" spans="7:62" s="501" customFormat="1" ht="6" customHeight="1" thickTop="1" x14ac:dyDescent="0.45">
      <c r="G14" s="834"/>
      <c r="I14" s="866"/>
      <c r="J14" s="866"/>
      <c r="K14" s="866"/>
      <c r="L14" s="866"/>
      <c r="M14" s="866"/>
      <c r="N14" s="866"/>
      <c r="O14" s="866"/>
      <c r="P14" s="860"/>
      <c r="Q14" s="860"/>
      <c r="R14" s="860"/>
      <c r="S14" s="860"/>
      <c r="T14" s="860"/>
      <c r="U14" s="860"/>
      <c r="V14" s="860"/>
      <c r="W14" s="860"/>
      <c r="X14" s="860"/>
      <c r="Y14" s="860"/>
      <c r="Z14" s="860"/>
      <c r="AA14" s="860"/>
      <c r="AB14" s="860"/>
      <c r="AC14" s="860"/>
      <c r="AD14" s="860"/>
      <c r="AE14" s="860"/>
      <c r="AF14" s="860"/>
      <c r="AG14" s="860"/>
      <c r="AH14" s="860"/>
      <c r="AI14" s="860"/>
      <c r="AJ14" s="860"/>
      <c r="AK14" s="860"/>
      <c r="AL14" s="860"/>
      <c r="AM14" s="860"/>
      <c r="AN14" s="860"/>
      <c r="AO14" s="860"/>
      <c r="AP14" s="860"/>
      <c r="AQ14" s="860"/>
      <c r="AR14" s="860"/>
      <c r="AS14" s="861"/>
      <c r="AT14" s="512"/>
      <c r="AU14" s="857"/>
      <c r="AV14" s="668"/>
      <c r="AW14" s="668"/>
      <c r="AX14" s="668"/>
      <c r="BG14" s="403"/>
      <c r="BH14" s="403"/>
      <c r="BI14" s="403"/>
      <c r="BJ14" s="403"/>
    </row>
    <row r="15" spans="7:62" s="501" customFormat="1" ht="20.5" x14ac:dyDescent="0.45">
      <c r="G15" s="834"/>
      <c r="H15" s="851" t="s">
        <v>151</v>
      </c>
      <c r="I15" s="780" t="s">
        <v>1143</v>
      </c>
      <c r="J15" s="780"/>
      <c r="K15" s="781"/>
      <c r="L15" s="781"/>
      <c r="M15" s="781"/>
      <c r="N15" s="781"/>
      <c r="O15" s="781"/>
      <c r="P15" s="781"/>
      <c r="Q15" s="781"/>
      <c r="R15" s="781"/>
      <c r="S15" s="781"/>
      <c r="T15" s="668"/>
      <c r="U15" s="403"/>
      <c r="V15" s="403"/>
      <c r="W15" s="403"/>
      <c r="X15" s="403"/>
      <c r="Y15" s="403"/>
      <c r="Z15" s="782"/>
      <c r="AA15" s="668"/>
      <c r="AB15" s="668"/>
      <c r="AC15" s="668"/>
      <c r="AD15" s="668"/>
      <c r="AE15" s="668"/>
      <c r="AF15" s="668"/>
      <c r="AG15" s="403"/>
      <c r="AH15" s="403"/>
      <c r="AI15" s="403"/>
      <c r="AJ15" s="403"/>
      <c r="AK15" s="403"/>
      <c r="AL15" s="403"/>
      <c r="AM15" s="403"/>
      <c r="AN15" s="403"/>
      <c r="AO15" s="403"/>
      <c r="AP15" s="403"/>
      <c r="AQ15" s="403"/>
      <c r="AR15" s="403"/>
      <c r="AS15" s="469"/>
      <c r="BA15" s="403"/>
      <c r="BB15" s="403"/>
      <c r="BC15" s="403"/>
      <c r="BD15" s="403"/>
    </row>
    <row r="16" spans="7:62" s="501" customFormat="1" ht="6" customHeight="1" thickBot="1" x14ac:dyDescent="0.45">
      <c r="G16" s="834"/>
      <c r="J16" s="849"/>
      <c r="K16" s="503"/>
      <c r="L16" s="503"/>
      <c r="M16" s="503"/>
      <c r="N16" s="503"/>
      <c r="O16" s="503"/>
      <c r="P16" s="503"/>
      <c r="Q16" s="503"/>
      <c r="R16" s="503"/>
      <c r="S16" s="503"/>
      <c r="T16" s="668"/>
      <c r="V16" s="668"/>
      <c r="W16" s="761"/>
      <c r="X16" s="403"/>
      <c r="AA16" s="668"/>
      <c r="AB16" s="761"/>
      <c r="AC16" s="403"/>
      <c r="AD16" s="403"/>
      <c r="AE16" s="403"/>
      <c r="AF16" s="403"/>
      <c r="AG16" s="403"/>
      <c r="AH16" s="403"/>
      <c r="AJ16" s="668"/>
      <c r="AK16" s="668"/>
      <c r="AL16" s="668"/>
      <c r="AM16" s="668"/>
      <c r="AN16" s="668"/>
      <c r="AO16" s="668"/>
      <c r="AP16" s="668"/>
      <c r="AQ16" s="668"/>
      <c r="AR16" s="668"/>
      <c r="AS16" s="788"/>
      <c r="BA16" s="403"/>
      <c r="BB16" s="403"/>
      <c r="BC16" s="403"/>
      <c r="BD16" s="403"/>
    </row>
    <row r="17" spans="2:62" s="501" customFormat="1" ht="21.5" thickTop="1" thickBot="1" x14ac:dyDescent="0.5">
      <c r="G17" s="834"/>
      <c r="I17" s="3282" t="s">
        <v>1006</v>
      </c>
      <c r="J17" s="3283"/>
      <c r="K17" s="3283"/>
      <c r="L17" s="3283"/>
      <c r="M17" s="3283"/>
      <c r="N17" s="3283"/>
      <c r="O17" s="3284"/>
      <c r="P17" s="3310" t="s">
        <v>1323</v>
      </c>
      <c r="Q17" s="3311"/>
      <c r="R17" s="3311"/>
      <c r="S17" s="3311"/>
      <c r="T17" s="3311"/>
      <c r="U17" s="3311"/>
      <c r="V17" s="3311"/>
      <c r="W17" s="3311"/>
      <c r="X17" s="3311"/>
      <c r="Y17" s="3311"/>
      <c r="Z17" s="3311"/>
      <c r="AA17" s="3311"/>
      <c r="AB17" s="3311"/>
      <c r="AC17" s="3311"/>
      <c r="AD17" s="3311"/>
      <c r="AE17" s="3311"/>
      <c r="AF17" s="3311"/>
      <c r="AG17" s="3311"/>
      <c r="AH17" s="3311"/>
      <c r="AI17" s="3311"/>
      <c r="AJ17" s="3311"/>
      <c r="AK17" s="3311"/>
      <c r="AL17" s="3311"/>
      <c r="AM17" s="3311"/>
      <c r="AN17" s="3311"/>
      <c r="AO17" s="3311"/>
      <c r="AP17" s="3311"/>
      <c r="AQ17" s="3312"/>
      <c r="AR17" s="832"/>
      <c r="AS17" s="867"/>
      <c r="AT17" s="852"/>
      <c r="AU17" s="857"/>
      <c r="AV17" s="668"/>
      <c r="AW17" s="668"/>
      <c r="AX17" s="668"/>
      <c r="BG17" s="403"/>
      <c r="BH17" s="403"/>
      <c r="BI17" s="403"/>
      <c r="BJ17" s="403"/>
    </row>
    <row r="18" spans="2:62" s="501" customFormat="1" ht="21" thickBot="1" x14ac:dyDescent="0.5">
      <c r="G18" s="834"/>
      <c r="I18" s="3309"/>
      <c r="J18" s="3199"/>
      <c r="K18" s="3199"/>
      <c r="L18" s="3199"/>
      <c r="M18" s="3199"/>
      <c r="N18" s="3199"/>
      <c r="O18" s="3202"/>
      <c r="P18" s="3179" t="s">
        <v>1324</v>
      </c>
      <c r="Q18" s="3180"/>
      <c r="R18" s="3180"/>
      <c r="S18" s="3180"/>
      <c r="T18" s="3180"/>
      <c r="U18" s="3180"/>
      <c r="V18" s="3180"/>
      <c r="W18" s="3180"/>
      <c r="X18" s="3180"/>
      <c r="Y18" s="3180"/>
      <c r="Z18" s="3180"/>
      <c r="AA18" s="3180"/>
      <c r="AB18" s="3180"/>
      <c r="AC18" s="3181"/>
      <c r="AD18" s="3249" t="s">
        <v>1070</v>
      </c>
      <c r="AE18" s="3199"/>
      <c r="AF18" s="3199"/>
      <c r="AG18" s="3199"/>
      <c r="AH18" s="3199"/>
      <c r="AI18" s="3199"/>
      <c r="AJ18" s="3202"/>
      <c r="AK18" s="3249" t="s">
        <v>1071</v>
      </c>
      <c r="AL18" s="3199"/>
      <c r="AM18" s="3199"/>
      <c r="AN18" s="3199"/>
      <c r="AO18" s="3199"/>
      <c r="AP18" s="3199"/>
      <c r="AQ18" s="3314"/>
      <c r="AR18" s="832"/>
      <c r="AS18" s="867"/>
      <c r="AT18" s="852"/>
      <c r="AU18" s="857"/>
      <c r="AV18" s="668"/>
      <c r="AW18" s="668"/>
      <c r="AX18" s="668"/>
      <c r="BG18" s="403"/>
      <c r="BH18" s="403"/>
      <c r="BI18" s="403"/>
      <c r="BJ18" s="403"/>
    </row>
    <row r="19" spans="2:62" s="501" customFormat="1" ht="31" customHeight="1" thickBot="1" x14ac:dyDescent="0.5">
      <c r="G19" s="834"/>
      <c r="I19" s="3309"/>
      <c r="J19" s="3199"/>
      <c r="K19" s="3199"/>
      <c r="L19" s="3199"/>
      <c r="M19" s="3199"/>
      <c r="N19" s="3199"/>
      <c r="O19" s="3202"/>
      <c r="P19" s="3313" t="s">
        <v>1325</v>
      </c>
      <c r="Q19" s="3243"/>
      <c r="R19" s="3243"/>
      <c r="S19" s="3243"/>
      <c r="T19" s="3243"/>
      <c r="U19" s="3243"/>
      <c r="V19" s="3244"/>
      <c r="W19" s="3313" t="s">
        <v>1326</v>
      </c>
      <c r="X19" s="3243"/>
      <c r="Y19" s="3243"/>
      <c r="Z19" s="3243"/>
      <c r="AA19" s="3243"/>
      <c r="AB19" s="3243"/>
      <c r="AC19" s="3244"/>
      <c r="AD19" s="3249"/>
      <c r="AE19" s="3199"/>
      <c r="AF19" s="3199"/>
      <c r="AG19" s="3199"/>
      <c r="AH19" s="3199"/>
      <c r="AI19" s="3199"/>
      <c r="AJ19" s="3202"/>
      <c r="AK19" s="3249"/>
      <c r="AL19" s="3199"/>
      <c r="AM19" s="3199"/>
      <c r="AN19" s="3199"/>
      <c r="AO19" s="3199"/>
      <c r="AP19" s="3199"/>
      <c r="AQ19" s="3314"/>
      <c r="AR19" s="832"/>
      <c r="AS19" s="867"/>
      <c r="AT19" s="852"/>
      <c r="AU19" s="857"/>
      <c r="AV19" s="668"/>
      <c r="AW19" s="668"/>
      <c r="AX19" s="668"/>
      <c r="BG19" s="403"/>
      <c r="BH19" s="403"/>
      <c r="BI19" s="403"/>
      <c r="BJ19" s="403"/>
    </row>
    <row r="20" spans="2:62" s="501" customFormat="1" ht="25" customHeight="1" thickTop="1" x14ac:dyDescent="0.45">
      <c r="G20" s="834"/>
      <c r="I20" s="3251" t="s">
        <v>1010</v>
      </c>
      <c r="J20" s="3252"/>
      <c r="K20" s="3252"/>
      <c r="L20" s="3252"/>
      <c r="M20" s="3252"/>
      <c r="N20" s="3252"/>
      <c r="O20" s="3253"/>
      <c r="P20" s="3288">
        <v>0</v>
      </c>
      <c r="Q20" s="3289"/>
      <c r="R20" s="3289"/>
      <c r="S20" s="3289"/>
      <c r="T20" s="3289"/>
      <c r="U20" s="3289"/>
      <c r="V20" s="3290"/>
      <c r="W20" s="3288">
        <v>0</v>
      </c>
      <c r="X20" s="3289"/>
      <c r="Y20" s="3289"/>
      <c r="Z20" s="3289"/>
      <c r="AA20" s="3289"/>
      <c r="AB20" s="3289"/>
      <c r="AC20" s="3290"/>
      <c r="AD20" s="3288">
        <v>0</v>
      </c>
      <c r="AE20" s="3289"/>
      <c r="AF20" s="3289"/>
      <c r="AG20" s="3289"/>
      <c r="AH20" s="3289"/>
      <c r="AI20" s="3289"/>
      <c r="AJ20" s="3290"/>
      <c r="AK20" s="3288">
        <v>0</v>
      </c>
      <c r="AL20" s="3289"/>
      <c r="AM20" s="3289"/>
      <c r="AN20" s="3289"/>
      <c r="AO20" s="3289"/>
      <c r="AP20" s="3289"/>
      <c r="AQ20" s="3295"/>
      <c r="AR20" s="831"/>
      <c r="AS20" s="865"/>
      <c r="AT20" s="513"/>
      <c r="AU20" s="857"/>
      <c r="AV20" s="668"/>
      <c r="AW20" s="668"/>
      <c r="AX20" s="668"/>
      <c r="BG20" s="403"/>
      <c r="BH20" s="403"/>
      <c r="BI20" s="403"/>
      <c r="BJ20" s="403"/>
    </row>
    <row r="21" spans="2:62" s="501" customFormat="1" ht="25" customHeight="1" x14ac:dyDescent="0.45">
      <c r="G21" s="834"/>
      <c r="I21" s="3306" t="s">
        <v>1011</v>
      </c>
      <c r="J21" s="3307"/>
      <c r="K21" s="3307"/>
      <c r="L21" s="3307"/>
      <c r="M21" s="3307"/>
      <c r="N21" s="3307"/>
      <c r="O21" s="3308"/>
      <c r="P21" s="3272">
        <v>0</v>
      </c>
      <c r="Q21" s="3273"/>
      <c r="R21" s="3273"/>
      <c r="S21" s="3273"/>
      <c r="T21" s="3273"/>
      <c r="U21" s="3273"/>
      <c r="V21" s="3291"/>
      <c r="W21" s="3272">
        <v>0</v>
      </c>
      <c r="X21" s="3273"/>
      <c r="Y21" s="3273"/>
      <c r="Z21" s="3273"/>
      <c r="AA21" s="3273"/>
      <c r="AB21" s="3273"/>
      <c r="AC21" s="3291"/>
      <c r="AD21" s="3272">
        <v>0</v>
      </c>
      <c r="AE21" s="3273"/>
      <c r="AF21" s="3273"/>
      <c r="AG21" s="3273"/>
      <c r="AH21" s="3273"/>
      <c r="AI21" s="3273"/>
      <c r="AJ21" s="3291"/>
      <c r="AK21" s="3272">
        <v>0</v>
      </c>
      <c r="AL21" s="3273"/>
      <c r="AM21" s="3273"/>
      <c r="AN21" s="3273"/>
      <c r="AO21" s="3273"/>
      <c r="AP21" s="3273"/>
      <c r="AQ21" s="3274"/>
      <c r="AR21" s="860"/>
      <c r="AS21" s="861"/>
      <c r="AT21" s="512"/>
      <c r="AU21" s="857"/>
      <c r="AV21" s="668"/>
      <c r="AW21" s="668"/>
      <c r="AX21" s="668"/>
      <c r="BG21" s="403"/>
      <c r="BH21" s="403"/>
      <c r="BI21" s="403"/>
      <c r="BJ21" s="403"/>
    </row>
    <row r="22" spans="2:62" s="501" customFormat="1" ht="25" customHeight="1" thickBot="1" x14ac:dyDescent="0.5">
      <c r="G22" s="834"/>
      <c r="I22" s="3299" t="s">
        <v>1009</v>
      </c>
      <c r="J22" s="3300"/>
      <c r="K22" s="3300"/>
      <c r="L22" s="3300"/>
      <c r="M22" s="3300"/>
      <c r="N22" s="3300"/>
      <c r="O22" s="3301"/>
      <c r="P22" s="3215">
        <v>2</v>
      </c>
      <c r="Q22" s="3187"/>
      <c r="R22" s="3187"/>
      <c r="S22" s="3187"/>
      <c r="T22" s="3187"/>
      <c r="U22" s="3187"/>
      <c r="V22" s="3260"/>
      <c r="W22" s="3215">
        <v>0</v>
      </c>
      <c r="X22" s="3187"/>
      <c r="Y22" s="3187"/>
      <c r="Z22" s="3187"/>
      <c r="AA22" s="3187"/>
      <c r="AB22" s="3187"/>
      <c r="AC22" s="3260"/>
      <c r="AD22" s="3215">
        <v>1</v>
      </c>
      <c r="AE22" s="3187"/>
      <c r="AF22" s="3187"/>
      <c r="AG22" s="3187"/>
      <c r="AH22" s="3187"/>
      <c r="AI22" s="3187"/>
      <c r="AJ22" s="3260"/>
      <c r="AK22" s="3215">
        <v>1</v>
      </c>
      <c r="AL22" s="3187"/>
      <c r="AM22" s="3187"/>
      <c r="AN22" s="3187"/>
      <c r="AO22" s="3187"/>
      <c r="AP22" s="3187"/>
      <c r="AQ22" s="3275"/>
      <c r="AR22" s="860"/>
      <c r="AS22" s="861"/>
      <c r="AT22" s="512"/>
      <c r="AU22" s="857"/>
      <c r="AV22" s="668"/>
      <c r="AW22" s="668"/>
      <c r="AX22" s="668"/>
      <c r="BG22" s="403"/>
      <c r="BH22" s="403"/>
      <c r="BI22" s="403"/>
      <c r="BJ22" s="403"/>
    </row>
    <row r="23" spans="2:62" s="501" customFormat="1" ht="25" customHeight="1" thickTop="1" thickBot="1" x14ac:dyDescent="0.5">
      <c r="G23" s="834"/>
      <c r="I23" s="3302" t="s">
        <v>16</v>
      </c>
      <c r="J23" s="3303"/>
      <c r="K23" s="3303"/>
      <c r="L23" s="3303"/>
      <c r="M23" s="3303"/>
      <c r="N23" s="3303"/>
      <c r="O23" s="3304"/>
      <c r="P23" s="3279">
        <f>SUM(P20:V22)</f>
        <v>2</v>
      </c>
      <c r="Q23" s="3280"/>
      <c r="R23" s="3280"/>
      <c r="S23" s="3280"/>
      <c r="T23" s="3280"/>
      <c r="U23" s="3280"/>
      <c r="V23" s="3305"/>
      <c r="W23" s="3279">
        <f t="shared" ref="W23" si="3">SUM(W20:AC22)</f>
        <v>0</v>
      </c>
      <c r="X23" s="3280"/>
      <c r="Y23" s="3280"/>
      <c r="Z23" s="3280"/>
      <c r="AA23" s="3280"/>
      <c r="AB23" s="3280"/>
      <c r="AC23" s="3305"/>
      <c r="AD23" s="3279">
        <f t="shared" ref="AD23" si="4">SUM(AD20:AJ22)</f>
        <v>1</v>
      </c>
      <c r="AE23" s="3280"/>
      <c r="AF23" s="3280"/>
      <c r="AG23" s="3280"/>
      <c r="AH23" s="3280"/>
      <c r="AI23" s="3280"/>
      <c r="AJ23" s="3305"/>
      <c r="AK23" s="3279">
        <f t="shared" ref="AK23" si="5">SUM(AK20:AQ22)</f>
        <v>1</v>
      </c>
      <c r="AL23" s="3280"/>
      <c r="AM23" s="3280"/>
      <c r="AN23" s="3280"/>
      <c r="AO23" s="3280"/>
      <c r="AP23" s="3280"/>
      <c r="AQ23" s="3305"/>
      <c r="AR23" s="860"/>
      <c r="AS23" s="861"/>
      <c r="AT23" s="512"/>
      <c r="AU23" s="857"/>
      <c r="AV23" s="668"/>
      <c r="AW23" s="668"/>
      <c r="AX23" s="668"/>
      <c r="BG23" s="403"/>
      <c r="BH23" s="403"/>
      <c r="BI23" s="403"/>
      <c r="BJ23" s="403"/>
    </row>
    <row r="24" spans="2:62" s="501" customFormat="1" ht="6" customHeight="1" thickTop="1" thickBot="1" x14ac:dyDescent="0.4">
      <c r="G24" s="532"/>
      <c r="H24" s="543"/>
      <c r="I24" s="529"/>
      <c r="J24" s="529"/>
      <c r="K24" s="778"/>
      <c r="L24" s="408"/>
      <c r="M24" s="408"/>
      <c r="N24" s="408"/>
      <c r="O24" s="408"/>
      <c r="P24" s="408"/>
      <c r="Q24" s="408"/>
      <c r="R24" s="408"/>
      <c r="S24" s="408"/>
      <c r="T24" s="408"/>
      <c r="U24" s="672"/>
      <c r="V24" s="672"/>
      <c r="W24" s="672"/>
      <c r="X24" s="672"/>
      <c r="Y24" s="672"/>
      <c r="Z24" s="408"/>
      <c r="AA24" s="672"/>
      <c r="AB24" s="672"/>
      <c r="AC24" s="672"/>
      <c r="AD24" s="672"/>
      <c r="AE24" s="672"/>
      <c r="AF24" s="672"/>
      <c r="AG24" s="408"/>
      <c r="AH24" s="408"/>
      <c r="AI24" s="408"/>
      <c r="AJ24" s="408"/>
      <c r="AK24" s="408"/>
      <c r="AL24" s="408"/>
      <c r="AM24" s="408"/>
      <c r="AN24" s="408"/>
      <c r="AO24" s="408"/>
      <c r="AP24" s="408"/>
      <c r="AQ24" s="408"/>
      <c r="AR24" s="408"/>
      <c r="AS24" s="409"/>
    </row>
    <row r="25" spans="2:62" s="761" customFormat="1" ht="6" customHeight="1" thickTop="1" x14ac:dyDescent="0.3">
      <c r="G25" s="85"/>
      <c r="H25" s="762"/>
      <c r="I25" s="762"/>
      <c r="J25" s="762"/>
      <c r="K25" s="762"/>
      <c r="L25" s="762"/>
      <c r="M25" s="763"/>
      <c r="N25" s="763"/>
      <c r="O25" s="763"/>
      <c r="P25" s="763"/>
      <c r="Q25" s="763"/>
      <c r="R25" s="763"/>
      <c r="S25" s="763"/>
      <c r="T25" s="763"/>
      <c r="U25" s="763"/>
      <c r="V25" s="763"/>
      <c r="W25" s="763"/>
      <c r="X25" s="763"/>
      <c r="Y25" s="763"/>
      <c r="Z25" s="763"/>
      <c r="AA25" s="763"/>
      <c r="AB25" s="763"/>
      <c r="AC25" s="763"/>
      <c r="AD25" s="763"/>
      <c r="AE25" s="763"/>
      <c r="AF25" s="763"/>
      <c r="AG25" s="763"/>
      <c r="AH25" s="763"/>
      <c r="AI25" s="763"/>
      <c r="AJ25" s="763"/>
      <c r="AK25" s="763"/>
      <c r="AL25" s="763"/>
      <c r="AM25" s="763"/>
      <c r="AN25" s="763"/>
      <c r="AO25" s="763"/>
      <c r="AP25" s="763"/>
      <c r="AQ25" s="763"/>
      <c r="AR25" s="763"/>
      <c r="AS25" s="763"/>
      <c r="AT25" s="862"/>
      <c r="AU25" s="862"/>
      <c r="AV25" s="763"/>
    </row>
    <row r="26" spans="2:62" s="501" customFormat="1" ht="16.5" customHeight="1" x14ac:dyDescent="0.35">
      <c r="G26" s="863" t="s">
        <v>150</v>
      </c>
      <c r="H26" s="3297" t="s">
        <v>1248</v>
      </c>
      <c r="I26" s="3297"/>
      <c r="J26" s="3297"/>
      <c r="K26" s="3297"/>
      <c r="L26" s="3297"/>
      <c r="M26" s="3297"/>
      <c r="N26" s="3297"/>
      <c r="O26" s="3297"/>
      <c r="P26" s="3297"/>
      <c r="Q26" s="3297"/>
      <c r="R26" s="3297"/>
      <c r="S26" s="3297"/>
      <c r="T26" s="3297"/>
      <c r="U26" s="3297"/>
      <c r="V26" s="3297"/>
      <c r="W26" s="3297"/>
      <c r="X26" s="3297"/>
      <c r="Y26" s="3297"/>
      <c r="Z26" s="3297"/>
      <c r="AA26" s="3297"/>
      <c r="AB26" s="3297"/>
      <c r="AC26" s="3297"/>
      <c r="AD26" s="3297"/>
      <c r="AE26" s="3297"/>
      <c r="AF26" s="3297"/>
      <c r="AG26" s="3297"/>
      <c r="AH26" s="3297"/>
      <c r="AI26" s="3297"/>
      <c r="AJ26" s="3297"/>
      <c r="AK26" s="3297"/>
      <c r="AL26" s="3297"/>
      <c r="AM26" s="3297"/>
      <c r="AN26" s="3297"/>
      <c r="AO26" s="3297"/>
      <c r="AP26" s="3297"/>
      <c r="AQ26" s="3297"/>
      <c r="AR26" s="3297"/>
      <c r="AS26" s="3297"/>
      <c r="AT26" s="864"/>
      <c r="AU26" s="864"/>
      <c r="AV26" s="864"/>
      <c r="AW26" s="864"/>
      <c r="AX26" s="864"/>
    </row>
    <row r="27" spans="2:62" s="501" customFormat="1" ht="33.5" customHeight="1" x14ac:dyDescent="0.35">
      <c r="G27" s="827" t="s">
        <v>151</v>
      </c>
      <c r="H27" s="3298" t="s">
        <v>1249</v>
      </c>
      <c r="I27" s="3298"/>
      <c r="J27" s="3298"/>
      <c r="K27" s="3298"/>
      <c r="L27" s="3298"/>
      <c r="M27" s="3298"/>
      <c r="N27" s="3298"/>
      <c r="O27" s="3298"/>
      <c r="P27" s="3298"/>
      <c r="Q27" s="3298"/>
      <c r="R27" s="3298"/>
      <c r="S27" s="3298"/>
      <c r="T27" s="3298"/>
      <c r="U27" s="3298"/>
      <c r="V27" s="3298"/>
      <c r="W27" s="3298"/>
      <c r="X27" s="3298"/>
      <c r="Y27" s="3298"/>
      <c r="Z27" s="3298"/>
      <c r="AA27" s="3298"/>
      <c r="AB27" s="3298"/>
      <c r="AC27" s="3298"/>
      <c r="AD27" s="3298"/>
      <c r="AE27" s="3298"/>
      <c r="AF27" s="3298"/>
      <c r="AG27" s="3298"/>
      <c r="AH27" s="3298"/>
      <c r="AI27" s="3298"/>
      <c r="AJ27" s="3298"/>
      <c r="AK27" s="3298"/>
      <c r="AL27" s="3298"/>
      <c r="AM27" s="3298"/>
      <c r="AN27" s="3298"/>
      <c r="AO27" s="3298"/>
      <c r="AP27" s="3298"/>
      <c r="AQ27" s="3298"/>
      <c r="AR27" s="3298"/>
      <c r="AS27" s="3298"/>
      <c r="AT27" s="864"/>
      <c r="AU27" s="864"/>
      <c r="AV27" s="864"/>
      <c r="AW27" s="864"/>
      <c r="AX27" s="864"/>
    </row>
    <row r="28" spans="2:62" s="501" customFormat="1" x14ac:dyDescent="0.35">
      <c r="G28" s="863" t="s">
        <v>152</v>
      </c>
      <c r="H28" s="3297" t="s">
        <v>1250</v>
      </c>
      <c r="I28" s="3297"/>
      <c r="J28" s="3297"/>
      <c r="K28" s="3297"/>
      <c r="L28" s="3297"/>
      <c r="M28" s="3297"/>
      <c r="N28" s="3297"/>
      <c r="O28" s="3297"/>
      <c r="P28" s="3297"/>
      <c r="Q28" s="3297"/>
      <c r="R28" s="3297"/>
      <c r="S28" s="3297"/>
      <c r="T28" s="3297"/>
      <c r="U28" s="3297"/>
      <c r="V28" s="3297"/>
      <c r="W28" s="3297"/>
      <c r="X28" s="3297"/>
      <c r="Y28" s="3297"/>
      <c r="Z28" s="3297"/>
      <c r="AA28" s="3297"/>
      <c r="AB28" s="3297"/>
      <c r="AC28" s="3297"/>
      <c r="AD28" s="3297"/>
      <c r="AE28" s="3297"/>
      <c r="AF28" s="3297"/>
      <c r="AG28" s="3297"/>
      <c r="AH28" s="3297"/>
      <c r="AI28" s="3297"/>
      <c r="AJ28" s="3297"/>
      <c r="AK28" s="3297"/>
      <c r="AL28" s="3297"/>
      <c r="AM28" s="3297"/>
      <c r="AN28" s="3297"/>
      <c r="AO28" s="3297"/>
      <c r="AP28" s="3297"/>
      <c r="AQ28" s="3297"/>
      <c r="AR28" s="3297"/>
      <c r="AS28" s="3297"/>
      <c r="AT28" s="864"/>
      <c r="AU28" s="864"/>
      <c r="AV28" s="864"/>
      <c r="AW28" s="864"/>
      <c r="AX28" s="864"/>
    </row>
    <row r="29" spans="2:62" s="44" customFormat="1" ht="30" customHeight="1" x14ac:dyDescent="0.35">
      <c r="I29" s="85"/>
      <c r="K29" s="85"/>
      <c r="M29" s="85"/>
      <c r="O29" s="85"/>
      <c r="P29" s="85"/>
      <c r="R29" s="85"/>
      <c r="T29" s="85"/>
      <c r="U29" s="85"/>
      <c r="W29" s="85"/>
      <c r="Y29" s="85"/>
      <c r="AA29" s="85"/>
      <c r="AD29" s="85"/>
    </row>
    <row r="30" spans="2:62" s="73" customFormat="1" ht="14" x14ac:dyDescent="0.3">
      <c r="B30" s="74" t="s">
        <v>12</v>
      </c>
      <c r="S30" s="74" t="s">
        <v>908</v>
      </c>
      <c r="AK30" s="74" t="s">
        <v>922</v>
      </c>
    </row>
    <row r="31" spans="2:62" s="73" customFormat="1" ht="21.75" customHeight="1" x14ac:dyDescent="0.3">
      <c r="B31" s="74" t="s">
        <v>811</v>
      </c>
      <c r="F31" s="1482" t="str">
        <f>SchInfo!F38</f>
        <v>MELCHESIEDICK Q. BOLANIO/ March 17, 2023</v>
      </c>
      <c r="G31" s="1482"/>
      <c r="H31" s="1482"/>
      <c r="I31" s="1482"/>
      <c r="J31" s="1482"/>
      <c r="K31" s="1482"/>
      <c r="L31" s="1482"/>
      <c r="M31" s="1482"/>
      <c r="N31" s="1482"/>
      <c r="O31" s="1482"/>
      <c r="S31" s="1482" t="str">
        <f>'Table33a-b'!R42</f>
        <v>RACQUEL N. ACOMPAÑADO</v>
      </c>
      <c r="T31" s="1482"/>
      <c r="U31" s="1482"/>
      <c r="V31" s="1482"/>
      <c r="W31" s="1482"/>
      <c r="X31" s="1482"/>
      <c r="Y31" s="1482"/>
      <c r="Z31" s="1482"/>
      <c r="AA31" s="1482"/>
      <c r="AB31" s="1482"/>
      <c r="AC31" s="1482"/>
      <c r="AD31" s="1482"/>
      <c r="AE31" s="1482"/>
      <c r="AF31" s="1482"/>
      <c r="AG31" s="1482"/>
      <c r="AK31" s="1484" t="str">
        <f>SchInfo!R38</f>
        <v>MICHAEL T. JAMIS   /  March 17, 2023</v>
      </c>
      <c r="AL31" s="1484"/>
      <c r="AM31" s="1484"/>
      <c r="AN31" s="1484"/>
      <c r="AO31" s="1484"/>
      <c r="AP31" s="1484"/>
      <c r="AQ31" s="1484"/>
      <c r="AR31" s="1484"/>
      <c r="AS31" s="1484"/>
      <c r="AT31" s="1484"/>
      <c r="AU31" s="1484"/>
      <c r="AV31" s="1484"/>
      <c r="AW31" s="1484"/>
      <c r="AX31" s="1484"/>
    </row>
    <row r="32" spans="2:62" s="68" customFormat="1" ht="13.5" customHeight="1" x14ac:dyDescent="0.3">
      <c r="B32" s="210"/>
      <c r="F32" s="1452" t="s">
        <v>779</v>
      </c>
      <c r="G32" s="1452"/>
      <c r="H32" s="1452"/>
      <c r="I32" s="1452"/>
      <c r="J32" s="1452"/>
      <c r="K32" s="1452"/>
      <c r="L32" s="1452"/>
      <c r="M32" s="1452"/>
      <c r="N32" s="1452"/>
      <c r="O32" s="1452"/>
      <c r="P32" s="172"/>
      <c r="Q32" s="64"/>
      <c r="R32" s="64"/>
      <c r="S32" s="1452" t="s">
        <v>779</v>
      </c>
      <c r="T32" s="1452"/>
      <c r="U32" s="1452"/>
      <c r="V32" s="1452"/>
      <c r="W32" s="1452"/>
      <c r="X32" s="1452"/>
      <c r="Y32" s="1452"/>
      <c r="Z32" s="1452"/>
      <c r="AA32" s="1452"/>
      <c r="AB32" s="1452"/>
      <c r="AC32" s="1452"/>
      <c r="AD32" s="1452"/>
      <c r="AE32" s="1452"/>
      <c r="AF32" s="1452"/>
      <c r="AG32" s="1452"/>
      <c r="AH32" s="172"/>
      <c r="AK32" s="1485"/>
      <c r="AL32" s="1485"/>
      <c r="AM32" s="1485"/>
      <c r="AN32" s="1485"/>
      <c r="AO32" s="1485"/>
      <c r="AP32" s="1485"/>
      <c r="AQ32" s="1485"/>
      <c r="AR32" s="1485"/>
      <c r="AS32" s="1485"/>
      <c r="AT32" s="1485"/>
      <c r="AU32" s="1485"/>
      <c r="AV32" s="1485"/>
      <c r="AW32" s="1485"/>
      <c r="AX32" s="1485"/>
    </row>
    <row r="33" spans="2:50" s="73" customFormat="1" ht="21.75" customHeight="1" x14ac:dyDescent="0.3">
      <c r="B33" s="74" t="s">
        <v>784</v>
      </c>
      <c r="F33" s="1482" t="str">
        <f>SchInfo!F40</f>
        <v>Principal IV</v>
      </c>
      <c r="G33" s="1482"/>
      <c r="H33" s="1482"/>
      <c r="I33" s="1482"/>
      <c r="J33" s="1482"/>
      <c r="K33" s="1482"/>
      <c r="L33" s="1482"/>
      <c r="M33" s="1482"/>
      <c r="N33" s="1482"/>
      <c r="O33" s="1482"/>
      <c r="S33" s="74" t="s">
        <v>784</v>
      </c>
      <c r="W33" s="1482" t="str">
        <f>'Table33a-b'!V44</f>
        <v>Nurse II</v>
      </c>
      <c r="X33" s="1482"/>
      <c r="Y33" s="1482"/>
      <c r="Z33" s="1482"/>
      <c r="AA33" s="1482"/>
      <c r="AB33" s="1482"/>
      <c r="AC33" s="1482"/>
      <c r="AD33" s="1482"/>
      <c r="AE33" s="1482"/>
      <c r="AF33" s="1482"/>
      <c r="AG33" s="1482"/>
      <c r="AK33" s="1452" t="s">
        <v>779</v>
      </c>
      <c r="AL33" s="1452"/>
      <c r="AM33" s="1452"/>
      <c r="AN33" s="1452"/>
      <c r="AO33" s="1452"/>
      <c r="AP33" s="1452"/>
      <c r="AQ33" s="1452"/>
      <c r="AR33" s="1452"/>
      <c r="AS33" s="1452"/>
      <c r="AT33" s="1452"/>
      <c r="AU33" s="1452"/>
      <c r="AV33" s="1452"/>
      <c r="AW33" s="1452"/>
      <c r="AX33" s="1452"/>
    </row>
    <row r="34" spans="2:50" s="124" customFormat="1" x14ac:dyDescent="0.35">
      <c r="B34" s="123"/>
      <c r="D34" s="123"/>
      <c r="F34" s="123"/>
      <c r="H34" s="123"/>
      <c r="J34" s="123"/>
      <c r="L34" s="123"/>
      <c r="N34" s="123"/>
      <c r="P34" s="85"/>
      <c r="Q34" s="44"/>
      <c r="R34" s="85"/>
      <c r="S34" s="123"/>
      <c r="U34" s="123"/>
      <c r="W34" s="123"/>
      <c r="Y34" s="123"/>
      <c r="AA34" s="123"/>
      <c r="AC34" s="123"/>
      <c r="AE34" s="123"/>
      <c r="AG34" s="123"/>
      <c r="AI34" s="123"/>
      <c r="AK34" s="123"/>
      <c r="AM34" s="123"/>
      <c r="AO34" s="123"/>
      <c r="AQ34" s="123"/>
      <c r="AS34" s="123"/>
      <c r="AU34" s="123"/>
      <c r="AW34" s="123"/>
    </row>
    <row r="35" spans="2:50" s="73" customFormat="1" ht="14" x14ac:dyDescent="0.3"/>
    <row r="36" spans="2:50" s="73" customFormat="1" ht="21.75" customHeight="1" x14ac:dyDescent="0.3"/>
    <row r="37" spans="2:50" s="68" customFormat="1" ht="15" customHeight="1" x14ac:dyDescent="0.3"/>
    <row r="39" spans="2:50" s="124" customFormat="1" x14ac:dyDescent="0.35">
      <c r="B39" s="123"/>
      <c r="D39" s="123"/>
      <c r="F39" s="123"/>
      <c r="H39" s="123"/>
      <c r="J39" s="123"/>
      <c r="L39" s="123"/>
      <c r="N39" s="123"/>
      <c r="P39" s="123"/>
      <c r="Q39" s="85"/>
      <c r="R39" s="44"/>
      <c r="S39" s="85"/>
      <c r="T39" s="123"/>
      <c r="V39" s="123"/>
      <c r="X39" s="123"/>
      <c r="Z39" s="123"/>
      <c r="AB39" s="123"/>
      <c r="AD39" s="123"/>
      <c r="AF39" s="123"/>
      <c r="AH39" s="123"/>
    </row>
  </sheetData>
  <sheetProtection algorithmName="SHA-512" hashValue="x7agm+mu5m9+FrIyo3ZNWLvlWQFwhrRdcg4CnuqWJ0V0bDOPJuifDrou+FLmIMl0+KUK9MDlxT4VQT4/FQz2Lw==" saltValue="Zu3Hd7G2M8EnOk8Qv/WvVw==" spinCount="100000" sheet="1" objects="1" scenarios="1"/>
  <mergeCells count="65">
    <mergeCell ref="I10:O10"/>
    <mergeCell ref="P10:V10"/>
    <mergeCell ref="W10:AC10"/>
    <mergeCell ref="AD10:AJ10"/>
    <mergeCell ref="AK10:AQ10"/>
    <mergeCell ref="I7:O9"/>
    <mergeCell ref="P7:AQ7"/>
    <mergeCell ref="P9:V9"/>
    <mergeCell ref="W9:AC9"/>
    <mergeCell ref="P8:AC8"/>
    <mergeCell ref="AD8:AJ9"/>
    <mergeCell ref="AK8:AQ9"/>
    <mergeCell ref="I13:O13"/>
    <mergeCell ref="P13:V13"/>
    <mergeCell ref="W13:AC13"/>
    <mergeCell ref="AD13:AJ13"/>
    <mergeCell ref="AK13:AQ13"/>
    <mergeCell ref="I12:O12"/>
    <mergeCell ref="P12:V12"/>
    <mergeCell ref="W12:AC12"/>
    <mergeCell ref="AD12:AJ12"/>
    <mergeCell ref="AK12:AQ12"/>
    <mergeCell ref="I17:O19"/>
    <mergeCell ref="P17:AQ17"/>
    <mergeCell ref="P19:V19"/>
    <mergeCell ref="W19:AC19"/>
    <mergeCell ref="P18:AC18"/>
    <mergeCell ref="AD18:AJ19"/>
    <mergeCell ref="AK18:AQ19"/>
    <mergeCell ref="I11:O11"/>
    <mergeCell ref="P11:V11"/>
    <mergeCell ref="W11:AC11"/>
    <mergeCell ref="AD11:AJ11"/>
    <mergeCell ref="AK11:AQ11"/>
    <mergeCell ref="I21:O21"/>
    <mergeCell ref="P21:V21"/>
    <mergeCell ref="W21:AC21"/>
    <mergeCell ref="AD21:AJ21"/>
    <mergeCell ref="AK21:AQ21"/>
    <mergeCell ref="I20:O20"/>
    <mergeCell ref="P20:V20"/>
    <mergeCell ref="W20:AC20"/>
    <mergeCell ref="AD20:AJ20"/>
    <mergeCell ref="AK20:AQ20"/>
    <mergeCell ref="I23:O23"/>
    <mergeCell ref="P23:V23"/>
    <mergeCell ref="W23:AC23"/>
    <mergeCell ref="AD23:AJ23"/>
    <mergeCell ref="AK23:AQ23"/>
    <mergeCell ref="I22:O22"/>
    <mergeCell ref="P22:V22"/>
    <mergeCell ref="W22:AC22"/>
    <mergeCell ref="AD22:AJ22"/>
    <mergeCell ref="AK22:AQ22"/>
    <mergeCell ref="AK31:AX32"/>
    <mergeCell ref="AK33:AX33"/>
    <mergeCell ref="H26:AS26"/>
    <mergeCell ref="H27:AS27"/>
    <mergeCell ref="H28:AS28"/>
    <mergeCell ref="S31:AG31"/>
    <mergeCell ref="S32:AG32"/>
    <mergeCell ref="W33:AG33"/>
    <mergeCell ref="F31:O31"/>
    <mergeCell ref="F32:O32"/>
    <mergeCell ref="F33:O33"/>
  </mergeCells>
  <dataValidations count="2">
    <dataValidation type="whole" allowBlank="1" showInputMessage="1" showErrorMessage="1" errorTitle="GJHSP SY 2022-2023" error="Please enter valid number between 0-20,000." sqref="P10:AQ12" xr:uid="{BF17B5DB-58BF-431D-9CB6-ADDA080A36A4}">
      <formula1>0</formula1>
      <formula2>20000</formula2>
    </dataValidation>
    <dataValidation type="whole" allowBlank="1" showInputMessage="1" showErrorMessage="1" errorTitle="GJHSP SY 2022-2023" error="Please enter valid number between 0-999." sqref="P20:AQ22" xr:uid="{EE9AAAEC-DDA3-4748-B699-108D68FCF47F}">
      <formula1>0</formula1>
      <formula2>999</formula2>
    </dataValidation>
  </dataValidations>
  <printOptions horizontalCentered="1" verticalCentered="1"/>
  <pageMargins left="0.23622047244094491" right="0.23622047244094491" top="0.19685039370078741" bottom="0.19685039370078741" header="0" footer="0.11811023622047245"/>
  <pageSetup paperSize="14" scale="80" orientation="landscape" r:id="rId1"/>
  <headerFooter alignWithMargins="0">
    <oddFooter>&amp;L&amp;10&amp;F &amp;A&amp;R&amp;10Page 34 of 63</oddFooter>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291CF-B57E-4F53-A93E-12F055400C01}">
  <sheetPr codeName="Sheet32"/>
  <dimension ref="B1:BJ55"/>
  <sheetViews>
    <sheetView showGridLines="0" topLeftCell="E1" zoomScaleNormal="100" workbookViewId="0">
      <selection activeCell="AF41" sqref="AF41"/>
    </sheetView>
  </sheetViews>
  <sheetFormatPr defaultColWidth="9" defaultRowHeight="15.5" x14ac:dyDescent="0.35"/>
  <cols>
    <col min="1" max="1" width="2.08203125" style="546" customWidth="1"/>
    <col min="2" max="40" width="3.58203125" style="546" customWidth="1"/>
    <col min="41" max="41" width="2.08203125" style="546" customWidth="1"/>
    <col min="42" max="50" width="3.58203125" style="546" customWidth="1"/>
    <col min="51" max="51" width="2.08203125" style="546" customWidth="1"/>
    <col min="52" max="58" width="3.58203125" style="546" customWidth="1"/>
    <col min="59" max="16384" width="9" style="546"/>
  </cols>
  <sheetData>
    <row r="1" spans="7:62" ht="12" customHeight="1" x14ac:dyDescent="0.35"/>
    <row r="2" spans="7:62" s="501" customFormat="1" x14ac:dyDescent="0.35">
      <c r="G2" s="502" t="s">
        <v>12729</v>
      </c>
      <c r="H2" s="502"/>
      <c r="I2" s="502"/>
      <c r="J2" s="502"/>
      <c r="K2" s="502"/>
      <c r="L2" s="502"/>
      <c r="M2" s="502"/>
      <c r="N2" s="502"/>
      <c r="O2" s="502"/>
      <c r="P2" s="502"/>
      <c r="Q2" s="503"/>
      <c r="R2" s="503"/>
      <c r="S2" s="503"/>
      <c r="T2" s="503"/>
      <c r="U2" s="503"/>
      <c r="V2" s="503"/>
      <c r="W2" s="503"/>
      <c r="X2" s="503"/>
      <c r="Y2" s="503"/>
      <c r="Z2" s="503"/>
      <c r="AA2" s="503"/>
      <c r="AB2" s="503"/>
      <c r="AC2" s="503"/>
      <c r="AD2" s="503"/>
      <c r="AE2" s="503"/>
      <c r="AF2" s="503"/>
      <c r="AG2" s="503"/>
      <c r="AH2" s="503"/>
      <c r="AI2" s="503"/>
      <c r="AJ2" s="503"/>
      <c r="AK2" s="503"/>
      <c r="AL2" s="503"/>
      <c r="AM2" s="503"/>
      <c r="AN2" s="503"/>
      <c r="AO2" s="503"/>
      <c r="AP2" s="503"/>
      <c r="AQ2" s="502"/>
    </row>
    <row r="3" spans="7:62" s="402" customFormat="1" ht="16" thickBot="1" x14ac:dyDescent="0.4">
      <c r="G3" s="419" t="s">
        <v>1091</v>
      </c>
    </row>
    <row r="4" spans="7:62" s="501" customFormat="1" ht="6" customHeight="1" thickTop="1" x14ac:dyDescent="0.35">
      <c r="G4" s="533"/>
      <c r="H4" s="535"/>
      <c r="I4" s="792"/>
      <c r="J4" s="506"/>
      <c r="K4" s="506"/>
      <c r="L4" s="506"/>
      <c r="M4" s="506"/>
      <c r="N4" s="506"/>
      <c r="O4" s="506"/>
      <c r="P4" s="506"/>
      <c r="Q4" s="506"/>
      <c r="R4" s="506"/>
      <c r="S4" s="506"/>
      <c r="T4" s="462"/>
      <c r="U4" s="462"/>
      <c r="V4" s="462"/>
      <c r="W4" s="462"/>
      <c r="X4" s="462"/>
      <c r="Y4" s="462"/>
      <c r="Z4" s="422"/>
      <c r="AA4" s="793"/>
      <c r="AB4" s="793"/>
      <c r="AC4" s="793"/>
      <c r="AD4" s="793"/>
      <c r="AE4" s="793"/>
      <c r="AF4" s="793"/>
      <c r="AG4" s="462"/>
      <c r="AH4" s="462"/>
      <c r="AI4" s="462"/>
      <c r="AJ4" s="462"/>
      <c r="AK4" s="462"/>
      <c r="AL4" s="462"/>
      <c r="AM4" s="462"/>
      <c r="AN4" s="462"/>
      <c r="AO4" s="462"/>
      <c r="AP4" s="462"/>
      <c r="AQ4" s="462"/>
      <c r="AR4" s="462"/>
      <c r="AS4" s="794"/>
      <c r="BA4" s="403"/>
      <c r="BB4" s="403"/>
      <c r="BC4" s="403"/>
      <c r="BD4" s="403"/>
    </row>
    <row r="5" spans="7:62" s="501" customFormat="1" ht="20.5" x14ac:dyDescent="0.45">
      <c r="G5" s="834"/>
      <c r="H5" s="851" t="s">
        <v>150</v>
      </c>
      <c r="I5" s="780" t="s">
        <v>1013</v>
      </c>
      <c r="J5" s="780"/>
      <c r="K5" s="781"/>
      <c r="L5" s="781"/>
      <c r="M5" s="781"/>
      <c r="N5" s="781"/>
      <c r="O5" s="781"/>
      <c r="P5" s="781"/>
      <c r="Q5" s="781"/>
      <c r="R5" s="781"/>
      <c r="S5" s="781"/>
      <c r="T5" s="668"/>
      <c r="U5" s="403"/>
      <c r="V5" s="403"/>
      <c r="W5" s="403"/>
      <c r="X5" s="403"/>
      <c r="Y5" s="403"/>
      <c r="Z5" s="782"/>
      <c r="AA5" s="668"/>
      <c r="AB5" s="668"/>
      <c r="AC5" s="668"/>
      <c r="AD5" s="668"/>
      <c r="AE5" s="668"/>
      <c r="AF5" s="668"/>
      <c r="AG5" s="403"/>
      <c r="AH5" s="403"/>
      <c r="AI5" s="403"/>
      <c r="AJ5" s="403"/>
      <c r="AK5" s="403"/>
      <c r="AL5" s="403"/>
      <c r="AM5" s="403"/>
      <c r="AN5" s="403"/>
      <c r="AO5" s="403"/>
      <c r="AP5" s="403"/>
      <c r="AQ5" s="403"/>
      <c r="AR5" s="403"/>
      <c r="AS5" s="469"/>
      <c r="BA5" s="403"/>
      <c r="BB5" s="403"/>
      <c r="BC5" s="403"/>
      <c r="BD5" s="403"/>
    </row>
    <row r="6" spans="7:62" s="501" customFormat="1" ht="6" customHeight="1" thickBot="1" x14ac:dyDescent="0.45">
      <c r="G6" s="834"/>
      <c r="J6" s="849"/>
      <c r="K6" s="503"/>
      <c r="L6" s="503"/>
      <c r="M6" s="503"/>
      <c r="N6" s="503"/>
      <c r="O6" s="503"/>
      <c r="P6" s="503"/>
      <c r="Q6" s="503"/>
      <c r="R6" s="503"/>
      <c r="S6" s="503"/>
      <c r="T6" s="668"/>
      <c r="V6" s="668"/>
      <c r="W6" s="761"/>
      <c r="X6" s="403"/>
      <c r="AA6" s="668"/>
      <c r="AB6" s="761"/>
      <c r="AC6" s="403"/>
      <c r="AD6" s="403"/>
      <c r="AE6" s="403"/>
      <c r="AF6" s="403"/>
      <c r="AG6" s="403"/>
      <c r="AH6" s="403"/>
      <c r="AJ6" s="668"/>
      <c r="AK6" s="668"/>
      <c r="AL6" s="668"/>
      <c r="AM6" s="668"/>
      <c r="AN6" s="668"/>
      <c r="AO6" s="668"/>
      <c r="AP6" s="668"/>
      <c r="AQ6" s="668"/>
      <c r="AR6" s="668"/>
      <c r="AS6" s="788"/>
      <c r="BA6" s="403"/>
      <c r="BB6" s="403"/>
      <c r="BC6" s="403"/>
      <c r="BD6" s="403"/>
    </row>
    <row r="7" spans="7:62" s="501" customFormat="1" ht="21.5" thickTop="1" thickBot="1" x14ac:dyDescent="0.5">
      <c r="G7" s="834"/>
      <c r="I7" s="3282" t="s">
        <v>564</v>
      </c>
      <c r="J7" s="3283"/>
      <c r="K7" s="3283"/>
      <c r="L7" s="3283"/>
      <c r="M7" s="3284"/>
      <c r="N7" s="3269" t="s">
        <v>1014</v>
      </c>
      <c r="O7" s="3240"/>
      <c r="P7" s="3240"/>
      <c r="Q7" s="3240"/>
      <c r="R7" s="3240"/>
      <c r="S7" s="3241"/>
      <c r="T7" s="3269" t="s">
        <v>1016</v>
      </c>
      <c r="U7" s="3240"/>
      <c r="V7" s="3240"/>
      <c r="W7" s="3240"/>
      <c r="X7" s="3240"/>
      <c r="Y7" s="3241"/>
      <c r="Z7" s="3245" t="s">
        <v>1066</v>
      </c>
      <c r="AA7" s="3246"/>
      <c r="AB7" s="3246"/>
      <c r="AC7" s="3246"/>
      <c r="AD7" s="3246"/>
      <c r="AE7" s="3246"/>
      <c r="AF7" s="3246"/>
      <c r="AG7" s="3246"/>
      <c r="AH7" s="3246"/>
      <c r="AI7" s="3246"/>
      <c r="AJ7" s="3246"/>
      <c r="AK7" s="3315"/>
      <c r="AL7" s="3269" t="s">
        <v>1015</v>
      </c>
      <c r="AM7" s="3240"/>
      <c r="AN7" s="3240"/>
      <c r="AO7" s="3240"/>
      <c r="AP7" s="3240"/>
      <c r="AQ7" s="3270"/>
      <c r="AR7" s="832"/>
      <c r="AS7" s="867"/>
      <c r="AT7" s="852"/>
      <c r="AU7" s="857"/>
      <c r="AV7" s="668"/>
      <c r="AW7" s="668"/>
      <c r="AX7" s="668"/>
      <c r="BG7" s="403"/>
      <c r="BH7" s="403"/>
      <c r="BI7" s="403"/>
      <c r="BJ7" s="403"/>
    </row>
    <row r="8" spans="7:62" s="501" customFormat="1" ht="21" thickBot="1" x14ac:dyDescent="0.5">
      <c r="G8" s="834"/>
      <c r="I8" s="3309"/>
      <c r="J8" s="3199"/>
      <c r="K8" s="3199"/>
      <c r="L8" s="3199"/>
      <c r="M8" s="3202"/>
      <c r="N8" s="3313"/>
      <c r="O8" s="3243"/>
      <c r="P8" s="3243"/>
      <c r="Q8" s="3243"/>
      <c r="R8" s="3243"/>
      <c r="S8" s="3244"/>
      <c r="T8" s="3313"/>
      <c r="U8" s="3243"/>
      <c r="V8" s="3243"/>
      <c r="W8" s="3243"/>
      <c r="X8" s="3243"/>
      <c r="Y8" s="3244"/>
      <c r="Z8" s="3313" t="s">
        <v>1067</v>
      </c>
      <c r="AA8" s="3243"/>
      <c r="AB8" s="3243"/>
      <c r="AC8" s="3243"/>
      <c r="AD8" s="3243"/>
      <c r="AE8" s="3244"/>
      <c r="AF8" s="3313" t="s">
        <v>1068</v>
      </c>
      <c r="AG8" s="3243"/>
      <c r="AH8" s="3243"/>
      <c r="AI8" s="3243"/>
      <c r="AJ8" s="3243"/>
      <c r="AK8" s="3244"/>
      <c r="AL8" s="3313"/>
      <c r="AM8" s="3243"/>
      <c r="AN8" s="3243"/>
      <c r="AO8" s="3243"/>
      <c r="AP8" s="3243"/>
      <c r="AQ8" s="3316"/>
      <c r="AR8" s="832"/>
      <c r="AS8" s="867"/>
      <c r="AT8" s="852"/>
      <c r="AU8" s="857"/>
      <c r="AV8" s="668"/>
      <c r="AW8" s="668"/>
      <c r="AX8" s="668"/>
      <c r="BG8" s="403"/>
      <c r="BH8" s="403"/>
      <c r="BI8" s="403"/>
      <c r="BJ8" s="403"/>
    </row>
    <row r="9" spans="7:62" s="501" customFormat="1" ht="25" customHeight="1" thickTop="1" x14ac:dyDescent="0.45">
      <c r="G9" s="834"/>
      <c r="I9" s="840"/>
      <c r="J9" s="841" t="s">
        <v>1251</v>
      </c>
      <c r="K9" s="841"/>
      <c r="L9" s="841"/>
      <c r="M9" s="842"/>
      <c r="N9" s="3288">
        <v>0</v>
      </c>
      <c r="O9" s="3289"/>
      <c r="P9" s="3289"/>
      <c r="Q9" s="3289"/>
      <c r="R9" s="3289"/>
      <c r="S9" s="3290"/>
      <c r="T9" s="3288">
        <v>0</v>
      </c>
      <c r="U9" s="3289"/>
      <c r="V9" s="3289"/>
      <c r="W9" s="3289"/>
      <c r="X9" s="3289"/>
      <c r="Y9" s="3290"/>
      <c r="Z9" s="3288">
        <v>0</v>
      </c>
      <c r="AA9" s="3289"/>
      <c r="AB9" s="3289"/>
      <c r="AC9" s="3289"/>
      <c r="AD9" s="3289"/>
      <c r="AE9" s="3290"/>
      <c r="AF9" s="3288">
        <v>0</v>
      </c>
      <c r="AG9" s="3289"/>
      <c r="AH9" s="3289"/>
      <c r="AI9" s="3289"/>
      <c r="AJ9" s="3289"/>
      <c r="AK9" s="3290"/>
      <c r="AL9" s="3288">
        <v>0</v>
      </c>
      <c r="AM9" s="3289"/>
      <c r="AN9" s="3289"/>
      <c r="AO9" s="3289"/>
      <c r="AP9" s="3289"/>
      <c r="AQ9" s="3295"/>
      <c r="AR9" s="831"/>
      <c r="AS9" s="865"/>
      <c r="AT9" s="513"/>
      <c r="AU9" s="857"/>
      <c r="AV9" s="668"/>
      <c r="AW9" s="668"/>
      <c r="AX9" s="668"/>
      <c r="BG9" s="403"/>
      <c r="BH9" s="403"/>
      <c r="BI9" s="403"/>
      <c r="BJ9" s="403"/>
    </row>
    <row r="10" spans="7:62" s="501" customFormat="1" ht="25" customHeight="1" x14ac:dyDescent="0.45">
      <c r="G10" s="834"/>
      <c r="I10" s="843"/>
      <c r="J10" s="844" t="s">
        <v>1252</v>
      </c>
      <c r="K10" s="844"/>
      <c r="L10" s="844"/>
      <c r="M10" s="845"/>
      <c r="N10" s="3272">
        <v>0</v>
      </c>
      <c r="O10" s="3273"/>
      <c r="P10" s="3273"/>
      <c r="Q10" s="3273"/>
      <c r="R10" s="3273"/>
      <c r="S10" s="3291"/>
      <c r="T10" s="3272">
        <v>1</v>
      </c>
      <c r="U10" s="3273"/>
      <c r="V10" s="3273"/>
      <c r="W10" s="3273"/>
      <c r="X10" s="3273"/>
      <c r="Y10" s="3291"/>
      <c r="Z10" s="3272">
        <v>0</v>
      </c>
      <c r="AA10" s="3273"/>
      <c r="AB10" s="3273"/>
      <c r="AC10" s="3273"/>
      <c r="AD10" s="3273"/>
      <c r="AE10" s="3291"/>
      <c r="AF10" s="3272">
        <v>0</v>
      </c>
      <c r="AG10" s="3273"/>
      <c r="AH10" s="3273"/>
      <c r="AI10" s="3273"/>
      <c r="AJ10" s="3273"/>
      <c r="AK10" s="3291"/>
      <c r="AL10" s="3272">
        <v>0</v>
      </c>
      <c r="AM10" s="3273"/>
      <c r="AN10" s="3273"/>
      <c r="AO10" s="3273"/>
      <c r="AP10" s="3273"/>
      <c r="AQ10" s="3274"/>
      <c r="AR10" s="860"/>
      <c r="AS10" s="861"/>
      <c r="AT10" s="512"/>
      <c r="AU10" s="857"/>
      <c r="AV10" s="668"/>
      <c r="AW10" s="668"/>
      <c r="AX10" s="668"/>
      <c r="BG10" s="403"/>
      <c r="BH10" s="403"/>
      <c r="BI10" s="403"/>
      <c r="BJ10" s="403"/>
    </row>
    <row r="11" spans="7:62" s="501" customFormat="1" ht="25" customHeight="1" x14ac:dyDescent="0.45">
      <c r="G11" s="834"/>
      <c r="I11" s="843"/>
      <c r="J11" s="844" t="s">
        <v>1253</v>
      </c>
      <c r="K11" s="844"/>
      <c r="L11" s="844"/>
      <c r="M11" s="845"/>
      <c r="N11" s="3272">
        <v>0</v>
      </c>
      <c r="O11" s="3273"/>
      <c r="P11" s="3273"/>
      <c r="Q11" s="3273"/>
      <c r="R11" s="3273"/>
      <c r="S11" s="3291"/>
      <c r="T11" s="3272">
        <v>0</v>
      </c>
      <c r="U11" s="3273"/>
      <c r="V11" s="3273"/>
      <c r="W11" s="3273"/>
      <c r="X11" s="3273"/>
      <c r="Y11" s="3291"/>
      <c r="Z11" s="3272">
        <v>0</v>
      </c>
      <c r="AA11" s="3273"/>
      <c r="AB11" s="3273"/>
      <c r="AC11" s="3273"/>
      <c r="AD11" s="3273"/>
      <c r="AE11" s="3291"/>
      <c r="AF11" s="3272">
        <v>0</v>
      </c>
      <c r="AG11" s="3273"/>
      <c r="AH11" s="3273"/>
      <c r="AI11" s="3273"/>
      <c r="AJ11" s="3273"/>
      <c r="AK11" s="3291"/>
      <c r="AL11" s="3272">
        <v>0</v>
      </c>
      <c r="AM11" s="3273"/>
      <c r="AN11" s="3273"/>
      <c r="AO11" s="3273"/>
      <c r="AP11" s="3273"/>
      <c r="AQ11" s="3274"/>
      <c r="AR11" s="860"/>
      <c r="AS11" s="861"/>
      <c r="AT11" s="512"/>
      <c r="AU11" s="857"/>
      <c r="AV11" s="668"/>
      <c r="AW11" s="668"/>
      <c r="AX11" s="668"/>
      <c r="BG11" s="403"/>
      <c r="BH11" s="403"/>
      <c r="BI11" s="403"/>
      <c r="BJ11" s="403"/>
    </row>
    <row r="12" spans="7:62" s="501" customFormat="1" ht="25" customHeight="1" thickBot="1" x14ac:dyDescent="0.5">
      <c r="G12" s="834"/>
      <c r="I12" s="854"/>
      <c r="J12" s="855" t="s">
        <v>1254</v>
      </c>
      <c r="K12" s="855"/>
      <c r="L12" s="855"/>
      <c r="M12" s="856"/>
      <c r="N12" s="3215">
        <v>0</v>
      </c>
      <c r="O12" s="3187"/>
      <c r="P12" s="3187"/>
      <c r="Q12" s="3187"/>
      <c r="R12" s="3187"/>
      <c r="S12" s="3260"/>
      <c r="T12" s="3215">
        <v>4</v>
      </c>
      <c r="U12" s="3187"/>
      <c r="V12" s="3187"/>
      <c r="W12" s="3187"/>
      <c r="X12" s="3187"/>
      <c r="Y12" s="3260"/>
      <c r="Z12" s="3215">
        <v>0</v>
      </c>
      <c r="AA12" s="3187"/>
      <c r="AB12" s="3187"/>
      <c r="AC12" s="3187"/>
      <c r="AD12" s="3187"/>
      <c r="AE12" s="3260"/>
      <c r="AF12" s="3215">
        <v>0</v>
      </c>
      <c r="AG12" s="3187"/>
      <c r="AH12" s="3187"/>
      <c r="AI12" s="3187"/>
      <c r="AJ12" s="3187"/>
      <c r="AK12" s="3260"/>
      <c r="AL12" s="3215">
        <v>0</v>
      </c>
      <c r="AM12" s="3187"/>
      <c r="AN12" s="3187"/>
      <c r="AO12" s="3187"/>
      <c r="AP12" s="3187"/>
      <c r="AQ12" s="3275"/>
      <c r="AR12" s="860"/>
      <c r="AS12" s="861"/>
      <c r="AT12" s="512"/>
      <c r="AU12" s="857"/>
      <c r="AV12" s="668"/>
      <c r="AW12" s="668"/>
      <c r="AX12" s="668"/>
      <c r="BG12" s="403"/>
      <c r="BH12" s="403"/>
      <c r="BI12" s="403"/>
      <c r="BJ12" s="403"/>
    </row>
    <row r="13" spans="7:62" s="501" customFormat="1" ht="25" customHeight="1" thickTop="1" thickBot="1" x14ac:dyDescent="0.5">
      <c r="G13" s="834"/>
      <c r="I13" s="3276" t="s">
        <v>16</v>
      </c>
      <c r="J13" s="3277"/>
      <c r="K13" s="3277"/>
      <c r="L13" s="3277"/>
      <c r="M13" s="3278"/>
      <c r="N13" s="3214">
        <f>SUM(N9:S12)</f>
        <v>0</v>
      </c>
      <c r="O13" s="3212"/>
      <c r="P13" s="3212"/>
      <c r="Q13" s="3212"/>
      <c r="R13" s="3212"/>
      <c r="S13" s="3285"/>
      <c r="T13" s="3214">
        <f t="shared" ref="T13" si="0">SUM(T9:Y12)</f>
        <v>5</v>
      </c>
      <c r="U13" s="3212"/>
      <c r="V13" s="3212"/>
      <c r="W13" s="3212"/>
      <c r="X13" s="3212"/>
      <c r="Y13" s="3285"/>
      <c r="Z13" s="3214">
        <f t="shared" ref="Z13" si="1">SUM(Z9:AE12)</f>
        <v>0</v>
      </c>
      <c r="AA13" s="3212"/>
      <c r="AB13" s="3212"/>
      <c r="AC13" s="3212"/>
      <c r="AD13" s="3212"/>
      <c r="AE13" s="3285"/>
      <c r="AF13" s="3214">
        <f t="shared" ref="AF13" si="2">SUM(AF9:AK12)</f>
        <v>0</v>
      </c>
      <c r="AG13" s="3212"/>
      <c r="AH13" s="3212"/>
      <c r="AI13" s="3212"/>
      <c r="AJ13" s="3212"/>
      <c r="AK13" s="3285"/>
      <c r="AL13" s="3214">
        <f t="shared" ref="AL13" si="3">SUM(AL9:AQ12)</f>
        <v>0</v>
      </c>
      <c r="AM13" s="3212"/>
      <c r="AN13" s="3212"/>
      <c r="AO13" s="3212"/>
      <c r="AP13" s="3212"/>
      <c r="AQ13" s="3285"/>
      <c r="AR13" s="860"/>
      <c r="AS13" s="861"/>
      <c r="AT13" s="512"/>
      <c r="AU13" s="857"/>
      <c r="AV13" s="668"/>
      <c r="AW13" s="668"/>
      <c r="AX13" s="668"/>
      <c r="BG13" s="403"/>
      <c r="BH13" s="403"/>
      <c r="BI13" s="403"/>
      <c r="BJ13" s="403"/>
    </row>
    <row r="14" spans="7:62" s="501" customFormat="1" ht="6" customHeight="1" thickTop="1" x14ac:dyDescent="0.45">
      <c r="G14" s="834"/>
      <c r="I14" s="866"/>
      <c r="J14" s="866"/>
      <c r="K14" s="866"/>
      <c r="L14" s="866"/>
      <c r="M14" s="866"/>
      <c r="N14" s="866"/>
      <c r="O14" s="866"/>
      <c r="P14" s="860"/>
      <c r="Q14" s="860"/>
      <c r="R14" s="860"/>
      <c r="S14" s="860"/>
      <c r="T14" s="860"/>
      <c r="U14" s="860"/>
      <c r="V14" s="860"/>
      <c r="W14" s="860"/>
      <c r="X14" s="860"/>
      <c r="Y14" s="860"/>
      <c r="Z14" s="860"/>
      <c r="AA14" s="860"/>
      <c r="AB14" s="860"/>
      <c r="AC14" s="860"/>
      <c r="AD14" s="860"/>
      <c r="AE14" s="860"/>
      <c r="AF14" s="860"/>
      <c r="AG14" s="860"/>
      <c r="AH14" s="860"/>
      <c r="AI14" s="860"/>
      <c r="AJ14" s="860"/>
      <c r="AK14" s="860"/>
      <c r="AL14" s="860"/>
      <c r="AM14" s="860"/>
      <c r="AN14" s="860"/>
      <c r="AO14" s="860"/>
      <c r="AP14" s="860"/>
      <c r="AQ14" s="860"/>
      <c r="AR14" s="860"/>
      <c r="AS14" s="861"/>
      <c r="AT14" s="512"/>
      <c r="AU14" s="857"/>
      <c r="AV14" s="668"/>
      <c r="AW14" s="668"/>
      <c r="AX14" s="668"/>
      <c r="BG14" s="403"/>
      <c r="BH14" s="403"/>
      <c r="BI14" s="403"/>
      <c r="BJ14" s="403"/>
    </row>
    <row r="15" spans="7:62" s="501" customFormat="1" ht="25" customHeight="1" x14ac:dyDescent="0.45">
      <c r="G15" s="834"/>
      <c r="H15" s="851" t="s">
        <v>151</v>
      </c>
      <c r="I15" s="780" t="s">
        <v>1017</v>
      </c>
      <c r="J15" s="780"/>
      <c r="K15" s="781"/>
      <c r="L15" s="781"/>
      <c r="M15" s="781"/>
      <c r="N15" s="781"/>
      <c r="O15" s="781"/>
      <c r="P15" s="781"/>
      <c r="Q15" s="781"/>
      <c r="R15" s="781"/>
      <c r="S15" s="781"/>
      <c r="T15" s="668"/>
      <c r="U15" s="403"/>
      <c r="V15" s="403"/>
      <c r="W15" s="403"/>
      <c r="X15" s="403"/>
      <c r="Y15" s="403"/>
      <c r="Z15" s="782"/>
      <c r="AA15" s="668"/>
      <c r="AB15" s="668"/>
      <c r="AC15" s="668"/>
      <c r="AD15" s="668"/>
      <c r="AE15" s="668"/>
      <c r="AF15" s="668"/>
      <c r="AG15" s="403"/>
      <c r="AH15" s="403"/>
      <c r="AI15" s="403"/>
      <c r="AJ15" s="403"/>
      <c r="AK15" s="403"/>
      <c r="AL15" s="403"/>
      <c r="AM15" s="403"/>
      <c r="AN15" s="403"/>
      <c r="AO15" s="403"/>
      <c r="AP15" s="403"/>
      <c r="AQ15" s="403"/>
      <c r="AR15" s="403"/>
      <c r="AS15" s="469"/>
      <c r="BA15" s="403"/>
      <c r="BB15" s="403"/>
      <c r="BC15" s="403"/>
      <c r="BD15" s="403"/>
    </row>
    <row r="16" spans="7:62" s="501" customFormat="1" ht="6" customHeight="1" thickBot="1" x14ac:dyDescent="0.45">
      <c r="G16" s="834"/>
      <c r="J16" s="849"/>
      <c r="K16" s="503"/>
      <c r="L16" s="503"/>
      <c r="M16" s="503"/>
      <c r="N16" s="503"/>
      <c r="O16" s="503"/>
      <c r="P16" s="503"/>
      <c r="Q16" s="503"/>
      <c r="R16" s="503"/>
      <c r="S16" s="503"/>
      <c r="T16" s="668"/>
      <c r="V16" s="668"/>
      <c r="W16" s="761"/>
      <c r="X16" s="403"/>
      <c r="AA16" s="668"/>
      <c r="AB16" s="761"/>
      <c r="AC16" s="403"/>
      <c r="AD16" s="403"/>
      <c r="AE16" s="403"/>
      <c r="AF16" s="403"/>
      <c r="AG16" s="403"/>
      <c r="AH16" s="403"/>
      <c r="AJ16" s="668"/>
      <c r="AK16" s="668"/>
      <c r="AL16" s="668"/>
      <c r="AM16" s="668"/>
      <c r="AN16" s="668"/>
      <c r="AO16" s="668"/>
      <c r="AP16" s="668"/>
      <c r="AQ16" s="668"/>
      <c r="AR16" s="668"/>
      <c r="AS16" s="788"/>
      <c r="BA16" s="403"/>
      <c r="BB16" s="403"/>
      <c r="BC16" s="403"/>
      <c r="BD16" s="403"/>
    </row>
    <row r="17" spans="7:62" s="501" customFormat="1" ht="20.5" customHeight="1" thickTop="1" thickBot="1" x14ac:dyDescent="0.5">
      <c r="G17" s="834"/>
      <c r="I17" s="3282" t="s">
        <v>564</v>
      </c>
      <c r="J17" s="3283"/>
      <c r="K17" s="3283"/>
      <c r="L17" s="3283"/>
      <c r="M17" s="3284"/>
      <c r="N17" s="3269" t="s">
        <v>1014</v>
      </c>
      <c r="O17" s="3240"/>
      <c r="P17" s="3240"/>
      <c r="Q17" s="3240"/>
      <c r="R17" s="3240"/>
      <c r="S17" s="3241"/>
      <c r="T17" s="3269" t="s">
        <v>1016</v>
      </c>
      <c r="U17" s="3240"/>
      <c r="V17" s="3240"/>
      <c r="W17" s="3240"/>
      <c r="X17" s="3240"/>
      <c r="Y17" s="3241"/>
      <c r="Z17" s="3245" t="s">
        <v>1066</v>
      </c>
      <c r="AA17" s="3246"/>
      <c r="AB17" s="3246"/>
      <c r="AC17" s="3246"/>
      <c r="AD17" s="3246"/>
      <c r="AE17" s="3246"/>
      <c r="AF17" s="3246"/>
      <c r="AG17" s="3246"/>
      <c r="AH17" s="3246"/>
      <c r="AI17" s="3246"/>
      <c r="AJ17" s="3246"/>
      <c r="AK17" s="3315"/>
      <c r="AL17" s="3269" t="s">
        <v>1015</v>
      </c>
      <c r="AM17" s="3240"/>
      <c r="AN17" s="3240"/>
      <c r="AO17" s="3240"/>
      <c r="AP17" s="3240"/>
      <c r="AQ17" s="3270"/>
      <c r="AR17" s="832"/>
      <c r="AS17" s="867"/>
      <c r="AT17" s="852"/>
      <c r="AU17" s="857"/>
      <c r="AV17" s="668"/>
      <c r="AW17" s="668"/>
      <c r="AX17" s="668"/>
      <c r="BG17" s="403"/>
      <c r="BH17" s="403"/>
      <c r="BI17" s="403"/>
      <c r="BJ17" s="403"/>
    </row>
    <row r="18" spans="7:62" s="501" customFormat="1" ht="21" customHeight="1" thickBot="1" x14ac:dyDescent="0.5">
      <c r="G18" s="834"/>
      <c r="I18" s="3309"/>
      <c r="J18" s="3199"/>
      <c r="K18" s="3199"/>
      <c r="L18" s="3199"/>
      <c r="M18" s="3202"/>
      <c r="N18" s="3313"/>
      <c r="O18" s="3243"/>
      <c r="P18" s="3243"/>
      <c r="Q18" s="3243"/>
      <c r="R18" s="3243"/>
      <c r="S18" s="3244"/>
      <c r="T18" s="3313"/>
      <c r="U18" s="3243"/>
      <c r="V18" s="3243"/>
      <c r="W18" s="3243"/>
      <c r="X18" s="3243"/>
      <c r="Y18" s="3244"/>
      <c r="Z18" s="3313" t="s">
        <v>1067</v>
      </c>
      <c r="AA18" s="3243"/>
      <c r="AB18" s="3243"/>
      <c r="AC18" s="3243"/>
      <c r="AD18" s="3243"/>
      <c r="AE18" s="3244"/>
      <c r="AF18" s="3313" t="s">
        <v>1068</v>
      </c>
      <c r="AG18" s="3243"/>
      <c r="AH18" s="3243"/>
      <c r="AI18" s="3243"/>
      <c r="AJ18" s="3243"/>
      <c r="AK18" s="3244"/>
      <c r="AL18" s="3313"/>
      <c r="AM18" s="3243"/>
      <c r="AN18" s="3243"/>
      <c r="AO18" s="3243"/>
      <c r="AP18" s="3243"/>
      <c r="AQ18" s="3316"/>
      <c r="AR18" s="832"/>
      <c r="AS18" s="867"/>
      <c r="AT18" s="852"/>
      <c r="AU18" s="857"/>
      <c r="AV18" s="668"/>
      <c r="AW18" s="668"/>
      <c r="AX18" s="668"/>
      <c r="BG18" s="403"/>
      <c r="BH18" s="403"/>
      <c r="BI18" s="403"/>
      <c r="BJ18" s="403"/>
    </row>
    <row r="19" spans="7:62" s="501" customFormat="1" ht="25" customHeight="1" thickTop="1" x14ac:dyDescent="0.45">
      <c r="G19" s="834"/>
      <c r="I19" s="840"/>
      <c r="J19" s="841" t="s">
        <v>1251</v>
      </c>
      <c r="K19" s="841"/>
      <c r="L19" s="841"/>
      <c r="M19" s="842"/>
      <c r="N19" s="3288">
        <v>0</v>
      </c>
      <c r="O19" s="3289"/>
      <c r="P19" s="3289"/>
      <c r="Q19" s="3289"/>
      <c r="R19" s="3289"/>
      <c r="S19" s="3290"/>
      <c r="T19" s="3288">
        <v>0</v>
      </c>
      <c r="U19" s="3289"/>
      <c r="V19" s="3289"/>
      <c r="W19" s="3289"/>
      <c r="X19" s="3289"/>
      <c r="Y19" s="3290"/>
      <c r="Z19" s="3288">
        <v>0</v>
      </c>
      <c r="AA19" s="3289"/>
      <c r="AB19" s="3289"/>
      <c r="AC19" s="3289"/>
      <c r="AD19" s="3289"/>
      <c r="AE19" s="3290"/>
      <c r="AF19" s="3288">
        <v>0</v>
      </c>
      <c r="AG19" s="3289"/>
      <c r="AH19" s="3289"/>
      <c r="AI19" s="3289"/>
      <c r="AJ19" s="3289"/>
      <c r="AK19" s="3290"/>
      <c r="AL19" s="3288">
        <v>0</v>
      </c>
      <c r="AM19" s="3289"/>
      <c r="AN19" s="3289"/>
      <c r="AO19" s="3289"/>
      <c r="AP19" s="3289"/>
      <c r="AQ19" s="3295"/>
      <c r="AR19" s="831"/>
      <c r="AS19" s="865"/>
      <c r="AT19" s="513"/>
      <c r="AU19" s="857"/>
      <c r="AV19" s="668"/>
      <c r="AW19" s="668"/>
      <c r="AX19" s="668"/>
      <c r="BG19" s="403"/>
      <c r="BH19" s="403"/>
      <c r="BI19" s="403"/>
      <c r="BJ19" s="403"/>
    </row>
    <row r="20" spans="7:62" s="501" customFormat="1" ht="25" customHeight="1" x14ac:dyDescent="0.45">
      <c r="G20" s="834"/>
      <c r="I20" s="843"/>
      <c r="J20" s="844" t="s">
        <v>1252</v>
      </c>
      <c r="K20" s="844"/>
      <c r="L20" s="844"/>
      <c r="M20" s="845"/>
      <c r="N20" s="3272">
        <v>0</v>
      </c>
      <c r="O20" s="3273"/>
      <c r="P20" s="3273"/>
      <c r="Q20" s="3273"/>
      <c r="R20" s="3273"/>
      <c r="S20" s="3291"/>
      <c r="T20" s="3272">
        <v>0</v>
      </c>
      <c r="U20" s="3273"/>
      <c r="V20" s="3273"/>
      <c r="W20" s="3273"/>
      <c r="X20" s="3273"/>
      <c r="Y20" s="3291"/>
      <c r="Z20" s="3272">
        <v>0</v>
      </c>
      <c r="AA20" s="3273"/>
      <c r="AB20" s="3273"/>
      <c r="AC20" s="3273"/>
      <c r="AD20" s="3273"/>
      <c r="AE20" s="3291"/>
      <c r="AF20" s="3272">
        <v>0</v>
      </c>
      <c r="AG20" s="3273"/>
      <c r="AH20" s="3273"/>
      <c r="AI20" s="3273"/>
      <c r="AJ20" s="3273"/>
      <c r="AK20" s="3291"/>
      <c r="AL20" s="3272">
        <v>0</v>
      </c>
      <c r="AM20" s="3273"/>
      <c r="AN20" s="3273"/>
      <c r="AO20" s="3273"/>
      <c r="AP20" s="3273"/>
      <c r="AQ20" s="3274"/>
      <c r="AR20" s="860"/>
      <c r="AS20" s="861"/>
      <c r="AT20" s="512"/>
      <c r="AU20" s="857"/>
      <c r="AV20" s="668"/>
      <c r="AW20" s="668"/>
      <c r="AX20" s="668"/>
      <c r="BG20" s="403"/>
      <c r="BH20" s="403"/>
      <c r="BI20" s="403"/>
      <c r="BJ20" s="403"/>
    </row>
    <row r="21" spans="7:62" s="501" customFormat="1" ht="25" customHeight="1" x14ac:dyDescent="0.45">
      <c r="G21" s="834"/>
      <c r="I21" s="843"/>
      <c r="J21" s="844" t="s">
        <v>1253</v>
      </c>
      <c r="K21" s="844"/>
      <c r="L21" s="844"/>
      <c r="M21" s="845"/>
      <c r="N21" s="3272">
        <v>0</v>
      </c>
      <c r="O21" s="3273"/>
      <c r="P21" s="3273"/>
      <c r="Q21" s="3273"/>
      <c r="R21" s="3273"/>
      <c r="S21" s="3291"/>
      <c r="T21" s="3272">
        <v>0</v>
      </c>
      <c r="U21" s="3273"/>
      <c r="V21" s="3273"/>
      <c r="W21" s="3273"/>
      <c r="X21" s="3273"/>
      <c r="Y21" s="3291"/>
      <c r="Z21" s="3272">
        <v>0</v>
      </c>
      <c r="AA21" s="3273"/>
      <c r="AB21" s="3273"/>
      <c r="AC21" s="3273"/>
      <c r="AD21" s="3273"/>
      <c r="AE21" s="3291"/>
      <c r="AF21" s="3272">
        <v>0</v>
      </c>
      <c r="AG21" s="3273"/>
      <c r="AH21" s="3273"/>
      <c r="AI21" s="3273"/>
      <c r="AJ21" s="3273"/>
      <c r="AK21" s="3291"/>
      <c r="AL21" s="3272">
        <v>0</v>
      </c>
      <c r="AM21" s="3273"/>
      <c r="AN21" s="3273"/>
      <c r="AO21" s="3273"/>
      <c r="AP21" s="3273"/>
      <c r="AQ21" s="3274"/>
      <c r="AR21" s="860"/>
      <c r="AS21" s="861"/>
      <c r="AT21" s="512"/>
      <c r="AU21" s="857"/>
      <c r="AV21" s="668"/>
      <c r="AW21" s="668"/>
      <c r="AX21" s="668"/>
      <c r="BG21" s="403"/>
      <c r="BH21" s="403"/>
      <c r="BI21" s="403"/>
      <c r="BJ21" s="403"/>
    </row>
    <row r="22" spans="7:62" s="501" customFormat="1" ht="25" customHeight="1" thickBot="1" x14ac:dyDescent="0.5">
      <c r="G22" s="834"/>
      <c r="I22" s="854"/>
      <c r="J22" s="855" t="s">
        <v>1254</v>
      </c>
      <c r="K22" s="855"/>
      <c r="L22" s="855"/>
      <c r="M22" s="856"/>
      <c r="N22" s="3215">
        <v>0</v>
      </c>
      <c r="O22" s="3187"/>
      <c r="P22" s="3187"/>
      <c r="Q22" s="3187"/>
      <c r="R22" s="3187"/>
      <c r="S22" s="3260"/>
      <c r="T22" s="3215">
        <v>0</v>
      </c>
      <c r="U22" s="3187"/>
      <c r="V22" s="3187"/>
      <c r="W22" s="3187"/>
      <c r="X22" s="3187"/>
      <c r="Y22" s="3260"/>
      <c r="Z22" s="3215">
        <v>0</v>
      </c>
      <c r="AA22" s="3187"/>
      <c r="AB22" s="3187"/>
      <c r="AC22" s="3187"/>
      <c r="AD22" s="3187"/>
      <c r="AE22" s="3260"/>
      <c r="AF22" s="3215">
        <v>0</v>
      </c>
      <c r="AG22" s="3187"/>
      <c r="AH22" s="3187"/>
      <c r="AI22" s="3187"/>
      <c r="AJ22" s="3187"/>
      <c r="AK22" s="3260"/>
      <c r="AL22" s="3215">
        <v>0</v>
      </c>
      <c r="AM22" s="3187"/>
      <c r="AN22" s="3187"/>
      <c r="AO22" s="3187"/>
      <c r="AP22" s="3187"/>
      <c r="AQ22" s="3275"/>
      <c r="AR22" s="860"/>
      <c r="AS22" s="861"/>
      <c r="AT22" s="512"/>
      <c r="AU22" s="857"/>
      <c r="AV22" s="668"/>
      <c r="AW22" s="668"/>
      <c r="AX22" s="668"/>
      <c r="BG22" s="403"/>
      <c r="BH22" s="403"/>
      <c r="BI22" s="403"/>
      <c r="BJ22" s="403"/>
    </row>
    <row r="23" spans="7:62" s="501" customFormat="1" ht="25" customHeight="1" thickTop="1" thickBot="1" x14ac:dyDescent="0.5">
      <c r="G23" s="834"/>
      <c r="I23" s="3276" t="s">
        <v>16</v>
      </c>
      <c r="J23" s="3277"/>
      <c r="K23" s="3277"/>
      <c r="L23" s="3277"/>
      <c r="M23" s="3278"/>
      <c r="N23" s="3214">
        <f>SUM(N19:S22)</f>
        <v>0</v>
      </c>
      <c r="O23" s="3212"/>
      <c r="P23" s="3212"/>
      <c r="Q23" s="3212"/>
      <c r="R23" s="3212"/>
      <c r="S23" s="3285"/>
      <c r="T23" s="3214">
        <f t="shared" ref="T23" si="4">SUM(T19:Y22)</f>
        <v>0</v>
      </c>
      <c r="U23" s="3212"/>
      <c r="V23" s="3212"/>
      <c r="W23" s="3212"/>
      <c r="X23" s="3212"/>
      <c r="Y23" s="3285"/>
      <c r="Z23" s="3214">
        <f t="shared" ref="Z23" si="5">SUM(Z19:AE22)</f>
        <v>0</v>
      </c>
      <c r="AA23" s="3212"/>
      <c r="AB23" s="3212"/>
      <c r="AC23" s="3212"/>
      <c r="AD23" s="3212"/>
      <c r="AE23" s="3285"/>
      <c r="AF23" s="3214">
        <f t="shared" ref="AF23" si="6">SUM(AF19:AK22)</f>
        <v>0</v>
      </c>
      <c r="AG23" s="3212"/>
      <c r="AH23" s="3212"/>
      <c r="AI23" s="3212"/>
      <c r="AJ23" s="3212"/>
      <c r="AK23" s="3285"/>
      <c r="AL23" s="3214">
        <f t="shared" ref="AL23" si="7">SUM(AL19:AQ22)</f>
        <v>0</v>
      </c>
      <c r="AM23" s="3212"/>
      <c r="AN23" s="3212"/>
      <c r="AO23" s="3212"/>
      <c r="AP23" s="3212"/>
      <c r="AQ23" s="3268"/>
      <c r="AR23" s="860"/>
      <c r="AS23" s="861"/>
      <c r="AT23" s="512"/>
      <c r="AU23" s="857"/>
      <c r="AV23" s="668"/>
      <c r="AW23" s="668"/>
      <c r="AX23" s="668"/>
      <c r="BG23" s="403"/>
      <c r="BH23" s="403"/>
      <c r="BI23" s="403"/>
      <c r="BJ23" s="403"/>
    </row>
    <row r="24" spans="7:62" s="501" customFormat="1" ht="6" customHeight="1" thickTop="1" x14ac:dyDescent="0.45">
      <c r="G24" s="834"/>
      <c r="I24" s="866"/>
      <c r="J24" s="866"/>
      <c r="K24" s="866"/>
      <c r="L24" s="866"/>
      <c r="M24" s="866"/>
      <c r="N24" s="866"/>
      <c r="O24" s="866"/>
      <c r="P24" s="860"/>
      <c r="Q24" s="860"/>
      <c r="R24" s="860"/>
      <c r="S24" s="860"/>
      <c r="T24" s="860"/>
      <c r="U24" s="860"/>
      <c r="V24" s="860"/>
      <c r="W24" s="860"/>
      <c r="X24" s="860"/>
      <c r="Y24" s="860"/>
      <c r="Z24" s="860"/>
      <c r="AA24" s="860"/>
      <c r="AB24" s="860"/>
      <c r="AC24" s="860"/>
      <c r="AD24" s="860"/>
      <c r="AE24" s="860"/>
      <c r="AF24" s="860"/>
      <c r="AG24" s="860"/>
      <c r="AH24" s="860"/>
      <c r="AI24" s="860"/>
      <c r="AJ24" s="860"/>
      <c r="AK24" s="860"/>
      <c r="AL24" s="860"/>
      <c r="AM24" s="860"/>
      <c r="AN24" s="860"/>
      <c r="AO24" s="860"/>
      <c r="AP24" s="860"/>
      <c r="AQ24" s="860"/>
      <c r="AR24" s="860"/>
      <c r="AS24" s="861"/>
      <c r="AT24" s="512"/>
      <c r="AU24" s="857"/>
      <c r="AV24" s="668"/>
      <c r="AW24" s="668"/>
      <c r="AX24" s="668"/>
      <c r="BG24" s="403"/>
      <c r="BH24" s="403"/>
      <c r="BI24" s="403"/>
      <c r="BJ24" s="403"/>
    </row>
    <row r="25" spans="7:62" s="501" customFormat="1" ht="20" x14ac:dyDescent="0.4">
      <c r="G25" s="834"/>
      <c r="H25" s="851" t="s">
        <v>152</v>
      </c>
      <c r="I25" s="780" t="s">
        <v>1018</v>
      </c>
      <c r="J25" s="780"/>
      <c r="K25" s="781"/>
      <c r="L25" s="781"/>
      <c r="M25" s="781"/>
      <c r="N25" s="781"/>
      <c r="O25" s="781"/>
      <c r="P25" s="781"/>
      <c r="Q25" s="781"/>
      <c r="R25" s="781"/>
      <c r="S25" s="781"/>
      <c r="T25" s="668"/>
      <c r="U25" s="403"/>
      <c r="V25" s="403"/>
      <c r="W25" s="403"/>
      <c r="X25" s="403"/>
      <c r="Y25" s="403"/>
      <c r="AA25" s="680" t="b">
        <v>1</v>
      </c>
      <c r="AB25" s="403" t="s">
        <v>65</v>
      </c>
      <c r="AC25" s="403"/>
      <c r="AF25" s="680"/>
      <c r="AG25" s="403" t="s">
        <v>11</v>
      </c>
      <c r="AH25" s="403"/>
      <c r="AI25" s="403"/>
      <c r="AJ25" s="403"/>
      <c r="AK25" s="403"/>
      <c r="AL25" s="403"/>
      <c r="AM25" s="403"/>
      <c r="AN25" s="403"/>
      <c r="AO25" s="403"/>
      <c r="AP25" s="403"/>
      <c r="AQ25" s="403"/>
      <c r="AR25" s="403"/>
      <c r="AS25" s="469"/>
      <c r="BA25" s="403"/>
      <c r="BB25" s="403"/>
      <c r="BC25" s="403"/>
      <c r="BD25" s="403"/>
    </row>
    <row r="26" spans="7:62" s="501" customFormat="1" ht="6" customHeight="1" x14ac:dyDescent="0.4">
      <c r="G26" s="834"/>
      <c r="J26" s="780"/>
      <c r="K26" s="789"/>
      <c r="L26" s="789"/>
      <c r="M26" s="789"/>
      <c r="N26" s="789"/>
      <c r="O26" s="789"/>
      <c r="P26" s="789"/>
      <c r="Q26" s="789"/>
      <c r="R26" s="789"/>
      <c r="S26" s="789"/>
      <c r="T26" s="668"/>
      <c r="V26" s="668"/>
      <c r="W26" s="403"/>
      <c r="X26" s="403"/>
      <c r="AA26" s="668"/>
      <c r="AB26" s="403"/>
      <c r="AC26" s="403"/>
      <c r="AD26" s="403"/>
      <c r="AE26" s="403"/>
      <c r="AF26" s="403"/>
      <c r="AG26" s="403"/>
      <c r="AH26" s="403"/>
      <c r="AJ26" s="668"/>
      <c r="AK26" s="668"/>
      <c r="AL26" s="668"/>
      <c r="AM26" s="668"/>
      <c r="AN26" s="668"/>
      <c r="AO26" s="668"/>
      <c r="AP26" s="668"/>
      <c r="AQ26" s="668"/>
      <c r="AR26" s="668"/>
      <c r="AS26" s="788"/>
      <c r="BA26" s="403"/>
      <c r="BB26" s="403"/>
      <c r="BC26" s="403"/>
      <c r="BD26" s="403"/>
    </row>
    <row r="27" spans="7:62" s="501" customFormat="1" ht="20.5" x14ac:dyDescent="0.45">
      <c r="G27" s="834"/>
      <c r="H27" s="851" t="s">
        <v>155</v>
      </c>
      <c r="I27" s="780" t="s">
        <v>1019</v>
      </c>
      <c r="J27" s="780"/>
      <c r="K27" s="781"/>
      <c r="L27" s="781"/>
      <c r="M27" s="781"/>
      <c r="N27" s="781"/>
      <c r="O27" s="781"/>
      <c r="P27" s="781"/>
      <c r="Q27" s="781"/>
      <c r="R27" s="781"/>
      <c r="S27" s="781"/>
      <c r="T27" s="668"/>
      <c r="U27" s="403"/>
      <c r="V27" s="403"/>
      <c r="W27" s="403"/>
      <c r="X27" s="403"/>
      <c r="Y27" s="403"/>
      <c r="Z27" s="782"/>
      <c r="AA27" s="668"/>
      <c r="AB27" s="668"/>
      <c r="AC27" s="668"/>
      <c r="AD27" s="668"/>
      <c r="AE27" s="668"/>
      <c r="AF27" s="668"/>
      <c r="AG27" s="403"/>
      <c r="AH27" s="403"/>
      <c r="AI27" s="403"/>
      <c r="AJ27" s="403"/>
      <c r="AK27" s="403"/>
      <c r="AL27" s="403"/>
      <c r="AM27" s="403"/>
      <c r="AN27" s="403"/>
      <c r="AO27" s="403"/>
      <c r="AP27" s="403"/>
      <c r="AQ27" s="403"/>
      <c r="AR27" s="403"/>
      <c r="AS27" s="469"/>
      <c r="BA27" s="403"/>
      <c r="BB27" s="403"/>
      <c r="BC27" s="403"/>
      <c r="BD27" s="403"/>
    </row>
    <row r="28" spans="7:62" s="501" customFormat="1" ht="6" customHeight="1" thickBot="1" x14ac:dyDescent="0.45">
      <c r="G28" s="834"/>
      <c r="J28" s="849"/>
      <c r="K28" s="503"/>
      <c r="L28" s="503"/>
      <c r="M28" s="503"/>
      <c r="N28" s="503"/>
      <c r="O28" s="503"/>
      <c r="P28" s="503"/>
      <c r="Q28" s="503"/>
      <c r="R28" s="503"/>
      <c r="S28" s="503"/>
      <c r="T28" s="668"/>
      <c r="V28" s="668"/>
      <c r="W28" s="761"/>
      <c r="X28" s="403"/>
      <c r="AA28" s="668"/>
      <c r="AB28" s="761"/>
      <c r="AC28" s="403"/>
      <c r="AD28" s="403"/>
      <c r="AE28" s="403"/>
      <c r="AF28" s="403"/>
      <c r="AG28" s="403"/>
      <c r="AH28" s="403"/>
      <c r="AJ28" s="668"/>
      <c r="AK28" s="668"/>
      <c r="AL28" s="668"/>
      <c r="AM28" s="668"/>
      <c r="AN28" s="668"/>
      <c r="AO28" s="668"/>
      <c r="AP28" s="668"/>
      <c r="AQ28" s="668"/>
      <c r="AR28" s="668"/>
      <c r="AS28" s="788"/>
      <c r="BA28" s="403"/>
      <c r="BB28" s="403"/>
      <c r="BC28" s="403"/>
      <c r="BD28" s="403"/>
    </row>
    <row r="29" spans="7:62" s="501" customFormat="1" ht="83.5" customHeight="1" thickTop="1" thickBot="1" x14ac:dyDescent="0.5">
      <c r="G29" s="834"/>
      <c r="I29" s="3282" t="s">
        <v>564</v>
      </c>
      <c r="J29" s="3283"/>
      <c r="K29" s="3283"/>
      <c r="L29" s="3283"/>
      <c r="M29" s="3284"/>
      <c r="N29" s="3269" t="s">
        <v>1020</v>
      </c>
      <c r="O29" s="3240"/>
      <c r="P29" s="3240"/>
      <c r="Q29" s="3240"/>
      <c r="R29" s="3240"/>
      <c r="S29" s="3241"/>
      <c r="T29" s="3269" t="s">
        <v>1069</v>
      </c>
      <c r="U29" s="3240"/>
      <c r="V29" s="3240"/>
      <c r="W29" s="3240"/>
      <c r="X29" s="3240"/>
      <c r="Y29" s="3241"/>
      <c r="Z29" s="3269" t="s">
        <v>1021</v>
      </c>
      <c r="AA29" s="3240"/>
      <c r="AB29" s="3240"/>
      <c r="AC29" s="3240"/>
      <c r="AD29" s="3240"/>
      <c r="AE29" s="3241"/>
      <c r="AF29" s="3269" t="s">
        <v>1022</v>
      </c>
      <c r="AG29" s="3240"/>
      <c r="AH29" s="3240"/>
      <c r="AI29" s="3240"/>
      <c r="AJ29" s="3240"/>
      <c r="AK29" s="3241"/>
      <c r="AL29" s="3269" t="s">
        <v>1023</v>
      </c>
      <c r="AM29" s="3240"/>
      <c r="AN29" s="3240"/>
      <c r="AO29" s="3240"/>
      <c r="AP29" s="3240"/>
      <c r="AQ29" s="3270"/>
      <c r="AR29" s="832"/>
      <c r="AS29" s="867"/>
      <c r="AT29" s="852"/>
      <c r="AU29" s="857"/>
      <c r="AV29" s="668"/>
      <c r="AW29" s="668"/>
      <c r="AX29" s="668"/>
      <c r="BG29" s="403"/>
      <c r="BH29" s="403"/>
      <c r="BI29" s="403"/>
      <c r="BJ29" s="403"/>
    </row>
    <row r="30" spans="7:62" s="501" customFormat="1" ht="25" customHeight="1" thickTop="1" x14ac:dyDescent="0.45">
      <c r="G30" s="834"/>
      <c r="I30" s="840"/>
      <c r="J30" s="841" t="s">
        <v>1251</v>
      </c>
      <c r="K30" s="841"/>
      <c r="L30" s="841"/>
      <c r="M30" s="842"/>
      <c r="N30" s="3288">
        <v>0</v>
      </c>
      <c r="O30" s="3289"/>
      <c r="P30" s="3289"/>
      <c r="Q30" s="3289"/>
      <c r="R30" s="3289"/>
      <c r="S30" s="3290"/>
      <c r="T30" s="3288">
        <v>0</v>
      </c>
      <c r="U30" s="3289"/>
      <c r="V30" s="3289"/>
      <c r="W30" s="3289"/>
      <c r="X30" s="3289"/>
      <c r="Y30" s="3290"/>
      <c r="Z30" s="3288">
        <v>0</v>
      </c>
      <c r="AA30" s="3289"/>
      <c r="AB30" s="3289"/>
      <c r="AC30" s="3289"/>
      <c r="AD30" s="3289"/>
      <c r="AE30" s="3290"/>
      <c r="AF30" s="3288">
        <v>10</v>
      </c>
      <c r="AG30" s="3289"/>
      <c r="AH30" s="3289"/>
      <c r="AI30" s="3289"/>
      <c r="AJ30" s="3289"/>
      <c r="AK30" s="3290"/>
      <c r="AL30" s="3288">
        <v>0</v>
      </c>
      <c r="AM30" s="3289"/>
      <c r="AN30" s="3289"/>
      <c r="AO30" s="3289"/>
      <c r="AP30" s="3289"/>
      <c r="AQ30" s="3295"/>
      <c r="AR30" s="831"/>
      <c r="AS30" s="865"/>
      <c r="AT30" s="513"/>
      <c r="AU30" s="857"/>
      <c r="AV30" s="668"/>
      <c r="AW30" s="668"/>
      <c r="AX30" s="668"/>
      <c r="BG30" s="403"/>
      <c r="BH30" s="403"/>
      <c r="BI30" s="403"/>
      <c r="BJ30" s="403"/>
    </row>
    <row r="31" spans="7:62" s="501" customFormat="1" ht="25" customHeight="1" x14ac:dyDescent="0.45">
      <c r="G31" s="834"/>
      <c r="I31" s="843"/>
      <c r="J31" s="844" t="s">
        <v>1252</v>
      </c>
      <c r="K31" s="844"/>
      <c r="L31" s="844"/>
      <c r="M31" s="845"/>
      <c r="N31" s="3272">
        <v>0</v>
      </c>
      <c r="O31" s="3273"/>
      <c r="P31" s="3273"/>
      <c r="Q31" s="3273"/>
      <c r="R31" s="3273"/>
      <c r="S31" s="3291"/>
      <c r="T31" s="3272">
        <v>0</v>
      </c>
      <c r="U31" s="3273"/>
      <c r="V31" s="3273"/>
      <c r="W31" s="3273"/>
      <c r="X31" s="3273"/>
      <c r="Y31" s="3291"/>
      <c r="Z31" s="3272">
        <v>0</v>
      </c>
      <c r="AA31" s="3273"/>
      <c r="AB31" s="3273"/>
      <c r="AC31" s="3273"/>
      <c r="AD31" s="3273"/>
      <c r="AE31" s="3291"/>
      <c r="AF31" s="3272">
        <v>15</v>
      </c>
      <c r="AG31" s="3273"/>
      <c r="AH31" s="3273"/>
      <c r="AI31" s="3273"/>
      <c r="AJ31" s="3273"/>
      <c r="AK31" s="3291"/>
      <c r="AL31" s="3272">
        <v>0</v>
      </c>
      <c r="AM31" s="3273"/>
      <c r="AN31" s="3273"/>
      <c r="AO31" s="3273"/>
      <c r="AP31" s="3273"/>
      <c r="AQ31" s="3274"/>
      <c r="AR31" s="860"/>
      <c r="AS31" s="861"/>
      <c r="AT31" s="512"/>
      <c r="AU31" s="857"/>
      <c r="AV31" s="668"/>
      <c r="AW31" s="668"/>
      <c r="AX31" s="668"/>
      <c r="BG31" s="403"/>
      <c r="BH31" s="403"/>
      <c r="BI31" s="403"/>
      <c r="BJ31" s="403"/>
    </row>
    <row r="32" spans="7:62" s="501" customFormat="1" ht="25" customHeight="1" x14ac:dyDescent="0.45">
      <c r="G32" s="834"/>
      <c r="I32" s="843"/>
      <c r="J32" s="844" t="s">
        <v>1253</v>
      </c>
      <c r="K32" s="844"/>
      <c r="L32" s="844"/>
      <c r="M32" s="845"/>
      <c r="N32" s="3272">
        <v>0</v>
      </c>
      <c r="O32" s="3273"/>
      <c r="P32" s="3273"/>
      <c r="Q32" s="3273"/>
      <c r="R32" s="3273"/>
      <c r="S32" s="3291"/>
      <c r="T32" s="3272">
        <v>0</v>
      </c>
      <c r="U32" s="3273"/>
      <c r="V32" s="3273"/>
      <c r="W32" s="3273"/>
      <c r="X32" s="3273"/>
      <c r="Y32" s="3291"/>
      <c r="Z32" s="3272">
        <v>0</v>
      </c>
      <c r="AA32" s="3273"/>
      <c r="AB32" s="3273"/>
      <c r="AC32" s="3273"/>
      <c r="AD32" s="3273"/>
      <c r="AE32" s="3291"/>
      <c r="AF32" s="3272">
        <v>18</v>
      </c>
      <c r="AG32" s="3273"/>
      <c r="AH32" s="3273"/>
      <c r="AI32" s="3273"/>
      <c r="AJ32" s="3273"/>
      <c r="AK32" s="3291"/>
      <c r="AL32" s="3272">
        <v>0</v>
      </c>
      <c r="AM32" s="3273"/>
      <c r="AN32" s="3273"/>
      <c r="AO32" s="3273"/>
      <c r="AP32" s="3273"/>
      <c r="AQ32" s="3274"/>
      <c r="AR32" s="860"/>
      <c r="AS32" s="861"/>
      <c r="AT32" s="512"/>
      <c r="AU32" s="857"/>
      <c r="AV32" s="668"/>
      <c r="AW32" s="668"/>
      <c r="AX32" s="668"/>
      <c r="BG32" s="403"/>
      <c r="BH32" s="403"/>
      <c r="BI32" s="403"/>
      <c r="BJ32" s="403"/>
    </row>
    <row r="33" spans="2:62" s="501" customFormat="1" ht="25" customHeight="1" thickBot="1" x14ac:dyDescent="0.5">
      <c r="G33" s="834"/>
      <c r="I33" s="854"/>
      <c r="J33" s="855" t="s">
        <v>1254</v>
      </c>
      <c r="K33" s="855"/>
      <c r="L33" s="855"/>
      <c r="M33" s="856"/>
      <c r="N33" s="3215">
        <v>0</v>
      </c>
      <c r="O33" s="3187"/>
      <c r="P33" s="3187"/>
      <c r="Q33" s="3187"/>
      <c r="R33" s="3187"/>
      <c r="S33" s="3260"/>
      <c r="T33" s="3215">
        <v>0</v>
      </c>
      <c r="U33" s="3187"/>
      <c r="V33" s="3187"/>
      <c r="W33" s="3187"/>
      <c r="X33" s="3187"/>
      <c r="Y33" s="3260"/>
      <c r="Z33" s="3215">
        <v>0</v>
      </c>
      <c r="AA33" s="3187"/>
      <c r="AB33" s="3187"/>
      <c r="AC33" s="3187"/>
      <c r="AD33" s="3187"/>
      <c r="AE33" s="3260"/>
      <c r="AF33" s="3215">
        <v>28</v>
      </c>
      <c r="AG33" s="3187"/>
      <c r="AH33" s="3187"/>
      <c r="AI33" s="3187"/>
      <c r="AJ33" s="3187"/>
      <c r="AK33" s="3260"/>
      <c r="AL33" s="3215">
        <v>0</v>
      </c>
      <c r="AM33" s="3187"/>
      <c r="AN33" s="3187"/>
      <c r="AO33" s="3187"/>
      <c r="AP33" s="3187"/>
      <c r="AQ33" s="3275"/>
      <c r="AR33" s="860"/>
      <c r="AS33" s="861"/>
      <c r="AT33" s="512"/>
      <c r="AU33" s="857"/>
      <c r="AV33" s="668"/>
      <c r="AW33" s="668"/>
      <c r="AX33" s="668"/>
      <c r="BG33" s="403"/>
      <c r="BH33" s="403"/>
      <c r="BI33" s="403"/>
      <c r="BJ33" s="403"/>
    </row>
    <row r="34" spans="2:62" s="501" customFormat="1" ht="25" customHeight="1" thickTop="1" thickBot="1" x14ac:dyDescent="0.5">
      <c r="G34" s="834"/>
      <c r="I34" s="3276" t="s">
        <v>16</v>
      </c>
      <c r="J34" s="3277"/>
      <c r="K34" s="3277"/>
      <c r="L34" s="3277"/>
      <c r="M34" s="3278"/>
      <c r="N34" s="3279">
        <f>SUM(N30:S33)</f>
        <v>0</v>
      </c>
      <c r="O34" s="3280"/>
      <c r="P34" s="3280"/>
      <c r="Q34" s="3280"/>
      <c r="R34" s="3280"/>
      <c r="S34" s="3305"/>
      <c r="T34" s="3279">
        <f t="shared" ref="T34" si="8">SUM(T30:Y33)</f>
        <v>0</v>
      </c>
      <c r="U34" s="3280"/>
      <c r="V34" s="3280"/>
      <c r="W34" s="3280"/>
      <c r="X34" s="3280"/>
      <c r="Y34" s="3305"/>
      <c r="Z34" s="3279">
        <f t="shared" ref="Z34" si="9">SUM(Z30:AE33)</f>
        <v>0</v>
      </c>
      <c r="AA34" s="3280"/>
      <c r="AB34" s="3280"/>
      <c r="AC34" s="3280"/>
      <c r="AD34" s="3280"/>
      <c r="AE34" s="3305"/>
      <c r="AF34" s="3279">
        <f t="shared" ref="AF34" si="10">SUM(AF30:AK33)</f>
        <v>71</v>
      </c>
      <c r="AG34" s="3280"/>
      <c r="AH34" s="3280"/>
      <c r="AI34" s="3280"/>
      <c r="AJ34" s="3280"/>
      <c r="AK34" s="3305"/>
      <c r="AL34" s="3279">
        <f t="shared" ref="AL34" si="11">SUM(AL30:AQ33)</f>
        <v>0</v>
      </c>
      <c r="AM34" s="3280"/>
      <c r="AN34" s="3280"/>
      <c r="AO34" s="3280"/>
      <c r="AP34" s="3280"/>
      <c r="AQ34" s="3281"/>
      <c r="AR34" s="860"/>
      <c r="AS34" s="861"/>
      <c r="AT34" s="512"/>
      <c r="AU34" s="857"/>
      <c r="AV34" s="668"/>
      <c r="AW34" s="668"/>
      <c r="AX34" s="668"/>
      <c r="BG34" s="403"/>
      <c r="BH34" s="403"/>
      <c r="BI34" s="403"/>
      <c r="BJ34" s="403"/>
    </row>
    <row r="35" spans="2:62" s="501" customFormat="1" ht="6" customHeight="1" thickTop="1" x14ac:dyDescent="0.45">
      <c r="G35" s="834"/>
      <c r="I35" s="866"/>
      <c r="J35" s="866"/>
      <c r="K35" s="866"/>
      <c r="L35" s="866"/>
      <c r="M35" s="866"/>
      <c r="N35" s="866"/>
      <c r="O35" s="866"/>
      <c r="P35" s="860"/>
      <c r="Q35" s="860"/>
      <c r="R35" s="860"/>
      <c r="S35" s="860"/>
      <c r="T35" s="860"/>
      <c r="U35" s="860"/>
      <c r="V35" s="860"/>
      <c r="W35" s="860"/>
      <c r="X35" s="860"/>
      <c r="Y35" s="860"/>
      <c r="Z35" s="860"/>
      <c r="AA35" s="860"/>
      <c r="AB35" s="860"/>
      <c r="AC35" s="860"/>
      <c r="AD35" s="860"/>
      <c r="AE35" s="860"/>
      <c r="AF35" s="860"/>
      <c r="AG35" s="860"/>
      <c r="AH35" s="860"/>
      <c r="AI35" s="860"/>
      <c r="AJ35" s="860"/>
      <c r="AK35" s="860"/>
      <c r="AL35" s="860"/>
      <c r="AM35" s="860"/>
      <c r="AN35" s="860"/>
      <c r="AO35" s="860"/>
      <c r="AP35" s="860"/>
      <c r="AQ35" s="860"/>
      <c r="AR35" s="860"/>
      <c r="AS35" s="861"/>
      <c r="AT35" s="512"/>
      <c r="AU35" s="857"/>
      <c r="AV35" s="668"/>
      <c r="AW35" s="668"/>
      <c r="AX35" s="668"/>
      <c r="BG35" s="403"/>
      <c r="BH35" s="403"/>
      <c r="BI35" s="403"/>
      <c r="BJ35" s="403"/>
    </row>
    <row r="36" spans="2:62" s="501" customFormat="1" ht="20.5" x14ac:dyDescent="0.45">
      <c r="G36" s="834"/>
      <c r="H36" s="851" t="s">
        <v>156</v>
      </c>
      <c r="I36" s="780" t="s">
        <v>1301</v>
      </c>
      <c r="J36" s="780"/>
      <c r="K36" s="781"/>
      <c r="L36" s="781"/>
      <c r="M36" s="781"/>
      <c r="N36" s="781"/>
      <c r="O36" s="781"/>
      <c r="P36" s="781"/>
      <c r="Q36" s="781"/>
      <c r="R36" s="781"/>
      <c r="S36" s="781"/>
      <c r="T36" s="668"/>
      <c r="U36" s="403"/>
      <c r="V36" s="403"/>
      <c r="W36" s="403"/>
      <c r="X36" s="403"/>
      <c r="Y36" s="403"/>
      <c r="Z36" s="782"/>
      <c r="AA36" s="668"/>
      <c r="AB36" s="668"/>
      <c r="AC36" s="668"/>
      <c r="AD36" s="668"/>
      <c r="AE36" s="668"/>
      <c r="AF36" s="668"/>
      <c r="AG36" s="403"/>
      <c r="AH36" s="403"/>
      <c r="AI36" s="403"/>
      <c r="AJ36" s="403"/>
      <c r="AK36" s="403"/>
      <c r="AL36" s="403"/>
      <c r="AM36" s="403"/>
      <c r="AN36" s="403"/>
      <c r="AO36" s="403"/>
      <c r="AP36" s="403"/>
      <c r="AQ36" s="403"/>
      <c r="AR36" s="403"/>
      <c r="AS36" s="469"/>
      <c r="BA36" s="403"/>
      <c r="BB36" s="403"/>
      <c r="BC36" s="403"/>
      <c r="BD36" s="403"/>
    </row>
    <row r="37" spans="2:62" s="501" customFormat="1" ht="6" customHeight="1" thickBot="1" x14ac:dyDescent="0.45">
      <c r="G37" s="834"/>
      <c r="J37" s="849"/>
      <c r="K37" s="503"/>
      <c r="L37" s="503"/>
      <c r="M37" s="503"/>
      <c r="N37" s="503"/>
      <c r="O37" s="503"/>
      <c r="P37" s="503"/>
      <c r="Q37" s="503"/>
      <c r="R37" s="503"/>
      <c r="S37" s="503"/>
      <c r="T37" s="668"/>
      <c r="V37" s="668"/>
      <c r="W37" s="761"/>
      <c r="X37" s="403"/>
      <c r="AA37" s="668"/>
      <c r="AB37" s="761"/>
      <c r="AC37" s="403"/>
      <c r="AD37" s="403"/>
      <c r="AE37" s="403"/>
      <c r="AF37" s="403"/>
      <c r="AG37" s="403"/>
      <c r="AH37" s="403"/>
      <c r="AJ37" s="668"/>
      <c r="AK37" s="668"/>
      <c r="AL37" s="668"/>
      <c r="AM37" s="668"/>
      <c r="AN37" s="668"/>
      <c r="AO37" s="668"/>
      <c r="AP37" s="668"/>
      <c r="AQ37" s="668"/>
      <c r="AR37" s="668"/>
      <c r="AS37" s="788"/>
      <c r="BA37" s="403"/>
      <c r="BB37" s="403"/>
      <c r="BC37" s="403"/>
      <c r="BD37" s="403"/>
    </row>
    <row r="38" spans="2:62" s="501" customFormat="1" ht="64.5" customHeight="1" thickTop="1" thickBot="1" x14ac:dyDescent="0.5">
      <c r="G38" s="834"/>
      <c r="I38" s="3282" t="s">
        <v>564</v>
      </c>
      <c r="J38" s="3283"/>
      <c r="K38" s="3283"/>
      <c r="L38" s="3283"/>
      <c r="M38" s="3284"/>
      <c r="N38" s="3269" t="s">
        <v>1025</v>
      </c>
      <c r="O38" s="3240"/>
      <c r="P38" s="3240"/>
      <c r="Q38" s="3240"/>
      <c r="R38" s="3240"/>
      <c r="S38" s="3241"/>
      <c r="T38" s="3269" t="s">
        <v>1026</v>
      </c>
      <c r="U38" s="3240"/>
      <c r="V38" s="3240"/>
      <c r="W38" s="3240"/>
      <c r="X38" s="3240"/>
      <c r="Y38" s="3241"/>
      <c r="Z38" s="3269" t="s">
        <v>1024</v>
      </c>
      <c r="AA38" s="3240"/>
      <c r="AB38" s="3240"/>
      <c r="AC38" s="3240"/>
      <c r="AD38" s="3240"/>
      <c r="AE38" s="3270"/>
      <c r="AF38" s="852"/>
      <c r="AG38" s="852"/>
      <c r="AH38" s="852"/>
      <c r="AI38" s="852"/>
      <c r="AJ38" s="852"/>
      <c r="AK38" s="852"/>
      <c r="AL38" s="852"/>
      <c r="AM38" s="852"/>
      <c r="AN38" s="852"/>
      <c r="AO38" s="852"/>
      <c r="AP38" s="852"/>
      <c r="AQ38" s="852"/>
      <c r="AR38" s="832"/>
      <c r="AS38" s="867"/>
      <c r="AT38" s="852"/>
      <c r="AU38" s="857"/>
      <c r="AV38" s="668"/>
      <c r="AW38" s="668"/>
      <c r="AX38" s="668"/>
      <c r="BG38" s="403"/>
      <c r="BH38" s="403"/>
      <c r="BI38" s="403"/>
      <c r="BJ38" s="403"/>
    </row>
    <row r="39" spans="2:62" s="501" customFormat="1" ht="25" customHeight="1" thickTop="1" x14ac:dyDescent="0.45">
      <c r="G39" s="834"/>
      <c r="I39" s="840"/>
      <c r="J39" s="841" t="s">
        <v>1251</v>
      </c>
      <c r="K39" s="841"/>
      <c r="L39" s="841"/>
      <c r="M39" s="842"/>
      <c r="N39" s="3288">
        <v>0</v>
      </c>
      <c r="O39" s="3289"/>
      <c r="P39" s="3289"/>
      <c r="Q39" s="3289"/>
      <c r="R39" s="3289"/>
      <c r="S39" s="3290"/>
      <c r="T39" s="3288">
        <v>0</v>
      </c>
      <c r="U39" s="3289"/>
      <c r="V39" s="3289"/>
      <c r="W39" s="3289"/>
      <c r="X39" s="3289"/>
      <c r="Y39" s="3290"/>
      <c r="Z39" s="3288">
        <v>0</v>
      </c>
      <c r="AA39" s="3289"/>
      <c r="AB39" s="3289"/>
      <c r="AC39" s="3289"/>
      <c r="AD39" s="3289"/>
      <c r="AE39" s="3295"/>
      <c r="AF39" s="513"/>
      <c r="AG39" s="513"/>
      <c r="AH39" s="513"/>
      <c r="AI39" s="513"/>
      <c r="AJ39" s="513"/>
      <c r="AK39" s="513"/>
      <c r="AL39" s="513"/>
      <c r="AM39" s="513"/>
      <c r="AN39" s="513"/>
      <c r="AO39" s="513"/>
      <c r="AP39" s="513"/>
      <c r="AQ39" s="513"/>
      <c r="AR39" s="831"/>
      <c r="AS39" s="865"/>
      <c r="AT39" s="513"/>
      <c r="AU39" s="857"/>
      <c r="AV39" s="668"/>
      <c r="AW39" s="668"/>
      <c r="AX39" s="668"/>
      <c r="BG39" s="403"/>
      <c r="BH39" s="403"/>
      <c r="BI39" s="403"/>
      <c r="BJ39" s="403"/>
    </row>
    <row r="40" spans="2:62" s="501" customFormat="1" ht="25" customHeight="1" x14ac:dyDescent="0.45">
      <c r="G40" s="834"/>
      <c r="I40" s="843"/>
      <c r="J40" s="844" t="s">
        <v>1252</v>
      </c>
      <c r="K40" s="844"/>
      <c r="L40" s="844"/>
      <c r="M40" s="845"/>
      <c r="N40" s="3272">
        <v>0</v>
      </c>
      <c r="O40" s="3273"/>
      <c r="P40" s="3273"/>
      <c r="Q40" s="3273"/>
      <c r="R40" s="3273"/>
      <c r="S40" s="3291"/>
      <c r="T40" s="3272">
        <v>0</v>
      </c>
      <c r="U40" s="3273"/>
      <c r="V40" s="3273"/>
      <c r="W40" s="3273"/>
      <c r="X40" s="3273"/>
      <c r="Y40" s="3291"/>
      <c r="Z40" s="3272">
        <v>0</v>
      </c>
      <c r="AA40" s="3273"/>
      <c r="AB40" s="3273"/>
      <c r="AC40" s="3273"/>
      <c r="AD40" s="3273"/>
      <c r="AE40" s="3274"/>
      <c r="AF40" s="512"/>
      <c r="AG40" s="512"/>
      <c r="AH40" s="512"/>
      <c r="AI40" s="512"/>
      <c r="AJ40" s="512"/>
      <c r="AK40" s="512"/>
      <c r="AL40" s="512"/>
      <c r="AM40" s="512"/>
      <c r="AN40" s="512"/>
      <c r="AO40" s="512"/>
      <c r="AP40" s="512"/>
      <c r="AQ40" s="512"/>
      <c r="AR40" s="860"/>
      <c r="AS40" s="861"/>
      <c r="AT40" s="512"/>
      <c r="AU40" s="857"/>
      <c r="AV40" s="668"/>
      <c r="AW40" s="668"/>
      <c r="AX40" s="668"/>
      <c r="BG40" s="403"/>
      <c r="BH40" s="403"/>
      <c r="BI40" s="403"/>
      <c r="BJ40" s="403"/>
    </row>
    <row r="41" spans="2:62" s="501" customFormat="1" ht="25" customHeight="1" x14ac:dyDescent="0.45">
      <c r="G41" s="834"/>
      <c r="I41" s="843"/>
      <c r="J41" s="844" t="s">
        <v>1253</v>
      </c>
      <c r="K41" s="844"/>
      <c r="L41" s="844"/>
      <c r="M41" s="845"/>
      <c r="N41" s="3272">
        <v>0</v>
      </c>
      <c r="O41" s="3273"/>
      <c r="P41" s="3273"/>
      <c r="Q41" s="3273"/>
      <c r="R41" s="3273"/>
      <c r="S41" s="3291"/>
      <c r="T41" s="3272">
        <v>0</v>
      </c>
      <c r="U41" s="3273"/>
      <c r="V41" s="3273"/>
      <c r="W41" s="3273"/>
      <c r="X41" s="3273"/>
      <c r="Y41" s="3291"/>
      <c r="Z41" s="3272">
        <v>0</v>
      </c>
      <c r="AA41" s="3273"/>
      <c r="AB41" s="3273"/>
      <c r="AC41" s="3273"/>
      <c r="AD41" s="3273"/>
      <c r="AE41" s="3274"/>
      <c r="AF41" s="512"/>
      <c r="AG41" s="512"/>
      <c r="AH41" s="512"/>
      <c r="AI41" s="512"/>
      <c r="AJ41" s="512"/>
      <c r="AK41" s="512"/>
      <c r="AL41" s="512"/>
      <c r="AM41" s="512"/>
      <c r="AN41" s="512"/>
      <c r="AO41" s="512"/>
      <c r="AP41" s="512"/>
      <c r="AQ41" s="512"/>
      <c r="AR41" s="860"/>
      <c r="AS41" s="861"/>
      <c r="AT41" s="512"/>
      <c r="AU41" s="857"/>
      <c r="AV41" s="668"/>
      <c r="AW41" s="668"/>
      <c r="AX41" s="668"/>
      <c r="BG41" s="403"/>
      <c r="BH41" s="403"/>
      <c r="BI41" s="403"/>
      <c r="BJ41" s="403"/>
    </row>
    <row r="42" spans="2:62" s="501" customFormat="1" ht="25" customHeight="1" thickBot="1" x14ac:dyDescent="0.5">
      <c r="G42" s="834"/>
      <c r="I42" s="854"/>
      <c r="J42" s="855" t="s">
        <v>1254</v>
      </c>
      <c r="K42" s="855"/>
      <c r="L42" s="855"/>
      <c r="M42" s="856"/>
      <c r="N42" s="3215">
        <v>1</v>
      </c>
      <c r="O42" s="3187"/>
      <c r="P42" s="3187"/>
      <c r="Q42" s="3187"/>
      <c r="R42" s="3187"/>
      <c r="S42" s="3260"/>
      <c r="T42" s="3215">
        <v>2</v>
      </c>
      <c r="U42" s="3187"/>
      <c r="V42" s="3187"/>
      <c r="W42" s="3187"/>
      <c r="X42" s="3187"/>
      <c r="Y42" s="3260"/>
      <c r="Z42" s="3215">
        <v>2</v>
      </c>
      <c r="AA42" s="3187"/>
      <c r="AB42" s="3187"/>
      <c r="AC42" s="3187"/>
      <c r="AD42" s="3187"/>
      <c r="AE42" s="3275"/>
      <c r="AF42" s="512"/>
      <c r="AG42" s="512"/>
      <c r="AH42" s="512"/>
      <c r="AI42" s="512"/>
      <c r="AJ42" s="512"/>
      <c r="AK42" s="512"/>
      <c r="AL42" s="512"/>
      <c r="AM42" s="512"/>
      <c r="AN42" s="512"/>
      <c r="AO42" s="512"/>
      <c r="AP42" s="512"/>
      <c r="AQ42" s="512"/>
      <c r="AR42" s="860"/>
      <c r="AS42" s="861"/>
      <c r="AT42" s="512"/>
      <c r="AU42" s="857"/>
      <c r="AV42" s="668"/>
      <c r="AW42" s="668"/>
      <c r="AX42" s="668"/>
      <c r="BG42" s="403"/>
      <c r="BH42" s="403"/>
      <c r="BI42" s="403"/>
      <c r="BJ42" s="403"/>
    </row>
    <row r="43" spans="2:62" s="501" customFormat="1" ht="25" customHeight="1" thickTop="1" thickBot="1" x14ac:dyDescent="0.5">
      <c r="G43" s="834"/>
      <c r="I43" s="3276" t="s">
        <v>16</v>
      </c>
      <c r="J43" s="3277"/>
      <c r="K43" s="3277"/>
      <c r="L43" s="3277"/>
      <c r="M43" s="3278"/>
      <c r="N43" s="3279">
        <f>SUM(N39:S42)</f>
        <v>1</v>
      </c>
      <c r="O43" s="3280"/>
      <c r="P43" s="3280"/>
      <c r="Q43" s="3280"/>
      <c r="R43" s="3280"/>
      <c r="S43" s="3305"/>
      <c r="T43" s="3279">
        <f t="shared" ref="T43" si="12">SUM(T39:Y42)</f>
        <v>2</v>
      </c>
      <c r="U43" s="3280"/>
      <c r="V43" s="3280"/>
      <c r="W43" s="3280"/>
      <c r="X43" s="3280"/>
      <c r="Y43" s="3305"/>
      <c r="Z43" s="3214">
        <f t="shared" ref="Z43" si="13">SUM(Z39:AE42)</f>
        <v>2</v>
      </c>
      <c r="AA43" s="3212"/>
      <c r="AB43" s="3212"/>
      <c r="AC43" s="3212"/>
      <c r="AD43" s="3212"/>
      <c r="AE43" s="3268"/>
      <c r="AF43" s="512"/>
      <c r="AG43" s="512"/>
      <c r="AH43" s="512"/>
      <c r="AI43" s="512"/>
      <c r="AJ43" s="512"/>
      <c r="AK43" s="512"/>
      <c r="AL43" s="512"/>
      <c r="AM43" s="512"/>
      <c r="AN43" s="512"/>
      <c r="AO43" s="512"/>
      <c r="AP43" s="512"/>
      <c r="AQ43" s="512"/>
      <c r="AR43" s="860"/>
      <c r="AS43" s="861"/>
      <c r="AT43" s="512"/>
      <c r="AU43" s="857"/>
      <c r="AV43" s="668"/>
      <c r="AW43" s="668"/>
      <c r="AX43" s="668"/>
      <c r="BG43" s="403"/>
      <c r="BH43" s="403"/>
      <c r="BI43" s="403"/>
      <c r="BJ43" s="403"/>
    </row>
    <row r="44" spans="2:62" s="501" customFormat="1" ht="6" customHeight="1" thickTop="1" thickBot="1" x14ac:dyDescent="0.4">
      <c r="G44" s="532"/>
      <c r="H44" s="543"/>
      <c r="I44" s="529"/>
      <c r="J44" s="529"/>
      <c r="K44" s="778"/>
      <c r="L44" s="408"/>
      <c r="M44" s="408"/>
      <c r="N44" s="408"/>
      <c r="O44" s="408"/>
      <c r="P44" s="408"/>
      <c r="Q44" s="408"/>
      <c r="R44" s="408"/>
      <c r="S44" s="408"/>
      <c r="T44" s="408"/>
      <c r="U44" s="672"/>
      <c r="V44" s="672"/>
      <c r="W44" s="672"/>
      <c r="X44" s="672"/>
      <c r="Y44" s="672"/>
      <c r="Z44" s="408"/>
      <c r="AA44" s="672"/>
      <c r="AB44" s="672"/>
      <c r="AC44" s="672"/>
      <c r="AD44" s="672"/>
      <c r="AE44" s="672"/>
      <c r="AF44" s="672"/>
      <c r="AG44" s="408"/>
      <c r="AH44" s="408"/>
      <c r="AI44" s="408"/>
      <c r="AJ44" s="408"/>
      <c r="AK44" s="408"/>
      <c r="AL44" s="408"/>
      <c r="AM44" s="408"/>
      <c r="AN44" s="408"/>
      <c r="AO44" s="408"/>
      <c r="AP44" s="408"/>
      <c r="AQ44" s="408"/>
      <c r="AR44" s="408"/>
      <c r="AS44" s="409"/>
    </row>
    <row r="45" spans="2:62" s="44" customFormat="1" ht="25" customHeight="1" thickTop="1" x14ac:dyDescent="0.35">
      <c r="I45" s="85"/>
      <c r="K45" s="85"/>
      <c r="M45" s="85"/>
      <c r="O45" s="85"/>
      <c r="P45" s="85"/>
      <c r="R45" s="85"/>
      <c r="T45" s="85"/>
      <c r="U45" s="85"/>
      <c r="W45" s="85"/>
      <c r="Y45" s="85"/>
      <c r="AA45" s="85"/>
      <c r="AD45" s="85"/>
    </row>
    <row r="46" spans="2:62" s="73" customFormat="1" ht="14" x14ac:dyDescent="0.3">
      <c r="B46" s="74" t="s">
        <v>12</v>
      </c>
      <c r="S46" s="74" t="s">
        <v>908</v>
      </c>
      <c r="AK46" s="74" t="s">
        <v>922</v>
      </c>
    </row>
    <row r="47" spans="2:62" s="73" customFormat="1" ht="21.75" customHeight="1" x14ac:dyDescent="0.3">
      <c r="B47" s="74" t="s">
        <v>811</v>
      </c>
      <c r="F47" s="1482" t="str">
        <f>SchInfo!F38</f>
        <v>MELCHESIEDICK Q. BOLANIO/ March 17, 2023</v>
      </c>
      <c r="G47" s="1482"/>
      <c r="H47" s="1482"/>
      <c r="I47" s="1482"/>
      <c r="J47" s="1482"/>
      <c r="K47" s="1482"/>
      <c r="L47" s="1482"/>
      <c r="M47" s="1482"/>
      <c r="N47" s="1482"/>
      <c r="O47" s="1482"/>
      <c r="S47" s="1482" t="str">
        <f>'Table33a-b'!R42</f>
        <v>RACQUEL N. ACOMPAÑADO</v>
      </c>
      <c r="T47" s="1482"/>
      <c r="U47" s="1482"/>
      <c r="V47" s="1482"/>
      <c r="W47" s="1482"/>
      <c r="X47" s="1482"/>
      <c r="Y47" s="1482"/>
      <c r="Z47" s="1482"/>
      <c r="AA47" s="1482"/>
      <c r="AB47" s="1482"/>
      <c r="AC47" s="1482"/>
      <c r="AD47" s="1482"/>
      <c r="AE47" s="1482"/>
      <c r="AF47" s="1482"/>
      <c r="AG47" s="1482"/>
      <c r="AK47" s="1484" t="str">
        <f>SchInfo!R38</f>
        <v>MICHAEL T. JAMIS   /  March 17, 2023</v>
      </c>
      <c r="AL47" s="1484"/>
      <c r="AM47" s="1484"/>
      <c r="AN47" s="1484"/>
      <c r="AO47" s="1484"/>
      <c r="AP47" s="1484"/>
      <c r="AQ47" s="1484"/>
      <c r="AR47" s="1484"/>
      <c r="AS47" s="1484"/>
      <c r="AT47" s="1484"/>
      <c r="AU47" s="1484"/>
      <c r="AV47" s="1484"/>
      <c r="AW47" s="1484"/>
      <c r="AX47" s="1484"/>
    </row>
    <row r="48" spans="2:62" s="68" customFormat="1" ht="13.5" customHeight="1" x14ac:dyDescent="0.3">
      <c r="B48" s="210"/>
      <c r="F48" s="1452" t="s">
        <v>779</v>
      </c>
      <c r="G48" s="1452"/>
      <c r="H48" s="1452"/>
      <c r="I48" s="1452"/>
      <c r="J48" s="1452"/>
      <c r="K48" s="1452"/>
      <c r="L48" s="1452"/>
      <c r="M48" s="1452"/>
      <c r="N48" s="1452"/>
      <c r="O48" s="1452"/>
      <c r="P48" s="172"/>
      <c r="Q48" s="64"/>
      <c r="R48" s="64"/>
      <c r="S48" s="1452" t="s">
        <v>779</v>
      </c>
      <c r="T48" s="1452"/>
      <c r="U48" s="1452"/>
      <c r="V48" s="1452"/>
      <c r="W48" s="1452"/>
      <c r="X48" s="1452"/>
      <c r="Y48" s="1452"/>
      <c r="Z48" s="1452"/>
      <c r="AA48" s="1452"/>
      <c r="AB48" s="1452"/>
      <c r="AC48" s="1452"/>
      <c r="AD48" s="1452"/>
      <c r="AE48" s="1452"/>
      <c r="AF48" s="1452"/>
      <c r="AG48" s="1452"/>
      <c r="AH48" s="172"/>
      <c r="AK48" s="1485"/>
      <c r="AL48" s="1485"/>
      <c r="AM48" s="1485"/>
      <c r="AN48" s="1485"/>
      <c r="AO48" s="1485"/>
      <c r="AP48" s="1485"/>
      <c r="AQ48" s="1485"/>
      <c r="AR48" s="1485"/>
      <c r="AS48" s="1485"/>
      <c r="AT48" s="1485"/>
      <c r="AU48" s="1485"/>
      <c r="AV48" s="1485"/>
      <c r="AW48" s="1485"/>
      <c r="AX48" s="1485"/>
    </row>
    <row r="49" spans="2:50" s="73" customFormat="1" ht="21.75" customHeight="1" x14ac:dyDescent="0.3">
      <c r="B49" s="74" t="s">
        <v>784</v>
      </c>
      <c r="F49" s="1482" t="str">
        <f>SchInfo!F40</f>
        <v>Principal IV</v>
      </c>
      <c r="G49" s="1482"/>
      <c r="H49" s="1482"/>
      <c r="I49" s="1482"/>
      <c r="J49" s="1482"/>
      <c r="K49" s="1482"/>
      <c r="L49" s="1482"/>
      <c r="M49" s="1482"/>
      <c r="N49" s="1482"/>
      <c r="O49" s="1482"/>
      <c r="S49" s="74" t="s">
        <v>784</v>
      </c>
      <c r="W49" s="1482" t="str">
        <f>'Table33a-b'!V44</f>
        <v>Nurse II</v>
      </c>
      <c r="X49" s="1482"/>
      <c r="Y49" s="1482"/>
      <c r="Z49" s="1482"/>
      <c r="AA49" s="1482"/>
      <c r="AB49" s="1482"/>
      <c r="AC49" s="1482"/>
      <c r="AD49" s="1482"/>
      <c r="AE49" s="1482"/>
      <c r="AF49" s="1482"/>
      <c r="AG49" s="1482"/>
      <c r="AK49" s="1452" t="s">
        <v>779</v>
      </c>
      <c r="AL49" s="1452"/>
      <c r="AM49" s="1452"/>
      <c r="AN49" s="1452"/>
      <c r="AO49" s="1452"/>
      <c r="AP49" s="1452"/>
      <c r="AQ49" s="1452"/>
      <c r="AR49" s="1452"/>
      <c r="AS49" s="1452"/>
      <c r="AT49" s="1452"/>
      <c r="AU49" s="1452"/>
      <c r="AV49" s="1452"/>
      <c r="AW49" s="1452"/>
      <c r="AX49" s="1452"/>
    </row>
    <row r="50" spans="2:50" s="124" customFormat="1" x14ac:dyDescent="0.35">
      <c r="B50" s="123"/>
      <c r="D50" s="123"/>
      <c r="F50" s="123"/>
      <c r="H50" s="123"/>
      <c r="J50" s="123"/>
      <c r="L50" s="123"/>
      <c r="N50" s="123"/>
      <c r="P50" s="85"/>
      <c r="Q50" s="44"/>
      <c r="R50" s="85"/>
      <c r="S50" s="123"/>
      <c r="U50" s="123"/>
      <c r="W50" s="123"/>
      <c r="Y50" s="123"/>
      <c r="AA50" s="123"/>
      <c r="AC50" s="123"/>
      <c r="AE50" s="123"/>
      <c r="AG50" s="123"/>
      <c r="AI50" s="123"/>
      <c r="AK50" s="123"/>
      <c r="AM50" s="123"/>
      <c r="AO50" s="123"/>
      <c r="AQ50" s="123"/>
      <c r="AS50" s="123"/>
      <c r="AU50" s="123"/>
      <c r="AW50" s="123"/>
    </row>
    <row r="51" spans="2:50" s="73" customFormat="1" ht="14" x14ac:dyDescent="0.3"/>
    <row r="52" spans="2:50" s="73" customFormat="1" ht="21.75" customHeight="1" x14ac:dyDescent="0.3"/>
    <row r="53" spans="2:50" s="68" customFormat="1" ht="15" customHeight="1" x14ac:dyDescent="0.3"/>
    <row r="55" spans="2:50" s="124" customFormat="1" x14ac:dyDescent="0.35">
      <c r="B55" s="123"/>
      <c r="D55" s="123"/>
      <c r="F55" s="123"/>
      <c r="H55" s="123"/>
      <c r="J55" s="123"/>
      <c r="L55" s="123"/>
      <c r="N55" s="123"/>
      <c r="P55" s="123"/>
      <c r="Q55" s="85"/>
      <c r="R55" s="44"/>
      <c r="S55" s="85"/>
      <c r="T55" s="123"/>
      <c r="V55" s="123"/>
      <c r="X55" s="123"/>
      <c r="Z55" s="123"/>
      <c r="AB55" s="123"/>
      <c r="AD55" s="123"/>
      <c r="AF55" s="123"/>
      <c r="AH55" s="123"/>
    </row>
  </sheetData>
  <sheetProtection algorithmName="SHA-512" hashValue="sam/oPTWuWYYaZM3vgMxmsUMC/8WaAaHFwyozb3fU2jzN7uW2P3CBoJ//PixNDfQWAj69irM56PyoKZ6VO6GkQ==" saltValue="lyub6ZWRZCMwhtGkmBOgdQ==" spinCount="100000" sheet="1" objects="1" scenarios="1"/>
  <mergeCells count="126">
    <mergeCell ref="I7:M8"/>
    <mergeCell ref="N7:S8"/>
    <mergeCell ref="T7:Y8"/>
    <mergeCell ref="Z7:AK7"/>
    <mergeCell ref="AL7:AQ8"/>
    <mergeCell ref="Z8:AE8"/>
    <mergeCell ref="AF8:AK8"/>
    <mergeCell ref="N9:S9"/>
    <mergeCell ref="T9:Y9"/>
    <mergeCell ref="Z9:AE9"/>
    <mergeCell ref="AF9:AK9"/>
    <mergeCell ref="AL9:AQ9"/>
    <mergeCell ref="N10:S10"/>
    <mergeCell ref="T10:Y10"/>
    <mergeCell ref="Z10:AE10"/>
    <mergeCell ref="AF10:AK10"/>
    <mergeCell ref="AL10:AQ10"/>
    <mergeCell ref="N11:S11"/>
    <mergeCell ref="T11:Y11"/>
    <mergeCell ref="Z11:AE11"/>
    <mergeCell ref="AF11:AK11"/>
    <mergeCell ref="AL11:AQ11"/>
    <mergeCell ref="N12:S12"/>
    <mergeCell ref="T12:Y12"/>
    <mergeCell ref="Z12:AE12"/>
    <mergeCell ref="AF12:AK12"/>
    <mergeCell ref="AL12:AQ12"/>
    <mergeCell ref="I17:M18"/>
    <mergeCell ref="N17:S18"/>
    <mergeCell ref="T17:Y18"/>
    <mergeCell ref="Z17:AK17"/>
    <mergeCell ref="AL17:AQ18"/>
    <mergeCell ref="Z18:AE18"/>
    <mergeCell ref="AF18:AK18"/>
    <mergeCell ref="I13:M13"/>
    <mergeCell ref="N13:S13"/>
    <mergeCell ref="T13:Y13"/>
    <mergeCell ref="Z13:AE13"/>
    <mergeCell ref="AF13:AK13"/>
    <mergeCell ref="AL13:AQ13"/>
    <mergeCell ref="N19:S19"/>
    <mergeCell ref="T19:Y19"/>
    <mergeCell ref="Z19:AE19"/>
    <mergeCell ref="AF19:AK19"/>
    <mergeCell ref="AL19:AQ19"/>
    <mergeCell ref="N20:S20"/>
    <mergeCell ref="T20:Y20"/>
    <mergeCell ref="Z20:AE20"/>
    <mergeCell ref="AF20:AK20"/>
    <mergeCell ref="AL20:AQ20"/>
    <mergeCell ref="N21:S21"/>
    <mergeCell ref="T21:Y21"/>
    <mergeCell ref="Z21:AE21"/>
    <mergeCell ref="AF21:AK21"/>
    <mergeCell ref="AL21:AQ21"/>
    <mergeCell ref="N22:S22"/>
    <mergeCell ref="T22:Y22"/>
    <mergeCell ref="Z22:AE22"/>
    <mergeCell ref="AF22:AK22"/>
    <mergeCell ref="AL22:AQ22"/>
    <mergeCell ref="I29:M29"/>
    <mergeCell ref="N29:S29"/>
    <mergeCell ref="T29:Y29"/>
    <mergeCell ref="Z29:AE29"/>
    <mergeCell ref="AF29:AK29"/>
    <mergeCell ref="AL29:AQ29"/>
    <mergeCell ref="I23:M23"/>
    <mergeCell ref="N23:S23"/>
    <mergeCell ref="T23:Y23"/>
    <mergeCell ref="Z23:AE23"/>
    <mergeCell ref="AF23:AK23"/>
    <mergeCell ref="AL23:AQ23"/>
    <mergeCell ref="N30:S30"/>
    <mergeCell ref="T30:Y30"/>
    <mergeCell ref="Z30:AE30"/>
    <mergeCell ref="AF30:AK30"/>
    <mergeCell ref="AL30:AQ30"/>
    <mergeCell ref="N31:S31"/>
    <mergeCell ref="T31:Y31"/>
    <mergeCell ref="Z31:AE31"/>
    <mergeCell ref="AF31:AK31"/>
    <mergeCell ref="AL31:AQ31"/>
    <mergeCell ref="I34:M34"/>
    <mergeCell ref="N34:S34"/>
    <mergeCell ref="T34:Y34"/>
    <mergeCell ref="Z34:AE34"/>
    <mergeCell ref="AF34:AK34"/>
    <mergeCell ref="AL34:AQ34"/>
    <mergeCell ref="N32:S32"/>
    <mergeCell ref="T32:Y32"/>
    <mergeCell ref="Z32:AE32"/>
    <mergeCell ref="AF32:AK32"/>
    <mergeCell ref="AL32:AQ32"/>
    <mergeCell ref="N33:S33"/>
    <mergeCell ref="T33:Y33"/>
    <mergeCell ref="Z33:AE33"/>
    <mergeCell ref="AF33:AK33"/>
    <mergeCell ref="AL33:AQ33"/>
    <mergeCell ref="N40:S40"/>
    <mergeCell ref="T40:Y40"/>
    <mergeCell ref="Z40:AE40"/>
    <mergeCell ref="N41:S41"/>
    <mergeCell ref="T41:Y41"/>
    <mergeCell ref="Z41:AE41"/>
    <mergeCell ref="I38:M38"/>
    <mergeCell ref="N38:S38"/>
    <mergeCell ref="T38:Y38"/>
    <mergeCell ref="Z38:AE38"/>
    <mergeCell ref="N39:S39"/>
    <mergeCell ref="T39:Y39"/>
    <mergeCell ref="Z39:AE39"/>
    <mergeCell ref="F47:O47"/>
    <mergeCell ref="S47:AG47"/>
    <mergeCell ref="AK47:AX48"/>
    <mergeCell ref="F48:O48"/>
    <mergeCell ref="S48:AG48"/>
    <mergeCell ref="F49:O49"/>
    <mergeCell ref="W49:AG49"/>
    <mergeCell ref="AK49:AX49"/>
    <mergeCell ref="N42:S42"/>
    <mergeCell ref="T42:Y42"/>
    <mergeCell ref="Z42:AE42"/>
    <mergeCell ref="I43:M43"/>
    <mergeCell ref="N43:S43"/>
    <mergeCell ref="T43:Y43"/>
    <mergeCell ref="Z43:AE43"/>
  </mergeCells>
  <dataValidations count="2">
    <dataValidation type="whole" allowBlank="1" showInputMessage="1" showErrorMessage="1" errorTitle="GJHSP SY 2022-2023" error="Please enter valid number between 0-20,000." sqref="N30:AQ33 N9:AQ12 N19:AQ22" xr:uid="{E05158BF-40B2-49C5-B177-4A148E409CA0}">
      <formula1>0</formula1>
      <formula2>20000</formula2>
    </dataValidation>
    <dataValidation type="whole" allowBlank="1" showInputMessage="1" showErrorMessage="1" errorTitle="GJHSP SY 2022-2023" error="Please enter valid number between 0-999." sqref="N39:AE42" xr:uid="{B7D0AA9D-DC64-48E4-8FA2-AFAF363198C2}">
      <formula1>0</formula1>
      <formula2>999</formula2>
    </dataValidation>
  </dataValidations>
  <printOptions horizontalCentered="1" verticalCentered="1"/>
  <pageMargins left="0.23622047244094491" right="0.23622047244094491" top="0.19685039370078741" bottom="0.19685039370078741" header="0" footer="0.11811023622047245"/>
  <pageSetup paperSize="14" scale="55" orientation="portrait" r:id="rId1"/>
  <headerFooter alignWithMargins="0">
    <oddFooter>&amp;L&amp;10&amp;F &amp;A&amp;R&amp;10Page 35 of 63</oddFooter>
  </headerFooter>
  <ignoredErrors>
    <ignoredError sqref="N13:AQ13 N23:AQ23 N34:AQ34 N43:AE43"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66561" r:id="rId4" name="Check Box 1">
              <controlPr defaultSize="0" autoFill="0" autoLine="0" autoPict="0">
                <anchor moveWithCells="1">
                  <from>
                    <xdr:col>26</xdr:col>
                    <xdr:colOff>0</xdr:colOff>
                    <xdr:row>24</xdr:row>
                    <xdr:rowOff>12700</xdr:rowOff>
                  </from>
                  <to>
                    <xdr:col>26</xdr:col>
                    <xdr:colOff>190500</xdr:colOff>
                    <xdr:row>24</xdr:row>
                    <xdr:rowOff>215900</xdr:rowOff>
                  </to>
                </anchor>
              </controlPr>
            </control>
          </mc:Choice>
        </mc:AlternateContent>
        <mc:AlternateContent xmlns:mc="http://schemas.openxmlformats.org/markup-compatibility/2006">
          <mc:Choice Requires="x14">
            <control shapeId="66562" r:id="rId5" name="Check Box 2">
              <controlPr defaultSize="0" autoFill="0" autoLine="0" autoPict="0">
                <anchor moveWithCells="1">
                  <from>
                    <xdr:col>30</xdr:col>
                    <xdr:colOff>254000</xdr:colOff>
                    <xdr:row>24</xdr:row>
                    <xdr:rowOff>25400</xdr:rowOff>
                  </from>
                  <to>
                    <xdr:col>31</xdr:col>
                    <xdr:colOff>177800</xdr:colOff>
                    <xdr:row>24</xdr:row>
                    <xdr:rowOff>228600</xdr:rowOff>
                  </to>
                </anchor>
              </controlPr>
            </control>
          </mc:Choice>
        </mc:AlternateContent>
      </controls>
    </mc:Choice>
  </mc:AlternateConten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6"/>
  <dimension ref="B1:BG55"/>
  <sheetViews>
    <sheetView showGridLines="0" topLeftCell="C1" zoomScaleNormal="100" workbookViewId="0">
      <selection activeCell="AH56" sqref="AH56"/>
    </sheetView>
  </sheetViews>
  <sheetFormatPr defaultColWidth="9" defaultRowHeight="15.5" x14ac:dyDescent="0.35"/>
  <cols>
    <col min="1" max="1" width="2.08203125" style="546" customWidth="1"/>
    <col min="2" max="47" width="3.58203125" style="546" customWidth="1"/>
    <col min="48" max="49" width="2.08203125" style="546" customWidth="1"/>
    <col min="50" max="65" width="3.58203125" style="546" customWidth="1"/>
    <col min="66" max="16384" width="9" style="546"/>
  </cols>
  <sheetData>
    <row r="1" spans="2:56" ht="12" customHeight="1" x14ac:dyDescent="0.35"/>
    <row r="2" spans="2:56" s="501" customFormat="1" x14ac:dyDescent="0.35">
      <c r="B2" s="502" t="s">
        <v>12730</v>
      </c>
      <c r="C2" s="502"/>
      <c r="D2" s="502"/>
      <c r="E2" s="502"/>
      <c r="F2" s="502"/>
      <c r="G2" s="502"/>
      <c r="H2" s="502"/>
      <c r="I2" s="502"/>
      <c r="J2" s="502"/>
      <c r="K2" s="502"/>
      <c r="L2" s="503"/>
      <c r="M2" s="503"/>
      <c r="N2" s="503"/>
      <c r="O2" s="503"/>
      <c r="P2" s="503"/>
      <c r="Q2" s="503"/>
      <c r="R2" s="503"/>
      <c r="S2" s="503"/>
      <c r="T2" s="503"/>
      <c r="U2" s="503"/>
      <c r="V2" s="503"/>
      <c r="W2" s="503"/>
      <c r="X2" s="503"/>
      <c r="Y2" s="503"/>
      <c r="Z2" s="503"/>
      <c r="AA2" s="503"/>
      <c r="AB2" s="503"/>
      <c r="AC2" s="503"/>
      <c r="AD2" s="503"/>
      <c r="AE2" s="503"/>
      <c r="AF2" s="503"/>
      <c r="AG2" s="503"/>
      <c r="AH2" s="503"/>
      <c r="AI2" s="503"/>
      <c r="AJ2" s="503"/>
      <c r="AK2" s="503"/>
      <c r="AL2" s="502"/>
    </row>
    <row r="3" spans="2:56" s="402" customFormat="1" ht="16" thickBot="1" x14ac:dyDescent="0.4">
      <c r="B3" s="419" t="s">
        <v>1091</v>
      </c>
    </row>
    <row r="4" spans="2:56" s="501" customFormat="1" ht="5.25" customHeight="1" thickTop="1" x14ac:dyDescent="0.35">
      <c r="B4" s="533"/>
      <c r="C4" s="792"/>
      <c r="D4" s="792"/>
      <c r="E4" s="506"/>
      <c r="F4" s="506"/>
      <c r="G4" s="506"/>
      <c r="H4" s="506"/>
      <c r="I4" s="506"/>
      <c r="J4" s="506"/>
      <c r="K4" s="506"/>
      <c r="L4" s="506"/>
      <c r="M4" s="506"/>
      <c r="N4" s="506"/>
      <c r="O4" s="506"/>
      <c r="P4" s="506"/>
      <c r="Q4" s="506"/>
      <c r="R4" s="506"/>
      <c r="S4" s="506"/>
      <c r="T4" s="506"/>
      <c r="U4" s="506"/>
      <c r="V4" s="506"/>
      <c r="W4" s="506"/>
      <c r="X4" s="506"/>
      <c r="Y4" s="462"/>
      <c r="Z4" s="462"/>
      <c r="AA4" s="462"/>
      <c r="AB4" s="462"/>
      <c r="AC4" s="462"/>
      <c r="AD4" s="462"/>
      <c r="AE4" s="422"/>
      <c r="AF4" s="793"/>
      <c r="AG4" s="793"/>
      <c r="AH4" s="793"/>
      <c r="AI4" s="793"/>
      <c r="AJ4" s="793"/>
      <c r="AK4" s="793"/>
      <c r="AL4" s="462"/>
      <c r="AM4" s="462"/>
      <c r="AN4" s="462"/>
      <c r="AO4" s="462"/>
      <c r="AP4" s="462"/>
      <c r="AQ4" s="462"/>
      <c r="AR4" s="462"/>
      <c r="AS4" s="462"/>
      <c r="AT4" s="462"/>
      <c r="AU4" s="794"/>
      <c r="BA4" s="403"/>
      <c r="BB4" s="403"/>
      <c r="BC4" s="403"/>
      <c r="BD4" s="403"/>
    </row>
    <row r="5" spans="2:56" s="501" customFormat="1" ht="20" x14ac:dyDescent="0.4">
      <c r="B5" s="834"/>
      <c r="D5" s="851" t="s">
        <v>150</v>
      </c>
      <c r="E5" s="780" t="s">
        <v>623</v>
      </c>
      <c r="F5" s="789"/>
      <c r="G5" s="789"/>
      <c r="H5" s="789"/>
      <c r="I5" s="789"/>
      <c r="J5" s="789"/>
      <c r="K5" s="789"/>
      <c r="L5" s="789"/>
      <c r="M5" s="789"/>
      <c r="N5" s="789"/>
      <c r="O5" s="789"/>
      <c r="P5" s="789"/>
      <c r="Q5" s="789"/>
      <c r="R5" s="789"/>
      <c r="S5" s="789"/>
      <c r="T5" s="789"/>
      <c r="U5" s="789"/>
      <c r="V5" s="789"/>
      <c r="W5" s="789"/>
      <c r="X5" s="789"/>
      <c r="Y5" s="789"/>
      <c r="Z5" s="668"/>
      <c r="AB5" s="668"/>
      <c r="AC5" s="403"/>
      <c r="AD5" s="403"/>
      <c r="AG5" s="668"/>
      <c r="AH5" s="403"/>
      <c r="AI5" s="403"/>
      <c r="AJ5" s="403"/>
      <c r="AK5" s="403"/>
      <c r="AL5" s="403"/>
      <c r="AM5" s="403"/>
      <c r="AO5" s="668"/>
      <c r="AP5" s="668"/>
      <c r="AQ5" s="668"/>
      <c r="AR5" s="668"/>
      <c r="AS5" s="668"/>
      <c r="AT5" s="668"/>
      <c r="AU5" s="788"/>
      <c r="BA5" s="403"/>
      <c r="BB5" s="403"/>
      <c r="BC5" s="403"/>
      <c r="BD5" s="403"/>
    </row>
    <row r="6" spans="2:56" s="501" customFormat="1" ht="20" x14ac:dyDescent="0.4">
      <c r="B6" s="834"/>
      <c r="E6" s="851" t="s">
        <v>565</v>
      </c>
      <c r="F6" s="780" t="s">
        <v>625</v>
      </c>
      <c r="G6" s="789"/>
      <c r="H6" s="789"/>
      <c r="I6" s="789"/>
      <c r="J6" s="789"/>
      <c r="K6" s="789"/>
      <c r="L6" s="789"/>
      <c r="M6" s="789"/>
      <c r="N6" s="789"/>
      <c r="O6" s="789"/>
      <c r="P6" s="789"/>
      <c r="Q6" s="789"/>
      <c r="R6" s="789"/>
      <c r="S6" s="789"/>
      <c r="T6" s="668"/>
      <c r="U6" s="403"/>
      <c r="V6" s="403"/>
      <c r="Y6" s="668"/>
      <c r="Z6" s="403"/>
      <c r="AF6" s="668"/>
      <c r="AG6" s="403"/>
      <c r="AH6" s="680" t="b">
        <v>1</v>
      </c>
      <c r="AI6" s="403" t="s">
        <v>65</v>
      </c>
      <c r="AJ6" s="403"/>
      <c r="AM6" s="680"/>
      <c r="AN6" s="403" t="s">
        <v>11</v>
      </c>
      <c r="AU6" s="788"/>
      <c r="BA6" s="403"/>
      <c r="BB6" s="403"/>
      <c r="BC6" s="403"/>
      <c r="BD6" s="403"/>
    </row>
    <row r="7" spans="2:56" s="501" customFormat="1" ht="31.5" customHeight="1" x14ac:dyDescent="0.4">
      <c r="B7" s="834"/>
      <c r="E7" s="525" t="s">
        <v>566</v>
      </c>
      <c r="F7" s="3317" t="s">
        <v>626</v>
      </c>
      <c r="G7" s="3317"/>
      <c r="H7" s="3317"/>
      <c r="I7" s="3317"/>
      <c r="J7" s="3317"/>
      <c r="K7" s="3317"/>
      <c r="L7" s="3317"/>
      <c r="M7" s="3317"/>
      <c r="N7" s="3317"/>
      <c r="O7" s="3317"/>
      <c r="P7" s="3317"/>
      <c r="Q7" s="3317"/>
      <c r="R7" s="3317"/>
      <c r="S7" s="3317"/>
      <c r="T7" s="3317"/>
      <c r="U7" s="3317"/>
      <c r="V7" s="3317"/>
      <c r="W7" s="3317"/>
      <c r="X7" s="3317"/>
      <c r="Y7" s="3317"/>
      <c r="Z7" s="3317"/>
      <c r="AA7" s="3317"/>
      <c r="AB7" s="3317"/>
      <c r="AC7" s="3317"/>
      <c r="AD7" s="3317"/>
      <c r="AF7" s="425"/>
      <c r="AG7" s="402"/>
      <c r="AH7" s="441" t="b">
        <v>1</v>
      </c>
      <c r="AI7" s="402" t="s">
        <v>65</v>
      </c>
      <c r="AJ7" s="402"/>
      <c r="AK7" s="509"/>
      <c r="AL7" s="509"/>
      <c r="AM7" s="441"/>
      <c r="AN7" s="402" t="s">
        <v>11</v>
      </c>
      <c r="AT7" s="668"/>
      <c r="AU7" s="788"/>
      <c r="BA7" s="403"/>
      <c r="BB7" s="403"/>
      <c r="BC7" s="403"/>
      <c r="BD7" s="403"/>
    </row>
    <row r="8" spans="2:56" s="501" customFormat="1" ht="5.15" customHeight="1" x14ac:dyDescent="0.4">
      <c r="B8" s="834"/>
      <c r="E8" s="851"/>
      <c r="F8" s="780"/>
      <c r="G8" s="789"/>
      <c r="H8" s="789"/>
      <c r="I8" s="789"/>
      <c r="J8" s="789"/>
      <c r="K8" s="789"/>
      <c r="L8" s="789"/>
      <c r="M8" s="789"/>
      <c r="N8" s="789"/>
      <c r="O8" s="789"/>
      <c r="P8" s="789"/>
      <c r="Q8" s="789"/>
      <c r="R8" s="789"/>
      <c r="S8" s="789"/>
      <c r="T8" s="789"/>
      <c r="U8" s="789"/>
      <c r="V8" s="789"/>
      <c r="W8" s="789"/>
      <c r="X8" s="789"/>
      <c r="Y8" s="789"/>
      <c r="Z8" s="668"/>
      <c r="AT8" s="668"/>
      <c r="AU8" s="788"/>
      <c r="BA8" s="403"/>
      <c r="BB8" s="403"/>
      <c r="BC8" s="403"/>
      <c r="BD8" s="403"/>
    </row>
    <row r="9" spans="2:56" s="509" customFormat="1" ht="20" x14ac:dyDescent="0.35">
      <c r="B9" s="515"/>
      <c r="D9" s="511" t="s">
        <v>151</v>
      </c>
      <c r="E9" s="520" t="s">
        <v>1053</v>
      </c>
      <c r="F9" s="513"/>
      <c r="G9" s="513"/>
      <c r="H9" s="513"/>
      <c r="I9" s="513"/>
      <c r="J9" s="513"/>
      <c r="K9" s="513"/>
      <c r="L9" s="513"/>
      <c r="M9" s="513"/>
      <c r="N9" s="513"/>
      <c r="O9" s="513"/>
      <c r="P9" s="513"/>
      <c r="Q9" s="513"/>
      <c r="R9" s="513"/>
      <c r="S9" s="513"/>
      <c r="T9" s="513"/>
      <c r="U9" s="513"/>
      <c r="AF9" s="425"/>
      <c r="AG9" s="402"/>
      <c r="AH9" s="425"/>
      <c r="AI9" s="402"/>
      <c r="AJ9" s="402"/>
      <c r="AM9" s="425"/>
      <c r="AN9" s="402"/>
      <c r="AT9" s="402"/>
      <c r="AU9" s="879"/>
      <c r="BA9" s="402"/>
      <c r="BB9" s="402"/>
      <c r="BC9" s="402"/>
      <c r="BD9" s="402"/>
    </row>
    <row r="10" spans="2:56" s="509" customFormat="1" ht="20" x14ac:dyDescent="0.35">
      <c r="B10" s="515"/>
      <c r="E10" s="511" t="s">
        <v>606</v>
      </c>
      <c r="F10" s="2618" t="s">
        <v>1054</v>
      </c>
      <c r="G10" s="2618"/>
      <c r="H10" s="2618"/>
      <c r="I10" s="2618"/>
      <c r="J10" s="2618"/>
      <c r="K10" s="2618"/>
      <c r="L10" s="2618"/>
      <c r="M10" s="2618"/>
      <c r="N10" s="2618"/>
      <c r="O10" s="2618"/>
      <c r="P10" s="2618"/>
      <c r="Q10" s="2618"/>
      <c r="R10" s="2618"/>
      <c r="S10" s="2618"/>
      <c r="T10" s="2618"/>
      <c r="U10" s="2618"/>
      <c r="V10" s="2618"/>
      <c r="W10" s="2618"/>
      <c r="X10" s="2618"/>
      <c r="Y10" s="2618"/>
      <c r="Z10" s="2618"/>
      <c r="AA10" s="2618"/>
      <c r="AB10" s="2618"/>
      <c r="AC10" s="2618"/>
      <c r="AD10" s="2618"/>
      <c r="AF10" s="425"/>
      <c r="AG10" s="402"/>
      <c r="AH10" s="441" t="b">
        <v>0</v>
      </c>
      <c r="AI10" s="402" t="s">
        <v>65</v>
      </c>
      <c r="AJ10" s="402"/>
      <c r="AM10" s="441"/>
      <c r="AN10" s="402" t="s">
        <v>11</v>
      </c>
      <c r="AU10" s="879"/>
      <c r="BA10" s="402"/>
      <c r="BB10" s="402"/>
      <c r="BC10" s="402"/>
      <c r="BD10" s="402"/>
    </row>
    <row r="11" spans="2:56" s="509" customFormat="1" ht="20" x14ac:dyDescent="0.35">
      <c r="B11" s="515"/>
      <c r="E11" s="511" t="s">
        <v>607</v>
      </c>
      <c r="F11" s="2618" t="s">
        <v>1055</v>
      </c>
      <c r="G11" s="2618"/>
      <c r="H11" s="2618"/>
      <c r="I11" s="2618"/>
      <c r="J11" s="2618"/>
      <c r="K11" s="2618"/>
      <c r="L11" s="2618"/>
      <c r="M11" s="2618"/>
      <c r="N11" s="2618"/>
      <c r="O11" s="2618"/>
      <c r="P11" s="2618"/>
      <c r="Q11" s="2618"/>
      <c r="R11" s="2618"/>
      <c r="S11" s="2618"/>
      <c r="T11" s="2618"/>
      <c r="U11" s="2618"/>
      <c r="V11" s="2618"/>
      <c r="W11" s="2618"/>
      <c r="X11" s="2618"/>
      <c r="Y11" s="2618"/>
      <c r="Z11" s="2618"/>
      <c r="AA11" s="2618"/>
      <c r="AB11" s="2618"/>
      <c r="AC11" s="2618"/>
      <c r="AD11" s="2618"/>
      <c r="AF11" s="425"/>
      <c r="AG11" s="402"/>
      <c r="AH11" s="441" t="b">
        <v>0</v>
      </c>
      <c r="AI11" s="402" t="s">
        <v>65</v>
      </c>
      <c r="AJ11" s="402"/>
      <c r="AM11" s="441"/>
      <c r="AN11" s="402" t="s">
        <v>11</v>
      </c>
      <c r="AU11" s="879"/>
      <c r="BA11" s="402"/>
      <c r="BB11" s="402"/>
      <c r="BC11" s="402"/>
      <c r="BD11" s="402"/>
    </row>
    <row r="12" spans="2:56" s="501" customFormat="1" ht="5.15" customHeight="1" x14ac:dyDescent="0.4">
      <c r="B12" s="834"/>
      <c r="E12" s="851"/>
      <c r="F12" s="780"/>
      <c r="G12" s="789"/>
      <c r="H12" s="789"/>
      <c r="I12" s="789"/>
      <c r="J12" s="789"/>
      <c r="K12" s="789"/>
      <c r="L12" s="789"/>
      <c r="M12" s="789"/>
      <c r="N12" s="789"/>
      <c r="O12" s="789"/>
      <c r="P12" s="789"/>
      <c r="Q12" s="789"/>
      <c r="R12" s="789"/>
      <c r="S12" s="789"/>
      <c r="T12" s="789"/>
      <c r="U12" s="789"/>
      <c r="V12" s="789"/>
      <c r="W12" s="789"/>
      <c r="X12" s="789"/>
      <c r="Y12" s="789"/>
      <c r="Z12" s="668"/>
      <c r="AT12" s="668"/>
      <c r="AU12" s="788"/>
      <c r="BA12" s="403"/>
      <c r="BB12" s="403"/>
      <c r="BC12" s="403"/>
      <c r="BD12" s="403"/>
    </row>
    <row r="13" spans="2:56" s="501" customFormat="1" ht="20" x14ac:dyDescent="0.4">
      <c r="B13" s="834"/>
      <c r="D13" s="851" t="s">
        <v>152</v>
      </c>
      <c r="E13" s="780" t="s">
        <v>624</v>
      </c>
      <c r="F13" s="789"/>
      <c r="G13" s="789"/>
      <c r="H13" s="789"/>
      <c r="I13" s="789"/>
      <c r="J13" s="789"/>
      <c r="K13" s="789"/>
      <c r="L13" s="789"/>
      <c r="M13" s="789"/>
      <c r="N13" s="789"/>
      <c r="O13" s="789"/>
      <c r="P13" s="789"/>
      <c r="Q13" s="789"/>
      <c r="R13" s="789"/>
      <c r="S13" s="789"/>
      <c r="T13" s="789"/>
      <c r="U13" s="789"/>
      <c r="V13" s="789"/>
      <c r="W13" s="789"/>
      <c r="X13" s="789"/>
      <c r="Y13" s="789"/>
      <c r="Z13" s="668"/>
      <c r="AF13" s="668"/>
      <c r="AG13" s="403"/>
      <c r="AH13" s="668"/>
      <c r="AI13" s="403"/>
      <c r="AJ13" s="403"/>
      <c r="AM13" s="668"/>
      <c r="AN13" s="403"/>
      <c r="AT13" s="403"/>
      <c r="AU13" s="788"/>
      <c r="BA13" s="403"/>
      <c r="BB13" s="403"/>
      <c r="BC13" s="403"/>
      <c r="BD13" s="403"/>
    </row>
    <row r="14" spans="2:56" s="509" customFormat="1" ht="26.25" customHeight="1" x14ac:dyDescent="0.35">
      <c r="B14" s="515"/>
      <c r="E14" s="511" t="s">
        <v>639</v>
      </c>
      <c r="F14" s="520" t="s">
        <v>12731</v>
      </c>
      <c r="G14" s="513"/>
      <c r="H14" s="513"/>
      <c r="I14" s="513"/>
      <c r="J14" s="513"/>
      <c r="K14" s="513"/>
      <c r="L14" s="513"/>
      <c r="M14" s="513"/>
      <c r="N14" s="513"/>
      <c r="O14" s="513"/>
      <c r="P14" s="513"/>
      <c r="Q14" s="513"/>
      <c r="R14" s="513"/>
      <c r="S14" s="513"/>
      <c r="T14" s="513"/>
      <c r="U14" s="513"/>
      <c r="V14" s="513"/>
      <c r="W14" s="402"/>
      <c r="Z14" s="402"/>
      <c r="AD14" s="425"/>
      <c r="AF14" s="403"/>
      <c r="AH14" s="2944">
        <v>0</v>
      </c>
      <c r="AI14" s="2944"/>
      <c r="AJ14" s="2944"/>
      <c r="AK14" s="2944"/>
      <c r="AL14" s="2944"/>
      <c r="AM14" s="2944"/>
      <c r="AN14" s="2944"/>
      <c r="AU14" s="879"/>
      <c r="BA14" s="402"/>
      <c r="BB14" s="402"/>
      <c r="BC14" s="402"/>
      <c r="BD14" s="402"/>
    </row>
    <row r="15" spans="2:56" s="501" customFormat="1" ht="51" customHeight="1" x14ac:dyDescent="0.4">
      <c r="B15" s="834"/>
      <c r="E15" s="525" t="s">
        <v>640</v>
      </c>
      <c r="F15" s="2619" t="s">
        <v>630</v>
      </c>
      <c r="G15" s="2619"/>
      <c r="H15" s="2619"/>
      <c r="I15" s="2619"/>
      <c r="J15" s="2619"/>
      <c r="K15" s="2619"/>
      <c r="L15" s="2619"/>
      <c r="M15" s="2619"/>
      <c r="N15" s="2619"/>
      <c r="O15" s="2619"/>
      <c r="P15" s="2619"/>
      <c r="Q15" s="2619"/>
      <c r="R15" s="2619"/>
      <c r="S15" s="2619"/>
      <c r="T15" s="2619"/>
      <c r="U15" s="2619"/>
      <c r="V15" s="2619"/>
      <c r="W15" s="2619"/>
      <c r="X15" s="2619"/>
      <c r="Y15" s="2619"/>
      <c r="Z15" s="2619"/>
      <c r="AA15" s="2619"/>
      <c r="AB15" s="2619"/>
      <c r="AC15" s="2619"/>
      <c r="AD15" s="2619"/>
      <c r="AF15" s="403"/>
      <c r="AH15" s="2944">
        <v>0</v>
      </c>
      <c r="AI15" s="2944"/>
      <c r="AJ15" s="2944"/>
      <c r="AK15" s="2944"/>
      <c r="AL15" s="2944"/>
      <c r="AM15" s="2944"/>
      <c r="AN15" s="2944"/>
      <c r="AU15" s="788"/>
      <c r="BA15" s="403"/>
      <c r="BB15" s="403"/>
      <c r="BC15" s="403"/>
      <c r="BD15" s="403"/>
    </row>
    <row r="16" spans="2:56" s="501" customFormat="1" ht="50" customHeight="1" x14ac:dyDescent="0.4">
      <c r="B16" s="834"/>
      <c r="E16" s="525" t="s">
        <v>641</v>
      </c>
      <c r="F16" s="2619" t="s">
        <v>631</v>
      </c>
      <c r="G16" s="2619"/>
      <c r="H16" s="2619"/>
      <c r="I16" s="2619"/>
      <c r="J16" s="2619"/>
      <c r="K16" s="2619"/>
      <c r="L16" s="2619"/>
      <c r="M16" s="2619"/>
      <c r="N16" s="2619"/>
      <c r="O16" s="2619"/>
      <c r="P16" s="2619"/>
      <c r="Q16" s="2619"/>
      <c r="R16" s="2619"/>
      <c r="S16" s="2619"/>
      <c r="T16" s="2619"/>
      <c r="U16" s="2619"/>
      <c r="V16" s="2619"/>
      <c r="W16" s="2619"/>
      <c r="X16" s="2619"/>
      <c r="Y16" s="2619"/>
      <c r="Z16" s="2619"/>
      <c r="AA16" s="2619"/>
      <c r="AB16" s="2619"/>
      <c r="AC16" s="2619"/>
      <c r="AD16" s="2619"/>
      <c r="AF16" s="403"/>
      <c r="AH16" s="3119">
        <v>0</v>
      </c>
      <c r="AI16" s="3119"/>
      <c r="AJ16" s="3119"/>
      <c r="AK16" s="3119"/>
      <c r="AL16" s="3119"/>
      <c r="AM16" s="3119"/>
      <c r="AN16" s="3119"/>
      <c r="AU16" s="788"/>
      <c r="BA16" s="403"/>
      <c r="BB16" s="403"/>
      <c r="BC16" s="403"/>
      <c r="BD16" s="403"/>
    </row>
    <row r="17" spans="2:59" s="501" customFormat="1" ht="5.15" customHeight="1" x14ac:dyDescent="0.4">
      <c r="B17" s="834"/>
      <c r="E17" s="851"/>
      <c r="F17" s="780"/>
      <c r="G17" s="789"/>
      <c r="H17" s="789"/>
      <c r="I17" s="789"/>
      <c r="J17" s="789"/>
      <c r="K17" s="789"/>
      <c r="L17" s="789"/>
      <c r="M17" s="789"/>
      <c r="N17" s="789"/>
      <c r="O17" s="789"/>
      <c r="P17" s="789"/>
      <c r="Q17" s="789"/>
      <c r="R17" s="789"/>
      <c r="S17" s="789"/>
      <c r="T17" s="789"/>
      <c r="U17" s="789"/>
      <c r="V17" s="789"/>
      <c r="W17" s="789"/>
      <c r="X17" s="789"/>
      <c r="Y17" s="789"/>
      <c r="Z17" s="668"/>
      <c r="AT17" s="668"/>
      <c r="AU17" s="788"/>
      <c r="BA17" s="403"/>
      <c r="BB17" s="403"/>
      <c r="BC17" s="403"/>
      <c r="BD17" s="403"/>
    </row>
    <row r="18" spans="2:59" s="501" customFormat="1" ht="20" x14ac:dyDescent="0.4">
      <c r="B18" s="834"/>
      <c r="D18" s="851" t="s">
        <v>155</v>
      </c>
      <c r="E18" s="780" t="s">
        <v>991</v>
      </c>
      <c r="F18" s="789"/>
      <c r="G18" s="789"/>
      <c r="H18" s="789"/>
      <c r="I18" s="789"/>
      <c r="J18" s="789"/>
      <c r="K18" s="789"/>
      <c r="L18" s="789"/>
      <c r="M18" s="789"/>
      <c r="N18" s="789"/>
      <c r="O18" s="789"/>
      <c r="P18" s="789"/>
      <c r="Q18" s="789"/>
      <c r="R18" s="789"/>
      <c r="S18" s="789"/>
      <c r="T18" s="789"/>
      <c r="U18" s="789"/>
      <c r="V18" s="789"/>
      <c r="W18" s="789"/>
      <c r="X18" s="789"/>
      <c r="Y18" s="789"/>
      <c r="Z18" s="668"/>
      <c r="AF18" s="668"/>
      <c r="AG18" s="403"/>
      <c r="AH18" s="668"/>
      <c r="AI18" s="403"/>
      <c r="AJ18" s="403"/>
      <c r="AM18" s="668"/>
      <c r="AN18" s="403"/>
      <c r="AT18" s="403"/>
      <c r="AU18" s="788"/>
      <c r="BA18" s="403"/>
      <c r="BB18" s="403"/>
      <c r="BC18" s="403"/>
      <c r="BD18" s="403"/>
    </row>
    <row r="19" spans="2:59" s="509" customFormat="1" ht="20" x14ac:dyDescent="0.35">
      <c r="B19" s="515"/>
      <c r="E19" s="511" t="s">
        <v>992</v>
      </c>
      <c r="F19" s="520" t="s">
        <v>1259</v>
      </c>
      <c r="G19" s="513"/>
      <c r="H19" s="513"/>
      <c r="I19" s="513"/>
      <c r="J19" s="513"/>
      <c r="K19" s="513"/>
      <c r="L19" s="513"/>
      <c r="M19" s="513"/>
      <c r="N19" s="513"/>
      <c r="O19" s="513"/>
      <c r="P19" s="513"/>
      <c r="Q19" s="513"/>
      <c r="R19" s="513"/>
      <c r="S19" s="513"/>
      <c r="T19" s="513"/>
      <c r="U19" s="513"/>
      <c r="V19" s="513"/>
      <c r="W19" s="402"/>
      <c r="Z19" s="402"/>
      <c r="AD19" s="425"/>
      <c r="AF19" s="403"/>
      <c r="AH19" s="2526"/>
      <c r="AI19" s="2526"/>
      <c r="AJ19" s="2526"/>
      <c r="AK19" s="2526"/>
      <c r="AL19" s="2526"/>
      <c r="AM19" s="2526"/>
      <c r="AN19" s="2526"/>
      <c r="AU19" s="879"/>
      <c r="BA19" s="402"/>
      <c r="BB19" s="402"/>
      <c r="BC19" s="402"/>
      <c r="BD19" s="402"/>
    </row>
    <row r="20" spans="2:59" s="501" customFormat="1" ht="20" x14ac:dyDescent="0.4">
      <c r="B20" s="834"/>
      <c r="D20" s="851"/>
      <c r="E20" s="780"/>
      <c r="F20" s="499" t="b">
        <v>0</v>
      </c>
      <c r="G20" s="402" t="s">
        <v>1242</v>
      </c>
      <c r="H20" s="789"/>
      <c r="I20" s="789"/>
      <c r="J20" s="789"/>
      <c r="K20" s="789"/>
      <c r="L20" s="789"/>
      <c r="M20" s="789"/>
      <c r="N20" s="789"/>
      <c r="O20" s="789"/>
      <c r="P20" s="789"/>
      <c r="Q20" s="789"/>
      <c r="R20" s="789"/>
      <c r="S20" s="789"/>
      <c r="T20" s="789"/>
      <c r="U20" s="789"/>
      <c r="V20" s="789"/>
      <c r="W20" s="789"/>
      <c r="X20" s="789"/>
      <c r="Y20" s="789"/>
      <c r="Z20" s="499" t="b">
        <v>0</v>
      </c>
      <c r="AA20" s="402" t="s">
        <v>1244</v>
      </c>
      <c r="AC20" s="789"/>
      <c r="AF20" s="668"/>
      <c r="AG20" s="403"/>
      <c r="AH20" s="668"/>
      <c r="AI20" s="403"/>
      <c r="AJ20" s="403"/>
      <c r="AM20" s="668"/>
      <c r="AN20" s="403"/>
      <c r="AT20" s="403"/>
      <c r="AU20" s="788"/>
      <c r="BA20" s="403"/>
      <c r="BB20" s="403"/>
      <c r="BC20" s="403"/>
      <c r="BD20" s="403"/>
    </row>
    <row r="21" spans="2:59" s="501" customFormat="1" ht="20" x14ac:dyDescent="0.4">
      <c r="B21" s="834"/>
      <c r="D21" s="851"/>
      <c r="E21" s="780"/>
      <c r="F21" s="499" t="b">
        <v>0</v>
      </c>
      <c r="G21" s="402" t="s">
        <v>1243</v>
      </c>
      <c r="H21" s="789"/>
      <c r="I21" s="789"/>
      <c r="J21" s="789"/>
      <c r="K21" s="789"/>
      <c r="L21" s="789"/>
      <c r="M21" s="789"/>
      <c r="N21" s="789"/>
      <c r="O21" s="789"/>
      <c r="P21" s="789"/>
      <c r="Q21" s="789"/>
      <c r="R21" s="789"/>
      <c r="S21" s="789"/>
      <c r="T21" s="789"/>
      <c r="U21" s="789"/>
      <c r="V21" s="789"/>
      <c r="W21" s="789"/>
      <c r="X21" s="789"/>
      <c r="Y21" s="789"/>
      <c r="Z21" s="499" t="b">
        <v>0</v>
      </c>
      <c r="AA21" s="402" t="s">
        <v>1245</v>
      </c>
      <c r="AC21" s="789"/>
      <c r="AF21" s="668"/>
      <c r="AG21" s="403"/>
      <c r="AH21" s="668"/>
      <c r="AI21" s="403"/>
      <c r="AJ21" s="403"/>
      <c r="AM21" s="668"/>
      <c r="AN21" s="403"/>
      <c r="AT21" s="403"/>
      <c r="AU21" s="788"/>
      <c r="BA21" s="403"/>
      <c r="BB21" s="403"/>
      <c r="BC21" s="403"/>
      <c r="BD21" s="403"/>
    </row>
    <row r="22" spans="2:59" s="501" customFormat="1" ht="5.15" customHeight="1" x14ac:dyDescent="0.4">
      <c r="B22" s="834"/>
      <c r="E22" s="851"/>
      <c r="F22" s="780"/>
      <c r="G22" s="789"/>
      <c r="H22" s="789"/>
      <c r="I22" s="789"/>
      <c r="J22" s="789"/>
      <c r="K22" s="789"/>
      <c r="L22" s="789"/>
      <c r="M22" s="789"/>
      <c r="N22" s="789"/>
      <c r="O22" s="789"/>
      <c r="P22" s="789"/>
      <c r="Q22" s="789"/>
      <c r="R22" s="789"/>
      <c r="S22" s="789"/>
      <c r="T22" s="789"/>
      <c r="U22" s="789"/>
      <c r="V22" s="789"/>
      <c r="W22" s="789"/>
      <c r="X22" s="789"/>
      <c r="Y22" s="789"/>
      <c r="Z22" s="668"/>
      <c r="AT22" s="668"/>
      <c r="AU22" s="788"/>
      <c r="BA22" s="403"/>
      <c r="BB22" s="403"/>
      <c r="BC22" s="403"/>
      <c r="BD22" s="403"/>
    </row>
    <row r="23" spans="2:59" s="509" customFormat="1" ht="20" x14ac:dyDescent="0.35">
      <c r="B23" s="515"/>
      <c r="E23" s="511" t="s">
        <v>993</v>
      </c>
      <c r="F23" s="520" t="s">
        <v>994</v>
      </c>
      <c r="G23" s="513"/>
      <c r="H23" s="513"/>
      <c r="I23" s="513"/>
      <c r="J23" s="513"/>
      <c r="K23" s="513"/>
      <c r="L23" s="513"/>
      <c r="M23" s="513"/>
      <c r="N23" s="513"/>
      <c r="O23" s="513"/>
      <c r="P23" s="513"/>
      <c r="Q23" s="513"/>
      <c r="R23" s="513"/>
      <c r="S23" s="513"/>
      <c r="T23" s="513"/>
      <c r="U23" s="513"/>
      <c r="V23" s="513"/>
      <c r="W23" s="402"/>
      <c r="Z23" s="402"/>
      <c r="AD23" s="425"/>
      <c r="AF23" s="403"/>
      <c r="AH23" s="402"/>
      <c r="AI23" s="402"/>
      <c r="AJ23" s="402"/>
      <c r="AK23" s="402"/>
      <c r="AL23" s="402"/>
      <c r="AM23" s="402"/>
      <c r="AN23" s="402"/>
      <c r="AU23" s="879"/>
      <c r="BA23" s="402"/>
      <c r="BB23" s="402"/>
      <c r="BC23" s="402"/>
      <c r="BD23" s="402"/>
    </row>
    <row r="24" spans="2:59" s="509" customFormat="1" ht="6" customHeight="1" thickBot="1" x14ac:dyDescent="0.4">
      <c r="B24" s="515"/>
      <c r="E24" s="511"/>
      <c r="F24" s="520"/>
      <c r="G24" s="513"/>
      <c r="H24" s="513"/>
      <c r="I24" s="513"/>
      <c r="J24" s="513"/>
      <c r="K24" s="513"/>
      <c r="L24" s="513"/>
      <c r="M24" s="513"/>
      <c r="N24" s="513"/>
      <c r="O24" s="513"/>
      <c r="P24" s="513"/>
      <c r="Q24" s="513"/>
      <c r="R24" s="513"/>
      <c r="S24" s="513"/>
      <c r="T24" s="513"/>
      <c r="U24" s="513"/>
      <c r="V24" s="513"/>
      <c r="W24" s="402"/>
      <c r="Z24" s="402"/>
      <c r="AD24" s="425"/>
      <c r="AF24" s="403"/>
      <c r="AH24" s="402"/>
      <c r="AI24" s="402"/>
      <c r="AJ24" s="402"/>
      <c r="AK24" s="402"/>
      <c r="AL24" s="402"/>
      <c r="AM24" s="402"/>
      <c r="AN24" s="402"/>
      <c r="AU24" s="879"/>
      <c r="BA24" s="402"/>
      <c r="BB24" s="402"/>
      <c r="BC24" s="402"/>
      <c r="BD24" s="402"/>
    </row>
    <row r="25" spans="2:59" s="501" customFormat="1" ht="21" thickTop="1" thickBot="1" x14ac:dyDescent="0.45">
      <c r="B25" s="834"/>
      <c r="E25" s="852"/>
      <c r="F25" s="3239" t="s">
        <v>564</v>
      </c>
      <c r="G25" s="3240"/>
      <c r="H25" s="3240"/>
      <c r="I25" s="3240"/>
      <c r="J25" s="3240"/>
      <c r="K25" s="3240"/>
      <c r="L25" s="3240"/>
      <c r="M25" s="3240"/>
      <c r="N25" s="3241"/>
      <c r="O25" s="3245" t="s">
        <v>301</v>
      </c>
      <c r="P25" s="3246"/>
      <c r="Q25" s="3246"/>
      <c r="R25" s="3246"/>
      <c r="S25" s="3246"/>
      <c r="T25" s="3246"/>
      <c r="U25" s="3246"/>
      <c r="V25" s="3246"/>
      <c r="W25" s="3246"/>
      <c r="X25" s="3246"/>
      <c r="Y25" s="3246"/>
      <c r="Z25" s="3246"/>
      <c r="AA25" s="3246"/>
      <c r="AB25" s="3246"/>
      <c r="AC25" s="3246"/>
      <c r="AD25" s="3246"/>
      <c r="AE25" s="3246"/>
      <c r="AF25" s="3246"/>
      <c r="AG25" s="3246"/>
      <c r="AH25" s="3246"/>
      <c r="AI25" s="3246"/>
      <c r="AJ25" s="3246"/>
      <c r="AK25" s="3246"/>
      <c r="AL25" s="3246"/>
      <c r="AM25" s="3246"/>
      <c r="AN25" s="3246"/>
      <c r="AO25" s="3247"/>
      <c r="AP25" s="668"/>
      <c r="AQ25" s="668"/>
      <c r="AR25" s="668"/>
      <c r="AS25" s="668"/>
      <c r="AT25" s="668"/>
      <c r="AU25" s="788"/>
      <c r="BD25" s="403"/>
      <c r="BE25" s="403"/>
      <c r="BF25" s="403"/>
      <c r="BG25" s="403"/>
    </row>
    <row r="26" spans="2:59" s="501" customFormat="1" ht="17" customHeight="1" x14ac:dyDescent="0.4">
      <c r="B26" s="834"/>
      <c r="E26" s="852"/>
      <c r="F26" s="3242"/>
      <c r="G26" s="3243"/>
      <c r="H26" s="3243"/>
      <c r="I26" s="3243"/>
      <c r="J26" s="3243"/>
      <c r="K26" s="3243"/>
      <c r="L26" s="3243"/>
      <c r="M26" s="3243"/>
      <c r="N26" s="3244"/>
      <c r="O26" s="3313" t="s">
        <v>995</v>
      </c>
      <c r="P26" s="3243"/>
      <c r="Q26" s="3243"/>
      <c r="R26" s="3243"/>
      <c r="S26" s="3243"/>
      <c r="T26" s="3243"/>
      <c r="U26" s="3243"/>
      <c r="V26" s="3243"/>
      <c r="W26" s="3244"/>
      <c r="X26" s="3313" t="s">
        <v>996</v>
      </c>
      <c r="Y26" s="3243"/>
      <c r="Z26" s="3243"/>
      <c r="AA26" s="3243"/>
      <c r="AB26" s="3243"/>
      <c r="AC26" s="3243"/>
      <c r="AD26" s="3243"/>
      <c r="AE26" s="3243"/>
      <c r="AF26" s="3244"/>
      <c r="AG26" s="3313" t="s">
        <v>1001</v>
      </c>
      <c r="AH26" s="3243"/>
      <c r="AI26" s="3243"/>
      <c r="AJ26" s="3243"/>
      <c r="AK26" s="3243"/>
      <c r="AL26" s="3243"/>
      <c r="AM26" s="3243"/>
      <c r="AN26" s="3243"/>
      <c r="AO26" s="3316"/>
      <c r="AP26" s="668"/>
      <c r="AQ26" s="668"/>
      <c r="AR26" s="668"/>
      <c r="AS26" s="668"/>
      <c r="AT26" s="668"/>
      <c r="AU26" s="788"/>
      <c r="BD26" s="403"/>
      <c r="BE26" s="403"/>
      <c r="BF26" s="403"/>
      <c r="BG26" s="403"/>
    </row>
    <row r="27" spans="2:59" s="501" customFormat="1" ht="17" customHeight="1" x14ac:dyDescent="0.4">
      <c r="B27" s="834"/>
      <c r="E27" s="852"/>
      <c r="F27" s="3242"/>
      <c r="G27" s="3243"/>
      <c r="H27" s="3243"/>
      <c r="I27" s="3243"/>
      <c r="J27" s="3243"/>
      <c r="K27" s="3243"/>
      <c r="L27" s="3243"/>
      <c r="M27" s="3243"/>
      <c r="N27" s="3244"/>
      <c r="O27" s="3313"/>
      <c r="P27" s="3243"/>
      <c r="Q27" s="3243"/>
      <c r="R27" s="3243"/>
      <c r="S27" s="3243"/>
      <c r="T27" s="3243"/>
      <c r="U27" s="3243"/>
      <c r="V27" s="3243"/>
      <c r="W27" s="3244"/>
      <c r="X27" s="3313"/>
      <c r="Y27" s="3243"/>
      <c r="Z27" s="3243"/>
      <c r="AA27" s="3243"/>
      <c r="AB27" s="3243"/>
      <c r="AC27" s="3243"/>
      <c r="AD27" s="3243"/>
      <c r="AE27" s="3243"/>
      <c r="AF27" s="3244"/>
      <c r="AG27" s="3313"/>
      <c r="AH27" s="3243"/>
      <c r="AI27" s="3243"/>
      <c r="AJ27" s="3243"/>
      <c r="AK27" s="3243"/>
      <c r="AL27" s="3243"/>
      <c r="AM27" s="3243"/>
      <c r="AN27" s="3243"/>
      <c r="AO27" s="3316"/>
      <c r="AP27" s="668"/>
      <c r="AQ27" s="668"/>
      <c r="AR27" s="668"/>
      <c r="AS27" s="668"/>
      <c r="AT27" s="668"/>
      <c r="AU27" s="788"/>
      <c r="BD27" s="403"/>
      <c r="BE27" s="403"/>
      <c r="BF27" s="403"/>
      <c r="BG27" s="403"/>
    </row>
    <row r="28" spans="2:59" s="501" customFormat="1" ht="17" customHeight="1" thickBot="1" x14ac:dyDescent="0.45">
      <c r="B28" s="834"/>
      <c r="E28" s="852"/>
      <c r="F28" s="3242"/>
      <c r="G28" s="3243"/>
      <c r="H28" s="3243"/>
      <c r="I28" s="3243"/>
      <c r="J28" s="3243"/>
      <c r="K28" s="3243"/>
      <c r="L28" s="3243"/>
      <c r="M28" s="3243"/>
      <c r="N28" s="3244"/>
      <c r="O28" s="3313"/>
      <c r="P28" s="3243"/>
      <c r="Q28" s="3243"/>
      <c r="R28" s="3243"/>
      <c r="S28" s="3243"/>
      <c r="T28" s="3243"/>
      <c r="U28" s="3243"/>
      <c r="V28" s="3243"/>
      <c r="W28" s="3244"/>
      <c r="X28" s="3313"/>
      <c r="Y28" s="3243"/>
      <c r="Z28" s="3243"/>
      <c r="AA28" s="3243"/>
      <c r="AB28" s="3243"/>
      <c r="AC28" s="3243"/>
      <c r="AD28" s="3243"/>
      <c r="AE28" s="3243"/>
      <c r="AF28" s="3244"/>
      <c r="AG28" s="3313"/>
      <c r="AH28" s="3243"/>
      <c r="AI28" s="3243"/>
      <c r="AJ28" s="3243"/>
      <c r="AK28" s="3243"/>
      <c r="AL28" s="3243"/>
      <c r="AM28" s="3243"/>
      <c r="AN28" s="3243"/>
      <c r="AO28" s="3316"/>
      <c r="AP28" s="668"/>
      <c r="AQ28" s="668"/>
      <c r="AR28" s="668"/>
      <c r="AS28" s="668"/>
      <c r="AT28" s="668"/>
      <c r="AU28" s="788"/>
      <c r="BD28" s="403"/>
      <c r="BE28" s="403"/>
      <c r="BF28" s="403"/>
      <c r="BG28" s="403"/>
    </row>
    <row r="29" spans="2:59" s="501" customFormat="1" ht="25.5" customHeight="1" thickTop="1" x14ac:dyDescent="0.4">
      <c r="B29" s="834"/>
      <c r="E29" s="513"/>
      <c r="F29" s="840"/>
      <c r="G29" s="873"/>
      <c r="H29" s="873"/>
      <c r="I29" s="874" t="s">
        <v>1255</v>
      </c>
      <c r="J29" s="873"/>
      <c r="K29" s="873"/>
      <c r="L29" s="873"/>
      <c r="M29" s="873"/>
      <c r="N29" s="875"/>
      <c r="O29" s="3184">
        <v>0</v>
      </c>
      <c r="P29" s="3192"/>
      <c r="Q29" s="3192"/>
      <c r="R29" s="3192"/>
      <c r="S29" s="3192"/>
      <c r="T29" s="3192"/>
      <c r="U29" s="3192"/>
      <c r="V29" s="3192"/>
      <c r="W29" s="3254"/>
      <c r="X29" s="3184">
        <v>0</v>
      </c>
      <c r="Y29" s="3192"/>
      <c r="Z29" s="3192"/>
      <c r="AA29" s="3192"/>
      <c r="AB29" s="3192"/>
      <c r="AC29" s="3192"/>
      <c r="AD29" s="3192"/>
      <c r="AE29" s="3192"/>
      <c r="AF29" s="3254"/>
      <c r="AG29" s="3184">
        <v>0</v>
      </c>
      <c r="AH29" s="3192"/>
      <c r="AI29" s="3192"/>
      <c r="AJ29" s="3192"/>
      <c r="AK29" s="3192"/>
      <c r="AL29" s="3192"/>
      <c r="AM29" s="3192"/>
      <c r="AN29" s="3192"/>
      <c r="AO29" s="3271"/>
      <c r="AP29" s="668"/>
      <c r="AQ29" s="668"/>
      <c r="AR29" s="668"/>
      <c r="AS29" s="668"/>
      <c r="AT29" s="668"/>
      <c r="AU29" s="788"/>
      <c r="BD29" s="403"/>
      <c r="BE29" s="403"/>
      <c r="BF29" s="403"/>
      <c r="BG29" s="403"/>
    </row>
    <row r="30" spans="2:59" s="501" customFormat="1" ht="25.5" customHeight="1" x14ac:dyDescent="0.4">
      <c r="B30" s="834"/>
      <c r="E30" s="512"/>
      <c r="F30" s="843"/>
      <c r="G30" s="844"/>
      <c r="H30" s="844"/>
      <c r="I30" s="876" t="s">
        <v>1256</v>
      </c>
      <c r="J30" s="844"/>
      <c r="K30" s="844"/>
      <c r="L30" s="844"/>
      <c r="M30" s="844"/>
      <c r="N30" s="845"/>
      <c r="O30" s="3272">
        <v>0</v>
      </c>
      <c r="P30" s="3273"/>
      <c r="Q30" s="3273"/>
      <c r="R30" s="3273"/>
      <c r="S30" s="3273"/>
      <c r="T30" s="3273"/>
      <c r="U30" s="3273"/>
      <c r="V30" s="3273"/>
      <c r="W30" s="3291"/>
      <c r="X30" s="3272">
        <v>0</v>
      </c>
      <c r="Y30" s="3273"/>
      <c r="Z30" s="3273"/>
      <c r="AA30" s="3273"/>
      <c r="AB30" s="3273"/>
      <c r="AC30" s="3273"/>
      <c r="AD30" s="3273"/>
      <c r="AE30" s="3273"/>
      <c r="AF30" s="3291"/>
      <c r="AG30" s="3272">
        <v>0</v>
      </c>
      <c r="AH30" s="3273"/>
      <c r="AI30" s="3273"/>
      <c r="AJ30" s="3273"/>
      <c r="AK30" s="3273"/>
      <c r="AL30" s="3273"/>
      <c r="AM30" s="3273"/>
      <c r="AN30" s="3273"/>
      <c r="AO30" s="3274"/>
      <c r="AP30" s="668"/>
      <c r="AQ30" s="668"/>
      <c r="AR30" s="668"/>
      <c r="AS30" s="668"/>
      <c r="AT30" s="668"/>
      <c r="AU30" s="788"/>
      <c r="BD30" s="403"/>
      <c r="BE30" s="403"/>
      <c r="BF30" s="403"/>
      <c r="BG30" s="403"/>
    </row>
    <row r="31" spans="2:59" s="501" customFormat="1" ht="25.5" customHeight="1" x14ac:dyDescent="0.4">
      <c r="B31" s="834"/>
      <c r="E31" s="512"/>
      <c r="F31" s="843"/>
      <c r="G31" s="844"/>
      <c r="H31" s="844"/>
      <c r="I31" s="876" t="s">
        <v>1257</v>
      </c>
      <c r="J31" s="844"/>
      <c r="K31" s="844"/>
      <c r="L31" s="844"/>
      <c r="M31" s="844"/>
      <c r="N31" s="845"/>
      <c r="O31" s="3272">
        <v>0</v>
      </c>
      <c r="P31" s="3273"/>
      <c r="Q31" s="3273"/>
      <c r="R31" s="3273"/>
      <c r="S31" s="3273"/>
      <c r="T31" s="3273"/>
      <c r="U31" s="3273"/>
      <c r="V31" s="3273"/>
      <c r="W31" s="3291"/>
      <c r="X31" s="3272">
        <v>0</v>
      </c>
      <c r="Y31" s="3273"/>
      <c r="Z31" s="3273"/>
      <c r="AA31" s="3273"/>
      <c r="AB31" s="3273"/>
      <c r="AC31" s="3273"/>
      <c r="AD31" s="3273"/>
      <c r="AE31" s="3273"/>
      <c r="AF31" s="3291"/>
      <c r="AG31" s="3272">
        <v>0</v>
      </c>
      <c r="AH31" s="3273"/>
      <c r="AI31" s="3273"/>
      <c r="AJ31" s="3273"/>
      <c r="AK31" s="3273"/>
      <c r="AL31" s="3273"/>
      <c r="AM31" s="3273"/>
      <c r="AN31" s="3273"/>
      <c r="AO31" s="3274"/>
      <c r="AP31" s="668"/>
      <c r="AQ31" s="668"/>
      <c r="AR31" s="668"/>
      <c r="AS31" s="668"/>
      <c r="AT31" s="668"/>
      <c r="AU31" s="788"/>
      <c r="BD31" s="403"/>
      <c r="BE31" s="403"/>
      <c r="BF31" s="403"/>
      <c r="BG31" s="403"/>
    </row>
    <row r="32" spans="2:59" s="501" customFormat="1" ht="25.5" customHeight="1" thickBot="1" x14ac:dyDescent="0.45">
      <c r="B32" s="834"/>
      <c r="E32" s="512"/>
      <c r="F32" s="854"/>
      <c r="G32" s="855"/>
      <c r="H32" s="855"/>
      <c r="I32" s="877" t="s">
        <v>1258</v>
      </c>
      <c r="J32" s="855"/>
      <c r="K32" s="855"/>
      <c r="L32" s="855"/>
      <c r="M32" s="855"/>
      <c r="N32" s="856"/>
      <c r="O32" s="3215">
        <v>0</v>
      </c>
      <c r="P32" s="3187"/>
      <c r="Q32" s="3187"/>
      <c r="R32" s="3187"/>
      <c r="S32" s="3187"/>
      <c r="T32" s="3187"/>
      <c r="U32" s="3187"/>
      <c r="V32" s="3187"/>
      <c r="W32" s="3260"/>
      <c r="X32" s="3215">
        <v>0</v>
      </c>
      <c r="Y32" s="3187"/>
      <c r="Z32" s="3187"/>
      <c r="AA32" s="3187"/>
      <c r="AB32" s="3187"/>
      <c r="AC32" s="3187"/>
      <c r="AD32" s="3187"/>
      <c r="AE32" s="3187"/>
      <c r="AF32" s="3260"/>
      <c r="AG32" s="3215">
        <v>0</v>
      </c>
      <c r="AH32" s="3187"/>
      <c r="AI32" s="3187"/>
      <c r="AJ32" s="3187"/>
      <c r="AK32" s="3187"/>
      <c r="AL32" s="3187"/>
      <c r="AM32" s="3187"/>
      <c r="AN32" s="3187"/>
      <c r="AO32" s="3275"/>
      <c r="AP32" s="668"/>
      <c r="AQ32" s="668"/>
      <c r="AR32" s="668"/>
      <c r="AS32" s="668"/>
      <c r="AT32" s="668"/>
      <c r="AU32" s="788"/>
      <c r="BD32" s="403"/>
      <c r="BE32" s="403"/>
      <c r="BF32" s="403"/>
      <c r="BG32" s="403"/>
    </row>
    <row r="33" spans="2:59" s="869" customFormat="1" ht="25.5" customHeight="1" thickTop="1" thickBot="1" x14ac:dyDescent="0.45">
      <c r="B33" s="868"/>
      <c r="E33" s="418"/>
      <c r="F33" s="3276" t="s">
        <v>16</v>
      </c>
      <c r="G33" s="3277"/>
      <c r="H33" s="3277"/>
      <c r="I33" s="3277"/>
      <c r="J33" s="3277"/>
      <c r="K33" s="3277"/>
      <c r="L33" s="3277"/>
      <c r="M33" s="3277"/>
      <c r="N33" s="3278"/>
      <c r="O33" s="3279">
        <f>SUM(O29:W32)</f>
        <v>0</v>
      </c>
      <c r="P33" s="3280"/>
      <c r="Q33" s="3280"/>
      <c r="R33" s="3280"/>
      <c r="S33" s="3280"/>
      <c r="T33" s="3280"/>
      <c r="U33" s="3280"/>
      <c r="V33" s="3280"/>
      <c r="W33" s="3305"/>
      <c r="X33" s="3279">
        <f t="shared" ref="X33" si="0">SUM(X29:AF32)</f>
        <v>0</v>
      </c>
      <c r="Y33" s="3280"/>
      <c r="Z33" s="3280"/>
      <c r="AA33" s="3280"/>
      <c r="AB33" s="3280"/>
      <c r="AC33" s="3280"/>
      <c r="AD33" s="3280"/>
      <c r="AE33" s="3280"/>
      <c r="AF33" s="3305"/>
      <c r="AG33" s="3279">
        <f t="shared" ref="AG33" si="1">SUM(AG29:AO32)</f>
        <v>0</v>
      </c>
      <c r="AH33" s="3280"/>
      <c r="AI33" s="3280"/>
      <c r="AJ33" s="3280"/>
      <c r="AK33" s="3280"/>
      <c r="AL33" s="3280"/>
      <c r="AM33" s="3280"/>
      <c r="AN33" s="3280"/>
      <c r="AO33" s="3305"/>
      <c r="AP33" s="870"/>
      <c r="AQ33" s="870"/>
      <c r="AR33" s="870"/>
      <c r="AS33" s="870"/>
      <c r="AT33" s="870"/>
      <c r="AU33" s="871"/>
      <c r="BD33" s="761"/>
      <c r="BE33" s="761"/>
      <c r="BF33" s="761"/>
      <c r="BG33" s="761"/>
    </row>
    <row r="34" spans="2:59" s="501" customFormat="1" ht="11.5" customHeight="1" thickTop="1" x14ac:dyDescent="0.4">
      <c r="B34" s="834"/>
      <c r="E34" s="851"/>
      <c r="F34" s="780"/>
      <c r="G34" s="789"/>
      <c r="H34" s="789"/>
      <c r="I34" s="789"/>
      <c r="J34" s="789"/>
      <c r="K34" s="789"/>
      <c r="L34" s="789"/>
      <c r="M34" s="789"/>
      <c r="N34" s="789"/>
      <c r="O34" s="789"/>
      <c r="P34" s="789"/>
      <c r="Q34" s="789"/>
      <c r="R34" s="789"/>
      <c r="S34" s="789"/>
      <c r="T34" s="789"/>
      <c r="U34" s="789"/>
      <c r="V34" s="789"/>
      <c r="W34" s="789"/>
      <c r="X34" s="789"/>
      <c r="Y34" s="789"/>
      <c r="Z34" s="668"/>
      <c r="AT34" s="668"/>
      <c r="AU34" s="788"/>
      <c r="BA34" s="403"/>
      <c r="BB34" s="403"/>
      <c r="BC34" s="403"/>
      <c r="BD34" s="403"/>
    </row>
    <row r="35" spans="2:59" s="509" customFormat="1" ht="20" x14ac:dyDescent="0.35">
      <c r="B35" s="515"/>
      <c r="E35" s="511" t="s">
        <v>997</v>
      </c>
      <c r="F35" s="520" t="s">
        <v>998</v>
      </c>
      <c r="G35" s="513"/>
      <c r="H35" s="513"/>
      <c r="I35" s="513"/>
      <c r="J35" s="513"/>
      <c r="K35" s="513"/>
      <c r="L35" s="513"/>
      <c r="M35" s="513"/>
      <c r="N35" s="513"/>
      <c r="O35" s="513"/>
      <c r="P35" s="513"/>
      <c r="Q35" s="513"/>
      <c r="R35" s="513"/>
      <c r="S35" s="513"/>
      <c r="T35" s="513"/>
      <c r="U35" s="513"/>
      <c r="V35" s="513"/>
      <c r="W35" s="402"/>
      <c r="Z35" s="402"/>
      <c r="AD35" s="425"/>
      <c r="AF35" s="403"/>
      <c r="AH35" s="402"/>
      <c r="AI35" s="402"/>
      <c r="AJ35" s="402"/>
      <c r="AK35" s="402"/>
      <c r="AL35" s="402"/>
      <c r="AM35" s="402"/>
      <c r="AN35" s="402"/>
      <c r="AO35" s="878"/>
      <c r="AU35" s="879"/>
      <c r="BA35" s="402"/>
      <c r="BB35" s="402"/>
      <c r="BC35" s="402"/>
      <c r="BD35" s="402"/>
    </row>
    <row r="36" spans="2:59" s="509" customFormat="1" ht="6" customHeight="1" thickBot="1" x14ac:dyDescent="0.4">
      <c r="B36" s="515"/>
      <c r="E36" s="511"/>
      <c r="F36" s="520"/>
      <c r="G36" s="513"/>
      <c r="H36" s="513"/>
      <c r="I36" s="513"/>
      <c r="J36" s="513"/>
      <c r="K36" s="513"/>
      <c r="L36" s="513"/>
      <c r="M36" s="513"/>
      <c r="N36" s="513"/>
      <c r="O36" s="513"/>
      <c r="P36" s="513"/>
      <c r="Q36" s="513"/>
      <c r="R36" s="513"/>
      <c r="S36" s="513"/>
      <c r="T36" s="513"/>
      <c r="U36" s="513"/>
      <c r="V36" s="513"/>
      <c r="W36" s="402"/>
      <c r="Z36" s="402"/>
      <c r="AD36" s="425"/>
      <c r="AF36" s="403"/>
      <c r="AH36" s="402"/>
      <c r="AI36" s="402"/>
      <c r="AJ36" s="402"/>
      <c r="AK36" s="402"/>
      <c r="AL36" s="402"/>
      <c r="AM36" s="402"/>
      <c r="AN36" s="402"/>
      <c r="AU36" s="879"/>
      <c r="BA36" s="402"/>
      <c r="BB36" s="402"/>
      <c r="BC36" s="402"/>
      <c r="BD36" s="402"/>
    </row>
    <row r="37" spans="2:59" s="501" customFormat="1" ht="21" thickTop="1" thickBot="1" x14ac:dyDescent="0.45">
      <c r="B37" s="834"/>
      <c r="E37" s="852"/>
      <c r="F37" s="3239" t="s">
        <v>564</v>
      </c>
      <c r="G37" s="3240"/>
      <c r="H37" s="3240"/>
      <c r="I37" s="3240"/>
      <c r="J37" s="3240"/>
      <c r="K37" s="3240"/>
      <c r="L37" s="3240"/>
      <c r="M37" s="3240"/>
      <c r="N37" s="3241"/>
      <c r="O37" s="3245" t="s">
        <v>1012</v>
      </c>
      <c r="P37" s="3246"/>
      <c r="Q37" s="3246"/>
      <c r="R37" s="3246"/>
      <c r="S37" s="3246"/>
      <c r="T37" s="3246"/>
      <c r="U37" s="3246"/>
      <c r="V37" s="3246"/>
      <c r="W37" s="3246"/>
      <c r="X37" s="3246"/>
      <c r="Y37" s="3246"/>
      <c r="Z37" s="3246"/>
      <c r="AA37" s="3246"/>
      <c r="AB37" s="3246"/>
      <c r="AC37" s="3246"/>
      <c r="AD37" s="3246"/>
      <c r="AE37" s="3246"/>
      <c r="AF37" s="3246"/>
      <c r="AG37" s="3246"/>
      <c r="AH37" s="3246"/>
      <c r="AI37" s="3246"/>
      <c r="AJ37" s="3246"/>
      <c r="AK37" s="3246"/>
      <c r="AL37" s="3246"/>
      <c r="AM37" s="3246"/>
      <c r="AN37" s="3246"/>
      <c r="AO37" s="3247"/>
      <c r="AP37" s="668"/>
      <c r="AQ37" s="668"/>
      <c r="AR37" s="668"/>
      <c r="AS37" s="668"/>
      <c r="AT37" s="668"/>
      <c r="AU37" s="788"/>
      <c r="BD37" s="403"/>
      <c r="BE37" s="403"/>
      <c r="BF37" s="403"/>
      <c r="BG37" s="403"/>
    </row>
    <row r="38" spans="2:59" s="501" customFormat="1" ht="17" customHeight="1" x14ac:dyDescent="0.4">
      <c r="B38" s="834"/>
      <c r="E38" s="852"/>
      <c r="F38" s="3242"/>
      <c r="G38" s="3243"/>
      <c r="H38" s="3243"/>
      <c r="I38" s="3243"/>
      <c r="J38" s="3243"/>
      <c r="K38" s="3243"/>
      <c r="L38" s="3243"/>
      <c r="M38" s="3243"/>
      <c r="N38" s="3244"/>
      <c r="O38" s="3313" t="s">
        <v>999</v>
      </c>
      <c r="P38" s="3243"/>
      <c r="Q38" s="3243"/>
      <c r="R38" s="3243"/>
      <c r="S38" s="3243"/>
      <c r="T38" s="3243"/>
      <c r="U38" s="3243"/>
      <c r="V38" s="3243"/>
      <c r="W38" s="3244"/>
      <c r="X38" s="3313" t="s">
        <v>1000</v>
      </c>
      <c r="Y38" s="3243"/>
      <c r="Z38" s="3243"/>
      <c r="AA38" s="3243"/>
      <c r="AB38" s="3243"/>
      <c r="AC38" s="3243"/>
      <c r="AD38" s="3243"/>
      <c r="AE38" s="3243"/>
      <c r="AF38" s="3244"/>
      <c r="AG38" s="3313" t="s">
        <v>1002</v>
      </c>
      <c r="AH38" s="3243"/>
      <c r="AI38" s="3243"/>
      <c r="AJ38" s="3243"/>
      <c r="AK38" s="3243"/>
      <c r="AL38" s="3243"/>
      <c r="AM38" s="3243"/>
      <c r="AN38" s="3243"/>
      <c r="AO38" s="3316"/>
      <c r="AP38" s="668"/>
      <c r="AQ38" s="668"/>
      <c r="AR38" s="668"/>
      <c r="AS38" s="668"/>
      <c r="AT38" s="668"/>
      <c r="AU38" s="788"/>
      <c r="BD38" s="403"/>
      <c r="BE38" s="403"/>
      <c r="BF38" s="403"/>
      <c r="BG38" s="403"/>
    </row>
    <row r="39" spans="2:59" s="501" customFormat="1" ht="17" customHeight="1" x14ac:dyDescent="0.4">
      <c r="B39" s="834"/>
      <c r="E39" s="852"/>
      <c r="F39" s="3242"/>
      <c r="G39" s="3243"/>
      <c r="H39" s="3243"/>
      <c r="I39" s="3243"/>
      <c r="J39" s="3243"/>
      <c r="K39" s="3243"/>
      <c r="L39" s="3243"/>
      <c r="M39" s="3243"/>
      <c r="N39" s="3244"/>
      <c r="O39" s="3313"/>
      <c r="P39" s="3243"/>
      <c r="Q39" s="3243"/>
      <c r="R39" s="3243"/>
      <c r="S39" s="3243"/>
      <c r="T39" s="3243"/>
      <c r="U39" s="3243"/>
      <c r="V39" s="3243"/>
      <c r="W39" s="3244"/>
      <c r="X39" s="3313"/>
      <c r="Y39" s="3243"/>
      <c r="Z39" s="3243"/>
      <c r="AA39" s="3243"/>
      <c r="AB39" s="3243"/>
      <c r="AC39" s="3243"/>
      <c r="AD39" s="3243"/>
      <c r="AE39" s="3243"/>
      <c r="AF39" s="3244"/>
      <c r="AG39" s="3313"/>
      <c r="AH39" s="3243"/>
      <c r="AI39" s="3243"/>
      <c r="AJ39" s="3243"/>
      <c r="AK39" s="3243"/>
      <c r="AL39" s="3243"/>
      <c r="AM39" s="3243"/>
      <c r="AN39" s="3243"/>
      <c r="AO39" s="3316"/>
      <c r="AP39" s="668"/>
      <c r="AQ39" s="668"/>
      <c r="AR39" s="668"/>
      <c r="AS39" s="668"/>
      <c r="AT39" s="668"/>
      <c r="AU39" s="788"/>
      <c r="BD39" s="403"/>
      <c r="BE39" s="403"/>
      <c r="BF39" s="403"/>
      <c r="BG39" s="403"/>
    </row>
    <row r="40" spans="2:59" s="501" customFormat="1" ht="17" customHeight="1" thickBot="1" x14ac:dyDescent="0.45">
      <c r="B40" s="834"/>
      <c r="E40" s="852"/>
      <c r="F40" s="3242"/>
      <c r="G40" s="3243"/>
      <c r="H40" s="3243"/>
      <c r="I40" s="3243"/>
      <c r="J40" s="3243"/>
      <c r="K40" s="3243"/>
      <c r="L40" s="3243"/>
      <c r="M40" s="3243"/>
      <c r="N40" s="3244"/>
      <c r="O40" s="3313"/>
      <c r="P40" s="3243"/>
      <c r="Q40" s="3243"/>
      <c r="R40" s="3243"/>
      <c r="S40" s="3243"/>
      <c r="T40" s="3243"/>
      <c r="U40" s="3243"/>
      <c r="V40" s="3243"/>
      <c r="W40" s="3244"/>
      <c r="X40" s="3313"/>
      <c r="Y40" s="3243"/>
      <c r="Z40" s="3243"/>
      <c r="AA40" s="3243"/>
      <c r="AB40" s="3243"/>
      <c r="AC40" s="3243"/>
      <c r="AD40" s="3243"/>
      <c r="AE40" s="3243"/>
      <c r="AF40" s="3244"/>
      <c r="AG40" s="3313"/>
      <c r="AH40" s="3243"/>
      <c r="AI40" s="3243"/>
      <c r="AJ40" s="3243"/>
      <c r="AK40" s="3243"/>
      <c r="AL40" s="3243"/>
      <c r="AM40" s="3243"/>
      <c r="AN40" s="3243"/>
      <c r="AO40" s="3316"/>
      <c r="AP40" s="668"/>
      <c r="AQ40" s="668"/>
      <c r="AR40" s="668"/>
      <c r="AS40" s="668"/>
      <c r="AT40" s="668"/>
      <c r="AU40" s="788"/>
      <c r="BD40" s="403"/>
      <c r="BE40" s="403"/>
      <c r="BF40" s="403"/>
      <c r="BG40" s="403"/>
    </row>
    <row r="41" spans="2:59" s="501" customFormat="1" ht="25.5" customHeight="1" thickTop="1" x14ac:dyDescent="0.4">
      <c r="B41" s="834"/>
      <c r="E41" s="513"/>
      <c r="F41" s="840"/>
      <c r="G41" s="873"/>
      <c r="H41" s="873"/>
      <c r="I41" s="874" t="s">
        <v>1255</v>
      </c>
      <c r="J41" s="873"/>
      <c r="K41" s="873"/>
      <c r="L41" s="873"/>
      <c r="M41" s="873"/>
      <c r="N41" s="875"/>
      <c r="O41" s="3184">
        <v>0</v>
      </c>
      <c r="P41" s="3192"/>
      <c r="Q41" s="3192"/>
      <c r="R41" s="3192"/>
      <c r="S41" s="3192"/>
      <c r="T41" s="3192"/>
      <c r="U41" s="3192"/>
      <c r="V41" s="3192"/>
      <c r="W41" s="3254"/>
      <c r="X41" s="3184">
        <v>0</v>
      </c>
      <c r="Y41" s="3192"/>
      <c r="Z41" s="3192"/>
      <c r="AA41" s="3192"/>
      <c r="AB41" s="3192"/>
      <c r="AC41" s="3192"/>
      <c r="AD41" s="3192"/>
      <c r="AE41" s="3192"/>
      <c r="AF41" s="3254"/>
      <c r="AG41" s="3184">
        <v>0</v>
      </c>
      <c r="AH41" s="3192"/>
      <c r="AI41" s="3192"/>
      <c r="AJ41" s="3192"/>
      <c r="AK41" s="3192"/>
      <c r="AL41" s="3192"/>
      <c r="AM41" s="3192"/>
      <c r="AN41" s="3192"/>
      <c r="AO41" s="3271"/>
      <c r="AP41" s="668"/>
      <c r="AQ41" s="668"/>
      <c r="AR41" s="668"/>
      <c r="AS41" s="668"/>
      <c r="AT41" s="668"/>
      <c r="AU41" s="788"/>
      <c r="BD41" s="403"/>
      <c r="BE41" s="403"/>
      <c r="BF41" s="403"/>
      <c r="BG41" s="403"/>
    </row>
    <row r="42" spans="2:59" s="501" customFormat="1" ht="25.5" customHeight="1" x14ac:dyDescent="0.4">
      <c r="B42" s="834"/>
      <c r="E42" s="512"/>
      <c r="F42" s="843"/>
      <c r="G42" s="844"/>
      <c r="H42" s="844"/>
      <c r="I42" s="876" t="s">
        <v>1256</v>
      </c>
      <c r="J42" s="844"/>
      <c r="K42" s="844"/>
      <c r="L42" s="844"/>
      <c r="M42" s="844"/>
      <c r="N42" s="845"/>
      <c r="O42" s="3272">
        <v>0</v>
      </c>
      <c r="P42" s="3273"/>
      <c r="Q42" s="3273"/>
      <c r="R42" s="3273"/>
      <c r="S42" s="3273"/>
      <c r="T42" s="3273"/>
      <c r="U42" s="3273"/>
      <c r="V42" s="3273"/>
      <c r="W42" s="3291"/>
      <c r="X42" s="3272">
        <v>0</v>
      </c>
      <c r="Y42" s="3273"/>
      <c r="Z42" s="3273"/>
      <c r="AA42" s="3273"/>
      <c r="AB42" s="3273"/>
      <c r="AC42" s="3273"/>
      <c r="AD42" s="3273"/>
      <c r="AE42" s="3273"/>
      <c r="AF42" s="3291"/>
      <c r="AG42" s="3272">
        <v>0</v>
      </c>
      <c r="AH42" s="3273"/>
      <c r="AI42" s="3273"/>
      <c r="AJ42" s="3273"/>
      <c r="AK42" s="3273"/>
      <c r="AL42" s="3273"/>
      <c r="AM42" s="3273"/>
      <c r="AN42" s="3273"/>
      <c r="AO42" s="3274"/>
      <c r="AP42" s="668"/>
      <c r="AQ42" s="668"/>
      <c r="AR42" s="668"/>
      <c r="AS42" s="668"/>
      <c r="AT42" s="668"/>
      <c r="AU42" s="788"/>
      <c r="BD42" s="403"/>
      <c r="BE42" s="403"/>
      <c r="BF42" s="403"/>
      <c r="BG42" s="403"/>
    </row>
    <row r="43" spans="2:59" s="501" customFormat="1" ht="25.5" customHeight="1" x14ac:dyDescent="0.4">
      <c r="B43" s="834"/>
      <c r="E43" s="512"/>
      <c r="F43" s="843"/>
      <c r="G43" s="844"/>
      <c r="H43" s="844"/>
      <c r="I43" s="876" t="s">
        <v>1257</v>
      </c>
      <c r="J43" s="844"/>
      <c r="K43" s="844"/>
      <c r="L43" s="844"/>
      <c r="M43" s="844"/>
      <c r="N43" s="845"/>
      <c r="O43" s="3272">
        <v>0</v>
      </c>
      <c r="P43" s="3273"/>
      <c r="Q43" s="3273"/>
      <c r="R43" s="3273"/>
      <c r="S43" s="3273"/>
      <c r="T43" s="3273"/>
      <c r="U43" s="3273"/>
      <c r="V43" s="3273"/>
      <c r="W43" s="3291"/>
      <c r="X43" s="3272">
        <v>0</v>
      </c>
      <c r="Y43" s="3273"/>
      <c r="Z43" s="3273"/>
      <c r="AA43" s="3273"/>
      <c r="AB43" s="3273"/>
      <c r="AC43" s="3273"/>
      <c r="AD43" s="3273"/>
      <c r="AE43" s="3273"/>
      <c r="AF43" s="3291"/>
      <c r="AG43" s="3272">
        <v>0</v>
      </c>
      <c r="AH43" s="3273"/>
      <c r="AI43" s="3273"/>
      <c r="AJ43" s="3273"/>
      <c r="AK43" s="3273"/>
      <c r="AL43" s="3273"/>
      <c r="AM43" s="3273"/>
      <c r="AN43" s="3273"/>
      <c r="AO43" s="3274"/>
      <c r="AP43" s="668"/>
      <c r="AQ43" s="668"/>
      <c r="AR43" s="668"/>
      <c r="AS43" s="668"/>
      <c r="AT43" s="668"/>
      <c r="AU43" s="788"/>
      <c r="BD43" s="403"/>
      <c r="BE43" s="403"/>
      <c r="BF43" s="403"/>
      <c r="BG43" s="403"/>
    </row>
    <row r="44" spans="2:59" s="501" customFormat="1" ht="25.5" customHeight="1" thickBot="1" x14ac:dyDescent="0.45">
      <c r="B44" s="834"/>
      <c r="E44" s="512"/>
      <c r="F44" s="854"/>
      <c r="G44" s="855"/>
      <c r="H44" s="855"/>
      <c r="I44" s="877" t="s">
        <v>1258</v>
      </c>
      <c r="J44" s="855"/>
      <c r="K44" s="855"/>
      <c r="L44" s="855"/>
      <c r="M44" s="855"/>
      <c r="N44" s="856"/>
      <c r="O44" s="3215">
        <v>0</v>
      </c>
      <c r="P44" s="3187"/>
      <c r="Q44" s="3187"/>
      <c r="R44" s="3187"/>
      <c r="S44" s="3187"/>
      <c r="T44" s="3187"/>
      <c r="U44" s="3187"/>
      <c r="V44" s="3187"/>
      <c r="W44" s="3260"/>
      <c r="X44" s="3215">
        <v>0</v>
      </c>
      <c r="Y44" s="3187"/>
      <c r="Z44" s="3187"/>
      <c r="AA44" s="3187"/>
      <c r="AB44" s="3187"/>
      <c r="AC44" s="3187"/>
      <c r="AD44" s="3187"/>
      <c r="AE44" s="3187"/>
      <c r="AF44" s="3260"/>
      <c r="AG44" s="3215">
        <v>0</v>
      </c>
      <c r="AH44" s="3187"/>
      <c r="AI44" s="3187"/>
      <c r="AJ44" s="3187"/>
      <c r="AK44" s="3187"/>
      <c r="AL44" s="3187"/>
      <c r="AM44" s="3187"/>
      <c r="AN44" s="3187"/>
      <c r="AO44" s="3275"/>
      <c r="AP44" s="668"/>
      <c r="AQ44" s="668"/>
      <c r="AR44" s="668"/>
      <c r="AS44" s="668"/>
      <c r="AT44" s="668"/>
      <c r="AU44" s="788"/>
      <c r="BD44" s="403"/>
      <c r="BE44" s="403"/>
      <c r="BF44" s="403"/>
      <c r="BG44" s="403"/>
    </row>
    <row r="45" spans="2:59" s="869" customFormat="1" ht="25.5" customHeight="1" thickTop="1" thickBot="1" x14ac:dyDescent="0.45">
      <c r="B45" s="868"/>
      <c r="E45" s="418"/>
      <c r="F45" s="3276" t="s">
        <v>16</v>
      </c>
      <c r="G45" s="3277"/>
      <c r="H45" s="3277"/>
      <c r="I45" s="3277"/>
      <c r="J45" s="3277"/>
      <c r="K45" s="3277"/>
      <c r="L45" s="3277"/>
      <c r="M45" s="3277"/>
      <c r="N45" s="3278"/>
      <c r="O45" s="3279">
        <f>SUM(O41:W44)</f>
        <v>0</v>
      </c>
      <c r="P45" s="3280"/>
      <c r="Q45" s="3280"/>
      <c r="R45" s="3280"/>
      <c r="S45" s="3280"/>
      <c r="T45" s="3280"/>
      <c r="U45" s="3280"/>
      <c r="V45" s="3280"/>
      <c r="W45" s="3305"/>
      <c r="X45" s="3279">
        <f t="shared" ref="X45" si="2">SUM(X41:AF44)</f>
        <v>0</v>
      </c>
      <c r="Y45" s="3280"/>
      <c r="Z45" s="3280"/>
      <c r="AA45" s="3280"/>
      <c r="AB45" s="3280"/>
      <c r="AC45" s="3280"/>
      <c r="AD45" s="3280"/>
      <c r="AE45" s="3280"/>
      <c r="AF45" s="3305"/>
      <c r="AG45" s="3279">
        <f t="shared" ref="AG45" si="3">SUM(AG41:AO44)</f>
        <v>0</v>
      </c>
      <c r="AH45" s="3280"/>
      <c r="AI45" s="3280"/>
      <c r="AJ45" s="3280"/>
      <c r="AK45" s="3280"/>
      <c r="AL45" s="3280"/>
      <c r="AM45" s="3280"/>
      <c r="AN45" s="3280"/>
      <c r="AO45" s="3305"/>
      <c r="AP45" s="870"/>
      <c r="AQ45" s="870"/>
      <c r="AR45" s="870"/>
      <c r="AS45" s="870"/>
      <c r="AT45" s="870"/>
      <c r="AU45" s="871"/>
      <c r="BD45" s="761"/>
      <c r="BE45" s="761"/>
      <c r="BF45" s="761"/>
      <c r="BG45" s="761"/>
    </row>
    <row r="46" spans="2:59" s="501" customFormat="1" ht="6" customHeight="1" thickTop="1" x14ac:dyDescent="0.4">
      <c r="B46" s="834"/>
      <c r="D46" s="849"/>
      <c r="E46" s="503"/>
      <c r="F46" s="503"/>
      <c r="G46" s="503"/>
      <c r="H46" s="503"/>
      <c r="I46" s="503"/>
      <c r="J46" s="503"/>
      <c r="K46" s="503"/>
      <c r="L46" s="503"/>
      <c r="M46" s="503"/>
      <c r="N46" s="668"/>
      <c r="P46" s="668"/>
      <c r="Q46" s="761"/>
      <c r="R46" s="403"/>
      <c r="U46" s="668"/>
      <c r="V46" s="761"/>
      <c r="W46" s="403"/>
      <c r="X46" s="403"/>
      <c r="Y46" s="403"/>
      <c r="Z46" s="403"/>
      <c r="AA46" s="403"/>
      <c r="AC46" s="668"/>
      <c r="AD46" s="668"/>
      <c r="AE46" s="668"/>
      <c r="AF46" s="668"/>
      <c r="AG46" s="668"/>
      <c r="AH46" s="668"/>
      <c r="AI46" s="668"/>
      <c r="AJ46" s="668"/>
      <c r="AK46" s="668"/>
      <c r="AL46" s="668"/>
      <c r="AM46" s="668"/>
      <c r="AN46" s="668"/>
      <c r="AO46" s="668"/>
      <c r="AP46" s="668"/>
      <c r="AQ46" s="668"/>
      <c r="AR46" s="668"/>
      <c r="AS46" s="668"/>
      <c r="AT46" s="668"/>
      <c r="AU46" s="788"/>
      <c r="BD46" s="403"/>
      <c r="BE46" s="403"/>
      <c r="BF46" s="403"/>
      <c r="BG46" s="403"/>
    </row>
    <row r="47" spans="2:59" s="501" customFormat="1" ht="11.25" customHeight="1" thickBot="1" x14ac:dyDescent="0.4">
      <c r="B47" s="532"/>
      <c r="C47" s="529"/>
      <c r="D47" s="529"/>
      <c r="E47" s="529"/>
      <c r="F47" s="778"/>
      <c r="G47" s="408"/>
      <c r="H47" s="408"/>
      <c r="I47" s="408"/>
      <c r="J47" s="408"/>
      <c r="K47" s="408"/>
      <c r="L47" s="408"/>
      <c r="M47" s="408"/>
      <c r="N47" s="408"/>
      <c r="O47" s="408"/>
      <c r="P47" s="408"/>
      <c r="Q47" s="408"/>
      <c r="R47" s="408"/>
      <c r="S47" s="408"/>
      <c r="T47" s="408"/>
      <c r="U47" s="408"/>
      <c r="V47" s="408"/>
      <c r="W47" s="408"/>
      <c r="X47" s="408"/>
      <c r="Y47" s="408"/>
      <c r="Z47" s="672"/>
      <c r="AA47" s="672"/>
      <c r="AB47" s="672"/>
      <c r="AC47" s="672"/>
      <c r="AD47" s="672"/>
      <c r="AE47" s="408"/>
      <c r="AF47" s="672"/>
      <c r="AG47" s="672"/>
      <c r="AH47" s="672"/>
      <c r="AI47" s="672"/>
      <c r="AJ47" s="672"/>
      <c r="AK47" s="672"/>
      <c r="AL47" s="408"/>
      <c r="AM47" s="408"/>
      <c r="AN47" s="408"/>
      <c r="AO47" s="408"/>
      <c r="AP47" s="408"/>
      <c r="AQ47" s="408"/>
      <c r="AR47" s="408"/>
      <c r="AS47" s="408"/>
      <c r="AT47" s="408"/>
      <c r="AU47" s="409"/>
    </row>
    <row r="48" spans="2:59" s="501" customFormat="1" ht="6" customHeight="1" thickTop="1" x14ac:dyDescent="0.4">
      <c r="D48" s="849"/>
      <c r="E48" s="503"/>
      <c r="F48" s="503"/>
      <c r="G48" s="503"/>
      <c r="H48" s="503"/>
      <c r="I48" s="503"/>
      <c r="J48" s="503"/>
      <c r="K48" s="503"/>
      <c r="L48" s="503"/>
      <c r="M48" s="503"/>
      <c r="N48" s="668"/>
      <c r="P48" s="668"/>
      <c r="Q48" s="761"/>
      <c r="R48" s="403"/>
      <c r="U48" s="668"/>
      <c r="V48" s="761"/>
      <c r="W48" s="403"/>
      <c r="X48" s="403"/>
      <c r="Y48" s="403"/>
      <c r="Z48" s="403"/>
      <c r="AA48" s="403"/>
      <c r="AC48" s="668"/>
      <c r="AD48" s="668"/>
      <c r="AE48" s="668"/>
      <c r="AF48" s="668"/>
      <c r="AG48" s="668"/>
      <c r="AH48" s="668"/>
      <c r="AI48" s="668"/>
      <c r="AJ48" s="668"/>
      <c r="AK48" s="668"/>
      <c r="AL48" s="668"/>
      <c r="AM48" s="668"/>
      <c r="AN48" s="668"/>
      <c r="AO48" s="668"/>
      <c r="AP48" s="668"/>
      <c r="AQ48" s="668"/>
      <c r="AR48" s="668"/>
      <c r="AS48" s="668"/>
      <c r="AT48" s="668"/>
      <c r="AU48" s="668"/>
      <c r="BD48" s="403"/>
      <c r="BE48" s="403"/>
      <c r="BF48" s="403"/>
      <c r="BG48" s="403"/>
    </row>
    <row r="49" spans="2:50" s="501" customFormat="1" ht="15.75" customHeight="1" x14ac:dyDescent="0.35">
      <c r="B49" s="872" t="s">
        <v>1260</v>
      </c>
      <c r="E49" s="864"/>
      <c r="F49" s="864"/>
      <c r="G49" s="864"/>
      <c r="H49" s="864"/>
      <c r="I49" s="864"/>
      <c r="J49" s="864"/>
      <c r="K49" s="864"/>
      <c r="L49" s="864"/>
      <c r="M49" s="864"/>
      <c r="N49" s="864"/>
      <c r="O49" s="864"/>
      <c r="P49" s="864"/>
      <c r="Q49" s="864"/>
      <c r="R49" s="864"/>
      <c r="S49" s="864"/>
      <c r="T49" s="864"/>
      <c r="U49" s="864"/>
      <c r="V49" s="864"/>
      <c r="W49" s="864"/>
      <c r="X49" s="864"/>
      <c r="Y49" s="864"/>
      <c r="Z49" s="864"/>
      <c r="AA49" s="864"/>
      <c r="AB49" s="864"/>
      <c r="AC49" s="864"/>
      <c r="AD49" s="864"/>
      <c r="AE49" s="864"/>
      <c r="AF49" s="864"/>
      <c r="AG49" s="864"/>
      <c r="AH49" s="864"/>
      <c r="AI49" s="864"/>
      <c r="AJ49" s="864"/>
      <c r="AK49" s="864"/>
      <c r="AL49" s="864"/>
      <c r="AM49" s="864"/>
      <c r="AN49" s="864"/>
      <c r="AO49" s="864"/>
      <c r="AP49" s="864"/>
      <c r="AQ49" s="864"/>
      <c r="AR49" s="864"/>
    </row>
    <row r="50" spans="2:50" s="44" customFormat="1" ht="30.75" customHeight="1" x14ac:dyDescent="0.35">
      <c r="W50" s="85"/>
      <c r="Y50" s="85"/>
      <c r="AA50" s="85"/>
      <c r="AB50" s="85"/>
      <c r="AC50" s="85"/>
      <c r="AE50" s="85"/>
      <c r="AG50" s="85"/>
    </row>
    <row r="51" spans="2:50" s="73" customFormat="1" ht="14" x14ac:dyDescent="0.3">
      <c r="B51" s="74" t="s">
        <v>913</v>
      </c>
      <c r="Q51" s="74" t="s">
        <v>908</v>
      </c>
      <c r="AI51" s="74" t="s">
        <v>922</v>
      </c>
    </row>
    <row r="52" spans="2:50" s="73" customFormat="1" ht="21.75" customHeight="1" x14ac:dyDescent="0.3">
      <c r="B52" s="74" t="s">
        <v>811</v>
      </c>
      <c r="F52" s="1482" t="str">
        <f>SchInfo!F38</f>
        <v>MELCHESIEDICK Q. BOLANIO/ March 17, 2023</v>
      </c>
      <c r="G52" s="1482"/>
      <c r="H52" s="1482"/>
      <c r="I52" s="1482"/>
      <c r="J52" s="1482"/>
      <c r="K52" s="1482"/>
      <c r="L52" s="1482"/>
      <c r="M52" s="1482"/>
      <c r="N52" s="1482"/>
      <c r="Q52" s="1482" t="str">
        <f>'Table33a-b'!R42</f>
        <v>RACQUEL N. ACOMPAÑADO</v>
      </c>
      <c r="R52" s="1482"/>
      <c r="S52" s="1482"/>
      <c r="T52" s="1482"/>
      <c r="U52" s="1482"/>
      <c r="V52" s="1482"/>
      <c r="W52" s="1482"/>
      <c r="X52" s="1482"/>
      <c r="Y52" s="1482"/>
      <c r="Z52" s="1482"/>
      <c r="AA52" s="1482"/>
      <c r="AB52" s="1482"/>
      <c r="AC52" s="1482"/>
      <c r="AD52" s="1482"/>
      <c r="AE52" s="1482"/>
      <c r="AF52" s="1482"/>
      <c r="AI52" s="1484" t="str">
        <f>SchInfo!R38</f>
        <v>MICHAEL T. JAMIS   /  March 17, 2023</v>
      </c>
      <c r="AJ52" s="1484"/>
      <c r="AK52" s="1484"/>
      <c r="AL52" s="1484"/>
      <c r="AM52" s="1484"/>
      <c r="AN52" s="1484"/>
      <c r="AO52" s="1484"/>
      <c r="AP52" s="1484"/>
      <c r="AQ52" s="1484"/>
      <c r="AR52" s="1484"/>
      <c r="AS52" s="1484"/>
      <c r="AT52" s="1484"/>
      <c r="AU52" s="1484"/>
      <c r="AV52" s="74"/>
      <c r="AW52" s="74"/>
      <c r="AX52" s="74"/>
    </row>
    <row r="53" spans="2:50" s="68" customFormat="1" ht="14" x14ac:dyDescent="0.3">
      <c r="B53" s="210"/>
      <c r="F53" s="1452" t="s">
        <v>779</v>
      </c>
      <c r="G53" s="1452"/>
      <c r="H53" s="1452"/>
      <c r="I53" s="1452"/>
      <c r="J53" s="1452"/>
      <c r="K53" s="1452"/>
      <c r="L53" s="1452"/>
      <c r="M53" s="1452"/>
      <c r="N53" s="1452"/>
      <c r="O53" s="64"/>
      <c r="P53" s="64"/>
      <c r="Q53" s="1452" t="s">
        <v>779</v>
      </c>
      <c r="R53" s="1452"/>
      <c r="S53" s="1452"/>
      <c r="T53" s="1452"/>
      <c r="U53" s="1452"/>
      <c r="V53" s="1452"/>
      <c r="W53" s="1452"/>
      <c r="X53" s="1452"/>
      <c r="Y53" s="1452"/>
      <c r="Z53" s="1452"/>
      <c r="AA53" s="1452"/>
      <c r="AB53" s="1452"/>
      <c r="AC53" s="1452"/>
      <c r="AD53" s="1452"/>
      <c r="AE53" s="1452"/>
      <c r="AF53" s="1452"/>
      <c r="AI53" s="1485"/>
      <c r="AJ53" s="1485"/>
      <c r="AK53" s="1485"/>
      <c r="AL53" s="1485"/>
      <c r="AM53" s="1485"/>
      <c r="AN53" s="1485"/>
      <c r="AO53" s="1485"/>
      <c r="AP53" s="1485"/>
      <c r="AQ53" s="1485"/>
      <c r="AR53" s="1485"/>
      <c r="AS53" s="1485"/>
      <c r="AT53" s="1485"/>
      <c r="AU53" s="1485"/>
      <c r="AV53" s="74"/>
      <c r="AW53" s="74"/>
      <c r="AX53" s="74"/>
    </row>
    <row r="54" spans="2:50" s="73" customFormat="1" ht="21.75" customHeight="1" x14ac:dyDescent="0.3">
      <c r="B54" s="74" t="s">
        <v>784</v>
      </c>
      <c r="F54" s="1482" t="str">
        <f>SchInfo!F40</f>
        <v>Principal IV</v>
      </c>
      <c r="G54" s="1482"/>
      <c r="H54" s="1482"/>
      <c r="I54" s="1482"/>
      <c r="J54" s="1482"/>
      <c r="K54" s="1482"/>
      <c r="L54" s="1482"/>
      <c r="M54" s="1482"/>
      <c r="N54" s="1482"/>
      <c r="Q54" s="74" t="s">
        <v>784</v>
      </c>
      <c r="U54" s="1482" t="str">
        <f>'Table33a-b'!V44</f>
        <v>Nurse II</v>
      </c>
      <c r="V54" s="1482"/>
      <c r="W54" s="1482"/>
      <c r="X54" s="1482"/>
      <c r="Y54" s="1482"/>
      <c r="Z54" s="1482"/>
      <c r="AA54" s="1482"/>
      <c r="AB54" s="1482"/>
      <c r="AC54" s="1482"/>
      <c r="AD54" s="1482"/>
      <c r="AE54" s="1482"/>
      <c r="AF54" s="1482"/>
      <c r="AI54" s="1452" t="s">
        <v>779</v>
      </c>
      <c r="AJ54" s="1452"/>
      <c r="AK54" s="1452"/>
      <c r="AL54" s="1452"/>
      <c r="AM54" s="1452"/>
      <c r="AN54" s="1452"/>
      <c r="AO54" s="1452"/>
      <c r="AP54" s="1452"/>
      <c r="AQ54" s="1452"/>
      <c r="AR54" s="1452"/>
      <c r="AS54" s="1452"/>
      <c r="AT54" s="1452"/>
      <c r="AU54" s="1452"/>
      <c r="AV54" s="172"/>
      <c r="AW54" s="172"/>
      <c r="AX54" s="172"/>
    </row>
    <row r="55" spans="2:50" x14ac:dyDescent="0.35">
      <c r="C55" s="765"/>
      <c r="D55" s="765"/>
      <c r="E55" s="765"/>
      <c r="F55" s="765"/>
      <c r="G55" s="765"/>
      <c r="H55" s="765"/>
      <c r="I55" s="765"/>
      <c r="J55" s="765"/>
      <c r="K55" s="765"/>
      <c r="L55" s="765"/>
      <c r="M55" s="765"/>
      <c r="N55" s="765"/>
      <c r="O55" s="765"/>
      <c r="P55" s="765"/>
      <c r="Q55" s="765"/>
      <c r="R55" s="765"/>
      <c r="S55" s="765"/>
      <c r="T55" s="765"/>
      <c r="U55" s="765"/>
      <c r="V55" s="765"/>
      <c r="AG55" s="765"/>
      <c r="AH55" s="765"/>
      <c r="AI55" s="765"/>
      <c r="AJ55" s="765"/>
      <c r="AK55" s="765"/>
    </row>
  </sheetData>
  <sheetProtection algorithmName="SHA-512" hashValue="fQb3q0JJtRPiHagHejcgZLNAu8OzYgf01dn/EfX1na6cBByQb9plJrLuXwjpwh6ToczXeP+pEbulwKUDzgyOkQ==" saltValue="uiQuK0Vn0+Jf0mABRuPkYg==" spinCount="100000" sheet="1" objects="1" scenarios="1"/>
  <mergeCells count="59">
    <mergeCell ref="O26:W28"/>
    <mergeCell ref="AG29:AO29"/>
    <mergeCell ref="AG30:AO30"/>
    <mergeCell ref="AG31:AO31"/>
    <mergeCell ref="AG33:AO33"/>
    <mergeCell ref="X29:AF29"/>
    <mergeCell ref="X30:AF30"/>
    <mergeCell ref="O32:W32"/>
    <mergeCell ref="X32:AF32"/>
    <mergeCell ref="AG32:AO32"/>
    <mergeCell ref="X33:AF33"/>
    <mergeCell ref="F7:AD7"/>
    <mergeCell ref="F11:AD11"/>
    <mergeCell ref="F10:AD10"/>
    <mergeCell ref="AH14:AN14"/>
    <mergeCell ref="F15:AD15"/>
    <mergeCell ref="AH15:AN15"/>
    <mergeCell ref="F16:AD16"/>
    <mergeCell ref="AH16:AN16"/>
    <mergeCell ref="F53:N53"/>
    <mergeCell ref="Q53:AF53"/>
    <mergeCell ref="AH19:AN19"/>
    <mergeCell ref="X26:AF28"/>
    <mergeCell ref="AG26:AO28"/>
    <mergeCell ref="O25:AO25"/>
    <mergeCell ref="F33:N33"/>
    <mergeCell ref="O31:W31"/>
    <mergeCell ref="O33:W33"/>
    <mergeCell ref="X31:AF31"/>
    <mergeCell ref="F25:N28"/>
    <mergeCell ref="O29:W29"/>
    <mergeCell ref="O30:W30"/>
    <mergeCell ref="O42:W42"/>
    <mergeCell ref="F45:N45"/>
    <mergeCell ref="O45:W45"/>
    <mergeCell ref="X45:AF45"/>
    <mergeCell ref="AI54:AU54"/>
    <mergeCell ref="AI52:AU53"/>
    <mergeCell ref="F54:N54"/>
    <mergeCell ref="F52:N52"/>
    <mergeCell ref="Q52:AF52"/>
    <mergeCell ref="U54:AF54"/>
    <mergeCell ref="AG45:AO45"/>
    <mergeCell ref="F37:N40"/>
    <mergeCell ref="O37:AO37"/>
    <mergeCell ref="O38:W40"/>
    <mergeCell ref="X38:AF40"/>
    <mergeCell ref="AG38:AO40"/>
    <mergeCell ref="O41:W41"/>
    <mergeCell ref="X41:AF41"/>
    <mergeCell ref="AG41:AO41"/>
    <mergeCell ref="AG44:AO44"/>
    <mergeCell ref="X42:AF42"/>
    <mergeCell ref="AG42:AO42"/>
    <mergeCell ref="O43:W43"/>
    <mergeCell ref="X43:AF43"/>
    <mergeCell ref="AG43:AO43"/>
    <mergeCell ref="X44:AF44"/>
    <mergeCell ref="O44:W44"/>
  </mergeCells>
  <dataValidations count="2">
    <dataValidation type="whole" allowBlank="1" showInputMessage="1" showErrorMessage="1" errorTitle="GJHSP SY 2022-2023" error="Please enter valid number between 0-999." sqref="O29:AO32 AH14:AN16" xr:uid="{75671FEC-522E-446D-B3FD-068529A60861}">
      <formula1>0</formula1>
      <formula2>999</formula2>
    </dataValidation>
    <dataValidation type="whole" allowBlank="1" showInputMessage="1" showErrorMessage="1" errorTitle="GJHSP SY 2022-2023" error="Please enter valid number between 0-20,000." sqref="O41:AO44" xr:uid="{3BE4ACE9-CD92-4A27-A0F0-520A85CDF960}">
      <formula1>0</formula1>
      <formula2>20000</formula2>
    </dataValidation>
  </dataValidations>
  <printOptions horizontalCentered="1" verticalCentered="1"/>
  <pageMargins left="0.23622047244094491" right="0.23622047244094491" top="0.19685039370078741" bottom="0.19685039370078741" header="0" footer="0.11811023622047245"/>
  <pageSetup paperSize="14" scale="55" orientation="landscape" r:id="rId1"/>
  <headerFooter alignWithMargins="0">
    <oddFooter>&amp;L&amp;10&amp;F &amp;A&amp;R&amp;10Page 36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67585" r:id="rId4" name="Check Box 1">
              <controlPr defaultSize="0" autoFill="0" autoLine="0" autoPict="0">
                <anchor moveWithCells="1">
                  <from>
                    <xdr:col>32</xdr:col>
                    <xdr:colOff>266700</xdr:colOff>
                    <xdr:row>5</xdr:row>
                    <xdr:rowOff>6350</xdr:rowOff>
                  </from>
                  <to>
                    <xdr:col>34</xdr:col>
                    <xdr:colOff>120650</xdr:colOff>
                    <xdr:row>5</xdr:row>
                    <xdr:rowOff>228600</xdr:rowOff>
                  </to>
                </anchor>
              </controlPr>
            </control>
          </mc:Choice>
        </mc:AlternateContent>
        <mc:AlternateContent xmlns:mc="http://schemas.openxmlformats.org/markup-compatibility/2006">
          <mc:Choice Requires="x14">
            <control shapeId="67586" r:id="rId5" name="Check Box 2">
              <controlPr defaultSize="0" autoFill="0" autoLine="0" autoPict="0">
                <anchor moveWithCells="1">
                  <from>
                    <xdr:col>37</xdr:col>
                    <xdr:colOff>266700</xdr:colOff>
                    <xdr:row>5</xdr:row>
                    <xdr:rowOff>6350</xdr:rowOff>
                  </from>
                  <to>
                    <xdr:col>39</xdr:col>
                    <xdr:colOff>120650</xdr:colOff>
                    <xdr:row>5</xdr:row>
                    <xdr:rowOff>228600</xdr:rowOff>
                  </to>
                </anchor>
              </controlPr>
            </control>
          </mc:Choice>
        </mc:AlternateContent>
        <mc:AlternateContent xmlns:mc="http://schemas.openxmlformats.org/markup-compatibility/2006">
          <mc:Choice Requires="x14">
            <control shapeId="67587" r:id="rId6" name="Check Box 3">
              <controlPr defaultSize="0" autoFill="0" autoLine="0" autoPict="0">
                <anchor moveWithCells="1">
                  <from>
                    <xdr:col>33</xdr:col>
                    <xdr:colOff>0</xdr:colOff>
                    <xdr:row>6</xdr:row>
                    <xdr:rowOff>69850</xdr:rowOff>
                  </from>
                  <to>
                    <xdr:col>34</xdr:col>
                    <xdr:colOff>127000</xdr:colOff>
                    <xdr:row>6</xdr:row>
                    <xdr:rowOff>292100</xdr:rowOff>
                  </to>
                </anchor>
              </controlPr>
            </control>
          </mc:Choice>
        </mc:AlternateContent>
        <mc:AlternateContent xmlns:mc="http://schemas.openxmlformats.org/markup-compatibility/2006">
          <mc:Choice Requires="x14">
            <control shapeId="67588" r:id="rId7" name="Check Box 4">
              <controlPr defaultSize="0" autoFill="0" autoLine="0" autoPict="0">
                <anchor moveWithCells="1">
                  <from>
                    <xdr:col>37</xdr:col>
                    <xdr:colOff>266700</xdr:colOff>
                    <xdr:row>6</xdr:row>
                    <xdr:rowOff>69850</xdr:rowOff>
                  </from>
                  <to>
                    <xdr:col>39</xdr:col>
                    <xdr:colOff>120650</xdr:colOff>
                    <xdr:row>6</xdr:row>
                    <xdr:rowOff>292100</xdr:rowOff>
                  </to>
                </anchor>
              </controlPr>
            </control>
          </mc:Choice>
        </mc:AlternateContent>
        <mc:AlternateContent xmlns:mc="http://schemas.openxmlformats.org/markup-compatibility/2006">
          <mc:Choice Requires="x14">
            <control shapeId="67589" r:id="rId8" name="Check Box 5">
              <controlPr defaultSize="0" autoFill="0" autoLine="0" autoPict="0">
                <anchor moveWithCells="1">
                  <from>
                    <xdr:col>32</xdr:col>
                    <xdr:colOff>266700</xdr:colOff>
                    <xdr:row>9</xdr:row>
                    <xdr:rowOff>6350</xdr:rowOff>
                  </from>
                  <to>
                    <xdr:col>34</xdr:col>
                    <xdr:colOff>120650</xdr:colOff>
                    <xdr:row>9</xdr:row>
                    <xdr:rowOff>228600</xdr:rowOff>
                  </to>
                </anchor>
              </controlPr>
            </control>
          </mc:Choice>
        </mc:AlternateContent>
        <mc:AlternateContent xmlns:mc="http://schemas.openxmlformats.org/markup-compatibility/2006">
          <mc:Choice Requires="x14">
            <control shapeId="67590" r:id="rId9" name="Check Box 6">
              <controlPr defaultSize="0" autoFill="0" autoLine="0" autoPict="0">
                <anchor moveWithCells="1">
                  <from>
                    <xdr:col>37</xdr:col>
                    <xdr:colOff>266700</xdr:colOff>
                    <xdr:row>9</xdr:row>
                    <xdr:rowOff>6350</xdr:rowOff>
                  </from>
                  <to>
                    <xdr:col>39</xdr:col>
                    <xdr:colOff>120650</xdr:colOff>
                    <xdr:row>9</xdr:row>
                    <xdr:rowOff>228600</xdr:rowOff>
                  </to>
                </anchor>
              </controlPr>
            </control>
          </mc:Choice>
        </mc:AlternateContent>
        <mc:AlternateContent xmlns:mc="http://schemas.openxmlformats.org/markup-compatibility/2006">
          <mc:Choice Requires="x14">
            <control shapeId="67591" r:id="rId10" name="Check Box 7">
              <controlPr defaultSize="0" autoFill="0" autoLine="0" autoPict="0">
                <anchor moveWithCells="1">
                  <from>
                    <xdr:col>32</xdr:col>
                    <xdr:colOff>266700</xdr:colOff>
                    <xdr:row>10</xdr:row>
                    <xdr:rowOff>6350</xdr:rowOff>
                  </from>
                  <to>
                    <xdr:col>34</xdr:col>
                    <xdr:colOff>120650</xdr:colOff>
                    <xdr:row>10</xdr:row>
                    <xdr:rowOff>228600</xdr:rowOff>
                  </to>
                </anchor>
              </controlPr>
            </control>
          </mc:Choice>
        </mc:AlternateContent>
        <mc:AlternateContent xmlns:mc="http://schemas.openxmlformats.org/markup-compatibility/2006">
          <mc:Choice Requires="x14">
            <control shapeId="67592" r:id="rId11" name="Check Box 8">
              <controlPr defaultSize="0" autoFill="0" autoLine="0" autoPict="0">
                <anchor moveWithCells="1">
                  <from>
                    <xdr:col>37</xdr:col>
                    <xdr:colOff>266700</xdr:colOff>
                    <xdr:row>10</xdr:row>
                    <xdr:rowOff>6350</xdr:rowOff>
                  </from>
                  <to>
                    <xdr:col>39</xdr:col>
                    <xdr:colOff>120650</xdr:colOff>
                    <xdr:row>10</xdr:row>
                    <xdr:rowOff>228600</xdr:rowOff>
                  </to>
                </anchor>
              </controlPr>
            </control>
          </mc:Choice>
        </mc:AlternateContent>
        <mc:AlternateContent xmlns:mc="http://schemas.openxmlformats.org/markup-compatibility/2006">
          <mc:Choice Requires="x14">
            <control shapeId="67593" r:id="rId12" name="Check Box 9">
              <controlPr defaultSize="0" autoFill="0" autoLine="0" autoPict="0">
                <anchor moveWithCells="1">
                  <from>
                    <xdr:col>4</xdr:col>
                    <xdr:colOff>266700</xdr:colOff>
                    <xdr:row>19</xdr:row>
                    <xdr:rowOff>6350</xdr:rowOff>
                  </from>
                  <to>
                    <xdr:col>6</xdr:col>
                    <xdr:colOff>120650</xdr:colOff>
                    <xdr:row>19</xdr:row>
                    <xdr:rowOff>228600</xdr:rowOff>
                  </to>
                </anchor>
              </controlPr>
            </control>
          </mc:Choice>
        </mc:AlternateContent>
        <mc:AlternateContent xmlns:mc="http://schemas.openxmlformats.org/markup-compatibility/2006">
          <mc:Choice Requires="x14">
            <control shapeId="67594" r:id="rId13" name="Check Box 10">
              <controlPr defaultSize="0" autoFill="0" autoLine="0" autoPict="0">
                <anchor moveWithCells="1">
                  <from>
                    <xdr:col>4</xdr:col>
                    <xdr:colOff>266700</xdr:colOff>
                    <xdr:row>20</xdr:row>
                    <xdr:rowOff>6350</xdr:rowOff>
                  </from>
                  <to>
                    <xdr:col>6</xdr:col>
                    <xdr:colOff>120650</xdr:colOff>
                    <xdr:row>20</xdr:row>
                    <xdr:rowOff>228600</xdr:rowOff>
                  </to>
                </anchor>
              </controlPr>
            </control>
          </mc:Choice>
        </mc:AlternateContent>
        <mc:AlternateContent xmlns:mc="http://schemas.openxmlformats.org/markup-compatibility/2006">
          <mc:Choice Requires="x14">
            <control shapeId="67595" r:id="rId14" name="Check Box 11">
              <controlPr defaultSize="0" autoFill="0" autoLine="0" autoPict="0">
                <anchor moveWithCells="1">
                  <from>
                    <xdr:col>24</xdr:col>
                    <xdr:colOff>266700</xdr:colOff>
                    <xdr:row>19</xdr:row>
                    <xdr:rowOff>6350</xdr:rowOff>
                  </from>
                  <to>
                    <xdr:col>26</xdr:col>
                    <xdr:colOff>120650</xdr:colOff>
                    <xdr:row>19</xdr:row>
                    <xdr:rowOff>228600</xdr:rowOff>
                  </to>
                </anchor>
              </controlPr>
            </control>
          </mc:Choice>
        </mc:AlternateContent>
        <mc:AlternateContent xmlns:mc="http://schemas.openxmlformats.org/markup-compatibility/2006">
          <mc:Choice Requires="x14">
            <control shapeId="67596" r:id="rId15" name="Check Box 12">
              <controlPr defaultSize="0" autoFill="0" autoLine="0" autoPict="0">
                <anchor moveWithCells="1">
                  <from>
                    <xdr:col>24</xdr:col>
                    <xdr:colOff>266700</xdr:colOff>
                    <xdr:row>20</xdr:row>
                    <xdr:rowOff>6350</xdr:rowOff>
                  </from>
                  <to>
                    <xdr:col>26</xdr:col>
                    <xdr:colOff>120650</xdr:colOff>
                    <xdr:row>20</xdr:row>
                    <xdr:rowOff>228600</xdr:rowOff>
                  </to>
                </anchor>
              </controlPr>
            </control>
          </mc:Choice>
        </mc:AlternateContent>
      </controls>
    </mc:Choice>
  </mc:AlternateContent>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0B0D5-484B-46E8-B624-51C40CCCC0D3}">
  <sheetPr codeName="Sheet34">
    <pageSetUpPr fitToPage="1"/>
  </sheetPr>
  <dimension ref="B1:BK42"/>
  <sheetViews>
    <sheetView showGridLines="0" topLeftCell="E1" zoomScaleNormal="100" workbookViewId="0">
      <selection activeCell="S14" sqref="S14:Y14"/>
    </sheetView>
  </sheetViews>
  <sheetFormatPr defaultColWidth="9" defaultRowHeight="15.5" x14ac:dyDescent="0.35"/>
  <cols>
    <col min="1" max="1" width="2.08203125" style="546" customWidth="1"/>
    <col min="2" max="24" width="3.58203125" style="546" customWidth="1"/>
    <col min="25" max="26" width="4.4140625" style="546" customWidth="1"/>
    <col min="27" max="47" width="3.58203125" style="546" customWidth="1"/>
    <col min="48" max="48" width="2.08203125" style="546" customWidth="1"/>
    <col min="49" max="65" width="3.58203125" style="546" customWidth="1"/>
    <col min="66" max="16384" width="9" style="546"/>
  </cols>
  <sheetData>
    <row r="1" spans="8:63" ht="12" customHeight="1" x14ac:dyDescent="0.35"/>
    <row r="2" spans="8:63" s="501" customFormat="1" x14ac:dyDescent="0.35">
      <c r="H2" s="502" t="s">
        <v>12732</v>
      </c>
      <c r="I2" s="502"/>
      <c r="J2" s="502"/>
      <c r="K2" s="502"/>
      <c r="L2" s="502"/>
      <c r="M2" s="502"/>
      <c r="N2" s="502"/>
      <c r="O2" s="502"/>
      <c r="P2" s="502"/>
      <c r="Q2" s="502"/>
      <c r="R2" s="503"/>
      <c r="S2" s="503"/>
      <c r="T2" s="503"/>
      <c r="U2" s="503"/>
      <c r="V2" s="503"/>
      <c r="W2" s="503"/>
      <c r="X2" s="503"/>
      <c r="Y2" s="503"/>
      <c r="Z2" s="503"/>
      <c r="AA2" s="503"/>
      <c r="AB2" s="503"/>
      <c r="AC2" s="503"/>
      <c r="AD2" s="503"/>
      <c r="AE2" s="503"/>
      <c r="AF2" s="503"/>
      <c r="AG2" s="503"/>
      <c r="AH2" s="503"/>
      <c r="AI2" s="503"/>
      <c r="AJ2" s="503"/>
      <c r="AK2" s="503"/>
      <c r="AL2" s="503"/>
      <c r="AM2" s="503"/>
      <c r="AN2" s="503"/>
      <c r="AO2" s="503"/>
      <c r="AP2" s="503"/>
      <c r="AQ2" s="503"/>
      <c r="AR2" s="502"/>
    </row>
    <row r="3" spans="8:63" s="402" customFormat="1" ht="16" thickBot="1" x14ac:dyDescent="0.4">
      <c r="H3" s="419" t="s">
        <v>1091</v>
      </c>
    </row>
    <row r="4" spans="8:63" s="501" customFormat="1" ht="5.25" customHeight="1" thickTop="1" x14ac:dyDescent="0.35">
      <c r="H4" s="533"/>
      <c r="I4" s="792"/>
      <c r="J4" s="506"/>
      <c r="K4" s="506"/>
      <c r="L4" s="506"/>
      <c r="M4" s="506"/>
      <c r="N4" s="506"/>
      <c r="O4" s="506"/>
      <c r="P4" s="506"/>
      <c r="Q4" s="506"/>
      <c r="R4" s="506"/>
      <c r="S4" s="506"/>
      <c r="T4" s="462"/>
      <c r="U4" s="462"/>
      <c r="V4" s="462"/>
      <c r="W4" s="462"/>
      <c r="X4" s="462"/>
      <c r="Y4" s="462"/>
      <c r="Z4" s="422"/>
      <c r="AA4" s="793"/>
      <c r="AB4" s="793"/>
      <c r="AC4" s="793"/>
      <c r="AD4" s="793"/>
      <c r="AE4" s="793"/>
      <c r="AF4" s="793"/>
      <c r="AG4" s="462"/>
      <c r="AH4" s="462"/>
      <c r="AI4" s="462"/>
      <c r="AJ4" s="462"/>
      <c r="AK4" s="462"/>
      <c r="AL4" s="462"/>
      <c r="AM4" s="462"/>
      <c r="AN4" s="462"/>
      <c r="AO4" s="794"/>
      <c r="AY4" s="403"/>
      <c r="AZ4" s="403"/>
      <c r="BA4" s="403"/>
      <c r="BB4" s="403"/>
    </row>
    <row r="5" spans="8:63" s="501" customFormat="1" ht="20" x14ac:dyDescent="0.4">
      <c r="H5" s="834"/>
      <c r="J5" s="780" t="s">
        <v>527</v>
      </c>
      <c r="K5" s="789"/>
      <c r="L5" s="789"/>
      <c r="M5" s="789"/>
      <c r="N5" s="789"/>
      <c r="O5" s="789"/>
      <c r="P5" s="789"/>
      <c r="Q5" s="789"/>
      <c r="R5" s="789"/>
      <c r="S5" s="789"/>
      <c r="T5" s="789"/>
      <c r="U5" s="668"/>
      <c r="Z5" s="668"/>
      <c r="AG5" s="680" t="b">
        <v>1</v>
      </c>
      <c r="AH5" s="403" t="s">
        <v>65</v>
      </c>
      <c r="AI5" s="403"/>
      <c r="AL5" s="680"/>
      <c r="AM5" s="403" t="s">
        <v>11</v>
      </c>
      <c r="AN5" s="403"/>
      <c r="AO5" s="788"/>
      <c r="AY5" s="403"/>
      <c r="AZ5" s="403"/>
      <c r="BA5" s="403"/>
      <c r="BB5" s="403"/>
    </row>
    <row r="6" spans="8:63" s="501" customFormat="1" ht="24.75" customHeight="1" x14ac:dyDescent="0.35">
      <c r="H6" s="834"/>
      <c r="J6" s="780" t="s">
        <v>1246</v>
      </c>
      <c r="K6" s="521"/>
      <c r="L6" s="521"/>
      <c r="M6" s="521"/>
      <c r="N6" s="521"/>
      <c r="O6" s="521"/>
      <c r="P6" s="521"/>
      <c r="Q6" s="521"/>
      <c r="R6" s="521"/>
      <c r="S6" s="521"/>
      <c r="T6" s="425"/>
      <c r="U6" s="402"/>
      <c r="V6" s="402"/>
      <c r="W6" s="402"/>
      <c r="X6" s="402"/>
      <c r="Y6" s="402"/>
      <c r="Z6" s="790"/>
      <c r="AA6" s="425"/>
      <c r="AB6" s="425"/>
      <c r="AC6" s="425"/>
      <c r="AD6" s="425"/>
      <c r="AE6" s="425"/>
      <c r="AF6" s="425"/>
      <c r="AG6" s="402"/>
      <c r="AH6" s="402"/>
      <c r="AI6" s="402"/>
      <c r="AJ6" s="402"/>
      <c r="AK6" s="402"/>
      <c r="AL6" s="402"/>
      <c r="AM6" s="402"/>
      <c r="AN6" s="402"/>
      <c r="AO6" s="404"/>
      <c r="AY6" s="403"/>
      <c r="AZ6" s="403"/>
      <c r="BA6" s="403"/>
      <c r="BB6" s="403"/>
    </row>
    <row r="7" spans="8:63" s="501" customFormat="1" ht="20" x14ac:dyDescent="0.35">
      <c r="H7" s="834"/>
      <c r="I7" s="399"/>
      <c r="J7" s="527"/>
      <c r="K7" s="527"/>
      <c r="L7" s="527"/>
      <c r="M7" s="441" t="b">
        <v>1</v>
      </c>
      <c r="N7" s="402" t="s">
        <v>528</v>
      </c>
      <c r="O7" s="399"/>
      <c r="P7" s="399"/>
      <c r="Q7" s="399"/>
      <c r="R7" s="399"/>
      <c r="S7" s="399"/>
      <c r="T7" s="399"/>
      <c r="W7" s="441" t="b">
        <v>1</v>
      </c>
      <c r="X7" s="402" t="s">
        <v>529</v>
      </c>
      <c r="Y7" s="399"/>
      <c r="Z7" s="399"/>
      <c r="AA7" s="399"/>
      <c r="AB7" s="399"/>
      <c r="AC7" s="399"/>
      <c r="AF7" s="425"/>
      <c r="AH7" s="402"/>
      <c r="AI7" s="399"/>
      <c r="AJ7" s="399"/>
      <c r="AK7" s="399"/>
      <c r="AL7" s="425"/>
      <c r="AM7" s="399"/>
      <c r="AN7" s="399"/>
      <c r="AO7" s="850"/>
      <c r="AY7" s="403"/>
      <c r="AZ7" s="403"/>
      <c r="BA7" s="403"/>
      <c r="BB7" s="403"/>
    </row>
    <row r="8" spans="8:63" s="501" customFormat="1" ht="24.75" customHeight="1" x14ac:dyDescent="0.35">
      <c r="H8" s="834"/>
      <c r="I8" s="399"/>
      <c r="J8" s="527"/>
      <c r="K8" s="527"/>
      <c r="L8" s="527"/>
      <c r="M8" s="441" t="b">
        <v>1</v>
      </c>
      <c r="N8" s="402" t="s">
        <v>300</v>
      </c>
      <c r="O8" s="399"/>
      <c r="P8" s="399"/>
      <c r="Q8" s="399"/>
      <c r="R8" s="399"/>
      <c r="S8" s="399"/>
      <c r="T8" s="399"/>
      <c r="W8" s="441" t="b">
        <v>0</v>
      </c>
      <c r="X8" s="807" t="s">
        <v>1093</v>
      </c>
      <c r="Y8" s="399"/>
      <c r="Z8" s="399"/>
      <c r="AA8" s="399"/>
      <c r="AB8" s="3318"/>
      <c r="AC8" s="3318"/>
      <c r="AD8" s="3318"/>
      <c r="AE8" s="3318"/>
      <c r="AF8" s="3318"/>
      <c r="AG8" s="3318"/>
      <c r="AH8" s="3318"/>
      <c r="AI8" s="230" t="str">
        <f>IF(AND(sch_drugprevention_educprog_other=TRUE,ISBLANK(sch_drugprevention_educprog_otherspecify)), "Please specify.", IF(AND(sch_drugprevention_educprog_other=FALSE,(sch_drugprevention_educprog_otherspecify&gt;0)), "Please check Others if you have entries.",""))</f>
        <v/>
      </c>
      <c r="AJ8" s="399"/>
      <c r="AK8" s="399"/>
      <c r="AL8" s="425"/>
      <c r="AM8" s="399"/>
      <c r="AN8" s="399"/>
      <c r="AO8" s="483"/>
      <c r="AY8" s="403"/>
      <c r="AZ8" s="403"/>
      <c r="BA8" s="403"/>
      <c r="BB8" s="403"/>
    </row>
    <row r="9" spans="8:63" s="501" customFormat="1" ht="20" x14ac:dyDescent="0.4">
      <c r="H9" s="834"/>
      <c r="J9" s="780" t="s">
        <v>531</v>
      </c>
      <c r="K9" s="789"/>
      <c r="L9" s="789"/>
      <c r="M9" s="789"/>
      <c r="N9" s="789"/>
      <c r="O9" s="789"/>
      <c r="P9" s="789"/>
      <c r="Q9" s="789"/>
      <c r="R9" s="789"/>
      <c r="S9" s="789"/>
      <c r="T9" s="789"/>
      <c r="U9" s="668"/>
      <c r="AG9" s="680" t="b">
        <v>1</v>
      </c>
      <c r="AH9" s="403" t="s">
        <v>65</v>
      </c>
      <c r="AI9" s="403"/>
      <c r="AL9" s="858"/>
      <c r="AM9" s="403" t="s">
        <v>11</v>
      </c>
      <c r="AN9" s="403"/>
      <c r="AO9" s="788"/>
      <c r="AY9" s="403"/>
      <c r="AZ9" s="403"/>
      <c r="BA9" s="403"/>
      <c r="BB9" s="403"/>
    </row>
    <row r="10" spans="8:63" s="501" customFormat="1" ht="24" customHeight="1" x14ac:dyDescent="0.4">
      <c r="H10" s="834"/>
      <c r="J10" s="780" t="s">
        <v>530</v>
      </c>
      <c r="K10" s="789"/>
      <c r="L10" s="789"/>
      <c r="M10" s="789"/>
      <c r="N10" s="789"/>
      <c r="O10" s="789"/>
      <c r="P10" s="789"/>
      <c r="Q10" s="789"/>
      <c r="R10" s="789"/>
      <c r="S10" s="789"/>
      <c r="T10" s="789"/>
      <c r="AB10" s="403"/>
      <c r="AC10" s="403"/>
      <c r="AG10" s="2944">
        <v>40</v>
      </c>
      <c r="AH10" s="2944"/>
      <c r="AI10" s="2944"/>
      <c r="AJ10" s="2944"/>
      <c r="AK10" s="2944"/>
      <c r="AL10" s="2944"/>
      <c r="AM10" s="2944"/>
      <c r="AN10" s="486"/>
      <c r="AO10" s="788"/>
      <c r="AY10" s="403"/>
      <c r="AZ10" s="403"/>
      <c r="BA10" s="403"/>
      <c r="BB10" s="403"/>
    </row>
    <row r="11" spans="8:63" s="501" customFormat="1" ht="21.75" customHeight="1" x14ac:dyDescent="0.4">
      <c r="H11" s="834"/>
      <c r="J11" s="780" t="s">
        <v>1261</v>
      </c>
      <c r="K11" s="789"/>
      <c r="L11" s="789"/>
      <c r="M11" s="789"/>
      <c r="N11" s="789"/>
      <c r="O11" s="789"/>
      <c r="P11" s="789"/>
      <c r="Q11" s="789"/>
      <c r="R11" s="789"/>
      <c r="S11" s="789"/>
      <c r="T11" s="789"/>
      <c r="U11" s="668"/>
      <c r="AG11" s="680" t="b">
        <v>1</v>
      </c>
      <c r="AH11" s="403" t="s">
        <v>65</v>
      </c>
      <c r="AI11" s="403"/>
      <c r="AL11" s="680"/>
      <c r="AM11" s="403" t="s">
        <v>11</v>
      </c>
      <c r="AN11" s="403"/>
      <c r="AO11" s="788"/>
      <c r="AY11" s="403"/>
      <c r="AZ11" s="403"/>
      <c r="BA11" s="403"/>
      <c r="BB11" s="403"/>
    </row>
    <row r="12" spans="8:63" s="509" customFormat="1" ht="21.5" customHeight="1" thickBot="1" x14ac:dyDescent="0.4">
      <c r="H12" s="515"/>
      <c r="J12" s="517" t="s">
        <v>1003</v>
      </c>
      <c r="K12" s="520"/>
      <c r="M12" s="513"/>
      <c r="N12" s="513"/>
      <c r="O12" s="513"/>
      <c r="P12" s="513"/>
      <c r="Q12" s="513"/>
      <c r="R12" s="513"/>
      <c r="S12" s="513"/>
      <c r="T12" s="513"/>
      <c r="U12" s="513"/>
      <c r="V12" s="513"/>
      <c r="W12" s="513"/>
      <c r="X12" s="513"/>
      <c r="Y12" s="513"/>
      <c r="Z12" s="513"/>
      <c r="AA12" s="513"/>
      <c r="AB12" s="513"/>
      <c r="AC12" s="402"/>
      <c r="AF12" s="402"/>
      <c r="AJ12" s="425"/>
      <c r="AL12" s="403"/>
      <c r="AO12" s="404"/>
      <c r="AP12" s="402"/>
      <c r="AQ12" s="402"/>
      <c r="AR12" s="402"/>
      <c r="AS12" s="402"/>
      <c r="AT12" s="402"/>
      <c r="AU12" s="402"/>
      <c r="BB12" s="425"/>
      <c r="BH12" s="402"/>
      <c r="BI12" s="402"/>
      <c r="BJ12" s="402"/>
      <c r="BK12" s="402"/>
    </row>
    <row r="13" spans="8:63" s="501" customFormat="1" ht="34.5" customHeight="1" thickTop="1" thickBot="1" x14ac:dyDescent="0.45">
      <c r="H13" s="834"/>
      <c r="J13" s="852"/>
      <c r="K13" s="3239" t="s">
        <v>564</v>
      </c>
      <c r="L13" s="3240"/>
      <c r="M13" s="3240"/>
      <c r="N13" s="3240"/>
      <c r="O13" s="3240"/>
      <c r="P13" s="3240"/>
      <c r="Q13" s="3240"/>
      <c r="R13" s="3241"/>
      <c r="S13" s="3269" t="s">
        <v>323</v>
      </c>
      <c r="T13" s="3240"/>
      <c r="U13" s="3240"/>
      <c r="V13" s="3240"/>
      <c r="W13" s="3240"/>
      <c r="X13" s="3240"/>
      <c r="Y13" s="3270"/>
      <c r="Z13" s="418"/>
      <c r="AA13" s="418"/>
      <c r="AB13" s="418"/>
      <c r="AC13" s="418"/>
      <c r="AD13" s="418"/>
      <c r="AE13" s="418"/>
      <c r="AF13" s="418"/>
      <c r="AG13" s="418"/>
      <c r="AH13" s="418"/>
      <c r="AI13" s="418"/>
      <c r="AJ13" s="418"/>
      <c r="AK13" s="418"/>
      <c r="AL13" s="418"/>
      <c r="AM13" s="418"/>
      <c r="AN13" s="418"/>
      <c r="AO13" s="788"/>
      <c r="AP13" s="668"/>
      <c r="AQ13" s="668"/>
      <c r="BA13" s="403"/>
      <c r="BB13" s="403"/>
      <c r="BC13" s="403"/>
    </row>
    <row r="14" spans="8:63" s="501" customFormat="1" ht="25.5" customHeight="1" thickTop="1" x14ac:dyDescent="0.4">
      <c r="H14" s="834"/>
      <c r="J14" s="513"/>
      <c r="K14" s="840"/>
      <c r="L14" s="841"/>
      <c r="M14" s="841"/>
      <c r="N14" s="841" t="s">
        <v>87</v>
      </c>
      <c r="O14" s="841"/>
      <c r="P14" s="841"/>
      <c r="Q14" s="841"/>
      <c r="R14" s="842"/>
      <c r="S14" s="3184">
        <v>352</v>
      </c>
      <c r="T14" s="3192"/>
      <c r="U14" s="3192"/>
      <c r="V14" s="3192"/>
      <c r="W14" s="3192"/>
      <c r="X14" s="3192"/>
      <c r="Y14" s="3271"/>
      <c r="Z14" s="512"/>
      <c r="AA14" s="512"/>
      <c r="AB14" s="512"/>
      <c r="AC14" s="512"/>
      <c r="AD14" s="512"/>
      <c r="AE14" s="512"/>
      <c r="AF14" s="512"/>
      <c r="AG14" s="512"/>
      <c r="AH14" s="512"/>
      <c r="AI14" s="512"/>
      <c r="AJ14" s="512"/>
      <c r="AK14" s="512"/>
      <c r="AL14" s="512"/>
      <c r="AM14" s="512"/>
      <c r="AN14" s="512"/>
      <c r="AO14" s="788"/>
      <c r="AP14" s="668"/>
      <c r="AQ14" s="668"/>
      <c r="BA14" s="403"/>
      <c r="BB14" s="403"/>
      <c r="BC14" s="403"/>
    </row>
    <row r="15" spans="8:63" s="501" customFormat="1" ht="25.5" customHeight="1" x14ac:dyDescent="0.4">
      <c r="H15" s="834"/>
      <c r="J15" s="512"/>
      <c r="K15" s="843"/>
      <c r="L15" s="844"/>
      <c r="M15" s="844"/>
      <c r="N15" s="844" t="s">
        <v>88</v>
      </c>
      <c r="O15" s="844"/>
      <c r="P15" s="844"/>
      <c r="Q15" s="844"/>
      <c r="R15" s="845"/>
      <c r="S15" s="3272">
        <v>320</v>
      </c>
      <c r="T15" s="3273"/>
      <c r="U15" s="3273"/>
      <c r="V15" s="3273"/>
      <c r="W15" s="3273"/>
      <c r="X15" s="3273"/>
      <c r="Y15" s="3274"/>
      <c r="Z15" s="512"/>
      <c r="AA15" s="512"/>
      <c r="AB15" s="512"/>
      <c r="AC15" s="512"/>
      <c r="AD15" s="512"/>
      <c r="AE15" s="512"/>
      <c r="AF15" s="512"/>
      <c r="AG15" s="512"/>
      <c r="AH15" s="512"/>
      <c r="AI15" s="512"/>
      <c r="AJ15" s="512"/>
      <c r="AK15" s="512"/>
      <c r="AL15" s="512"/>
      <c r="AM15" s="512"/>
      <c r="AN15" s="512"/>
      <c r="AO15" s="788"/>
      <c r="AP15" s="668"/>
      <c r="AQ15" s="668"/>
      <c r="BA15" s="403"/>
      <c r="BB15" s="403"/>
      <c r="BC15" s="403"/>
    </row>
    <row r="16" spans="8:63" s="501" customFormat="1" ht="25.5" customHeight="1" x14ac:dyDescent="0.4">
      <c r="H16" s="834"/>
      <c r="J16" s="512"/>
      <c r="K16" s="843"/>
      <c r="L16" s="844"/>
      <c r="M16" s="844"/>
      <c r="N16" s="844" t="s">
        <v>89</v>
      </c>
      <c r="O16" s="844"/>
      <c r="P16" s="844"/>
      <c r="Q16" s="844"/>
      <c r="R16" s="845"/>
      <c r="S16" s="3272">
        <v>377</v>
      </c>
      <c r="T16" s="3273"/>
      <c r="U16" s="3273"/>
      <c r="V16" s="3273"/>
      <c r="W16" s="3273"/>
      <c r="X16" s="3273"/>
      <c r="Y16" s="3274"/>
      <c r="Z16" s="512"/>
      <c r="AA16" s="512"/>
      <c r="AB16" s="512"/>
      <c r="AC16" s="512"/>
      <c r="AD16" s="512"/>
      <c r="AE16" s="512"/>
      <c r="AF16" s="512"/>
      <c r="AG16" s="512"/>
      <c r="AH16" s="512"/>
      <c r="AI16" s="512"/>
      <c r="AJ16" s="512"/>
      <c r="AK16" s="512"/>
      <c r="AL16" s="512"/>
      <c r="AM16" s="512"/>
      <c r="AN16" s="512"/>
      <c r="AO16" s="788"/>
      <c r="AP16" s="668"/>
      <c r="AQ16" s="668"/>
      <c r="BA16" s="403"/>
      <c r="BB16" s="403"/>
      <c r="BC16" s="403"/>
    </row>
    <row r="17" spans="8:63" s="501" customFormat="1" ht="25.5" customHeight="1" thickBot="1" x14ac:dyDescent="0.45">
      <c r="H17" s="834"/>
      <c r="J17" s="512"/>
      <c r="K17" s="854"/>
      <c r="L17" s="855"/>
      <c r="M17" s="855"/>
      <c r="N17" s="855" t="s">
        <v>90</v>
      </c>
      <c r="O17" s="855"/>
      <c r="P17" s="855"/>
      <c r="Q17" s="855"/>
      <c r="R17" s="856"/>
      <c r="S17" s="3215">
        <v>420</v>
      </c>
      <c r="T17" s="3187"/>
      <c r="U17" s="3187"/>
      <c r="V17" s="3187"/>
      <c r="W17" s="3187"/>
      <c r="X17" s="3187"/>
      <c r="Y17" s="3275"/>
      <c r="Z17" s="512"/>
      <c r="AA17" s="512"/>
      <c r="AB17" s="512"/>
      <c r="AC17" s="512"/>
      <c r="AD17" s="512"/>
      <c r="AE17" s="512"/>
      <c r="AF17" s="512"/>
      <c r="AG17" s="512"/>
      <c r="AH17" s="512"/>
      <c r="AI17" s="512"/>
      <c r="AJ17" s="512"/>
      <c r="AK17" s="512"/>
      <c r="AL17" s="512"/>
      <c r="AM17" s="512"/>
      <c r="AN17" s="512"/>
      <c r="AO17" s="788"/>
      <c r="AP17" s="668"/>
      <c r="AQ17" s="668"/>
      <c r="BA17" s="403"/>
      <c r="BB17" s="403"/>
      <c r="BC17" s="403"/>
    </row>
    <row r="18" spans="8:63" s="501" customFormat="1" ht="25.5" customHeight="1" thickTop="1" thickBot="1" x14ac:dyDescent="0.45">
      <c r="H18" s="834"/>
      <c r="J18" s="512"/>
      <c r="K18" s="3276" t="s">
        <v>16</v>
      </c>
      <c r="L18" s="3277"/>
      <c r="M18" s="3277"/>
      <c r="N18" s="3277"/>
      <c r="O18" s="3277"/>
      <c r="P18" s="3277"/>
      <c r="Q18" s="3277"/>
      <c r="R18" s="3278"/>
      <c r="S18" s="3214">
        <f>SUM(S14:Y17)</f>
        <v>1469</v>
      </c>
      <c r="T18" s="3212"/>
      <c r="U18" s="3212"/>
      <c r="V18" s="3212"/>
      <c r="W18" s="3212"/>
      <c r="X18" s="3212"/>
      <c r="Y18" s="3268"/>
      <c r="Z18" s="512"/>
      <c r="AA18" s="512"/>
      <c r="AB18" s="512"/>
      <c r="AC18" s="512"/>
      <c r="AD18" s="512"/>
      <c r="AE18" s="512"/>
      <c r="AF18" s="512"/>
      <c r="AG18" s="512"/>
      <c r="AH18" s="512"/>
      <c r="AI18" s="512"/>
      <c r="AJ18" s="512"/>
      <c r="AK18" s="512"/>
      <c r="AL18" s="512"/>
      <c r="AM18" s="512"/>
      <c r="AN18" s="512"/>
      <c r="AO18" s="788"/>
      <c r="AP18" s="668"/>
      <c r="AQ18" s="668"/>
      <c r="BA18" s="403"/>
      <c r="BB18" s="403"/>
      <c r="BC18" s="403"/>
    </row>
    <row r="19" spans="8:63" s="501" customFormat="1" ht="5.15" customHeight="1" thickTop="1" x14ac:dyDescent="0.4">
      <c r="H19" s="834"/>
      <c r="K19" s="851"/>
      <c r="L19" s="780"/>
      <c r="M19" s="789"/>
      <c r="N19" s="789"/>
      <c r="O19" s="789"/>
      <c r="P19" s="789"/>
      <c r="Q19" s="789"/>
      <c r="R19" s="789"/>
      <c r="S19" s="789"/>
      <c r="T19" s="789"/>
      <c r="U19" s="789"/>
      <c r="V19" s="789"/>
      <c r="W19" s="789"/>
      <c r="X19" s="789"/>
      <c r="Y19" s="789"/>
      <c r="Z19" s="789"/>
      <c r="AA19" s="789"/>
      <c r="AB19" s="789"/>
      <c r="AC19" s="789"/>
      <c r="AD19" s="789"/>
      <c r="AE19" s="789"/>
      <c r="AF19" s="668"/>
      <c r="AO19" s="850"/>
      <c r="BA19" s="668"/>
      <c r="BB19" s="668"/>
      <c r="BH19" s="403"/>
      <c r="BI19" s="403"/>
      <c r="BJ19" s="403"/>
      <c r="BK19" s="403"/>
    </row>
    <row r="20" spans="8:63" s="509" customFormat="1" ht="21.5" customHeight="1" thickBot="1" x14ac:dyDescent="0.4">
      <c r="H20" s="515"/>
      <c r="J20" s="517" t="s">
        <v>1004</v>
      </c>
      <c r="K20" s="520"/>
      <c r="M20" s="513"/>
      <c r="N20" s="513"/>
      <c r="O20" s="513"/>
      <c r="P20" s="513"/>
      <c r="Q20" s="513"/>
      <c r="R20" s="513"/>
      <c r="S20" s="513"/>
      <c r="T20" s="513"/>
      <c r="U20" s="513"/>
      <c r="V20" s="513"/>
      <c r="W20" s="513"/>
      <c r="X20" s="513"/>
      <c r="Y20" s="513"/>
      <c r="Z20" s="513"/>
      <c r="AA20" s="513"/>
      <c r="AB20" s="513"/>
      <c r="AC20" s="402"/>
      <c r="AF20" s="402"/>
      <c r="AJ20" s="425"/>
      <c r="AL20" s="403"/>
      <c r="AO20" s="404"/>
      <c r="AP20" s="402"/>
      <c r="AQ20" s="402"/>
      <c r="AR20" s="402"/>
      <c r="AS20" s="402"/>
      <c r="AT20" s="402"/>
      <c r="AU20" s="402"/>
      <c r="BB20" s="425"/>
      <c r="BH20" s="402"/>
      <c r="BI20" s="402"/>
      <c r="BJ20" s="402"/>
      <c r="BK20" s="402"/>
    </row>
    <row r="21" spans="8:63" s="501" customFormat="1" ht="34.5" customHeight="1" thickTop="1" thickBot="1" x14ac:dyDescent="0.45">
      <c r="H21" s="834"/>
      <c r="J21" s="887"/>
      <c r="K21" s="3239" t="s">
        <v>564</v>
      </c>
      <c r="L21" s="3240"/>
      <c r="M21" s="3240"/>
      <c r="N21" s="3240"/>
      <c r="O21" s="3240"/>
      <c r="P21" s="3240"/>
      <c r="Q21" s="3240"/>
      <c r="R21" s="3241"/>
      <c r="S21" s="3269" t="s">
        <v>323</v>
      </c>
      <c r="T21" s="3240"/>
      <c r="U21" s="3240"/>
      <c r="V21" s="3240"/>
      <c r="W21" s="3240"/>
      <c r="X21" s="3240"/>
      <c r="Y21" s="3270"/>
      <c r="Z21" s="888"/>
      <c r="AA21" s="418"/>
      <c r="AB21" s="418"/>
      <c r="AC21" s="418"/>
      <c r="AD21" s="418"/>
      <c r="AE21" s="418"/>
      <c r="AF21" s="418"/>
      <c r="AG21" s="418"/>
      <c r="AH21" s="418"/>
      <c r="AI21" s="418"/>
      <c r="AJ21" s="418"/>
      <c r="AK21" s="418"/>
      <c r="AL21" s="418"/>
      <c r="AM21" s="418"/>
      <c r="AN21" s="418"/>
      <c r="AO21" s="788"/>
      <c r="AP21" s="668"/>
      <c r="AQ21" s="668"/>
      <c r="BA21" s="403"/>
      <c r="BB21" s="403"/>
      <c r="BC21" s="403"/>
    </row>
    <row r="22" spans="8:63" s="501" customFormat="1" ht="25.5" customHeight="1" thickTop="1" x14ac:dyDescent="0.4">
      <c r="H22" s="834"/>
      <c r="J22" s="886"/>
      <c r="K22" s="840"/>
      <c r="L22" s="841"/>
      <c r="M22" s="841"/>
      <c r="N22" s="841" t="s">
        <v>87</v>
      </c>
      <c r="O22" s="841"/>
      <c r="P22" s="841"/>
      <c r="Q22" s="841"/>
      <c r="R22" s="842"/>
      <c r="S22" s="3184">
        <v>0</v>
      </c>
      <c r="T22" s="3192"/>
      <c r="U22" s="3192"/>
      <c r="V22" s="3192"/>
      <c r="W22" s="3192"/>
      <c r="X22" s="3192"/>
      <c r="Y22" s="3271"/>
      <c r="Z22" s="885"/>
      <c r="AA22" s="512"/>
      <c r="AB22" s="512"/>
      <c r="AC22" s="512"/>
      <c r="AD22" s="512"/>
      <c r="AE22" s="512"/>
      <c r="AF22" s="512"/>
      <c r="AG22" s="512"/>
      <c r="AH22" s="512"/>
      <c r="AI22" s="512"/>
      <c r="AJ22" s="512"/>
      <c r="AK22" s="512"/>
      <c r="AL22" s="512"/>
      <c r="AM22" s="512"/>
      <c r="AN22" s="512"/>
      <c r="AO22" s="788"/>
      <c r="AP22" s="668"/>
      <c r="AQ22" s="668"/>
      <c r="BA22" s="403"/>
      <c r="BB22" s="403"/>
      <c r="BC22" s="403"/>
    </row>
    <row r="23" spans="8:63" s="501" customFormat="1" ht="25.5" customHeight="1" x14ac:dyDescent="0.4">
      <c r="H23" s="834"/>
      <c r="J23" s="884"/>
      <c r="K23" s="843"/>
      <c r="L23" s="844"/>
      <c r="M23" s="844"/>
      <c r="N23" s="844" t="s">
        <v>88</v>
      </c>
      <c r="O23" s="844"/>
      <c r="P23" s="844"/>
      <c r="Q23" s="844"/>
      <c r="R23" s="845"/>
      <c r="S23" s="3272">
        <v>0</v>
      </c>
      <c r="T23" s="3273"/>
      <c r="U23" s="3273"/>
      <c r="V23" s="3273"/>
      <c r="W23" s="3273"/>
      <c r="X23" s="3273"/>
      <c r="Y23" s="3274"/>
      <c r="Z23" s="885"/>
      <c r="AA23" s="512"/>
      <c r="AB23" s="512"/>
      <c r="AC23" s="512"/>
      <c r="AD23" s="512"/>
      <c r="AE23" s="512"/>
      <c r="AF23" s="512"/>
      <c r="AG23" s="512"/>
      <c r="AH23" s="512"/>
      <c r="AI23" s="512"/>
      <c r="AJ23" s="512"/>
      <c r="AK23" s="512"/>
      <c r="AL23" s="512"/>
      <c r="AM23" s="512"/>
      <c r="AN23" s="512"/>
      <c r="AO23" s="788"/>
      <c r="AP23" s="668"/>
      <c r="AQ23" s="668"/>
      <c r="BA23" s="403"/>
      <c r="BB23" s="403"/>
      <c r="BC23" s="403"/>
    </row>
    <row r="24" spans="8:63" s="501" customFormat="1" ht="25.5" customHeight="1" x14ac:dyDescent="0.4">
      <c r="H24" s="834"/>
      <c r="J24" s="884"/>
      <c r="K24" s="843"/>
      <c r="L24" s="844"/>
      <c r="M24" s="844"/>
      <c r="N24" s="844" t="s">
        <v>89</v>
      </c>
      <c r="O24" s="844"/>
      <c r="P24" s="844"/>
      <c r="Q24" s="844"/>
      <c r="R24" s="845"/>
      <c r="S24" s="3272">
        <v>0</v>
      </c>
      <c r="T24" s="3273"/>
      <c r="U24" s="3273"/>
      <c r="V24" s="3273"/>
      <c r="W24" s="3273"/>
      <c r="X24" s="3273"/>
      <c r="Y24" s="3274"/>
      <c r="Z24" s="885"/>
      <c r="AA24" s="512"/>
      <c r="AB24" s="512"/>
      <c r="AC24" s="512"/>
      <c r="AD24" s="512"/>
      <c r="AE24" s="512"/>
      <c r="AF24" s="512"/>
      <c r="AG24" s="512"/>
      <c r="AH24" s="512"/>
      <c r="AI24" s="512"/>
      <c r="AJ24" s="512"/>
      <c r="AK24" s="512"/>
      <c r="AL24" s="512"/>
      <c r="AM24" s="512"/>
      <c r="AN24" s="512"/>
      <c r="AO24" s="788"/>
      <c r="AP24" s="668"/>
      <c r="AQ24" s="668"/>
      <c r="BA24" s="403"/>
      <c r="BB24" s="403"/>
      <c r="BC24" s="403"/>
    </row>
    <row r="25" spans="8:63" s="501" customFormat="1" ht="25.5" customHeight="1" thickBot="1" x14ac:dyDescent="0.45">
      <c r="H25" s="834"/>
      <c r="J25" s="884"/>
      <c r="K25" s="854"/>
      <c r="L25" s="855"/>
      <c r="M25" s="855"/>
      <c r="N25" s="855" t="s">
        <v>90</v>
      </c>
      <c r="O25" s="855"/>
      <c r="P25" s="855"/>
      <c r="Q25" s="855"/>
      <c r="R25" s="856"/>
      <c r="S25" s="3215">
        <v>0</v>
      </c>
      <c r="T25" s="3187"/>
      <c r="U25" s="3187"/>
      <c r="V25" s="3187"/>
      <c r="W25" s="3187"/>
      <c r="X25" s="3187"/>
      <c r="Y25" s="3275"/>
      <c r="Z25" s="885"/>
      <c r="AA25" s="512"/>
      <c r="AB25" s="512"/>
      <c r="AC25" s="512"/>
      <c r="AD25" s="512"/>
      <c r="AE25" s="512"/>
      <c r="AF25" s="512"/>
      <c r="AG25" s="512"/>
      <c r="AH25" s="512"/>
      <c r="AI25" s="512"/>
      <c r="AJ25" s="512"/>
      <c r="AK25" s="512"/>
      <c r="AL25" s="512"/>
      <c r="AM25" s="512"/>
      <c r="AN25" s="512"/>
      <c r="AO25" s="788"/>
      <c r="AP25" s="668"/>
      <c r="AQ25" s="668"/>
      <c r="BA25" s="403"/>
      <c r="BB25" s="403"/>
      <c r="BC25" s="403"/>
    </row>
    <row r="26" spans="8:63" s="501" customFormat="1" ht="25.5" customHeight="1" thickTop="1" thickBot="1" x14ac:dyDescent="0.45">
      <c r="H26" s="834"/>
      <c r="J26" s="884"/>
      <c r="K26" s="3276" t="s">
        <v>16</v>
      </c>
      <c r="L26" s="3277"/>
      <c r="M26" s="3277"/>
      <c r="N26" s="3277"/>
      <c r="O26" s="3277"/>
      <c r="P26" s="3277"/>
      <c r="Q26" s="3277"/>
      <c r="R26" s="3278"/>
      <c r="S26" s="3214">
        <f>SUM(S22:Y25)</f>
        <v>0</v>
      </c>
      <c r="T26" s="3212"/>
      <c r="U26" s="3212"/>
      <c r="V26" s="3212"/>
      <c r="W26" s="3212"/>
      <c r="X26" s="3212"/>
      <c r="Y26" s="3268"/>
      <c r="Z26" s="885"/>
      <c r="AA26" s="512"/>
      <c r="AB26" s="512"/>
      <c r="AC26" s="512"/>
      <c r="AD26" s="512"/>
      <c r="AE26" s="512"/>
      <c r="AF26" s="512"/>
      <c r="AG26" s="512"/>
      <c r="AH26" s="512"/>
      <c r="AI26" s="512"/>
      <c r="AJ26" s="512"/>
      <c r="AK26" s="512"/>
      <c r="AL26" s="512"/>
      <c r="AM26" s="512"/>
      <c r="AN26" s="512"/>
      <c r="AO26" s="788"/>
      <c r="AP26" s="668"/>
      <c r="AQ26" s="668"/>
      <c r="BA26" s="403"/>
      <c r="BB26" s="403"/>
      <c r="BC26" s="403"/>
    </row>
    <row r="27" spans="8:63" s="501" customFormat="1" ht="11.25" customHeight="1" thickTop="1" thickBot="1" x14ac:dyDescent="0.4">
      <c r="H27" s="532"/>
      <c r="I27" s="529"/>
      <c r="J27" s="529"/>
      <c r="K27" s="778"/>
      <c r="L27" s="408"/>
      <c r="M27" s="408"/>
      <c r="N27" s="408"/>
      <c r="O27" s="408"/>
      <c r="P27" s="408"/>
      <c r="Q27" s="408"/>
      <c r="R27" s="408"/>
      <c r="S27" s="408"/>
      <c r="T27" s="408"/>
      <c r="U27" s="672"/>
      <c r="V27" s="672"/>
      <c r="W27" s="672"/>
      <c r="X27" s="672"/>
      <c r="Y27" s="672"/>
      <c r="Z27" s="408"/>
      <c r="AA27" s="672"/>
      <c r="AB27" s="672"/>
      <c r="AC27" s="672"/>
      <c r="AD27" s="672"/>
      <c r="AE27" s="672"/>
      <c r="AF27" s="672"/>
      <c r="AG27" s="408"/>
      <c r="AH27" s="408"/>
      <c r="AI27" s="408"/>
      <c r="AJ27" s="408"/>
      <c r="AK27" s="408"/>
      <c r="AL27" s="408"/>
      <c r="AM27" s="408"/>
      <c r="AN27" s="408"/>
      <c r="AO27" s="409"/>
    </row>
    <row r="28" spans="8:63" s="44" customFormat="1" ht="25" customHeight="1" thickTop="1" x14ac:dyDescent="0.35">
      <c r="Z28" s="85"/>
      <c r="AB28" s="85"/>
      <c r="AD28" s="85"/>
      <c r="AE28" s="85"/>
      <c r="AF28" s="85"/>
      <c r="AH28" s="85"/>
      <c r="AJ28" s="85"/>
    </row>
    <row r="29" spans="8:63" s="501" customFormat="1" x14ac:dyDescent="0.35">
      <c r="H29" s="502" t="s">
        <v>12733</v>
      </c>
      <c r="I29" s="502"/>
      <c r="J29" s="502"/>
      <c r="K29" s="502"/>
      <c r="L29" s="502"/>
      <c r="M29" s="502"/>
      <c r="N29" s="502"/>
      <c r="O29" s="502"/>
      <c r="P29" s="502"/>
      <c r="Q29" s="502"/>
      <c r="R29" s="503"/>
      <c r="S29" s="503"/>
      <c r="T29" s="503"/>
      <c r="U29" s="503"/>
      <c r="V29" s="503"/>
      <c r="W29" s="503"/>
      <c r="X29" s="503"/>
      <c r="Y29" s="503"/>
      <c r="Z29" s="503"/>
      <c r="AA29" s="503"/>
      <c r="AB29" s="503"/>
      <c r="AC29" s="503"/>
      <c r="AD29" s="503"/>
      <c r="AE29" s="503"/>
      <c r="AF29" s="503"/>
      <c r="AG29" s="503"/>
      <c r="AH29" s="503"/>
      <c r="AI29" s="503"/>
      <c r="AJ29" s="503"/>
      <c r="AK29" s="503"/>
      <c r="AL29" s="503"/>
      <c r="AM29" s="503"/>
      <c r="AN29" s="503"/>
      <c r="AO29" s="503"/>
      <c r="AP29" s="503"/>
      <c r="AQ29" s="503"/>
      <c r="AR29" s="502"/>
    </row>
    <row r="30" spans="8:63" s="402" customFormat="1" ht="16" thickBot="1" x14ac:dyDescent="0.4">
      <c r="H30" s="419" t="s">
        <v>1091</v>
      </c>
    </row>
    <row r="31" spans="8:63" s="501" customFormat="1" ht="5.25" customHeight="1" thickTop="1" x14ac:dyDescent="0.35">
      <c r="H31" s="533"/>
      <c r="I31" s="792"/>
      <c r="J31" s="506"/>
      <c r="K31" s="506"/>
      <c r="L31" s="506"/>
      <c r="M31" s="506"/>
      <c r="N31" s="506"/>
      <c r="O31" s="506"/>
      <c r="P31" s="506"/>
      <c r="Q31" s="506"/>
      <c r="R31" s="506"/>
      <c r="S31" s="506"/>
      <c r="T31" s="462"/>
      <c r="U31" s="462"/>
      <c r="V31" s="462"/>
      <c r="W31" s="462"/>
      <c r="X31" s="462"/>
      <c r="Y31" s="462"/>
      <c r="Z31" s="422"/>
      <c r="AA31" s="793"/>
      <c r="AB31" s="793"/>
      <c r="AC31" s="793"/>
      <c r="AD31" s="793"/>
      <c r="AE31" s="793"/>
      <c r="AF31" s="793"/>
      <c r="AG31" s="793"/>
      <c r="AH31" s="793"/>
      <c r="AI31" s="462"/>
      <c r="AJ31" s="462"/>
      <c r="AK31" s="462"/>
      <c r="AL31" s="462"/>
      <c r="AM31" s="462"/>
      <c r="AN31" s="535"/>
      <c r="AO31" s="536"/>
      <c r="AW31" s="403"/>
      <c r="AX31" s="403"/>
      <c r="AY31" s="403"/>
      <c r="AZ31" s="403"/>
    </row>
    <row r="32" spans="8:63" s="501" customFormat="1" ht="25" customHeight="1" x14ac:dyDescent="0.4">
      <c r="H32" s="834"/>
      <c r="I32" s="851" t="s">
        <v>150</v>
      </c>
      <c r="J32" s="780" t="s">
        <v>1027</v>
      </c>
      <c r="K32" s="789"/>
      <c r="L32" s="789"/>
      <c r="M32" s="789"/>
      <c r="N32" s="789"/>
      <c r="O32" s="789"/>
      <c r="P32" s="789"/>
      <c r="Q32" s="789"/>
      <c r="R32" s="789"/>
      <c r="S32" s="789"/>
      <c r="T32" s="789"/>
      <c r="U32" s="668"/>
      <c r="Z32" s="668"/>
      <c r="AG32" s="680" t="b">
        <v>0</v>
      </c>
      <c r="AH32" s="403" t="s">
        <v>65</v>
      </c>
      <c r="AI32" s="403"/>
      <c r="AL32" s="680"/>
      <c r="AM32" s="403" t="s">
        <v>11</v>
      </c>
      <c r="AO32" s="850"/>
      <c r="AW32" s="403"/>
      <c r="AX32" s="403"/>
      <c r="AY32" s="403"/>
      <c r="AZ32" s="403"/>
    </row>
    <row r="33" spans="2:52" s="501" customFormat="1" ht="25" customHeight="1" x14ac:dyDescent="0.4">
      <c r="H33" s="834"/>
      <c r="I33" s="851" t="s">
        <v>151</v>
      </c>
      <c r="J33" s="780" t="s">
        <v>1060</v>
      </c>
      <c r="K33" s="789"/>
      <c r="L33" s="789"/>
      <c r="M33" s="789"/>
      <c r="N33" s="789"/>
      <c r="O33" s="789"/>
      <c r="P33" s="789"/>
      <c r="Q33" s="789"/>
      <c r="R33" s="789"/>
      <c r="S33" s="789"/>
      <c r="T33" s="789"/>
      <c r="U33" s="668"/>
      <c r="Z33" s="668"/>
      <c r="AD33" s="851"/>
      <c r="AE33" s="780"/>
      <c r="AG33" s="441" t="b">
        <v>0</v>
      </c>
      <c r="AH33" s="402" t="s">
        <v>65</v>
      </c>
      <c r="AI33" s="402"/>
      <c r="AJ33" s="509"/>
      <c r="AK33" s="509"/>
      <c r="AL33" s="441"/>
      <c r="AM33" s="402" t="s">
        <v>11</v>
      </c>
      <c r="AO33" s="850"/>
      <c r="AW33" s="403"/>
      <c r="AX33" s="403"/>
      <c r="AY33" s="403"/>
      <c r="AZ33" s="403"/>
    </row>
    <row r="34" spans="2:52" s="501" customFormat="1" ht="25" customHeight="1" x14ac:dyDescent="0.4">
      <c r="H34" s="834"/>
      <c r="I34" s="851" t="s">
        <v>152</v>
      </c>
      <c r="J34" s="780" t="s">
        <v>1028</v>
      </c>
      <c r="K34" s="789"/>
      <c r="L34" s="789"/>
      <c r="M34" s="789"/>
      <c r="N34" s="789"/>
      <c r="O34" s="789"/>
      <c r="P34" s="789"/>
      <c r="Q34" s="789"/>
      <c r="R34" s="789"/>
      <c r="S34" s="789"/>
      <c r="T34" s="789"/>
      <c r="U34" s="668"/>
      <c r="AG34" s="680" t="b">
        <v>0</v>
      </c>
      <c r="AH34" s="403" t="s">
        <v>65</v>
      </c>
      <c r="AI34" s="403"/>
      <c r="AL34" s="680"/>
      <c r="AM34" s="403" t="s">
        <v>11</v>
      </c>
      <c r="AO34" s="850"/>
      <c r="AW34" s="403"/>
      <c r="AX34" s="403"/>
      <c r="AY34" s="403"/>
      <c r="AZ34" s="403"/>
    </row>
    <row r="35" spans="2:52" s="501" customFormat="1" ht="25" customHeight="1" x14ac:dyDescent="0.35">
      <c r="H35" s="834"/>
      <c r="I35" s="881"/>
      <c r="J35" s="882" t="s">
        <v>639</v>
      </c>
      <c r="K35" s="883" t="s">
        <v>1046</v>
      </c>
      <c r="L35" s="789"/>
      <c r="M35" s="789"/>
      <c r="N35" s="789"/>
      <c r="O35" s="789"/>
      <c r="P35" s="789"/>
      <c r="Q35" s="789"/>
      <c r="R35" s="789"/>
      <c r="S35" s="789"/>
      <c r="T35" s="789"/>
      <c r="AB35" s="403"/>
      <c r="AC35" s="403"/>
      <c r="AD35" s="403"/>
      <c r="AE35" s="403"/>
      <c r="AG35" s="2944"/>
      <c r="AH35" s="2944"/>
      <c r="AI35" s="2944"/>
      <c r="AJ35" s="2944"/>
      <c r="AK35" s="2944"/>
      <c r="AL35" s="2944"/>
      <c r="AM35" s="2944"/>
      <c r="AO35" s="850"/>
      <c r="AW35" s="403"/>
      <c r="AX35" s="403"/>
      <c r="AY35" s="403"/>
      <c r="AZ35" s="403"/>
    </row>
    <row r="36" spans="2:52" s="501" customFormat="1" ht="11.25" customHeight="1" thickBot="1" x14ac:dyDescent="0.4">
      <c r="H36" s="532"/>
      <c r="I36" s="529"/>
      <c r="J36" s="529"/>
      <c r="K36" s="778"/>
      <c r="L36" s="408"/>
      <c r="M36" s="408"/>
      <c r="N36" s="408"/>
      <c r="O36" s="408"/>
      <c r="P36" s="408"/>
      <c r="Q36" s="408"/>
      <c r="R36" s="408"/>
      <c r="S36" s="408"/>
      <c r="T36" s="408"/>
      <c r="U36" s="672"/>
      <c r="V36" s="672"/>
      <c r="W36" s="672"/>
      <c r="X36" s="672"/>
      <c r="Y36" s="672"/>
      <c r="Z36" s="408"/>
      <c r="AA36" s="672"/>
      <c r="AB36" s="672"/>
      <c r="AC36" s="672"/>
      <c r="AD36" s="672"/>
      <c r="AE36" s="672"/>
      <c r="AF36" s="672"/>
      <c r="AG36" s="889" t="str">
        <f>IF(AND(sch_oksadeped_fbpage_yes=TRUE,ISBLANK(sch_oksadeped_fbpage_specify)),"Please specify.",IF(AND(sch_oksadeped_fbpage_yes=FALSE,(sch_oksadeped_fbpage_specify&gt;0)),"Please check Yes if you have entries.",""))</f>
        <v/>
      </c>
      <c r="AH36" s="672"/>
      <c r="AI36" s="408"/>
      <c r="AJ36" s="408"/>
      <c r="AK36" s="408"/>
      <c r="AL36" s="408"/>
      <c r="AM36" s="408"/>
      <c r="AN36" s="543"/>
      <c r="AO36" s="544"/>
    </row>
    <row r="37" spans="2:52" s="44" customFormat="1" ht="30.75" customHeight="1" thickTop="1" x14ac:dyDescent="0.35">
      <c r="AH37" s="85"/>
      <c r="AJ37" s="85"/>
      <c r="AL37" s="85"/>
    </row>
    <row r="38" spans="2:52" s="73" customFormat="1" ht="14" x14ac:dyDescent="0.3">
      <c r="B38" s="74" t="s">
        <v>913</v>
      </c>
      <c r="Q38" s="74" t="s">
        <v>908</v>
      </c>
      <c r="AI38" s="74" t="s">
        <v>922</v>
      </c>
    </row>
    <row r="39" spans="2:52" s="73" customFormat="1" ht="21.75" customHeight="1" x14ac:dyDescent="0.3">
      <c r="B39" s="74" t="s">
        <v>811</v>
      </c>
      <c r="F39" s="1482" t="str">
        <f>SchInfo!F38</f>
        <v>MELCHESIEDICK Q. BOLANIO/ March 17, 2023</v>
      </c>
      <c r="G39" s="1482"/>
      <c r="H39" s="1482"/>
      <c r="I39" s="1482"/>
      <c r="J39" s="1482"/>
      <c r="K39" s="1482"/>
      <c r="L39" s="1482"/>
      <c r="M39" s="1482"/>
      <c r="N39" s="1482"/>
      <c r="Q39" s="1482" t="str">
        <f>'Table33a-b'!R42</f>
        <v>RACQUEL N. ACOMPAÑADO</v>
      </c>
      <c r="R39" s="1482"/>
      <c r="S39" s="1482"/>
      <c r="T39" s="1482"/>
      <c r="U39" s="1482"/>
      <c r="V39" s="1482"/>
      <c r="W39" s="1482"/>
      <c r="X39" s="1482"/>
      <c r="Y39" s="1482"/>
      <c r="Z39" s="1482"/>
      <c r="AA39" s="1482"/>
      <c r="AB39" s="1482"/>
      <c r="AC39" s="1482"/>
      <c r="AD39" s="1482"/>
      <c r="AE39" s="1482"/>
      <c r="AF39" s="1482"/>
      <c r="AI39" s="1484" t="str">
        <f>SchInfo!R38</f>
        <v>MICHAEL T. JAMIS   /  March 17, 2023</v>
      </c>
      <c r="AJ39" s="1484"/>
      <c r="AK39" s="1484"/>
      <c r="AL39" s="1484"/>
      <c r="AM39" s="1484"/>
      <c r="AN39" s="1484"/>
      <c r="AO39" s="1484"/>
      <c r="AP39" s="1484"/>
      <c r="AQ39" s="1484"/>
      <c r="AR39" s="1484"/>
      <c r="AS39" s="1484"/>
      <c r="AT39" s="1484"/>
      <c r="AU39" s="1484"/>
    </row>
    <row r="40" spans="2:52" s="68" customFormat="1" ht="15" customHeight="1" x14ac:dyDescent="0.3">
      <c r="B40" s="210"/>
      <c r="F40" s="1452" t="s">
        <v>779</v>
      </c>
      <c r="G40" s="1452"/>
      <c r="H40" s="1452"/>
      <c r="I40" s="1452"/>
      <c r="J40" s="1452"/>
      <c r="K40" s="1452"/>
      <c r="L40" s="1452"/>
      <c r="M40" s="1452"/>
      <c r="N40" s="1452"/>
      <c r="O40" s="64"/>
      <c r="P40" s="64"/>
      <c r="Q40" s="1452" t="s">
        <v>779</v>
      </c>
      <c r="R40" s="1452"/>
      <c r="S40" s="1452"/>
      <c r="T40" s="1452"/>
      <c r="U40" s="1452"/>
      <c r="V40" s="1452"/>
      <c r="W40" s="1452"/>
      <c r="X40" s="1452"/>
      <c r="Y40" s="1452"/>
      <c r="Z40" s="1452"/>
      <c r="AA40" s="1452"/>
      <c r="AB40" s="1452"/>
      <c r="AC40" s="1452"/>
      <c r="AD40" s="1452"/>
      <c r="AE40" s="1452"/>
      <c r="AF40" s="1452"/>
      <c r="AI40" s="1485"/>
      <c r="AJ40" s="1485"/>
      <c r="AK40" s="1485"/>
      <c r="AL40" s="1485"/>
      <c r="AM40" s="1485"/>
      <c r="AN40" s="1485"/>
      <c r="AO40" s="1485"/>
      <c r="AP40" s="1485"/>
      <c r="AQ40" s="1485"/>
      <c r="AR40" s="1485"/>
      <c r="AS40" s="1485"/>
      <c r="AT40" s="1485"/>
      <c r="AU40" s="1485"/>
    </row>
    <row r="41" spans="2:52" s="73" customFormat="1" ht="21.75" customHeight="1" x14ac:dyDescent="0.3">
      <c r="B41" s="74" t="s">
        <v>784</v>
      </c>
      <c r="F41" s="1482" t="str">
        <f>SchInfo!F40</f>
        <v>Principal IV</v>
      </c>
      <c r="G41" s="1482"/>
      <c r="H41" s="1482"/>
      <c r="I41" s="1482"/>
      <c r="J41" s="1482"/>
      <c r="K41" s="1482"/>
      <c r="L41" s="1482"/>
      <c r="M41" s="1482"/>
      <c r="N41" s="1482"/>
      <c r="Q41" s="74" t="s">
        <v>784</v>
      </c>
      <c r="U41" s="1482" t="str">
        <f>'Table33a-b'!V44</f>
        <v>Nurse II</v>
      </c>
      <c r="V41" s="1482"/>
      <c r="W41" s="1482"/>
      <c r="X41" s="1482"/>
      <c r="Y41" s="1482"/>
      <c r="Z41" s="1482"/>
      <c r="AA41" s="1482"/>
      <c r="AB41" s="1482"/>
      <c r="AC41" s="1482"/>
      <c r="AD41" s="1482"/>
      <c r="AE41" s="1482"/>
      <c r="AF41" s="1482"/>
      <c r="AI41" s="1452" t="s">
        <v>779</v>
      </c>
      <c r="AJ41" s="1452"/>
      <c r="AK41" s="1452"/>
      <c r="AL41" s="1452"/>
      <c r="AM41" s="1452"/>
      <c r="AN41" s="1452"/>
      <c r="AO41" s="1452"/>
      <c r="AP41" s="1452"/>
      <c r="AQ41" s="1452"/>
      <c r="AR41" s="1452"/>
      <c r="AS41" s="1452"/>
      <c r="AT41" s="1452"/>
      <c r="AU41" s="1452"/>
    </row>
    <row r="42" spans="2:52" x14ac:dyDescent="0.35">
      <c r="C42" s="765"/>
      <c r="D42" s="765"/>
      <c r="E42" s="765"/>
      <c r="F42" s="765"/>
      <c r="G42" s="765"/>
      <c r="H42" s="765"/>
      <c r="I42" s="765"/>
      <c r="J42" s="765"/>
      <c r="K42" s="765"/>
      <c r="L42" s="765"/>
      <c r="M42" s="765"/>
      <c r="N42" s="765"/>
      <c r="O42" s="765"/>
      <c r="P42" s="765"/>
      <c r="Q42" s="765"/>
      <c r="R42" s="765"/>
      <c r="S42" s="765"/>
      <c r="T42" s="765"/>
      <c r="U42" s="765"/>
      <c r="V42" s="765"/>
      <c r="AG42" s="765"/>
      <c r="AH42" s="765"/>
      <c r="AI42" s="765"/>
      <c r="AJ42" s="765"/>
      <c r="AK42" s="765"/>
    </row>
  </sheetData>
  <sheetProtection algorithmName="SHA-512" hashValue="dI6AI2M9IU84J3z6t2BkQ34WbCEyV5ZInuvYjJsM3EtSsAZ/kIzoEmktqau1TM7cGUsAjw7iPNVAHjO0h44iRg==" saltValue="XZ5a92b/LmoQf5FHwFSG2A==" spinCount="100000" sheet="1" objects="1" scenarios="1" selectLockedCells="1"/>
  <mergeCells count="27">
    <mergeCell ref="AI41:AU41"/>
    <mergeCell ref="AG35:AM35"/>
    <mergeCell ref="F41:N41"/>
    <mergeCell ref="U41:AF41"/>
    <mergeCell ref="K18:R18"/>
    <mergeCell ref="S18:Y18"/>
    <mergeCell ref="K21:R21"/>
    <mergeCell ref="S21:Y21"/>
    <mergeCell ref="S22:Y22"/>
    <mergeCell ref="S23:Y23"/>
    <mergeCell ref="S24:Y24"/>
    <mergeCell ref="S25:Y25"/>
    <mergeCell ref="K26:R26"/>
    <mergeCell ref="S26:Y26"/>
    <mergeCell ref="AB8:AH8"/>
    <mergeCell ref="K13:R13"/>
    <mergeCell ref="S13:Y13"/>
    <mergeCell ref="S14:Y14"/>
    <mergeCell ref="S15:Y15"/>
    <mergeCell ref="AG10:AM10"/>
    <mergeCell ref="S16:Y16"/>
    <mergeCell ref="S17:Y17"/>
    <mergeCell ref="F39:N39"/>
    <mergeCell ref="Q39:AF39"/>
    <mergeCell ref="AI39:AU40"/>
    <mergeCell ref="F40:N40"/>
    <mergeCell ref="Q40:AF40"/>
  </mergeCells>
  <dataValidations count="3">
    <dataValidation type="whole" allowBlank="1" showInputMessage="1" showErrorMessage="1" errorTitle="GJHSP SY 2021-2022" error="Please enter valid number between 0-999." sqref="AG10:AM10" xr:uid="{1C17E9F8-1A94-4AE3-80F7-1E63A8AB4ADD}">
      <formula1>0</formula1>
      <formula2>999</formula2>
    </dataValidation>
    <dataValidation type="whole" allowBlank="1" showInputMessage="1" showErrorMessage="1" errorTitle="GJHSP SY 2021-2022" error="Please enter valid number between 0-20,000." sqref="S22:Y25" xr:uid="{46246619-D7A3-450B-A512-FEA79A58556B}">
      <formula1>0</formula1>
      <formula2>20000</formula2>
    </dataValidation>
    <dataValidation type="whole" allowBlank="1" showInputMessage="1" showErrorMessage="1" errorTitle="GJHSP SY 2022-2023" error="Please enter valid number between 0-20,000." sqref="S14:Y17" xr:uid="{527916CB-2393-4DD0-BCDA-FF2E490898AE}">
      <formula1>0</formula1>
      <formula2>20000</formula2>
    </dataValidation>
  </dataValidations>
  <printOptions horizontalCentered="1" verticalCentered="1"/>
  <pageMargins left="0.23622047244094491" right="0.23622047244094491" top="0.19685039370078741" bottom="0.19685039370078741" header="0" footer="0.11811023622047245"/>
  <pageSetup paperSize="14" scale="68" orientation="landscape" r:id="rId1"/>
  <headerFooter alignWithMargins="0">
    <oddFooter>&amp;L&amp;10&amp;F &amp;A&amp;R&amp;10Page 37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68609" r:id="rId4" name="Check Box 1">
              <controlPr defaultSize="0" autoFill="0" autoLine="0" autoPict="0">
                <anchor moveWithCells="1">
                  <from>
                    <xdr:col>32</xdr:col>
                    <xdr:colOff>0</xdr:colOff>
                    <xdr:row>4</xdr:row>
                    <xdr:rowOff>6350</xdr:rowOff>
                  </from>
                  <to>
                    <xdr:col>33</xdr:col>
                    <xdr:colOff>25400</xdr:colOff>
                    <xdr:row>4</xdr:row>
                    <xdr:rowOff>228600</xdr:rowOff>
                  </to>
                </anchor>
              </controlPr>
            </control>
          </mc:Choice>
        </mc:AlternateContent>
        <mc:AlternateContent xmlns:mc="http://schemas.openxmlformats.org/markup-compatibility/2006">
          <mc:Choice Requires="x14">
            <control shapeId="68610" r:id="rId5" name="Check Box 2">
              <controlPr defaultSize="0" autoFill="0" autoLine="0" autoPict="0">
                <anchor moveWithCells="1">
                  <from>
                    <xdr:col>37</xdr:col>
                    <xdr:colOff>0</xdr:colOff>
                    <xdr:row>4</xdr:row>
                    <xdr:rowOff>12700</xdr:rowOff>
                  </from>
                  <to>
                    <xdr:col>38</xdr:col>
                    <xdr:colOff>25400</xdr:colOff>
                    <xdr:row>4</xdr:row>
                    <xdr:rowOff>234950</xdr:rowOff>
                  </to>
                </anchor>
              </controlPr>
            </control>
          </mc:Choice>
        </mc:AlternateContent>
        <mc:AlternateContent xmlns:mc="http://schemas.openxmlformats.org/markup-compatibility/2006">
          <mc:Choice Requires="x14">
            <control shapeId="68611" r:id="rId6" name="Check Box 3">
              <controlPr defaultSize="0" autoFill="0" autoLine="0" autoPict="0">
                <anchor moveWithCells="1">
                  <from>
                    <xdr:col>12</xdr:col>
                    <xdr:colOff>0</xdr:colOff>
                    <xdr:row>6</xdr:row>
                    <xdr:rowOff>25400</xdr:rowOff>
                  </from>
                  <to>
                    <xdr:col>13</xdr:col>
                    <xdr:colOff>25400</xdr:colOff>
                    <xdr:row>6</xdr:row>
                    <xdr:rowOff>241300</xdr:rowOff>
                  </to>
                </anchor>
              </controlPr>
            </control>
          </mc:Choice>
        </mc:AlternateContent>
        <mc:AlternateContent xmlns:mc="http://schemas.openxmlformats.org/markup-compatibility/2006">
          <mc:Choice Requires="x14">
            <control shapeId="68612" r:id="rId7" name="Check Box 4">
              <controlPr defaultSize="0" autoFill="0" autoLine="0" autoPict="0">
                <anchor moveWithCells="1">
                  <from>
                    <xdr:col>12</xdr:col>
                    <xdr:colOff>0</xdr:colOff>
                    <xdr:row>7</xdr:row>
                    <xdr:rowOff>25400</xdr:rowOff>
                  </from>
                  <to>
                    <xdr:col>13</xdr:col>
                    <xdr:colOff>25400</xdr:colOff>
                    <xdr:row>7</xdr:row>
                    <xdr:rowOff>241300</xdr:rowOff>
                  </to>
                </anchor>
              </controlPr>
            </control>
          </mc:Choice>
        </mc:AlternateContent>
        <mc:AlternateContent xmlns:mc="http://schemas.openxmlformats.org/markup-compatibility/2006">
          <mc:Choice Requires="x14">
            <control shapeId="68613" r:id="rId8" name="Check Box 5">
              <controlPr defaultSize="0" autoFill="0" autoLine="0" autoPict="0">
                <anchor moveWithCells="1">
                  <from>
                    <xdr:col>22</xdr:col>
                    <xdr:colOff>0</xdr:colOff>
                    <xdr:row>6</xdr:row>
                    <xdr:rowOff>25400</xdr:rowOff>
                  </from>
                  <to>
                    <xdr:col>23</xdr:col>
                    <xdr:colOff>25400</xdr:colOff>
                    <xdr:row>6</xdr:row>
                    <xdr:rowOff>241300</xdr:rowOff>
                  </to>
                </anchor>
              </controlPr>
            </control>
          </mc:Choice>
        </mc:AlternateContent>
        <mc:AlternateContent xmlns:mc="http://schemas.openxmlformats.org/markup-compatibility/2006">
          <mc:Choice Requires="x14">
            <control shapeId="68614" r:id="rId9" name="Check Box 6">
              <controlPr defaultSize="0" autoFill="0" autoLine="0" autoPict="0">
                <anchor moveWithCells="1">
                  <from>
                    <xdr:col>22</xdr:col>
                    <xdr:colOff>0</xdr:colOff>
                    <xdr:row>7</xdr:row>
                    <xdr:rowOff>25400</xdr:rowOff>
                  </from>
                  <to>
                    <xdr:col>23</xdr:col>
                    <xdr:colOff>25400</xdr:colOff>
                    <xdr:row>7</xdr:row>
                    <xdr:rowOff>241300</xdr:rowOff>
                  </to>
                </anchor>
              </controlPr>
            </control>
          </mc:Choice>
        </mc:AlternateContent>
        <mc:AlternateContent xmlns:mc="http://schemas.openxmlformats.org/markup-compatibility/2006">
          <mc:Choice Requires="x14">
            <control shapeId="68615" r:id="rId10" name="Check Box 7">
              <controlPr defaultSize="0" autoFill="0" autoLine="0" autoPict="0">
                <anchor moveWithCells="1">
                  <from>
                    <xdr:col>32</xdr:col>
                    <xdr:colOff>0</xdr:colOff>
                    <xdr:row>8</xdr:row>
                    <xdr:rowOff>25400</xdr:rowOff>
                  </from>
                  <to>
                    <xdr:col>33</xdr:col>
                    <xdr:colOff>25400</xdr:colOff>
                    <xdr:row>8</xdr:row>
                    <xdr:rowOff>241300</xdr:rowOff>
                  </to>
                </anchor>
              </controlPr>
            </control>
          </mc:Choice>
        </mc:AlternateContent>
        <mc:AlternateContent xmlns:mc="http://schemas.openxmlformats.org/markup-compatibility/2006">
          <mc:Choice Requires="x14">
            <control shapeId="68616" r:id="rId11" name="Check Box 8">
              <controlPr defaultSize="0" autoFill="0" autoLine="0" autoPict="0">
                <anchor moveWithCells="1">
                  <from>
                    <xdr:col>37</xdr:col>
                    <xdr:colOff>0</xdr:colOff>
                    <xdr:row>8</xdr:row>
                    <xdr:rowOff>25400</xdr:rowOff>
                  </from>
                  <to>
                    <xdr:col>38</xdr:col>
                    <xdr:colOff>25400</xdr:colOff>
                    <xdr:row>8</xdr:row>
                    <xdr:rowOff>241300</xdr:rowOff>
                  </to>
                </anchor>
              </controlPr>
            </control>
          </mc:Choice>
        </mc:AlternateContent>
        <mc:AlternateContent xmlns:mc="http://schemas.openxmlformats.org/markup-compatibility/2006">
          <mc:Choice Requires="x14">
            <control shapeId="68617" r:id="rId12" name="Check Box 9">
              <controlPr defaultSize="0" autoFill="0" autoLine="0" autoPict="0">
                <anchor moveWithCells="1">
                  <from>
                    <xdr:col>32</xdr:col>
                    <xdr:colOff>0</xdr:colOff>
                    <xdr:row>10</xdr:row>
                    <xdr:rowOff>25400</xdr:rowOff>
                  </from>
                  <to>
                    <xdr:col>33</xdr:col>
                    <xdr:colOff>25400</xdr:colOff>
                    <xdr:row>10</xdr:row>
                    <xdr:rowOff>241300</xdr:rowOff>
                  </to>
                </anchor>
              </controlPr>
            </control>
          </mc:Choice>
        </mc:AlternateContent>
        <mc:AlternateContent xmlns:mc="http://schemas.openxmlformats.org/markup-compatibility/2006">
          <mc:Choice Requires="x14">
            <control shapeId="68618" r:id="rId13" name="Check Box 10">
              <controlPr defaultSize="0" autoFill="0" autoLine="0" autoPict="0">
                <anchor moveWithCells="1">
                  <from>
                    <xdr:col>37</xdr:col>
                    <xdr:colOff>0</xdr:colOff>
                    <xdr:row>10</xdr:row>
                    <xdr:rowOff>25400</xdr:rowOff>
                  </from>
                  <to>
                    <xdr:col>38</xdr:col>
                    <xdr:colOff>25400</xdr:colOff>
                    <xdr:row>10</xdr:row>
                    <xdr:rowOff>241300</xdr:rowOff>
                  </to>
                </anchor>
              </controlPr>
            </control>
          </mc:Choice>
        </mc:AlternateContent>
        <mc:AlternateContent xmlns:mc="http://schemas.openxmlformats.org/markup-compatibility/2006">
          <mc:Choice Requires="x14">
            <control shapeId="68619" r:id="rId14" name="Check Box 11">
              <controlPr defaultSize="0" autoFill="0" autoLine="0" autoPict="0">
                <anchor moveWithCells="1">
                  <from>
                    <xdr:col>31</xdr:col>
                    <xdr:colOff>260350</xdr:colOff>
                    <xdr:row>31</xdr:row>
                    <xdr:rowOff>139700</xdr:rowOff>
                  </from>
                  <to>
                    <xdr:col>32</xdr:col>
                    <xdr:colOff>273050</xdr:colOff>
                    <xdr:row>32</xdr:row>
                    <xdr:rowOff>38100</xdr:rowOff>
                  </to>
                </anchor>
              </controlPr>
            </control>
          </mc:Choice>
        </mc:AlternateContent>
        <mc:AlternateContent xmlns:mc="http://schemas.openxmlformats.org/markup-compatibility/2006">
          <mc:Choice Requires="x14">
            <control shapeId="68620" r:id="rId15" name="Check Box 12">
              <controlPr defaultSize="0" autoFill="0" autoLine="0" autoPict="0">
                <anchor moveWithCells="1">
                  <from>
                    <xdr:col>31</xdr:col>
                    <xdr:colOff>266700</xdr:colOff>
                    <xdr:row>32</xdr:row>
                    <xdr:rowOff>76200</xdr:rowOff>
                  </from>
                  <to>
                    <xdr:col>33</xdr:col>
                    <xdr:colOff>12700</xdr:colOff>
                    <xdr:row>32</xdr:row>
                    <xdr:rowOff>298450</xdr:rowOff>
                  </to>
                </anchor>
              </controlPr>
            </control>
          </mc:Choice>
        </mc:AlternateContent>
        <mc:AlternateContent xmlns:mc="http://schemas.openxmlformats.org/markup-compatibility/2006">
          <mc:Choice Requires="x14">
            <control shapeId="68621" r:id="rId16" name="Check Box 13">
              <controlPr defaultSize="0" autoFill="0" autoLine="0" autoPict="0">
                <anchor moveWithCells="1">
                  <from>
                    <xdr:col>31</xdr:col>
                    <xdr:colOff>266700</xdr:colOff>
                    <xdr:row>33</xdr:row>
                    <xdr:rowOff>107950</xdr:rowOff>
                  </from>
                  <to>
                    <xdr:col>33</xdr:col>
                    <xdr:colOff>12700</xdr:colOff>
                    <xdr:row>34</xdr:row>
                    <xdr:rowOff>12700</xdr:rowOff>
                  </to>
                </anchor>
              </controlPr>
            </control>
          </mc:Choice>
        </mc:AlternateContent>
        <mc:AlternateContent xmlns:mc="http://schemas.openxmlformats.org/markup-compatibility/2006">
          <mc:Choice Requires="x14">
            <control shapeId="68622" r:id="rId17" name="Check Box 14">
              <controlPr defaultSize="0" autoFill="0" autoLine="0" autoPict="0">
                <anchor moveWithCells="1">
                  <from>
                    <xdr:col>37</xdr:col>
                    <xdr:colOff>12700</xdr:colOff>
                    <xdr:row>31</xdr:row>
                    <xdr:rowOff>114300</xdr:rowOff>
                  </from>
                  <to>
                    <xdr:col>38</xdr:col>
                    <xdr:colOff>31750</xdr:colOff>
                    <xdr:row>32</xdr:row>
                    <xdr:rowOff>25400</xdr:rowOff>
                  </to>
                </anchor>
              </controlPr>
            </control>
          </mc:Choice>
        </mc:AlternateContent>
        <mc:AlternateContent xmlns:mc="http://schemas.openxmlformats.org/markup-compatibility/2006">
          <mc:Choice Requires="x14">
            <control shapeId="68623" r:id="rId18" name="Check Box 15">
              <controlPr defaultSize="0" autoFill="0" autoLine="0" autoPict="0">
                <anchor moveWithCells="1">
                  <from>
                    <xdr:col>37</xdr:col>
                    <xdr:colOff>25400</xdr:colOff>
                    <xdr:row>32</xdr:row>
                    <xdr:rowOff>69850</xdr:rowOff>
                  </from>
                  <to>
                    <xdr:col>38</xdr:col>
                    <xdr:colOff>44450</xdr:colOff>
                    <xdr:row>32</xdr:row>
                    <xdr:rowOff>292100</xdr:rowOff>
                  </to>
                </anchor>
              </controlPr>
            </control>
          </mc:Choice>
        </mc:AlternateContent>
        <mc:AlternateContent xmlns:mc="http://schemas.openxmlformats.org/markup-compatibility/2006">
          <mc:Choice Requires="x14">
            <control shapeId="68624" r:id="rId19" name="Check Box 16">
              <controlPr defaultSize="0" autoFill="0" autoLine="0" autoPict="0">
                <anchor moveWithCells="1">
                  <from>
                    <xdr:col>37</xdr:col>
                    <xdr:colOff>31750</xdr:colOff>
                    <xdr:row>33</xdr:row>
                    <xdr:rowOff>88900</xdr:rowOff>
                  </from>
                  <to>
                    <xdr:col>38</xdr:col>
                    <xdr:colOff>50800</xdr:colOff>
                    <xdr:row>33</xdr:row>
                    <xdr:rowOff>311150</xdr:rowOff>
                  </to>
                </anchor>
              </controlPr>
            </control>
          </mc:Choice>
        </mc:AlternateContent>
      </controls>
    </mc:Choice>
  </mc:AlternateContent>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57823-2658-439A-8640-195CDFA886EF}">
  <sheetPr codeName="Sheet35">
    <pageSetUpPr fitToPage="1"/>
  </sheetPr>
  <dimension ref="B1:BE44"/>
  <sheetViews>
    <sheetView showGridLines="0" topLeftCell="F1" zoomScaleNormal="100" workbookViewId="0">
      <selection activeCell="Z35" sqref="Z35:AE35"/>
    </sheetView>
  </sheetViews>
  <sheetFormatPr defaultColWidth="9" defaultRowHeight="15.5" x14ac:dyDescent="0.35"/>
  <cols>
    <col min="1" max="1" width="2.08203125" style="546" customWidth="1"/>
    <col min="2" max="48" width="3.58203125" style="546" customWidth="1"/>
    <col min="49" max="49" width="2.08203125" style="546" customWidth="1"/>
    <col min="50" max="16384" width="9" style="546"/>
  </cols>
  <sheetData>
    <row r="1" spans="5:57" ht="12" customHeight="1" x14ac:dyDescent="0.35"/>
    <row r="2" spans="5:57" s="501" customFormat="1" x14ac:dyDescent="0.35">
      <c r="E2" s="502" t="s">
        <v>12734</v>
      </c>
      <c r="F2" s="502"/>
      <c r="G2" s="502"/>
      <c r="H2" s="502"/>
      <c r="I2" s="502"/>
      <c r="J2" s="502"/>
      <c r="K2" s="502"/>
      <c r="L2" s="502"/>
      <c r="M2" s="502"/>
      <c r="N2" s="502"/>
      <c r="O2" s="503"/>
      <c r="P2" s="503"/>
      <c r="Q2" s="503"/>
      <c r="R2" s="503"/>
      <c r="S2" s="503"/>
      <c r="T2" s="503"/>
      <c r="U2" s="503"/>
      <c r="V2" s="503"/>
      <c r="W2" s="503"/>
      <c r="X2" s="503"/>
      <c r="Y2" s="503"/>
      <c r="Z2" s="503"/>
      <c r="AA2" s="503"/>
      <c r="AB2" s="503"/>
      <c r="AC2" s="503"/>
      <c r="AD2" s="503"/>
      <c r="AE2" s="503"/>
      <c r="AF2" s="503"/>
      <c r="AG2" s="503"/>
      <c r="AH2" s="503"/>
      <c r="AI2" s="503"/>
      <c r="AJ2" s="503"/>
      <c r="AK2" s="503"/>
      <c r="AL2" s="503"/>
      <c r="AM2" s="503"/>
      <c r="AN2" s="503"/>
      <c r="AO2" s="502"/>
    </row>
    <row r="3" spans="5:57" s="402" customFormat="1" ht="16" thickBot="1" x14ac:dyDescent="0.4">
      <c r="E3" s="419" t="s">
        <v>1091</v>
      </c>
    </row>
    <row r="4" spans="5:57" s="501" customFormat="1" ht="5.25" customHeight="1" thickTop="1" x14ac:dyDescent="0.35">
      <c r="E4" s="505"/>
      <c r="F4" s="506"/>
      <c r="G4" s="506"/>
      <c r="H4" s="506"/>
      <c r="I4" s="506"/>
      <c r="J4" s="506"/>
      <c r="K4" s="506"/>
      <c r="L4" s="506"/>
      <c r="M4" s="506"/>
      <c r="N4" s="506"/>
      <c r="O4" s="506"/>
      <c r="P4" s="462"/>
      <c r="Q4" s="462"/>
      <c r="R4" s="462"/>
      <c r="S4" s="462"/>
      <c r="T4" s="462"/>
      <c r="U4" s="462"/>
      <c r="V4" s="422"/>
      <c r="W4" s="793"/>
      <c r="X4" s="793"/>
      <c r="Y4" s="793"/>
      <c r="Z4" s="793"/>
      <c r="AA4" s="793"/>
      <c r="AB4" s="793"/>
      <c r="AC4" s="462"/>
      <c r="AD4" s="462"/>
      <c r="AE4" s="462"/>
      <c r="AF4" s="462"/>
      <c r="AG4" s="462"/>
      <c r="AH4" s="462"/>
      <c r="AI4" s="462"/>
      <c r="AJ4" s="462"/>
      <c r="AK4" s="462"/>
      <c r="AL4" s="462"/>
      <c r="AM4" s="462"/>
      <c r="AN4" s="462"/>
      <c r="AO4" s="462"/>
      <c r="AP4" s="462"/>
      <c r="AQ4" s="462"/>
      <c r="AR4" s="462"/>
      <c r="AS4" s="794"/>
      <c r="BB4" s="403"/>
      <c r="BC4" s="403"/>
      <c r="BD4" s="403"/>
      <c r="BE4" s="403"/>
    </row>
    <row r="5" spans="5:57" s="509" customFormat="1" ht="20" x14ac:dyDescent="0.35">
      <c r="E5" s="699"/>
      <c r="F5" s="511">
        <v>1</v>
      </c>
      <c r="G5" s="512" t="s">
        <v>1087</v>
      </c>
      <c r="H5" s="513"/>
      <c r="I5" s="513"/>
      <c r="J5" s="513"/>
      <c r="K5" s="513"/>
      <c r="L5" s="513"/>
      <c r="M5" s="513"/>
      <c r="N5" s="513"/>
      <c r="O5" s="513"/>
      <c r="P5" s="513"/>
      <c r="Q5" s="425"/>
      <c r="S5" s="441" t="b">
        <v>0</v>
      </c>
      <c r="T5" s="402" t="s">
        <v>65</v>
      </c>
      <c r="U5" s="402"/>
      <c r="X5" s="441"/>
      <c r="Y5" s="402" t="s">
        <v>11</v>
      </c>
      <c r="Z5" s="402"/>
      <c r="AA5" s="402"/>
      <c r="AB5" s="402"/>
      <c r="AC5" s="402"/>
      <c r="AE5" s="425"/>
      <c r="AF5" s="425"/>
      <c r="AG5" s="425"/>
      <c r="AH5" s="425"/>
      <c r="AI5" s="425"/>
      <c r="AL5" s="425"/>
      <c r="AM5" s="425"/>
      <c r="AN5" s="425"/>
      <c r="AO5" s="425"/>
      <c r="AP5" s="425"/>
      <c r="AQ5" s="425"/>
      <c r="AR5" s="425"/>
      <c r="AS5" s="879"/>
      <c r="BB5" s="402"/>
      <c r="BC5" s="402"/>
      <c r="BD5" s="402"/>
      <c r="BE5" s="402"/>
    </row>
    <row r="6" spans="5:57" s="501" customFormat="1" ht="20.5" x14ac:dyDescent="0.35">
      <c r="E6" s="912"/>
      <c r="G6" s="520" t="s">
        <v>309</v>
      </c>
      <c r="H6" s="521"/>
      <c r="I6" s="521"/>
      <c r="J6" s="521"/>
      <c r="K6" s="521"/>
      <c r="L6" s="521"/>
      <c r="M6" s="521"/>
      <c r="N6" s="521"/>
      <c r="O6" s="521"/>
      <c r="P6" s="521"/>
      <c r="Q6" s="425"/>
      <c r="R6" s="425"/>
      <c r="S6" s="425"/>
      <c r="T6" s="425"/>
      <c r="U6" s="425"/>
      <c r="V6" s="402"/>
      <c r="W6" s="790"/>
      <c r="X6" s="790"/>
      <c r="Y6" s="790"/>
      <c r="Z6" s="790"/>
      <c r="AA6" s="790"/>
      <c r="AB6" s="790"/>
      <c r="AC6" s="425"/>
      <c r="AD6" s="402"/>
      <c r="AE6" s="402"/>
      <c r="AF6" s="402"/>
      <c r="AG6" s="402"/>
      <c r="AH6" s="402"/>
      <c r="AI6" s="402"/>
      <c r="AJ6" s="402"/>
      <c r="AK6" s="402"/>
      <c r="AL6" s="402"/>
      <c r="AM6" s="402"/>
      <c r="AN6" s="402"/>
      <c r="AO6" s="402"/>
      <c r="AP6" s="402"/>
      <c r="AQ6" s="402"/>
      <c r="AR6" s="402"/>
      <c r="AS6" s="404"/>
      <c r="BB6" s="89"/>
      <c r="BC6" s="89"/>
      <c r="BD6" s="89"/>
      <c r="BE6" s="89"/>
    </row>
    <row r="7" spans="5:57" s="501" customFormat="1" ht="20" x14ac:dyDescent="0.35">
      <c r="E7" s="912"/>
      <c r="F7" s="527"/>
      <c r="G7" s="527"/>
      <c r="H7" s="527"/>
      <c r="I7" s="441" t="b">
        <v>0</v>
      </c>
      <c r="J7" s="402" t="s">
        <v>57</v>
      </c>
      <c r="K7" s="399"/>
      <c r="L7" s="399"/>
      <c r="M7" s="399"/>
      <c r="N7" s="399"/>
      <c r="O7" s="399"/>
      <c r="P7" s="399"/>
      <c r="Q7" s="441" t="b">
        <v>0</v>
      </c>
      <c r="R7" s="402" t="s">
        <v>210</v>
      </c>
      <c r="S7" s="399"/>
      <c r="T7" s="399"/>
      <c r="U7" s="399"/>
      <c r="V7" s="399"/>
      <c r="W7" s="399"/>
      <c r="X7" s="441" t="b">
        <v>0</v>
      </c>
      <c r="Y7" s="402" t="s">
        <v>211</v>
      </c>
      <c r="Z7" s="402"/>
      <c r="AA7" s="402"/>
      <c r="AB7" s="402"/>
      <c r="AC7" s="402"/>
      <c r="AD7" s="402"/>
      <c r="AE7" s="399"/>
      <c r="AF7" s="399"/>
      <c r="AG7" s="441" t="b">
        <v>0</v>
      </c>
      <c r="AH7" s="402" t="s">
        <v>308</v>
      </c>
      <c r="AI7" s="399"/>
      <c r="AJ7" s="399"/>
      <c r="AK7" s="399"/>
      <c r="AL7" s="399"/>
      <c r="AM7" s="425"/>
      <c r="AN7" s="402"/>
      <c r="AO7" s="402"/>
      <c r="AP7" s="402"/>
      <c r="AQ7" s="402"/>
      <c r="AR7" s="402"/>
      <c r="AS7" s="850"/>
      <c r="BB7" s="403"/>
      <c r="BC7" s="403"/>
      <c r="BD7" s="403"/>
      <c r="BE7" s="403"/>
    </row>
    <row r="8" spans="5:57" s="501" customFormat="1" ht="19.25" customHeight="1" x14ac:dyDescent="0.35">
      <c r="E8" s="912"/>
      <c r="F8" s="527"/>
      <c r="G8" s="527"/>
      <c r="H8" s="527"/>
      <c r="I8" s="441" t="b">
        <v>0</v>
      </c>
      <c r="J8" s="402" t="s">
        <v>58</v>
      </c>
      <c r="K8" s="399"/>
      <c r="L8" s="399"/>
      <c r="M8" s="399"/>
      <c r="N8" s="399"/>
      <c r="O8" s="399"/>
      <c r="P8" s="399"/>
      <c r="Q8" s="441" t="b">
        <v>0</v>
      </c>
      <c r="R8" s="402" t="s">
        <v>212</v>
      </c>
      <c r="S8" s="399"/>
      <c r="T8" s="399"/>
      <c r="U8" s="399"/>
      <c r="V8" s="399"/>
      <c r="W8" s="399"/>
      <c r="X8" s="441" t="b">
        <v>0</v>
      </c>
      <c r="Y8" s="402" t="s">
        <v>214</v>
      </c>
      <c r="Z8" s="402"/>
      <c r="AA8" s="402"/>
      <c r="AB8" s="402"/>
      <c r="AC8" s="402"/>
      <c r="AD8" s="402"/>
      <c r="AE8" s="399"/>
      <c r="AF8" s="399"/>
      <c r="AG8" s="441" t="b">
        <v>0</v>
      </c>
      <c r="AH8" s="807" t="s">
        <v>1093</v>
      </c>
      <c r="AI8" s="399"/>
      <c r="AJ8" s="399"/>
      <c r="AK8" s="399"/>
      <c r="AL8" s="2693"/>
      <c r="AM8" s="2693"/>
      <c r="AN8" s="2693"/>
      <c r="AO8" s="2693"/>
      <c r="AP8" s="2693"/>
      <c r="AQ8" s="2693"/>
      <c r="AR8" s="2693"/>
      <c r="AS8" s="483"/>
      <c r="BB8" s="403"/>
      <c r="BC8" s="403"/>
      <c r="BD8" s="403"/>
      <c r="BE8" s="403"/>
    </row>
    <row r="9" spans="5:57" s="501" customFormat="1" ht="2.25" customHeight="1" x14ac:dyDescent="0.35">
      <c r="E9" s="526"/>
      <c r="F9" s="527"/>
      <c r="G9" s="880"/>
      <c r="H9" s="402"/>
      <c r="I9" s="402"/>
      <c r="J9" s="402"/>
      <c r="K9" s="402"/>
      <c r="L9" s="402"/>
      <c r="M9" s="402"/>
      <c r="N9" s="402"/>
      <c r="O9" s="402"/>
      <c r="P9" s="402"/>
      <c r="Q9" s="425"/>
      <c r="R9" s="425"/>
      <c r="S9" s="425"/>
      <c r="T9" s="425"/>
      <c r="U9" s="425"/>
      <c r="V9" s="402"/>
      <c r="W9" s="425"/>
      <c r="X9" s="425"/>
      <c r="Y9" s="425"/>
      <c r="Z9" s="425"/>
      <c r="AA9" s="425"/>
      <c r="AB9" s="425"/>
      <c r="AC9" s="402"/>
      <c r="AD9" s="402"/>
      <c r="AE9" s="402"/>
      <c r="AF9" s="402"/>
      <c r="AG9" s="402"/>
      <c r="AH9" s="402"/>
      <c r="AI9" s="402"/>
      <c r="AJ9" s="402"/>
      <c r="AK9" s="402"/>
      <c r="AL9" s="402"/>
      <c r="AM9" s="402"/>
      <c r="AN9" s="402"/>
      <c r="AO9" s="402"/>
      <c r="AP9" s="402"/>
      <c r="AQ9" s="402"/>
      <c r="AR9" s="402"/>
      <c r="AS9" s="404"/>
      <c r="BB9" s="403"/>
      <c r="BC9" s="403"/>
      <c r="BD9" s="403"/>
      <c r="BE9" s="403"/>
    </row>
    <row r="10" spans="5:57" s="501" customFormat="1" ht="20.5" x14ac:dyDescent="0.35">
      <c r="E10" s="912"/>
      <c r="F10" s="511">
        <v>2</v>
      </c>
      <c r="G10" s="512" t="s">
        <v>1088</v>
      </c>
      <c r="H10" s="521"/>
      <c r="I10" s="521"/>
      <c r="J10" s="521"/>
      <c r="K10" s="521"/>
      <c r="L10" s="521"/>
      <c r="M10" s="521"/>
      <c r="N10" s="521"/>
      <c r="O10" s="521"/>
      <c r="P10" s="425"/>
      <c r="Q10" s="402"/>
      <c r="R10" s="402"/>
      <c r="S10" s="402"/>
      <c r="T10" s="402"/>
      <c r="U10" s="402"/>
      <c r="V10" s="790"/>
      <c r="W10" s="425"/>
      <c r="X10" s="425"/>
      <c r="Y10" s="425"/>
      <c r="Z10" s="425"/>
      <c r="AA10" s="425"/>
      <c r="AB10" s="425"/>
      <c r="AC10" s="402"/>
      <c r="AD10" s="402"/>
      <c r="AE10" s="402"/>
      <c r="AF10" s="402"/>
      <c r="AG10" s="402"/>
      <c r="AH10" s="402"/>
      <c r="AI10" s="402"/>
      <c r="AJ10" s="402"/>
      <c r="AK10" s="402"/>
      <c r="AL10" s="548" t="str">
        <f>IF(AND(feed_prog_yes_fundsource_others=TRUE,ISBLANK(sch_feed_prog_yes_fundsource_others_specify)),"Please specify.",IF(AND(feed_prog_yes_fundsource_others=FALSE,(sch_feed_prog_yes_fundsource_others_specify&gt;0)),"Please check Others if you have entries.",""))</f>
        <v/>
      </c>
      <c r="AM10" s="402"/>
      <c r="AN10" s="402"/>
      <c r="AO10" s="402"/>
      <c r="AP10" s="402"/>
      <c r="AQ10" s="402"/>
      <c r="AR10" s="402"/>
      <c r="AS10" s="404"/>
      <c r="BB10" s="403"/>
      <c r="BC10" s="403"/>
      <c r="BD10" s="403"/>
      <c r="BE10" s="403"/>
    </row>
    <row r="11" spans="5:57" s="501" customFormat="1" x14ac:dyDescent="0.35">
      <c r="E11" s="526"/>
      <c r="F11" s="399"/>
      <c r="G11" s="399"/>
      <c r="H11" s="399"/>
      <c r="I11" s="441" t="b">
        <v>1</v>
      </c>
      <c r="J11" s="402" t="s">
        <v>12669</v>
      </c>
      <c r="K11" s="399"/>
      <c r="L11" s="399"/>
      <c r="M11" s="399"/>
      <c r="N11" s="399"/>
      <c r="O11" s="1420" t="s">
        <v>12670</v>
      </c>
      <c r="P11" s="399"/>
      <c r="S11" s="399"/>
      <c r="T11" s="399"/>
      <c r="U11" s="399"/>
      <c r="V11" s="399"/>
      <c r="W11" s="399"/>
      <c r="AB11" s="402"/>
      <c r="AC11" s="402"/>
      <c r="AF11" s="402"/>
      <c r="AS11" s="850"/>
      <c r="AW11" s="403"/>
      <c r="AX11" s="403"/>
      <c r="AY11" s="403"/>
      <c r="AZ11" s="403"/>
    </row>
    <row r="12" spans="5:57" s="501" customFormat="1" ht="20" x14ac:dyDescent="0.35">
      <c r="E12" s="526"/>
      <c r="F12" s="399"/>
      <c r="G12" s="399"/>
      <c r="H12" s="399"/>
      <c r="I12" s="425"/>
      <c r="L12" s="441" t="b">
        <v>0</v>
      </c>
      <c r="M12" s="402" t="s">
        <v>532</v>
      </c>
      <c r="N12" s="399"/>
      <c r="O12" s="399"/>
      <c r="P12" s="399"/>
      <c r="Q12" s="441" t="b">
        <v>1</v>
      </c>
      <c r="R12" s="402" t="s">
        <v>533</v>
      </c>
      <c r="X12" s="441" t="b">
        <v>0</v>
      </c>
      <c r="Y12" s="402" t="s">
        <v>534</v>
      </c>
      <c r="Z12" s="402"/>
      <c r="AA12" s="402"/>
      <c r="AB12" s="402"/>
      <c r="AC12" s="402"/>
      <c r="AD12" s="441" t="b">
        <v>0</v>
      </c>
      <c r="AE12" s="402" t="s">
        <v>535</v>
      </c>
      <c r="AF12" s="402"/>
      <c r="AK12" s="399"/>
      <c r="AN12" s="399"/>
      <c r="AO12" s="399"/>
      <c r="AS12" s="850"/>
      <c r="AW12" s="403"/>
      <c r="AX12" s="403"/>
      <c r="AY12" s="403"/>
      <c r="AZ12" s="403"/>
    </row>
    <row r="13" spans="5:57" s="501" customFormat="1" ht="20" x14ac:dyDescent="0.35">
      <c r="E13" s="526"/>
      <c r="F13" s="399"/>
      <c r="G13" s="399"/>
      <c r="H13" s="399"/>
      <c r="I13" s="441" t="b">
        <v>1</v>
      </c>
      <c r="J13" s="402" t="s">
        <v>213</v>
      </c>
      <c r="K13" s="402"/>
      <c r="L13" s="402"/>
      <c r="P13" s="399"/>
      <c r="R13" s="425"/>
      <c r="S13" s="402"/>
      <c r="U13" s="399"/>
      <c r="V13" s="399"/>
      <c r="W13" s="399"/>
      <c r="Z13" s="402"/>
      <c r="AE13" s="399"/>
      <c r="AF13" s="399"/>
      <c r="AN13" s="399"/>
      <c r="AO13" s="399"/>
      <c r="AS13" s="850"/>
      <c r="AW13" s="403"/>
      <c r="AX13" s="403"/>
      <c r="AY13" s="403"/>
      <c r="AZ13" s="403"/>
    </row>
    <row r="14" spans="5:57" s="501" customFormat="1" ht="20" x14ac:dyDescent="0.35">
      <c r="E14" s="526"/>
      <c r="F14" s="399"/>
      <c r="G14" s="399"/>
      <c r="H14" s="399"/>
      <c r="I14" s="441" t="b">
        <v>1</v>
      </c>
      <c r="J14" s="402" t="s">
        <v>149</v>
      </c>
      <c r="K14" s="402"/>
      <c r="P14" s="399"/>
      <c r="R14" s="425"/>
      <c r="S14" s="402"/>
      <c r="U14" s="399"/>
      <c r="V14" s="399"/>
      <c r="W14" s="399"/>
      <c r="Z14" s="402"/>
      <c r="AE14" s="399"/>
      <c r="AF14" s="399"/>
      <c r="AG14" s="425"/>
      <c r="AH14" s="402"/>
      <c r="AN14" s="399"/>
      <c r="AO14" s="399"/>
      <c r="AS14" s="850"/>
      <c r="AW14" s="403"/>
      <c r="AX14" s="403"/>
      <c r="AY14" s="403"/>
      <c r="AZ14" s="403"/>
    </row>
    <row r="15" spans="5:57" s="501" customFormat="1" ht="20" x14ac:dyDescent="0.35">
      <c r="E15" s="526"/>
      <c r="F15" s="399"/>
      <c r="G15" s="399"/>
      <c r="H15" s="399"/>
      <c r="I15" s="441" t="b">
        <v>1</v>
      </c>
      <c r="J15" s="402" t="s">
        <v>85</v>
      </c>
      <c r="P15" s="399"/>
      <c r="R15" s="425"/>
      <c r="S15" s="402"/>
      <c r="U15" s="399"/>
      <c r="V15" s="399"/>
      <c r="W15" s="399"/>
      <c r="Z15" s="402"/>
      <c r="AE15" s="399"/>
      <c r="AF15" s="399"/>
      <c r="AG15" s="425"/>
      <c r="AH15" s="402"/>
      <c r="AN15" s="399"/>
      <c r="AO15" s="399"/>
      <c r="AS15" s="850"/>
      <c r="AW15" s="403"/>
      <c r="AX15" s="403"/>
      <c r="AY15" s="403"/>
      <c r="AZ15" s="403"/>
    </row>
    <row r="16" spans="5:57" s="501" customFormat="1" ht="20" x14ac:dyDescent="0.35">
      <c r="E16" s="526"/>
      <c r="F16" s="399"/>
      <c r="G16" s="399"/>
      <c r="H16" s="399"/>
      <c r="I16" s="441" t="b">
        <v>0</v>
      </c>
      <c r="J16" s="807" t="s">
        <v>1093</v>
      </c>
      <c r="K16" s="399"/>
      <c r="L16" s="399"/>
      <c r="M16" s="399"/>
      <c r="N16" s="2691"/>
      <c r="O16" s="2691"/>
      <c r="P16" s="2691"/>
      <c r="Q16" s="2691"/>
      <c r="R16" s="2691"/>
      <c r="S16" s="2691"/>
      <c r="T16" s="2691"/>
      <c r="U16" s="230" t="str">
        <f>IF(AND(feed_prog_agri_fishery_others=TRUE,ISBLANK(sch_feed_prog_agri_fishery_others_specify)),"Please specify.",IF(AND(feed_prog_agri_fishery_others=FALSE,(sch_feed_prog_agri_fishery_others_specify&gt;0)),"Please check Others if you have entries.",""))</f>
        <v/>
      </c>
      <c r="V16" s="399"/>
      <c r="W16" s="399"/>
      <c r="Z16" s="402"/>
      <c r="AE16" s="399"/>
      <c r="AF16" s="399"/>
      <c r="AG16" s="425"/>
      <c r="AH16" s="402"/>
      <c r="AN16" s="399"/>
      <c r="AO16" s="399"/>
      <c r="AS16" s="850"/>
      <c r="AW16" s="403"/>
      <c r="AX16" s="403"/>
      <c r="AY16" s="403"/>
      <c r="AZ16" s="403"/>
    </row>
    <row r="17" spans="5:57" s="501" customFormat="1" ht="20" x14ac:dyDescent="0.35">
      <c r="E17" s="526"/>
      <c r="F17" s="399"/>
      <c r="G17" s="399"/>
      <c r="H17" s="399"/>
      <c r="I17" s="441" t="b">
        <v>0</v>
      </c>
      <c r="J17" s="402" t="s">
        <v>128</v>
      </c>
      <c r="P17" s="399"/>
      <c r="R17" s="425"/>
      <c r="S17" s="402"/>
      <c r="U17" s="399"/>
      <c r="V17" s="399"/>
      <c r="W17" s="399"/>
      <c r="Z17" s="402"/>
      <c r="AE17" s="399"/>
      <c r="AF17" s="399"/>
      <c r="AG17" s="425"/>
      <c r="AH17" s="402"/>
      <c r="AN17" s="399"/>
      <c r="AO17" s="399"/>
      <c r="AS17" s="850"/>
      <c r="AW17" s="403"/>
      <c r="AX17" s="403"/>
      <c r="AY17" s="403"/>
      <c r="AZ17" s="403"/>
    </row>
    <row r="18" spans="5:57" s="501" customFormat="1" ht="20" x14ac:dyDescent="0.4">
      <c r="E18" s="912"/>
      <c r="F18" s="511">
        <v>3</v>
      </c>
      <c r="G18" s="512" t="s">
        <v>1089</v>
      </c>
      <c r="H18" s="531"/>
      <c r="I18" s="920"/>
      <c r="J18" s="920"/>
      <c r="K18" s="920"/>
      <c r="L18" s="920"/>
      <c r="M18" s="920"/>
      <c r="N18" s="920"/>
      <c r="O18" s="920"/>
      <c r="P18" s="920"/>
      <c r="Q18" s="920"/>
      <c r="R18" s="920"/>
      <c r="S18" s="920"/>
      <c r="T18" s="920"/>
      <c r="U18" s="668"/>
      <c r="V18" s="403"/>
      <c r="Y18" s="680" t="b">
        <v>0</v>
      </c>
      <c r="Z18" s="403" t="s">
        <v>65</v>
      </c>
      <c r="AA18" s="403"/>
      <c r="AD18" s="680"/>
      <c r="AE18" s="403" t="s">
        <v>11</v>
      </c>
      <c r="AF18" s="403"/>
      <c r="AG18" s="668"/>
      <c r="AH18" s="668"/>
      <c r="AI18" s="668"/>
      <c r="AJ18" s="403"/>
      <c r="AS18" s="483"/>
      <c r="BB18" s="403"/>
      <c r="BC18" s="403"/>
      <c r="BD18" s="403"/>
      <c r="BE18" s="403"/>
    </row>
    <row r="19" spans="5:57" s="501" customFormat="1" ht="20.5" x14ac:dyDescent="0.35">
      <c r="E19" s="912"/>
      <c r="F19" s="399"/>
      <c r="G19" s="520" t="s">
        <v>310</v>
      </c>
      <c r="H19" s="520"/>
      <c r="I19" s="521"/>
      <c r="J19" s="521"/>
      <c r="K19" s="521"/>
      <c r="L19" s="521"/>
      <c r="M19" s="521"/>
      <c r="N19" s="521"/>
      <c r="O19" s="521"/>
      <c r="P19" s="521"/>
      <c r="Q19" s="521"/>
      <c r="R19" s="521"/>
      <c r="S19" s="521"/>
      <c r="T19" s="521"/>
      <c r="U19" s="521"/>
      <c r="V19" s="425"/>
      <c r="W19" s="402"/>
      <c r="X19" s="402"/>
      <c r="Y19" s="402"/>
      <c r="Z19" s="402"/>
      <c r="AA19" s="402"/>
      <c r="AB19" s="402"/>
      <c r="AC19" s="790"/>
      <c r="AD19" s="425"/>
      <c r="AE19" s="425"/>
      <c r="AF19" s="425"/>
      <c r="AG19" s="425"/>
      <c r="AH19" s="425"/>
      <c r="AI19" s="425"/>
      <c r="AJ19" s="402"/>
      <c r="AK19" s="402"/>
      <c r="AL19" s="402"/>
      <c r="AM19" s="402"/>
      <c r="AN19" s="402"/>
      <c r="AO19" s="402"/>
      <c r="AP19" s="402"/>
      <c r="AQ19" s="402"/>
      <c r="AR19" s="402"/>
      <c r="AS19" s="404"/>
    </row>
    <row r="20" spans="5:57" s="501" customFormat="1" ht="19.25" customHeight="1" x14ac:dyDescent="0.35">
      <c r="E20" s="912"/>
      <c r="F20" s="399"/>
      <c r="G20" s="399"/>
      <c r="H20" s="399"/>
      <c r="I20" s="441" t="b">
        <v>0</v>
      </c>
      <c r="J20" s="402" t="s">
        <v>57</v>
      </c>
      <c r="K20" s="399"/>
      <c r="Q20" s="441" t="b">
        <v>0</v>
      </c>
      <c r="R20" s="402" t="s">
        <v>210</v>
      </c>
      <c r="S20" s="399"/>
      <c r="T20" s="399"/>
      <c r="U20" s="399"/>
      <c r="V20" s="399"/>
      <c r="W20" s="399"/>
      <c r="X20" s="441" t="b">
        <v>0</v>
      </c>
      <c r="Y20" s="402" t="s">
        <v>211</v>
      </c>
      <c r="Z20" s="402"/>
      <c r="AA20" s="402"/>
      <c r="AB20" s="402"/>
      <c r="AC20" s="402"/>
      <c r="AD20" s="402"/>
      <c r="AE20" s="399"/>
      <c r="AF20" s="399"/>
      <c r="AG20" s="441" t="b">
        <v>0</v>
      </c>
      <c r="AH20" s="807" t="s">
        <v>1093</v>
      </c>
      <c r="AI20" s="399"/>
      <c r="AJ20" s="399"/>
      <c r="AK20" s="399"/>
      <c r="AL20" s="2691"/>
      <c r="AM20" s="2691"/>
      <c r="AN20" s="2691"/>
      <c r="AO20" s="2691"/>
      <c r="AP20" s="2691"/>
      <c r="AQ20" s="2691"/>
      <c r="AR20" s="2691"/>
      <c r="AS20" s="483"/>
      <c r="AT20" s="399"/>
    </row>
    <row r="21" spans="5:57" s="501" customFormat="1" ht="19.25" customHeight="1" x14ac:dyDescent="0.35">
      <c r="E21" s="912"/>
      <c r="F21" s="399"/>
      <c r="G21" s="399"/>
      <c r="H21" s="399"/>
      <c r="I21" s="441" t="b">
        <v>0</v>
      </c>
      <c r="J21" s="402" t="s">
        <v>58</v>
      </c>
      <c r="K21" s="399"/>
      <c r="Q21" s="441" t="b">
        <v>0</v>
      </c>
      <c r="R21" s="402" t="s">
        <v>212</v>
      </c>
      <c r="S21" s="399"/>
      <c r="T21" s="399"/>
      <c r="U21" s="399"/>
      <c r="V21" s="399"/>
      <c r="W21" s="399"/>
      <c r="X21" s="441" t="b">
        <v>0</v>
      </c>
      <c r="Y21" s="402" t="s">
        <v>214</v>
      </c>
      <c r="Z21" s="402"/>
      <c r="AA21" s="402"/>
      <c r="AB21" s="402"/>
      <c r="AC21" s="402"/>
      <c r="AD21" s="402"/>
      <c r="AE21" s="399"/>
      <c r="AF21" s="399"/>
      <c r="AG21" s="399"/>
      <c r="AH21" s="399"/>
      <c r="AI21" s="399"/>
      <c r="AJ21" s="399"/>
      <c r="AK21" s="399"/>
      <c r="AL21" s="548" t="str">
        <f>IF(AND(feed_prog_agri_fishery_usedfp_yes_fundsource_others=TRUE,ISBLANK(sch_feed_prog_agri_fishery_usedfp_yes_fundsource_others_specify)),"Please specify.",IF(AND(feed_prog_agri_fishery_usedfp_yes_fundsource_others=FALSE,(sch_feed_prog_agri_fishery_usedfp_yes_fundsource_others_specify&gt;0)),"Please check Others if you have entries.",""))</f>
        <v/>
      </c>
      <c r="AM21" s="399"/>
      <c r="AN21" s="399"/>
      <c r="AO21" s="399"/>
      <c r="AP21" s="399"/>
      <c r="AQ21" s="399"/>
      <c r="AR21" s="399"/>
      <c r="AS21" s="483"/>
      <c r="AT21" s="399"/>
    </row>
    <row r="22" spans="5:57" s="501" customFormat="1" ht="7.5" customHeight="1" thickBot="1" x14ac:dyDescent="0.4">
      <c r="E22" s="528"/>
      <c r="F22" s="529"/>
      <c r="G22" s="778"/>
      <c r="H22" s="408"/>
      <c r="I22" s="408"/>
      <c r="J22" s="408"/>
      <c r="K22" s="408"/>
      <c r="L22" s="408"/>
      <c r="M22" s="408"/>
      <c r="N22" s="408"/>
      <c r="O22" s="408"/>
      <c r="P22" s="408"/>
      <c r="Q22" s="672"/>
      <c r="R22" s="672"/>
      <c r="S22" s="672"/>
      <c r="T22" s="672"/>
      <c r="U22" s="672"/>
      <c r="V22" s="408"/>
      <c r="W22" s="672"/>
      <c r="X22" s="672"/>
      <c r="Y22" s="672"/>
      <c r="Z22" s="672"/>
      <c r="AA22" s="672"/>
      <c r="AB22" s="672"/>
      <c r="AC22" s="408"/>
      <c r="AD22" s="408"/>
      <c r="AE22" s="408"/>
      <c r="AF22" s="408"/>
      <c r="AG22" s="408"/>
      <c r="AH22" s="408"/>
      <c r="AI22" s="408"/>
      <c r="AJ22" s="408"/>
      <c r="AK22" s="408"/>
      <c r="AL22" s="408"/>
      <c r="AM22" s="408"/>
      <c r="AN22" s="408"/>
      <c r="AO22" s="408"/>
      <c r="AP22" s="408"/>
      <c r="AQ22" s="408"/>
      <c r="AR22" s="408"/>
      <c r="AS22" s="409"/>
    </row>
    <row r="23" spans="5:57" s="403" customFormat="1" ht="25" customHeight="1" thickTop="1" x14ac:dyDescent="0.35">
      <c r="E23" s="530"/>
      <c r="F23" s="531"/>
      <c r="G23" s="531"/>
      <c r="H23" s="531"/>
      <c r="I23" s="531"/>
      <c r="J23" s="531"/>
      <c r="K23" s="402"/>
      <c r="L23" s="402"/>
      <c r="M23" s="402"/>
      <c r="N23" s="402"/>
      <c r="O23" s="522"/>
      <c r="P23" s="522"/>
      <c r="Q23" s="522"/>
      <c r="R23" s="522"/>
      <c r="S23" s="402"/>
      <c r="T23" s="522"/>
      <c r="U23" s="522"/>
      <c r="V23" s="522"/>
      <c r="W23" s="522"/>
      <c r="X23" s="402"/>
      <c r="Y23" s="522"/>
      <c r="Z23" s="522"/>
      <c r="AA23" s="522"/>
      <c r="AB23" s="522"/>
    </row>
    <row r="24" spans="5:57" s="501" customFormat="1" x14ac:dyDescent="0.35">
      <c r="E24" s="502" t="s">
        <v>12735</v>
      </c>
    </row>
    <row r="25" spans="5:57" s="402" customFormat="1" ht="16" thickBot="1" x14ac:dyDescent="0.4">
      <c r="E25" s="419" t="s">
        <v>1091</v>
      </c>
    </row>
    <row r="26" spans="5:57" s="501" customFormat="1" ht="8.15" customHeight="1" thickTop="1" x14ac:dyDescent="0.35">
      <c r="E26" s="533"/>
      <c r="F26" s="913"/>
      <c r="G26" s="913"/>
      <c r="H26" s="913"/>
      <c r="I26" s="913"/>
      <c r="J26" s="913"/>
      <c r="K26" s="535"/>
      <c r="L26" s="535"/>
      <c r="M26" s="535"/>
      <c r="N26" s="535"/>
      <c r="O26" s="535"/>
      <c r="P26" s="535"/>
      <c r="Q26" s="535"/>
      <c r="R26" s="535"/>
      <c r="S26" s="535"/>
      <c r="T26" s="535"/>
      <c r="U26" s="535"/>
      <c r="V26" s="535"/>
      <c r="W26" s="535"/>
      <c r="X26" s="535"/>
      <c r="Y26" s="535"/>
      <c r="Z26" s="535"/>
      <c r="AA26" s="535"/>
      <c r="AB26" s="597"/>
      <c r="AC26" s="914"/>
      <c r="AD26" s="914"/>
      <c r="AE26" s="914"/>
      <c r="AF26" s="914"/>
      <c r="AG26" s="915"/>
      <c r="AH26" s="535"/>
      <c r="AI26" s="535"/>
      <c r="AJ26" s="535"/>
      <c r="AK26" s="535"/>
      <c r="AL26" s="535"/>
      <c r="AM26" s="535"/>
      <c r="AN26" s="535"/>
      <c r="AO26" s="535"/>
      <c r="AP26" s="535"/>
      <c r="AQ26" s="535"/>
      <c r="AR26" s="535"/>
      <c r="AS26" s="536"/>
    </row>
    <row r="27" spans="5:57" s="509" customFormat="1" ht="19.5" customHeight="1" x14ac:dyDescent="0.35">
      <c r="E27" s="515"/>
      <c r="F27" s="511" t="s">
        <v>150</v>
      </c>
      <c r="G27" s="509" t="s">
        <v>1090</v>
      </c>
      <c r="H27" s="916"/>
      <c r="I27" s="916"/>
      <c r="J27" s="916"/>
      <c r="K27" s="916"/>
      <c r="L27" s="916"/>
      <c r="M27" s="916"/>
      <c r="N27" s="916"/>
      <c r="Q27" s="441" t="b">
        <v>1</v>
      </c>
      <c r="R27" s="402" t="s">
        <v>65</v>
      </c>
      <c r="S27" s="402"/>
      <c r="V27" s="441"/>
      <c r="W27" s="402" t="s">
        <v>11</v>
      </c>
      <c r="Z27" s="916"/>
      <c r="AA27" s="916"/>
      <c r="AB27" s="400"/>
      <c r="AC27" s="916"/>
      <c r="AD27" s="916"/>
      <c r="AE27" s="916"/>
      <c r="AF27" s="916"/>
      <c r="AG27" s="437"/>
      <c r="AS27" s="519"/>
    </row>
    <row r="28" spans="5:57" s="501" customFormat="1" ht="19.5" customHeight="1" thickBot="1" x14ac:dyDescent="0.45">
      <c r="E28" s="917"/>
      <c r="F28" s="918"/>
      <c r="G28" s="919" t="s">
        <v>422</v>
      </c>
      <c r="I28" s="668"/>
      <c r="J28" s="399"/>
      <c r="M28" s="668"/>
      <c r="N28" s="668"/>
      <c r="O28" s="668"/>
      <c r="P28" s="668"/>
      <c r="Q28" s="1411"/>
      <c r="R28" s="668"/>
      <c r="S28" s="668"/>
      <c r="T28" s="668"/>
      <c r="U28" s="668"/>
      <c r="V28" s="403"/>
      <c r="W28" s="403"/>
      <c r="Y28" s="668"/>
      <c r="Z28" s="761"/>
      <c r="AB28" s="399"/>
      <c r="AD28" s="668"/>
      <c r="AE28" s="668"/>
      <c r="AF28" s="399"/>
      <c r="AS28" s="850"/>
    </row>
    <row r="29" spans="5:57" s="501" customFormat="1" ht="33" customHeight="1" thickTop="1" thickBot="1" x14ac:dyDescent="0.45">
      <c r="E29" s="834"/>
      <c r="H29" s="3321" t="s">
        <v>645</v>
      </c>
      <c r="I29" s="3322"/>
      <c r="J29" s="3322"/>
      <c r="K29" s="3322"/>
      <c r="L29" s="3322"/>
      <c r="M29" s="3322"/>
      <c r="N29" s="3322"/>
      <c r="O29" s="3322"/>
      <c r="P29" s="3323"/>
      <c r="Q29" s="3324" t="s">
        <v>646</v>
      </c>
      <c r="R29" s="3322"/>
      <c r="S29" s="3322"/>
      <c r="T29" s="3322"/>
      <c r="U29" s="3322"/>
      <c r="V29" s="3322"/>
      <c r="W29" s="3322"/>
      <c r="X29" s="3323"/>
      <c r="Y29" s="3324" t="s">
        <v>647</v>
      </c>
      <c r="Z29" s="3322"/>
      <c r="AA29" s="3322"/>
      <c r="AB29" s="3322"/>
      <c r="AC29" s="3322"/>
      <c r="AD29" s="3322"/>
      <c r="AE29" s="3322"/>
      <c r="AF29" s="3323"/>
      <c r="AG29" s="3325" t="s">
        <v>648</v>
      </c>
      <c r="AH29" s="3326"/>
      <c r="AI29" s="3326"/>
      <c r="AJ29" s="3326"/>
      <c r="AK29" s="3326"/>
      <c r="AL29" s="3326"/>
      <c r="AM29" s="3326"/>
      <c r="AN29" s="3326"/>
      <c r="AO29" s="3326"/>
      <c r="AP29" s="3327"/>
      <c r="AQ29" s="668"/>
      <c r="AR29" s="668"/>
      <c r="AS29" s="788"/>
      <c r="BB29" s="403"/>
      <c r="BC29" s="403"/>
      <c r="BD29" s="403"/>
      <c r="BE29" s="403"/>
    </row>
    <row r="30" spans="5:57" s="501" customFormat="1" ht="35.5" customHeight="1" thickTop="1" x14ac:dyDescent="0.4">
      <c r="E30" s="834"/>
      <c r="H30" s="523"/>
      <c r="I30" s="441" t="b">
        <v>0</v>
      </c>
      <c r="J30" s="402" t="s">
        <v>536</v>
      </c>
      <c r="L30" s="513"/>
      <c r="M30" s="513"/>
      <c r="N30" s="513"/>
      <c r="O30" s="513"/>
      <c r="P30" s="886"/>
      <c r="Q30" s="789"/>
      <c r="R30" s="2944"/>
      <c r="S30" s="2944"/>
      <c r="T30" s="2944"/>
      <c r="U30" s="2944"/>
      <c r="V30" s="2944"/>
      <c r="W30" s="2944"/>
      <c r="X30" s="886"/>
      <c r="Y30" s="513"/>
      <c r="Z30" s="3320"/>
      <c r="AA30" s="2944"/>
      <c r="AB30" s="2944"/>
      <c r="AC30" s="2944"/>
      <c r="AD30" s="2944"/>
      <c r="AE30" s="2944"/>
      <c r="AF30" s="886"/>
      <c r="AG30" s="513"/>
      <c r="AH30" s="441" t="b">
        <v>0</v>
      </c>
      <c r="AI30" s="402" t="s">
        <v>65</v>
      </c>
      <c r="AJ30" s="898"/>
      <c r="AK30" s="899"/>
      <c r="AL30" s="899"/>
      <c r="AM30" s="441"/>
      <c r="AN30" s="402" t="s">
        <v>11</v>
      </c>
      <c r="AO30" s="402"/>
      <c r="AP30" s="788"/>
      <c r="AQ30" s="668"/>
      <c r="AR30" s="668"/>
      <c r="AS30" s="788"/>
      <c r="BB30" s="403"/>
      <c r="BC30" s="403"/>
      <c r="BD30" s="403"/>
      <c r="BE30" s="403"/>
    </row>
    <row r="31" spans="5:57" s="501" customFormat="1" ht="5.15" customHeight="1" x14ac:dyDescent="0.4">
      <c r="E31" s="834"/>
      <c r="H31" s="901"/>
      <c r="I31" s="902"/>
      <c r="J31" s="714"/>
      <c r="K31" s="903"/>
      <c r="L31" s="904"/>
      <c r="M31" s="904"/>
      <c r="N31" s="904"/>
      <c r="O31" s="904"/>
      <c r="P31" s="905"/>
      <c r="Q31" s="906"/>
      <c r="R31" s="907"/>
      <c r="S31" s="904"/>
      <c r="T31" s="904"/>
      <c r="U31" s="904"/>
      <c r="V31" s="904"/>
      <c r="W31" s="904"/>
      <c r="X31" s="905"/>
      <c r="Y31" s="904"/>
      <c r="Z31" s="907"/>
      <c r="AA31" s="904"/>
      <c r="AB31" s="904"/>
      <c r="AC31" s="904"/>
      <c r="AD31" s="904"/>
      <c r="AE31" s="904"/>
      <c r="AF31" s="905"/>
      <c r="AG31" s="904"/>
      <c r="AH31" s="902"/>
      <c r="AI31" s="714"/>
      <c r="AJ31" s="908"/>
      <c r="AK31" s="909"/>
      <c r="AL31" s="909"/>
      <c r="AM31" s="902"/>
      <c r="AN31" s="714"/>
      <c r="AO31" s="714"/>
      <c r="AP31" s="910"/>
      <c r="AQ31" s="668"/>
      <c r="AR31" s="668"/>
      <c r="AS31" s="788"/>
      <c r="BB31" s="403"/>
      <c r="BC31" s="403"/>
      <c r="BD31" s="403"/>
      <c r="BE31" s="403"/>
    </row>
    <row r="32" spans="5:57" s="501" customFormat="1" ht="35.5" customHeight="1" x14ac:dyDescent="0.4">
      <c r="E32" s="834"/>
      <c r="H32" s="900"/>
      <c r="I32" s="441" t="b">
        <v>1</v>
      </c>
      <c r="J32" s="402" t="s">
        <v>537</v>
      </c>
      <c r="L32" s="512"/>
      <c r="M32" s="512"/>
      <c r="N32" s="512"/>
      <c r="O32" s="512"/>
      <c r="P32" s="884"/>
      <c r="Q32" s="513"/>
      <c r="R32" s="3328">
        <v>44599</v>
      </c>
      <c r="S32" s="3098"/>
      <c r="T32" s="3098"/>
      <c r="U32" s="3098"/>
      <c r="V32" s="3098"/>
      <c r="W32" s="3098"/>
      <c r="X32" s="884"/>
      <c r="Y32" s="513"/>
      <c r="Z32" s="3328">
        <v>44926</v>
      </c>
      <c r="AA32" s="3098"/>
      <c r="AB32" s="3098"/>
      <c r="AC32" s="3098"/>
      <c r="AD32" s="3098"/>
      <c r="AE32" s="3098"/>
      <c r="AF32" s="884"/>
      <c r="AG32" s="513"/>
      <c r="AH32" s="441" t="b">
        <v>1</v>
      </c>
      <c r="AI32" s="402" t="s">
        <v>65</v>
      </c>
      <c r="AJ32" s="898"/>
      <c r="AK32" s="899"/>
      <c r="AL32" s="899"/>
      <c r="AM32" s="441"/>
      <c r="AN32" s="402" t="s">
        <v>11</v>
      </c>
      <c r="AO32" s="402"/>
      <c r="AP32" s="788"/>
      <c r="AQ32" s="668"/>
      <c r="AR32" s="668"/>
      <c r="AS32" s="788"/>
      <c r="BB32" s="403"/>
      <c r="BC32" s="403"/>
      <c r="BD32" s="403"/>
      <c r="BE32" s="403"/>
    </row>
    <row r="33" spans="2:57" s="501" customFormat="1" ht="5.15" customHeight="1" x14ac:dyDescent="0.4">
      <c r="E33" s="834"/>
      <c r="H33" s="901"/>
      <c r="I33" s="902"/>
      <c r="J33" s="714"/>
      <c r="K33" s="903"/>
      <c r="L33" s="904"/>
      <c r="M33" s="904"/>
      <c r="N33" s="904"/>
      <c r="O33" s="904"/>
      <c r="P33" s="905"/>
      <c r="Q33" s="906"/>
      <c r="R33" s="907"/>
      <c r="S33" s="904"/>
      <c r="T33" s="904"/>
      <c r="U33" s="904"/>
      <c r="V33" s="904"/>
      <c r="W33" s="904"/>
      <c r="X33" s="905"/>
      <c r="Y33" s="904"/>
      <c r="Z33" s="907"/>
      <c r="AA33" s="904"/>
      <c r="AB33" s="904"/>
      <c r="AC33" s="904"/>
      <c r="AD33" s="904"/>
      <c r="AE33" s="904"/>
      <c r="AF33" s="905"/>
      <c r="AG33" s="904"/>
      <c r="AH33" s="902"/>
      <c r="AI33" s="714"/>
      <c r="AJ33" s="908"/>
      <c r="AK33" s="909"/>
      <c r="AL33" s="909"/>
      <c r="AM33" s="902"/>
      <c r="AN33" s="714"/>
      <c r="AO33" s="714"/>
      <c r="AP33" s="910"/>
      <c r="AQ33" s="668"/>
      <c r="AR33" s="668"/>
      <c r="AS33" s="788"/>
      <c r="BB33" s="403"/>
      <c r="BC33" s="403"/>
      <c r="BD33" s="403"/>
      <c r="BE33" s="403"/>
    </row>
    <row r="34" spans="2:57" s="501" customFormat="1" ht="23.25" customHeight="1" x14ac:dyDescent="0.4">
      <c r="E34" s="834"/>
      <c r="H34" s="911"/>
      <c r="I34" s="680" t="b">
        <v>0</v>
      </c>
      <c r="J34" s="593" t="s">
        <v>1093</v>
      </c>
      <c r="L34" s="399"/>
      <c r="N34" s="485"/>
      <c r="P34" s="897"/>
      <c r="Q34" s="789"/>
      <c r="R34" s="403"/>
      <c r="S34" s="789"/>
      <c r="T34" s="789"/>
      <c r="U34" s="789"/>
      <c r="V34" s="789"/>
      <c r="W34" s="789"/>
      <c r="X34" s="897"/>
      <c r="Y34" s="789"/>
      <c r="Z34" s="403"/>
      <c r="AA34" s="789"/>
      <c r="AB34" s="789"/>
      <c r="AC34" s="789"/>
      <c r="AD34" s="789"/>
      <c r="AE34" s="789"/>
      <c r="AF34" s="897"/>
      <c r="AG34" s="789"/>
      <c r="AH34" s="898"/>
      <c r="AI34" s="527"/>
      <c r="AJ34" s="527"/>
      <c r="AK34" s="527"/>
      <c r="AL34" s="527"/>
      <c r="AM34" s="527"/>
      <c r="AN34" s="899"/>
      <c r="AO34" s="899"/>
      <c r="AP34" s="788"/>
      <c r="AQ34" s="668"/>
      <c r="AR34" s="668"/>
      <c r="AS34" s="788"/>
      <c r="BB34" s="403"/>
      <c r="BC34" s="403"/>
      <c r="BD34" s="403"/>
      <c r="BE34" s="403"/>
    </row>
    <row r="35" spans="2:57" s="501" customFormat="1" ht="24.75" customHeight="1" x14ac:dyDescent="0.4">
      <c r="E35" s="834"/>
      <c r="H35" s="900"/>
      <c r="I35" s="425"/>
      <c r="J35" s="3119"/>
      <c r="K35" s="3119"/>
      <c r="L35" s="3119"/>
      <c r="M35" s="3119"/>
      <c r="N35" s="3119"/>
      <c r="O35" s="3119"/>
      <c r="P35" s="897"/>
      <c r="R35" s="2944"/>
      <c r="S35" s="2944"/>
      <c r="T35" s="2944"/>
      <c r="U35" s="2944"/>
      <c r="V35" s="2944"/>
      <c r="W35" s="2944"/>
      <c r="X35" s="897"/>
      <c r="Y35" s="513"/>
      <c r="Z35" s="3320"/>
      <c r="AA35" s="2944"/>
      <c r="AB35" s="2944"/>
      <c r="AC35" s="2944"/>
      <c r="AD35" s="2944"/>
      <c r="AE35" s="2944"/>
      <c r="AF35" s="897"/>
      <c r="AG35" s="513"/>
      <c r="AH35" s="441" t="b">
        <v>0</v>
      </c>
      <c r="AI35" s="402" t="s">
        <v>65</v>
      </c>
      <c r="AJ35" s="898"/>
      <c r="AK35" s="899"/>
      <c r="AL35" s="899"/>
      <c r="AM35" s="441"/>
      <c r="AN35" s="402" t="s">
        <v>11</v>
      </c>
      <c r="AO35" s="402"/>
      <c r="AP35" s="788"/>
      <c r="AQ35" s="668"/>
      <c r="AR35" s="668"/>
      <c r="AS35" s="788"/>
      <c r="BB35" s="403"/>
      <c r="BC35" s="403"/>
      <c r="BD35" s="403"/>
      <c r="BE35" s="403"/>
    </row>
    <row r="36" spans="2:57" s="501" customFormat="1" ht="5.15" customHeight="1" thickBot="1" x14ac:dyDescent="0.45">
      <c r="E36" s="834"/>
      <c r="H36" s="890"/>
      <c r="I36" s="672"/>
      <c r="J36" s="472"/>
      <c r="K36" s="543"/>
      <c r="L36" s="573"/>
      <c r="M36" s="543"/>
      <c r="N36" s="543"/>
      <c r="O36" s="543"/>
      <c r="P36" s="921"/>
      <c r="Q36" s="543"/>
      <c r="R36" s="472"/>
      <c r="S36" s="891"/>
      <c r="T36" s="891"/>
      <c r="U36" s="891"/>
      <c r="V36" s="891"/>
      <c r="W36" s="891"/>
      <c r="X36" s="921"/>
      <c r="Y36" s="892"/>
      <c r="Z36" s="472"/>
      <c r="AA36" s="891"/>
      <c r="AB36" s="891"/>
      <c r="AC36" s="891"/>
      <c r="AD36" s="891"/>
      <c r="AE36" s="891"/>
      <c r="AF36" s="921"/>
      <c r="AG36" s="892"/>
      <c r="AH36" s="543"/>
      <c r="AI36" s="672"/>
      <c r="AJ36" s="407"/>
      <c r="AK36" s="893"/>
      <c r="AL36" s="894"/>
      <c r="AM36" s="894"/>
      <c r="AN36" s="672"/>
      <c r="AO36" s="407"/>
      <c r="AP36" s="895"/>
      <c r="AQ36" s="668"/>
      <c r="AR36" s="668"/>
      <c r="AS36" s="788"/>
      <c r="BB36" s="403"/>
      <c r="BC36" s="403"/>
      <c r="BD36" s="403"/>
      <c r="BE36" s="403"/>
    </row>
    <row r="37" spans="2:57" s="501" customFormat="1" ht="18" customHeight="1" thickTop="1" thickBot="1" x14ac:dyDescent="0.4">
      <c r="E37" s="532"/>
      <c r="F37" s="543"/>
      <c r="G37" s="543"/>
      <c r="H37" s="543"/>
      <c r="I37" s="543"/>
      <c r="J37" s="922" t="str">
        <f>IF(AND(food_hndlg_canteen_mngd_others=TRUE,ISBLANK(sch_food_hndlg_canteen_mngd_others_specify)),"Please specify.",IF(AND(food_hndlg_canteen_mngd_others=FALSE,(sch_food_hndlg_canteen_mngd_others_specify&gt;0)),"Please check Other if you have entries.",""))</f>
        <v/>
      </c>
      <c r="K37" s="543"/>
      <c r="L37" s="543"/>
      <c r="M37" s="543"/>
      <c r="N37" s="543"/>
      <c r="O37" s="543"/>
      <c r="P37" s="543"/>
      <c r="Q37" s="543"/>
      <c r="R37" s="543"/>
      <c r="S37" s="543"/>
      <c r="T37" s="543"/>
      <c r="U37" s="543"/>
      <c r="V37" s="543"/>
      <c r="W37" s="543"/>
      <c r="X37" s="543"/>
      <c r="Y37" s="543"/>
      <c r="Z37" s="543"/>
      <c r="AA37" s="543"/>
      <c r="AB37" s="408"/>
      <c r="AC37" s="896"/>
      <c r="AD37" s="896"/>
      <c r="AE37" s="896"/>
      <c r="AF37" s="543"/>
      <c r="AG37" s="543"/>
      <c r="AH37" s="543"/>
      <c r="AI37" s="543"/>
      <c r="AJ37" s="543"/>
      <c r="AK37" s="543"/>
      <c r="AL37" s="543"/>
      <c r="AM37" s="543"/>
      <c r="AN37" s="543"/>
      <c r="AO37" s="543"/>
      <c r="AP37" s="543"/>
      <c r="AQ37" s="543"/>
      <c r="AR37" s="543"/>
      <c r="AS37" s="544"/>
    </row>
    <row r="38" spans="2:57" ht="15.75" customHeight="1" thickTop="1" x14ac:dyDescent="0.35">
      <c r="E38" s="3319" t="s">
        <v>1142</v>
      </c>
      <c r="F38" s="3319"/>
      <c r="G38" s="3319"/>
      <c r="H38" s="3319"/>
      <c r="I38" s="3319"/>
      <c r="J38" s="3319"/>
      <c r="K38" s="3319"/>
      <c r="L38" s="3319"/>
      <c r="M38" s="3319"/>
      <c r="N38" s="3319"/>
      <c r="O38" s="3319"/>
      <c r="P38" s="3319"/>
      <c r="Q38" s="3319"/>
      <c r="R38" s="3319"/>
      <c r="S38" s="3319"/>
      <c r="T38" s="3319"/>
      <c r="U38" s="3319"/>
      <c r="V38" s="3319"/>
      <c r="W38" s="3319"/>
      <c r="X38" s="3319"/>
      <c r="Y38" s="3319"/>
      <c r="Z38" s="3319"/>
      <c r="AA38" s="3319"/>
      <c r="AB38" s="3319"/>
      <c r="AC38" s="3319"/>
      <c r="AD38" s="3319"/>
      <c r="AE38" s="3319"/>
      <c r="AF38" s="3319"/>
      <c r="AG38" s="3319"/>
      <c r="AH38" s="3319"/>
      <c r="AI38" s="3319"/>
      <c r="AJ38" s="3319"/>
      <c r="AK38" s="3319"/>
      <c r="AL38" s="3319"/>
      <c r="AM38" s="3319"/>
      <c r="AN38" s="3319"/>
      <c r="AO38" s="3319"/>
      <c r="AP38" s="3319"/>
      <c r="AQ38" s="3319"/>
      <c r="AR38" s="3319"/>
      <c r="AS38" s="3319"/>
    </row>
    <row r="39" spans="2:57" ht="16.5" customHeight="1" x14ac:dyDescent="0.35">
      <c r="E39" s="3319"/>
      <c r="F39" s="3319"/>
      <c r="G39" s="3319"/>
      <c r="H39" s="3319"/>
      <c r="I39" s="3319"/>
      <c r="J39" s="3319"/>
      <c r="K39" s="3319"/>
      <c r="L39" s="3319"/>
      <c r="M39" s="3319"/>
      <c r="N39" s="3319"/>
      <c r="O39" s="3319"/>
      <c r="P39" s="3319"/>
      <c r="Q39" s="3319"/>
      <c r="R39" s="3319"/>
      <c r="S39" s="3319"/>
      <c r="T39" s="3319"/>
      <c r="U39" s="3319"/>
      <c r="V39" s="3319"/>
      <c r="W39" s="3319"/>
      <c r="X39" s="3319"/>
      <c r="Y39" s="3319"/>
      <c r="Z39" s="3319"/>
      <c r="AA39" s="3319"/>
      <c r="AB39" s="3319"/>
      <c r="AC39" s="3319"/>
      <c r="AD39" s="3319"/>
      <c r="AE39" s="3319"/>
      <c r="AF39" s="3319"/>
      <c r="AG39" s="3319"/>
      <c r="AH39" s="3319"/>
      <c r="AI39" s="3319"/>
      <c r="AJ39" s="3319"/>
      <c r="AK39" s="3319"/>
      <c r="AL39" s="3319"/>
      <c r="AM39" s="3319"/>
      <c r="AN39" s="3319"/>
      <c r="AO39" s="3319"/>
      <c r="AP39" s="3319"/>
      <c r="AQ39" s="3319"/>
      <c r="AR39" s="3319"/>
      <c r="AS39" s="3319"/>
    </row>
    <row r="40" spans="2:57" s="44" customFormat="1" ht="30.75" customHeight="1" x14ac:dyDescent="0.35">
      <c r="P40" s="85"/>
      <c r="AE40" s="85"/>
      <c r="AG40" s="85"/>
      <c r="AI40" s="85"/>
      <c r="AW40" s="85"/>
    </row>
    <row r="41" spans="2:57" s="73" customFormat="1" ht="14" x14ac:dyDescent="0.3">
      <c r="B41" s="74" t="s">
        <v>913</v>
      </c>
      <c r="Q41" s="74" t="s">
        <v>908</v>
      </c>
      <c r="AI41" s="74" t="s">
        <v>922</v>
      </c>
    </row>
    <row r="42" spans="2:57" s="73" customFormat="1" ht="21.75" customHeight="1" x14ac:dyDescent="0.3">
      <c r="B42" s="74" t="s">
        <v>811</v>
      </c>
      <c r="F42" s="1482" t="str">
        <f>SchInfo!F38</f>
        <v>MELCHESIEDICK Q. BOLANIO/ March 17, 2023</v>
      </c>
      <c r="G42" s="1482"/>
      <c r="H42" s="1482"/>
      <c r="I42" s="1482"/>
      <c r="J42" s="1482"/>
      <c r="K42" s="1482"/>
      <c r="L42" s="1482"/>
      <c r="M42" s="1482"/>
      <c r="N42" s="1482"/>
      <c r="Q42" s="1482" t="str">
        <f>'Table33a-b'!R42</f>
        <v>RACQUEL N. ACOMPAÑADO</v>
      </c>
      <c r="R42" s="1482"/>
      <c r="S42" s="1482"/>
      <c r="T42" s="1482"/>
      <c r="U42" s="1482"/>
      <c r="V42" s="1482"/>
      <c r="W42" s="1482"/>
      <c r="X42" s="1482"/>
      <c r="Y42" s="1482"/>
      <c r="Z42" s="1482"/>
      <c r="AA42" s="1482"/>
      <c r="AB42" s="1482"/>
      <c r="AC42" s="1482"/>
      <c r="AD42" s="1482"/>
      <c r="AE42" s="1482"/>
      <c r="AF42" s="1482"/>
      <c r="AI42" s="1484" t="str">
        <f>SchInfo!R38</f>
        <v>MICHAEL T. JAMIS   /  March 17, 2023</v>
      </c>
      <c r="AJ42" s="1484"/>
      <c r="AK42" s="1484"/>
      <c r="AL42" s="1484"/>
      <c r="AM42" s="1484"/>
      <c r="AN42" s="1484"/>
      <c r="AO42" s="1484"/>
      <c r="AP42" s="1484"/>
      <c r="AQ42" s="1484"/>
      <c r="AR42" s="1484"/>
      <c r="AS42" s="1484"/>
      <c r="AT42" s="1484"/>
      <c r="AU42" s="1484"/>
    </row>
    <row r="43" spans="2:57" s="68" customFormat="1" ht="15" customHeight="1" x14ac:dyDescent="0.3">
      <c r="B43" s="210"/>
      <c r="F43" s="1452" t="s">
        <v>779</v>
      </c>
      <c r="G43" s="1452"/>
      <c r="H43" s="1452"/>
      <c r="I43" s="1452"/>
      <c r="J43" s="1452"/>
      <c r="K43" s="1452"/>
      <c r="L43" s="1452"/>
      <c r="M43" s="1452"/>
      <c r="N43" s="1452"/>
      <c r="O43" s="64"/>
      <c r="P43" s="64"/>
      <c r="Q43" s="1452" t="s">
        <v>779</v>
      </c>
      <c r="R43" s="1452"/>
      <c r="S43" s="1452"/>
      <c r="T43" s="1452"/>
      <c r="U43" s="1452"/>
      <c r="V43" s="1452"/>
      <c r="W43" s="1452"/>
      <c r="X43" s="1452"/>
      <c r="Y43" s="1452"/>
      <c r="Z43" s="1452"/>
      <c r="AA43" s="1452"/>
      <c r="AB43" s="1452"/>
      <c r="AC43" s="1452"/>
      <c r="AD43" s="1452"/>
      <c r="AE43" s="1452"/>
      <c r="AF43" s="1452"/>
      <c r="AI43" s="1485"/>
      <c r="AJ43" s="1485"/>
      <c r="AK43" s="1485"/>
      <c r="AL43" s="1485"/>
      <c r="AM43" s="1485"/>
      <c r="AN43" s="1485"/>
      <c r="AO43" s="1485"/>
      <c r="AP43" s="1485"/>
      <c r="AQ43" s="1485"/>
      <c r="AR43" s="1485"/>
      <c r="AS43" s="1485"/>
      <c r="AT43" s="1485"/>
      <c r="AU43" s="1485"/>
    </row>
    <row r="44" spans="2:57" s="73" customFormat="1" ht="21.75" customHeight="1" x14ac:dyDescent="0.3">
      <c r="B44" s="74" t="s">
        <v>784</v>
      </c>
      <c r="F44" s="1482" t="str">
        <f>SchInfo!F40</f>
        <v>Principal IV</v>
      </c>
      <c r="G44" s="1482"/>
      <c r="H44" s="1482"/>
      <c r="I44" s="1482"/>
      <c r="J44" s="1482"/>
      <c r="K44" s="1482"/>
      <c r="L44" s="1482"/>
      <c r="M44" s="1482"/>
      <c r="N44" s="1482"/>
      <c r="Q44" s="74" t="s">
        <v>784</v>
      </c>
      <c r="U44" s="1482" t="str">
        <f>'Table33a-b'!V44</f>
        <v>Nurse II</v>
      </c>
      <c r="V44" s="1482"/>
      <c r="W44" s="1482"/>
      <c r="X44" s="1482"/>
      <c r="Y44" s="1482"/>
      <c r="Z44" s="1482"/>
      <c r="AA44" s="1482"/>
      <c r="AB44" s="1482"/>
      <c r="AC44" s="1482"/>
      <c r="AD44" s="1482"/>
      <c r="AE44" s="1482"/>
      <c r="AF44" s="1482"/>
      <c r="AI44" s="1452" t="s">
        <v>779</v>
      </c>
      <c r="AJ44" s="1452"/>
      <c r="AK44" s="1452"/>
      <c r="AL44" s="1452"/>
      <c r="AM44" s="1452"/>
      <c r="AN44" s="1452"/>
      <c r="AO44" s="1452"/>
      <c r="AP44" s="1452"/>
      <c r="AQ44" s="1452"/>
      <c r="AR44" s="1452"/>
      <c r="AS44" s="1452"/>
      <c r="AT44" s="1452"/>
      <c r="AU44" s="1452"/>
    </row>
  </sheetData>
  <sheetProtection algorithmName="SHA-512" hashValue="9635sp2Z+TlQf/+0+Y2G7MTnYFCyV64QBLCcCe9I4bjtd1N+ItcARtxuF/qzYnj9as6Hf98I+JrjrXjhV90irA==" saltValue="Yq8ReZZ0MJPHyizsVP5Tow==" spinCount="100000" sheet="1" objects="1" scenarios="1" selectLockedCells="1"/>
  <mergeCells count="23">
    <mergeCell ref="AL8:AR8"/>
    <mergeCell ref="N16:T16"/>
    <mergeCell ref="AL20:AR20"/>
    <mergeCell ref="Z35:AE35"/>
    <mergeCell ref="H29:P29"/>
    <mergeCell ref="Q29:X29"/>
    <mergeCell ref="Y29:AF29"/>
    <mergeCell ref="AG29:AP29"/>
    <mergeCell ref="R30:W30"/>
    <mergeCell ref="Z30:AE30"/>
    <mergeCell ref="R32:W32"/>
    <mergeCell ref="Z32:AE32"/>
    <mergeCell ref="J35:O35"/>
    <mergeCell ref="R35:W35"/>
    <mergeCell ref="F44:N44"/>
    <mergeCell ref="U44:AF44"/>
    <mergeCell ref="AI44:AU44"/>
    <mergeCell ref="E38:AS39"/>
    <mergeCell ref="F42:N42"/>
    <mergeCell ref="Q42:AF42"/>
    <mergeCell ref="AI42:AU43"/>
    <mergeCell ref="F43:N43"/>
    <mergeCell ref="Q43:AF43"/>
  </mergeCells>
  <conditionalFormatting sqref="J11">
    <cfRule type="expression" dxfId="62" priority="18">
      <formula>$AD$12</formula>
    </cfRule>
    <cfRule type="expression" dxfId="61" priority="19">
      <formula>$X$12</formula>
    </cfRule>
    <cfRule type="expression" dxfId="60" priority="20">
      <formula>$Q$12</formula>
    </cfRule>
    <cfRule type="expression" dxfId="59" priority="21">
      <formula>$L$12</formula>
    </cfRule>
  </conditionalFormatting>
  <conditionalFormatting sqref="G19">
    <cfRule type="expression" dxfId="58" priority="9">
      <formula>$AG$20</formula>
    </cfRule>
    <cfRule type="expression" dxfId="57" priority="10">
      <formula>$X$21</formula>
    </cfRule>
    <cfRule type="expression" dxfId="56" priority="11">
      <formula>$X$20</formula>
    </cfRule>
    <cfRule type="expression" dxfId="55" priority="12">
      <formula>$Q$21</formula>
    </cfRule>
    <cfRule type="expression" dxfId="54" priority="13">
      <formula>$Q$20</formula>
    </cfRule>
    <cfRule type="expression" dxfId="53" priority="15">
      <formula>$I$21</formula>
    </cfRule>
    <cfRule type="expression" dxfId="52" priority="16">
      <formula>$I$20</formula>
    </cfRule>
    <cfRule type="expression" dxfId="51" priority="17">
      <formula>$Y$18</formula>
    </cfRule>
  </conditionalFormatting>
  <conditionalFormatting sqref="G28">
    <cfRule type="expression" dxfId="50" priority="5">
      <formula>$I$34</formula>
    </cfRule>
    <cfRule type="expression" dxfId="49" priority="6">
      <formula>$I$32</formula>
    </cfRule>
    <cfRule type="expression" dxfId="48" priority="7">
      <formula>$I$30</formula>
    </cfRule>
    <cfRule type="expression" dxfId="47" priority="8">
      <formula>$Q$27</formula>
    </cfRule>
  </conditionalFormatting>
  <conditionalFormatting sqref="G6">
    <cfRule type="expression" dxfId="46" priority="2">
      <formula>AND(S5=TRUE, AND(I7=FALSE, I8=FALSE, Q7=FALSE, Q8=FALSE, X7=FALSE, X8=FALSE, AG7=FALSE, AG8=FALSE))</formula>
    </cfRule>
  </conditionalFormatting>
  <conditionalFormatting sqref="O11">
    <cfRule type="expression" dxfId="45" priority="1">
      <formula>AND(I11=TRUE, AND(L12=FALSE, Q12=FALSE, X12=FALSE, AD12=FALSE))</formula>
    </cfRule>
  </conditionalFormatting>
  <dataValidations count="2">
    <dataValidation type="date" allowBlank="1" showInputMessage="1" showErrorMessage="1" errorTitle="GJHSP SY 2022-2023" error="Please enter date between January 1, 2022 and Decmber 31, 2022 in M/D/YYYY or D/M/YYYY format (depend on your computer’s date)." sqref="Z35:AE35 Z30:AE30" xr:uid="{F00FE0AF-BFCB-4842-82B7-1CA111AF0BC5}">
      <formula1>44562</formula1>
      <formula2>44926</formula2>
    </dataValidation>
    <dataValidation type="date" allowBlank="1" showInputMessage="1" showErrorMessage="1" errorTitle="GJHSP SY 2022-2023" error="Please enter date between January 1, 2022 and December 31, 2022 in M/D/YYYY or D/M/YYYY format (depend on your computer’s date)." sqref="Z32:AE32" xr:uid="{729D88E8-6D6C-415B-9040-60E4A739FC8E}">
      <formula1>44562</formula1>
      <formula2>44926</formula2>
    </dataValidation>
  </dataValidations>
  <printOptions horizontalCentered="1" verticalCentered="1"/>
  <pageMargins left="0.23622047244094491" right="0.23622047244094491" top="0.19685039370078741" bottom="0.19685039370078741" header="0" footer="0.11811023622047245"/>
  <pageSetup paperSize="14" scale="73" orientation="landscape" r:id="rId1"/>
  <headerFooter alignWithMargins="0">
    <oddFooter>&amp;L&amp;10&amp;F &amp;A&amp;R&amp;10Page 38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69633" r:id="rId4" name="Check Box 1">
              <controlPr defaultSize="0" autoFill="0" autoLine="0" autoPict="0">
                <anchor moveWithCells="1">
                  <from>
                    <xdr:col>17</xdr:col>
                    <xdr:colOff>266700</xdr:colOff>
                    <xdr:row>4</xdr:row>
                    <xdr:rowOff>6350</xdr:rowOff>
                  </from>
                  <to>
                    <xdr:col>19</xdr:col>
                    <xdr:colOff>76200</xdr:colOff>
                    <xdr:row>4</xdr:row>
                    <xdr:rowOff>228600</xdr:rowOff>
                  </to>
                </anchor>
              </controlPr>
            </control>
          </mc:Choice>
        </mc:AlternateContent>
        <mc:AlternateContent xmlns:mc="http://schemas.openxmlformats.org/markup-compatibility/2006">
          <mc:Choice Requires="x14">
            <control shapeId="69634" r:id="rId5" name="Check Box 2">
              <controlPr defaultSize="0" autoFill="0" autoLine="0" autoPict="0">
                <anchor moveWithCells="1">
                  <from>
                    <xdr:col>22</xdr:col>
                    <xdr:colOff>266700</xdr:colOff>
                    <xdr:row>4</xdr:row>
                    <xdr:rowOff>6350</xdr:rowOff>
                  </from>
                  <to>
                    <xdr:col>24</xdr:col>
                    <xdr:colOff>76200</xdr:colOff>
                    <xdr:row>4</xdr:row>
                    <xdr:rowOff>228600</xdr:rowOff>
                  </to>
                </anchor>
              </controlPr>
            </control>
          </mc:Choice>
        </mc:AlternateContent>
        <mc:AlternateContent xmlns:mc="http://schemas.openxmlformats.org/markup-compatibility/2006">
          <mc:Choice Requires="x14">
            <control shapeId="69635" r:id="rId6" name="Check Box 3">
              <controlPr defaultSize="0" autoFill="0" autoLine="0" autoPict="0">
                <anchor moveWithCells="1">
                  <from>
                    <xdr:col>7</xdr:col>
                    <xdr:colOff>266700</xdr:colOff>
                    <xdr:row>6</xdr:row>
                    <xdr:rowOff>6350</xdr:rowOff>
                  </from>
                  <to>
                    <xdr:col>9</xdr:col>
                    <xdr:colOff>76200</xdr:colOff>
                    <xdr:row>6</xdr:row>
                    <xdr:rowOff>228600</xdr:rowOff>
                  </to>
                </anchor>
              </controlPr>
            </control>
          </mc:Choice>
        </mc:AlternateContent>
        <mc:AlternateContent xmlns:mc="http://schemas.openxmlformats.org/markup-compatibility/2006">
          <mc:Choice Requires="x14">
            <control shapeId="69636" r:id="rId7" name="Check Box 4">
              <controlPr defaultSize="0" autoFill="0" autoLine="0" autoPict="0">
                <anchor moveWithCells="1">
                  <from>
                    <xdr:col>7</xdr:col>
                    <xdr:colOff>266700</xdr:colOff>
                    <xdr:row>7</xdr:row>
                    <xdr:rowOff>6350</xdr:rowOff>
                  </from>
                  <to>
                    <xdr:col>9</xdr:col>
                    <xdr:colOff>76200</xdr:colOff>
                    <xdr:row>7</xdr:row>
                    <xdr:rowOff>228600</xdr:rowOff>
                  </to>
                </anchor>
              </controlPr>
            </control>
          </mc:Choice>
        </mc:AlternateContent>
        <mc:AlternateContent xmlns:mc="http://schemas.openxmlformats.org/markup-compatibility/2006">
          <mc:Choice Requires="x14">
            <control shapeId="69637" r:id="rId8" name="Check Box 5">
              <controlPr defaultSize="0" autoFill="0" autoLine="0" autoPict="0">
                <anchor moveWithCells="1">
                  <from>
                    <xdr:col>15</xdr:col>
                    <xdr:colOff>266700</xdr:colOff>
                    <xdr:row>6</xdr:row>
                    <xdr:rowOff>6350</xdr:rowOff>
                  </from>
                  <to>
                    <xdr:col>17</xdr:col>
                    <xdr:colOff>76200</xdr:colOff>
                    <xdr:row>6</xdr:row>
                    <xdr:rowOff>228600</xdr:rowOff>
                  </to>
                </anchor>
              </controlPr>
            </control>
          </mc:Choice>
        </mc:AlternateContent>
        <mc:AlternateContent xmlns:mc="http://schemas.openxmlformats.org/markup-compatibility/2006">
          <mc:Choice Requires="x14">
            <control shapeId="69638" r:id="rId9" name="Check Box 6">
              <controlPr defaultSize="0" autoFill="0" autoLine="0" autoPict="0">
                <anchor moveWithCells="1">
                  <from>
                    <xdr:col>15</xdr:col>
                    <xdr:colOff>266700</xdr:colOff>
                    <xdr:row>7</xdr:row>
                    <xdr:rowOff>6350</xdr:rowOff>
                  </from>
                  <to>
                    <xdr:col>17</xdr:col>
                    <xdr:colOff>76200</xdr:colOff>
                    <xdr:row>7</xdr:row>
                    <xdr:rowOff>228600</xdr:rowOff>
                  </to>
                </anchor>
              </controlPr>
            </control>
          </mc:Choice>
        </mc:AlternateContent>
        <mc:AlternateContent xmlns:mc="http://schemas.openxmlformats.org/markup-compatibility/2006">
          <mc:Choice Requires="x14">
            <control shapeId="69639" r:id="rId10" name="Check Box 7">
              <controlPr defaultSize="0" autoFill="0" autoLine="0" autoPict="0">
                <anchor moveWithCells="1">
                  <from>
                    <xdr:col>22</xdr:col>
                    <xdr:colOff>266700</xdr:colOff>
                    <xdr:row>6</xdr:row>
                    <xdr:rowOff>6350</xdr:rowOff>
                  </from>
                  <to>
                    <xdr:col>24</xdr:col>
                    <xdr:colOff>76200</xdr:colOff>
                    <xdr:row>6</xdr:row>
                    <xdr:rowOff>228600</xdr:rowOff>
                  </to>
                </anchor>
              </controlPr>
            </control>
          </mc:Choice>
        </mc:AlternateContent>
        <mc:AlternateContent xmlns:mc="http://schemas.openxmlformats.org/markup-compatibility/2006">
          <mc:Choice Requires="x14">
            <control shapeId="69640" r:id="rId11" name="Check Box 8">
              <controlPr defaultSize="0" autoFill="0" autoLine="0" autoPict="0">
                <anchor moveWithCells="1">
                  <from>
                    <xdr:col>22</xdr:col>
                    <xdr:colOff>266700</xdr:colOff>
                    <xdr:row>7</xdr:row>
                    <xdr:rowOff>6350</xdr:rowOff>
                  </from>
                  <to>
                    <xdr:col>24</xdr:col>
                    <xdr:colOff>76200</xdr:colOff>
                    <xdr:row>7</xdr:row>
                    <xdr:rowOff>228600</xdr:rowOff>
                  </to>
                </anchor>
              </controlPr>
            </control>
          </mc:Choice>
        </mc:AlternateContent>
        <mc:AlternateContent xmlns:mc="http://schemas.openxmlformats.org/markup-compatibility/2006">
          <mc:Choice Requires="x14">
            <control shapeId="69641" r:id="rId12" name="Check Box 9">
              <controlPr defaultSize="0" autoFill="0" autoLine="0" autoPict="0">
                <anchor moveWithCells="1">
                  <from>
                    <xdr:col>31</xdr:col>
                    <xdr:colOff>266700</xdr:colOff>
                    <xdr:row>6</xdr:row>
                    <xdr:rowOff>6350</xdr:rowOff>
                  </from>
                  <to>
                    <xdr:col>33</xdr:col>
                    <xdr:colOff>76200</xdr:colOff>
                    <xdr:row>6</xdr:row>
                    <xdr:rowOff>228600</xdr:rowOff>
                  </to>
                </anchor>
              </controlPr>
            </control>
          </mc:Choice>
        </mc:AlternateContent>
        <mc:AlternateContent xmlns:mc="http://schemas.openxmlformats.org/markup-compatibility/2006">
          <mc:Choice Requires="x14">
            <control shapeId="69642" r:id="rId13" name="Check Box 10">
              <controlPr defaultSize="0" autoFill="0" autoLine="0" autoPict="0">
                <anchor moveWithCells="1">
                  <from>
                    <xdr:col>31</xdr:col>
                    <xdr:colOff>266700</xdr:colOff>
                    <xdr:row>7</xdr:row>
                    <xdr:rowOff>6350</xdr:rowOff>
                  </from>
                  <to>
                    <xdr:col>33</xdr:col>
                    <xdr:colOff>76200</xdr:colOff>
                    <xdr:row>7</xdr:row>
                    <xdr:rowOff>228600</xdr:rowOff>
                  </to>
                </anchor>
              </controlPr>
            </control>
          </mc:Choice>
        </mc:AlternateContent>
        <mc:AlternateContent xmlns:mc="http://schemas.openxmlformats.org/markup-compatibility/2006">
          <mc:Choice Requires="x14">
            <control shapeId="69643" r:id="rId14" name="Check Box 11">
              <controlPr defaultSize="0" autoFill="0" autoLine="0" autoPict="0">
                <anchor moveWithCells="1">
                  <from>
                    <xdr:col>7</xdr:col>
                    <xdr:colOff>266700</xdr:colOff>
                    <xdr:row>10</xdr:row>
                    <xdr:rowOff>6350</xdr:rowOff>
                  </from>
                  <to>
                    <xdr:col>9</xdr:col>
                    <xdr:colOff>76200</xdr:colOff>
                    <xdr:row>11</xdr:row>
                    <xdr:rowOff>31750</xdr:rowOff>
                  </to>
                </anchor>
              </controlPr>
            </control>
          </mc:Choice>
        </mc:AlternateContent>
        <mc:AlternateContent xmlns:mc="http://schemas.openxmlformats.org/markup-compatibility/2006">
          <mc:Choice Requires="x14">
            <control shapeId="69644" r:id="rId15" name="Check Box 12">
              <controlPr defaultSize="0" autoFill="0" autoLine="0" autoPict="0">
                <anchor moveWithCells="1">
                  <from>
                    <xdr:col>10</xdr:col>
                    <xdr:colOff>266700</xdr:colOff>
                    <xdr:row>11</xdr:row>
                    <xdr:rowOff>6350</xdr:rowOff>
                  </from>
                  <to>
                    <xdr:col>12</xdr:col>
                    <xdr:colOff>76200</xdr:colOff>
                    <xdr:row>11</xdr:row>
                    <xdr:rowOff>228600</xdr:rowOff>
                  </to>
                </anchor>
              </controlPr>
            </control>
          </mc:Choice>
        </mc:AlternateContent>
        <mc:AlternateContent xmlns:mc="http://schemas.openxmlformats.org/markup-compatibility/2006">
          <mc:Choice Requires="x14">
            <control shapeId="69645" r:id="rId16" name="Check Box 13">
              <controlPr defaultSize="0" autoFill="0" autoLine="0" autoPict="0">
                <anchor moveWithCells="1">
                  <from>
                    <xdr:col>15</xdr:col>
                    <xdr:colOff>266700</xdr:colOff>
                    <xdr:row>11</xdr:row>
                    <xdr:rowOff>6350</xdr:rowOff>
                  </from>
                  <to>
                    <xdr:col>17</xdr:col>
                    <xdr:colOff>76200</xdr:colOff>
                    <xdr:row>11</xdr:row>
                    <xdr:rowOff>228600</xdr:rowOff>
                  </to>
                </anchor>
              </controlPr>
            </control>
          </mc:Choice>
        </mc:AlternateContent>
        <mc:AlternateContent xmlns:mc="http://schemas.openxmlformats.org/markup-compatibility/2006">
          <mc:Choice Requires="x14">
            <control shapeId="69646" r:id="rId17" name="Check Box 14">
              <controlPr defaultSize="0" autoFill="0" autoLine="0" autoPict="0">
                <anchor moveWithCells="1">
                  <from>
                    <xdr:col>22</xdr:col>
                    <xdr:colOff>266700</xdr:colOff>
                    <xdr:row>11</xdr:row>
                    <xdr:rowOff>6350</xdr:rowOff>
                  </from>
                  <to>
                    <xdr:col>24</xdr:col>
                    <xdr:colOff>76200</xdr:colOff>
                    <xdr:row>11</xdr:row>
                    <xdr:rowOff>228600</xdr:rowOff>
                  </to>
                </anchor>
              </controlPr>
            </control>
          </mc:Choice>
        </mc:AlternateContent>
        <mc:AlternateContent xmlns:mc="http://schemas.openxmlformats.org/markup-compatibility/2006">
          <mc:Choice Requires="x14">
            <control shapeId="69647" r:id="rId18" name="Check Box 15">
              <controlPr defaultSize="0" autoFill="0" autoLine="0" autoPict="0">
                <anchor moveWithCells="1">
                  <from>
                    <xdr:col>28</xdr:col>
                    <xdr:colOff>266700</xdr:colOff>
                    <xdr:row>11</xdr:row>
                    <xdr:rowOff>6350</xdr:rowOff>
                  </from>
                  <to>
                    <xdr:col>30</xdr:col>
                    <xdr:colOff>76200</xdr:colOff>
                    <xdr:row>11</xdr:row>
                    <xdr:rowOff>228600</xdr:rowOff>
                  </to>
                </anchor>
              </controlPr>
            </control>
          </mc:Choice>
        </mc:AlternateContent>
        <mc:AlternateContent xmlns:mc="http://schemas.openxmlformats.org/markup-compatibility/2006">
          <mc:Choice Requires="x14">
            <control shapeId="69648" r:id="rId19" name="Check Box 16">
              <controlPr defaultSize="0" autoFill="0" autoLine="0" autoPict="0">
                <anchor moveWithCells="1">
                  <from>
                    <xdr:col>7</xdr:col>
                    <xdr:colOff>266700</xdr:colOff>
                    <xdr:row>12</xdr:row>
                    <xdr:rowOff>6350</xdr:rowOff>
                  </from>
                  <to>
                    <xdr:col>9</xdr:col>
                    <xdr:colOff>76200</xdr:colOff>
                    <xdr:row>12</xdr:row>
                    <xdr:rowOff>228600</xdr:rowOff>
                  </to>
                </anchor>
              </controlPr>
            </control>
          </mc:Choice>
        </mc:AlternateContent>
        <mc:AlternateContent xmlns:mc="http://schemas.openxmlformats.org/markup-compatibility/2006">
          <mc:Choice Requires="x14">
            <control shapeId="69649" r:id="rId20" name="Check Box 17">
              <controlPr defaultSize="0" autoFill="0" autoLine="0" autoPict="0">
                <anchor moveWithCells="1">
                  <from>
                    <xdr:col>7</xdr:col>
                    <xdr:colOff>266700</xdr:colOff>
                    <xdr:row>13</xdr:row>
                    <xdr:rowOff>6350</xdr:rowOff>
                  </from>
                  <to>
                    <xdr:col>9</xdr:col>
                    <xdr:colOff>76200</xdr:colOff>
                    <xdr:row>13</xdr:row>
                    <xdr:rowOff>228600</xdr:rowOff>
                  </to>
                </anchor>
              </controlPr>
            </control>
          </mc:Choice>
        </mc:AlternateContent>
        <mc:AlternateContent xmlns:mc="http://schemas.openxmlformats.org/markup-compatibility/2006">
          <mc:Choice Requires="x14">
            <control shapeId="69650" r:id="rId21" name="Check Box 18">
              <controlPr defaultSize="0" autoFill="0" autoLine="0" autoPict="0">
                <anchor moveWithCells="1">
                  <from>
                    <xdr:col>7</xdr:col>
                    <xdr:colOff>266700</xdr:colOff>
                    <xdr:row>14</xdr:row>
                    <xdr:rowOff>6350</xdr:rowOff>
                  </from>
                  <to>
                    <xdr:col>9</xdr:col>
                    <xdr:colOff>76200</xdr:colOff>
                    <xdr:row>14</xdr:row>
                    <xdr:rowOff>228600</xdr:rowOff>
                  </to>
                </anchor>
              </controlPr>
            </control>
          </mc:Choice>
        </mc:AlternateContent>
        <mc:AlternateContent xmlns:mc="http://schemas.openxmlformats.org/markup-compatibility/2006">
          <mc:Choice Requires="x14">
            <control shapeId="69651" r:id="rId22" name="Check Box 19">
              <controlPr defaultSize="0" autoFill="0" autoLine="0" autoPict="0">
                <anchor moveWithCells="1">
                  <from>
                    <xdr:col>7</xdr:col>
                    <xdr:colOff>266700</xdr:colOff>
                    <xdr:row>15</xdr:row>
                    <xdr:rowOff>6350</xdr:rowOff>
                  </from>
                  <to>
                    <xdr:col>9</xdr:col>
                    <xdr:colOff>76200</xdr:colOff>
                    <xdr:row>15</xdr:row>
                    <xdr:rowOff>228600</xdr:rowOff>
                  </to>
                </anchor>
              </controlPr>
            </control>
          </mc:Choice>
        </mc:AlternateContent>
        <mc:AlternateContent xmlns:mc="http://schemas.openxmlformats.org/markup-compatibility/2006">
          <mc:Choice Requires="x14">
            <control shapeId="69652" r:id="rId23" name="Check Box 20">
              <controlPr defaultSize="0" autoFill="0" autoLine="0" autoPict="0">
                <anchor moveWithCells="1">
                  <from>
                    <xdr:col>7</xdr:col>
                    <xdr:colOff>266700</xdr:colOff>
                    <xdr:row>16</xdr:row>
                    <xdr:rowOff>6350</xdr:rowOff>
                  </from>
                  <to>
                    <xdr:col>9</xdr:col>
                    <xdr:colOff>76200</xdr:colOff>
                    <xdr:row>16</xdr:row>
                    <xdr:rowOff>228600</xdr:rowOff>
                  </to>
                </anchor>
              </controlPr>
            </control>
          </mc:Choice>
        </mc:AlternateContent>
        <mc:AlternateContent xmlns:mc="http://schemas.openxmlformats.org/markup-compatibility/2006">
          <mc:Choice Requires="x14">
            <control shapeId="69653" r:id="rId24" name="Check Box 21">
              <controlPr defaultSize="0" autoFill="0" autoLine="0" autoPict="0">
                <anchor moveWithCells="1">
                  <from>
                    <xdr:col>23</xdr:col>
                    <xdr:colOff>266700</xdr:colOff>
                    <xdr:row>17</xdr:row>
                    <xdr:rowOff>6350</xdr:rowOff>
                  </from>
                  <to>
                    <xdr:col>25</xdr:col>
                    <xdr:colOff>76200</xdr:colOff>
                    <xdr:row>17</xdr:row>
                    <xdr:rowOff>228600</xdr:rowOff>
                  </to>
                </anchor>
              </controlPr>
            </control>
          </mc:Choice>
        </mc:AlternateContent>
        <mc:AlternateContent xmlns:mc="http://schemas.openxmlformats.org/markup-compatibility/2006">
          <mc:Choice Requires="x14">
            <control shapeId="69654" r:id="rId25" name="Check Box 22">
              <controlPr defaultSize="0" autoFill="0" autoLine="0" autoPict="0">
                <anchor moveWithCells="1">
                  <from>
                    <xdr:col>28</xdr:col>
                    <xdr:colOff>266700</xdr:colOff>
                    <xdr:row>17</xdr:row>
                    <xdr:rowOff>6350</xdr:rowOff>
                  </from>
                  <to>
                    <xdr:col>30</xdr:col>
                    <xdr:colOff>76200</xdr:colOff>
                    <xdr:row>17</xdr:row>
                    <xdr:rowOff>228600</xdr:rowOff>
                  </to>
                </anchor>
              </controlPr>
            </control>
          </mc:Choice>
        </mc:AlternateContent>
        <mc:AlternateContent xmlns:mc="http://schemas.openxmlformats.org/markup-compatibility/2006">
          <mc:Choice Requires="x14">
            <control shapeId="69655" r:id="rId26" name="Check Box 23">
              <controlPr defaultSize="0" autoFill="0" autoLine="0" autoPict="0">
                <anchor moveWithCells="1">
                  <from>
                    <xdr:col>7</xdr:col>
                    <xdr:colOff>266700</xdr:colOff>
                    <xdr:row>19</xdr:row>
                    <xdr:rowOff>6350</xdr:rowOff>
                  </from>
                  <to>
                    <xdr:col>9</xdr:col>
                    <xdr:colOff>76200</xdr:colOff>
                    <xdr:row>19</xdr:row>
                    <xdr:rowOff>228600</xdr:rowOff>
                  </to>
                </anchor>
              </controlPr>
            </control>
          </mc:Choice>
        </mc:AlternateContent>
        <mc:AlternateContent xmlns:mc="http://schemas.openxmlformats.org/markup-compatibility/2006">
          <mc:Choice Requires="x14">
            <control shapeId="69656" r:id="rId27" name="Check Box 24">
              <controlPr defaultSize="0" autoFill="0" autoLine="0" autoPict="0">
                <anchor moveWithCells="1">
                  <from>
                    <xdr:col>7</xdr:col>
                    <xdr:colOff>266700</xdr:colOff>
                    <xdr:row>20</xdr:row>
                    <xdr:rowOff>6350</xdr:rowOff>
                  </from>
                  <to>
                    <xdr:col>9</xdr:col>
                    <xdr:colOff>76200</xdr:colOff>
                    <xdr:row>20</xdr:row>
                    <xdr:rowOff>228600</xdr:rowOff>
                  </to>
                </anchor>
              </controlPr>
            </control>
          </mc:Choice>
        </mc:AlternateContent>
        <mc:AlternateContent xmlns:mc="http://schemas.openxmlformats.org/markup-compatibility/2006">
          <mc:Choice Requires="x14">
            <control shapeId="69657" r:id="rId28" name="Check Box 25">
              <controlPr defaultSize="0" autoFill="0" autoLine="0" autoPict="0">
                <anchor moveWithCells="1">
                  <from>
                    <xdr:col>15</xdr:col>
                    <xdr:colOff>266700</xdr:colOff>
                    <xdr:row>19</xdr:row>
                    <xdr:rowOff>6350</xdr:rowOff>
                  </from>
                  <to>
                    <xdr:col>17</xdr:col>
                    <xdr:colOff>76200</xdr:colOff>
                    <xdr:row>19</xdr:row>
                    <xdr:rowOff>228600</xdr:rowOff>
                  </to>
                </anchor>
              </controlPr>
            </control>
          </mc:Choice>
        </mc:AlternateContent>
        <mc:AlternateContent xmlns:mc="http://schemas.openxmlformats.org/markup-compatibility/2006">
          <mc:Choice Requires="x14">
            <control shapeId="69658" r:id="rId29" name="Check Box 26">
              <controlPr defaultSize="0" autoFill="0" autoLine="0" autoPict="0">
                <anchor moveWithCells="1">
                  <from>
                    <xdr:col>15</xdr:col>
                    <xdr:colOff>266700</xdr:colOff>
                    <xdr:row>20</xdr:row>
                    <xdr:rowOff>6350</xdr:rowOff>
                  </from>
                  <to>
                    <xdr:col>17</xdr:col>
                    <xdr:colOff>76200</xdr:colOff>
                    <xdr:row>20</xdr:row>
                    <xdr:rowOff>228600</xdr:rowOff>
                  </to>
                </anchor>
              </controlPr>
            </control>
          </mc:Choice>
        </mc:AlternateContent>
        <mc:AlternateContent xmlns:mc="http://schemas.openxmlformats.org/markup-compatibility/2006">
          <mc:Choice Requires="x14">
            <control shapeId="69659" r:id="rId30" name="Check Box 27">
              <controlPr defaultSize="0" autoFill="0" autoLine="0" autoPict="0">
                <anchor moveWithCells="1">
                  <from>
                    <xdr:col>22</xdr:col>
                    <xdr:colOff>266700</xdr:colOff>
                    <xdr:row>19</xdr:row>
                    <xdr:rowOff>6350</xdr:rowOff>
                  </from>
                  <to>
                    <xdr:col>24</xdr:col>
                    <xdr:colOff>76200</xdr:colOff>
                    <xdr:row>19</xdr:row>
                    <xdr:rowOff>228600</xdr:rowOff>
                  </to>
                </anchor>
              </controlPr>
            </control>
          </mc:Choice>
        </mc:AlternateContent>
        <mc:AlternateContent xmlns:mc="http://schemas.openxmlformats.org/markup-compatibility/2006">
          <mc:Choice Requires="x14">
            <control shapeId="69660" r:id="rId31" name="Check Box 28">
              <controlPr defaultSize="0" autoFill="0" autoLine="0" autoPict="0">
                <anchor moveWithCells="1">
                  <from>
                    <xdr:col>22</xdr:col>
                    <xdr:colOff>266700</xdr:colOff>
                    <xdr:row>20</xdr:row>
                    <xdr:rowOff>6350</xdr:rowOff>
                  </from>
                  <to>
                    <xdr:col>24</xdr:col>
                    <xdr:colOff>76200</xdr:colOff>
                    <xdr:row>20</xdr:row>
                    <xdr:rowOff>228600</xdr:rowOff>
                  </to>
                </anchor>
              </controlPr>
            </control>
          </mc:Choice>
        </mc:AlternateContent>
        <mc:AlternateContent xmlns:mc="http://schemas.openxmlformats.org/markup-compatibility/2006">
          <mc:Choice Requires="x14">
            <control shapeId="69661" r:id="rId32" name="Check Box 29">
              <controlPr defaultSize="0" autoFill="0" autoLine="0" autoPict="0">
                <anchor moveWithCells="1">
                  <from>
                    <xdr:col>31</xdr:col>
                    <xdr:colOff>266700</xdr:colOff>
                    <xdr:row>19</xdr:row>
                    <xdr:rowOff>6350</xdr:rowOff>
                  </from>
                  <to>
                    <xdr:col>33</xdr:col>
                    <xdr:colOff>76200</xdr:colOff>
                    <xdr:row>19</xdr:row>
                    <xdr:rowOff>228600</xdr:rowOff>
                  </to>
                </anchor>
              </controlPr>
            </control>
          </mc:Choice>
        </mc:AlternateContent>
        <mc:AlternateContent xmlns:mc="http://schemas.openxmlformats.org/markup-compatibility/2006">
          <mc:Choice Requires="x14">
            <control shapeId="69662" r:id="rId33" name="Check Box 30">
              <controlPr defaultSize="0" autoFill="0" autoLine="0" autoPict="0">
                <anchor moveWithCells="1">
                  <from>
                    <xdr:col>33</xdr:col>
                    <xdr:colOff>0</xdr:colOff>
                    <xdr:row>29</xdr:row>
                    <xdr:rowOff>107950</xdr:rowOff>
                  </from>
                  <to>
                    <xdr:col>34</xdr:col>
                    <xdr:colOff>82550</xdr:colOff>
                    <xdr:row>29</xdr:row>
                    <xdr:rowOff>330200</xdr:rowOff>
                  </to>
                </anchor>
              </controlPr>
            </control>
          </mc:Choice>
        </mc:AlternateContent>
        <mc:AlternateContent xmlns:mc="http://schemas.openxmlformats.org/markup-compatibility/2006">
          <mc:Choice Requires="x14">
            <control shapeId="69663" r:id="rId34" name="Check Box 31">
              <controlPr defaultSize="0" autoFill="0" autoLine="0" autoPict="0">
                <anchor moveWithCells="1">
                  <from>
                    <xdr:col>38</xdr:col>
                    <xdr:colOff>0</xdr:colOff>
                    <xdr:row>29</xdr:row>
                    <xdr:rowOff>101600</xdr:rowOff>
                  </from>
                  <to>
                    <xdr:col>39</xdr:col>
                    <xdr:colOff>82550</xdr:colOff>
                    <xdr:row>29</xdr:row>
                    <xdr:rowOff>317500</xdr:rowOff>
                  </to>
                </anchor>
              </controlPr>
            </control>
          </mc:Choice>
        </mc:AlternateContent>
        <mc:AlternateContent xmlns:mc="http://schemas.openxmlformats.org/markup-compatibility/2006">
          <mc:Choice Requires="x14">
            <control shapeId="69664" r:id="rId35" name="Check Box 32">
              <controlPr defaultSize="0" autoFill="0" autoLine="0" autoPict="0">
                <anchor moveWithCells="1">
                  <from>
                    <xdr:col>33</xdr:col>
                    <xdr:colOff>0</xdr:colOff>
                    <xdr:row>31</xdr:row>
                    <xdr:rowOff>107950</xdr:rowOff>
                  </from>
                  <to>
                    <xdr:col>34</xdr:col>
                    <xdr:colOff>82550</xdr:colOff>
                    <xdr:row>31</xdr:row>
                    <xdr:rowOff>330200</xdr:rowOff>
                  </to>
                </anchor>
              </controlPr>
            </control>
          </mc:Choice>
        </mc:AlternateContent>
        <mc:AlternateContent xmlns:mc="http://schemas.openxmlformats.org/markup-compatibility/2006">
          <mc:Choice Requires="x14">
            <control shapeId="69665" r:id="rId36" name="Check Box 33">
              <controlPr defaultSize="0" autoFill="0" autoLine="0" autoPict="0">
                <anchor moveWithCells="1">
                  <from>
                    <xdr:col>38</xdr:col>
                    <xdr:colOff>0</xdr:colOff>
                    <xdr:row>31</xdr:row>
                    <xdr:rowOff>107950</xdr:rowOff>
                  </from>
                  <to>
                    <xdr:col>39</xdr:col>
                    <xdr:colOff>82550</xdr:colOff>
                    <xdr:row>31</xdr:row>
                    <xdr:rowOff>330200</xdr:rowOff>
                  </to>
                </anchor>
              </controlPr>
            </control>
          </mc:Choice>
        </mc:AlternateContent>
        <mc:AlternateContent xmlns:mc="http://schemas.openxmlformats.org/markup-compatibility/2006">
          <mc:Choice Requires="x14">
            <control shapeId="69666" r:id="rId37" name="Check Box 34">
              <controlPr defaultSize="0" autoFill="0" autoLine="0" autoPict="0">
                <anchor moveWithCells="1">
                  <from>
                    <xdr:col>33</xdr:col>
                    <xdr:colOff>0</xdr:colOff>
                    <xdr:row>34</xdr:row>
                    <xdr:rowOff>38100</xdr:rowOff>
                  </from>
                  <to>
                    <xdr:col>34</xdr:col>
                    <xdr:colOff>82550</xdr:colOff>
                    <xdr:row>34</xdr:row>
                    <xdr:rowOff>260350</xdr:rowOff>
                  </to>
                </anchor>
              </controlPr>
            </control>
          </mc:Choice>
        </mc:AlternateContent>
        <mc:AlternateContent xmlns:mc="http://schemas.openxmlformats.org/markup-compatibility/2006">
          <mc:Choice Requires="x14">
            <control shapeId="69667" r:id="rId38" name="Check Box 35">
              <controlPr defaultSize="0" autoFill="0" autoLine="0" autoPict="0">
                <anchor moveWithCells="1">
                  <from>
                    <xdr:col>38</xdr:col>
                    <xdr:colOff>0</xdr:colOff>
                    <xdr:row>34</xdr:row>
                    <xdr:rowOff>38100</xdr:rowOff>
                  </from>
                  <to>
                    <xdr:col>39</xdr:col>
                    <xdr:colOff>82550</xdr:colOff>
                    <xdr:row>34</xdr:row>
                    <xdr:rowOff>260350</xdr:rowOff>
                  </to>
                </anchor>
              </controlPr>
            </control>
          </mc:Choice>
        </mc:AlternateContent>
        <mc:AlternateContent xmlns:mc="http://schemas.openxmlformats.org/markup-compatibility/2006">
          <mc:Choice Requires="x14">
            <control shapeId="69668" r:id="rId39" name="Check Box 36">
              <controlPr defaultSize="0" autoFill="0" autoLine="0" autoPict="0">
                <anchor moveWithCells="1">
                  <from>
                    <xdr:col>8</xdr:col>
                    <xdr:colOff>0</xdr:colOff>
                    <xdr:row>29</xdr:row>
                    <xdr:rowOff>107950</xdr:rowOff>
                  </from>
                  <to>
                    <xdr:col>9</xdr:col>
                    <xdr:colOff>82550</xdr:colOff>
                    <xdr:row>29</xdr:row>
                    <xdr:rowOff>330200</xdr:rowOff>
                  </to>
                </anchor>
              </controlPr>
            </control>
          </mc:Choice>
        </mc:AlternateContent>
        <mc:AlternateContent xmlns:mc="http://schemas.openxmlformats.org/markup-compatibility/2006">
          <mc:Choice Requires="x14">
            <control shapeId="69669" r:id="rId40" name="Check Box 37">
              <controlPr defaultSize="0" autoFill="0" autoLine="0" autoPict="0">
                <anchor moveWithCells="1">
                  <from>
                    <xdr:col>8</xdr:col>
                    <xdr:colOff>0</xdr:colOff>
                    <xdr:row>31</xdr:row>
                    <xdr:rowOff>107950</xdr:rowOff>
                  </from>
                  <to>
                    <xdr:col>9</xdr:col>
                    <xdr:colOff>82550</xdr:colOff>
                    <xdr:row>31</xdr:row>
                    <xdr:rowOff>330200</xdr:rowOff>
                  </to>
                </anchor>
              </controlPr>
            </control>
          </mc:Choice>
        </mc:AlternateContent>
        <mc:AlternateContent xmlns:mc="http://schemas.openxmlformats.org/markup-compatibility/2006">
          <mc:Choice Requires="x14">
            <control shapeId="69670" r:id="rId41" name="Check Box 38">
              <controlPr defaultSize="0" autoFill="0" autoLine="0" autoPict="0">
                <anchor moveWithCells="1">
                  <from>
                    <xdr:col>8</xdr:col>
                    <xdr:colOff>0</xdr:colOff>
                    <xdr:row>33</xdr:row>
                    <xdr:rowOff>38100</xdr:rowOff>
                  </from>
                  <to>
                    <xdr:col>9</xdr:col>
                    <xdr:colOff>82550</xdr:colOff>
                    <xdr:row>33</xdr:row>
                    <xdr:rowOff>260350</xdr:rowOff>
                  </to>
                </anchor>
              </controlPr>
            </control>
          </mc:Choice>
        </mc:AlternateContent>
        <mc:AlternateContent xmlns:mc="http://schemas.openxmlformats.org/markup-compatibility/2006">
          <mc:Choice Requires="x14">
            <control shapeId="69671" r:id="rId42" name="Check Box 39">
              <controlPr defaultSize="0" autoFill="0" autoLine="0" autoPict="0">
                <anchor moveWithCells="1">
                  <from>
                    <xdr:col>16</xdr:col>
                    <xdr:colOff>6350</xdr:colOff>
                    <xdr:row>26</xdr:row>
                    <xdr:rowOff>0</xdr:rowOff>
                  </from>
                  <to>
                    <xdr:col>17</xdr:col>
                    <xdr:colOff>88900</xdr:colOff>
                    <xdr:row>26</xdr:row>
                    <xdr:rowOff>222250</xdr:rowOff>
                  </to>
                </anchor>
              </controlPr>
            </control>
          </mc:Choice>
        </mc:AlternateContent>
        <mc:AlternateContent xmlns:mc="http://schemas.openxmlformats.org/markup-compatibility/2006">
          <mc:Choice Requires="x14">
            <control shapeId="69672" r:id="rId43" name="Check Box 40">
              <controlPr defaultSize="0" autoFill="0" autoLine="0" autoPict="0">
                <anchor moveWithCells="1">
                  <from>
                    <xdr:col>20</xdr:col>
                    <xdr:colOff>266700</xdr:colOff>
                    <xdr:row>25</xdr:row>
                    <xdr:rowOff>101600</xdr:rowOff>
                  </from>
                  <to>
                    <xdr:col>22</xdr:col>
                    <xdr:colOff>76200</xdr:colOff>
                    <xdr:row>26</xdr:row>
                    <xdr:rowOff>215900</xdr:rowOff>
                  </to>
                </anchor>
              </controlPr>
            </control>
          </mc:Choice>
        </mc:AlternateContent>
      </controls>
    </mc:Choice>
  </mc:AlternateContent>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0">
    <pageSetUpPr fitToPage="1"/>
  </sheetPr>
  <dimension ref="B1:AW44"/>
  <sheetViews>
    <sheetView showGridLines="0" zoomScaleNormal="100" workbookViewId="0">
      <selection activeCell="AC5" sqref="AC5"/>
    </sheetView>
  </sheetViews>
  <sheetFormatPr defaultColWidth="9" defaultRowHeight="15.5" x14ac:dyDescent="0.35"/>
  <cols>
    <col min="1" max="1" width="2.08203125" style="546" customWidth="1"/>
    <col min="2" max="48" width="3.58203125" style="546" customWidth="1"/>
    <col min="49" max="49" width="2.08203125" style="546" customWidth="1"/>
    <col min="50" max="16384" width="9" style="546"/>
  </cols>
  <sheetData>
    <row r="1" spans="5:45" ht="12" customHeight="1" x14ac:dyDescent="0.35"/>
    <row r="2" spans="5:45" x14ac:dyDescent="0.35">
      <c r="E2" s="502" t="s">
        <v>12736</v>
      </c>
      <c r="F2" s="502"/>
      <c r="G2" s="502"/>
      <c r="H2" s="502"/>
      <c r="I2" s="502"/>
      <c r="J2" s="502"/>
      <c r="K2" s="503"/>
      <c r="L2" s="503"/>
      <c r="M2" s="503"/>
      <c r="N2" s="503"/>
      <c r="O2" s="503"/>
      <c r="P2" s="503"/>
      <c r="Q2" s="503"/>
      <c r="R2" s="503"/>
      <c r="S2" s="503"/>
      <c r="T2" s="503"/>
      <c r="U2" s="503"/>
      <c r="V2" s="503"/>
      <c r="W2" s="503"/>
      <c r="X2" s="503"/>
      <c r="Y2" s="503"/>
      <c r="Z2" s="503"/>
      <c r="AA2" s="503"/>
      <c r="AB2" s="503"/>
      <c r="AC2" s="503"/>
      <c r="AD2" s="503"/>
      <c r="AE2" s="503"/>
      <c r="AF2" s="503"/>
      <c r="AG2" s="503"/>
      <c r="AH2" s="503"/>
      <c r="AI2" s="503"/>
      <c r="AJ2" s="503"/>
      <c r="AK2" s="503"/>
      <c r="AL2" s="502"/>
      <c r="AM2" s="502"/>
      <c r="AN2" s="883"/>
      <c r="AO2" s="883"/>
      <c r="AP2" s="399"/>
    </row>
    <row r="3" spans="5:45" s="402" customFormat="1" ht="16" thickBot="1" x14ac:dyDescent="0.4">
      <c r="E3" s="419" t="s">
        <v>146</v>
      </c>
    </row>
    <row r="4" spans="5:45" ht="8.15" customHeight="1" thickTop="1" x14ac:dyDescent="0.35">
      <c r="E4" s="505"/>
      <c r="F4" s="506"/>
      <c r="G4" s="506"/>
      <c r="H4" s="506"/>
      <c r="I4" s="506"/>
      <c r="J4" s="506"/>
      <c r="K4" s="793"/>
      <c r="L4" s="462"/>
      <c r="M4" s="462"/>
      <c r="N4" s="462"/>
      <c r="O4" s="462"/>
      <c r="P4" s="462"/>
      <c r="Q4" s="462"/>
      <c r="R4" s="462"/>
      <c r="S4" s="462"/>
      <c r="T4" s="462"/>
      <c r="U4" s="462"/>
      <c r="V4" s="462"/>
      <c r="W4" s="462"/>
      <c r="X4" s="462"/>
      <c r="Y4" s="462"/>
      <c r="Z4" s="462"/>
      <c r="AA4" s="462"/>
      <c r="AB4" s="462"/>
      <c r="AC4" s="462"/>
      <c r="AD4" s="462"/>
      <c r="AE4" s="462"/>
      <c r="AF4" s="462"/>
      <c r="AG4" s="462"/>
      <c r="AH4" s="462"/>
      <c r="AI4" s="462"/>
      <c r="AJ4" s="462"/>
      <c r="AK4" s="462"/>
      <c r="AL4" s="462"/>
      <c r="AM4" s="462"/>
      <c r="AN4" s="462"/>
      <c r="AO4" s="462"/>
      <c r="AP4" s="462"/>
      <c r="AQ4" s="462"/>
      <c r="AR4" s="462"/>
      <c r="AS4" s="817"/>
    </row>
    <row r="5" spans="5:45" ht="20" x14ac:dyDescent="0.4">
      <c r="E5" s="933" t="s">
        <v>161</v>
      </c>
      <c r="F5" s="883" t="s">
        <v>293</v>
      </c>
      <c r="G5" s="789"/>
      <c r="H5" s="789"/>
      <c r="I5" s="789"/>
      <c r="J5" s="789"/>
      <c r="K5" s="403"/>
      <c r="L5" s="399"/>
      <c r="M5" s="399"/>
      <c r="N5" s="399"/>
      <c r="O5" s="399"/>
      <c r="P5" s="399"/>
      <c r="Q5" s="399"/>
      <c r="R5" s="668"/>
      <c r="S5" s="403"/>
      <c r="T5" s="403"/>
      <c r="U5" s="399"/>
      <c r="Y5" s="668"/>
      <c r="Z5" s="668"/>
      <c r="AA5" s="668"/>
      <c r="AB5" s="668"/>
      <c r="AC5" s="680" t="b">
        <v>1</v>
      </c>
      <c r="AD5" s="403" t="s">
        <v>65</v>
      </c>
      <c r="AE5" s="403"/>
      <c r="AH5" s="680"/>
      <c r="AI5" s="403" t="s">
        <v>11</v>
      </c>
      <c r="AJ5" s="403"/>
      <c r="AK5" s="668"/>
      <c r="AL5" s="668"/>
      <c r="AM5" s="403"/>
      <c r="AS5" s="783"/>
    </row>
    <row r="6" spans="5:45" ht="20" x14ac:dyDescent="0.35">
      <c r="E6" s="934"/>
      <c r="F6" s="512"/>
      <c r="G6" s="513"/>
      <c r="H6" s="513"/>
      <c r="I6" s="513"/>
      <c r="J6" s="513"/>
      <c r="K6" s="402"/>
      <c r="L6" s="399"/>
      <c r="M6" s="399"/>
      <c r="N6" s="399"/>
      <c r="O6" s="399"/>
      <c r="P6" s="399"/>
      <c r="Q6" s="399"/>
      <c r="R6" s="425"/>
      <c r="S6" s="402"/>
      <c r="T6" s="402"/>
      <c r="U6" s="399"/>
      <c r="Y6" s="425"/>
      <c r="Z6" s="425"/>
      <c r="AA6" s="425"/>
      <c r="AB6" s="425"/>
      <c r="AC6" s="425"/>
      <c r="AD6" s="402"/>
      <c r="AE6" s="402"/>
      <c r="AH6" s="425"/>
      <c r="AI6" s="402"/>
      <c r="AJ6" s="402"/>
      <c r="AK6" s="425"/>
      <c r="AL6" s="425"/>
      <c r="AM6" s="402"/>
      <c r="AS6" s="783"/>
    </row>
    <row r="7" spans="5:45" ht="20" x14ac:dyDescent="0.35">
      <c r="E7" s="934" t="s">
        <v>106</v>
      </c>
      <c r="F7" s="520" t="s">
        <v>1103</v>
      </c>
      <c r="G7" s="521"/>
      <c r="H7" s="521"/>
      <c r="I7" s="521"/>
      <c r="J7" s="521"/>
      <c r="K7" s="425"/>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783"/>
    </row>
    <row r="8" spans="5:45" ht="20" x14ac:dyDescent="0.35">
      <c r="E8" s="935"/>
      <c r="F8" s="399"/>
      <c r="I8" s="441" t="b">
        <v>0</v>
      </c>
      <c r="J8" s="402" t="s">
        <v>251</v>
      </c>
      <c r="K8" s="1434"/>
      <c r="L8" s="399"/>
      <c r="M8" s="425"/>
      <c r="N8" s="402"/>
      <c r="O8" s="402"/>
      <c r="P8" s="402"/>
      <c r="Q8" s="402"/>
      <c r="R8" s="402"/>
      <c r="S8" s="402"/>
      <c r="T8" s="402"/>
      <c r="V8" s="441" t="b">
        <v>0</v>
      </c>
      <c r="W8" s="402" t="s">
        <v>252</v>
      </c>
      <c r="X8" s="403"/>
      <c r="Y8" s="403"/>
      <c r="Z8" s="403"/>
      <c r="AA8" s="399"/>
      <c r="AB8" s="399"/>
      <c r="AC8" s="399"/>
      <c r="AD8" s="399"/>
      <c r="AE8" s="399"/>
      <c r="AF8" s="399"/>
      <c r="AG8" s="399"/>
      <c r="AH8" s="441" t="b">
        <v>0</v>
      </c>
      <c r="AI8" s="402" t="s">
        <v>253</v>
      </c>
      <c r="AJ8" s="399"/>
      <c r="AK8" s="399"/>
      <c r="AL8" s="399"/>
      <c r="AO8" s="399"/>
      <c r="AP8" s="399"/>
      <c r="AQ8" s="399"/>
      <c r="AR8" s="399"/>
      <c r="AS8" s="783"/>
    </row>
    <row r="9" spans="5:45" ht="20" x14ac:dyDescent="0.35">
      <c r="E9" s="935"/>
      <c r="F9" s="399"/>
      <c r="I9" s="441" t="b">
        <v>0</v>
      </c>
      <c r="J9" s="402" t="s">
        <v>254</v>
      </c>
      <c r="K9" s="1434"/>
      <c r="L9" s="399"/>
      <c r="M9" s="425"/>
      <c r="N9" s="402"/>
      <c r="O9" s="402"/>
      <c r="P9" s="402"/>
      <c r="Q9" s="402"/>
      <c r="R9" s="402"/>
      <c r="S9" s="402"/>
      <c r="T9" s="402"/>
      <c r="V9" s="441" t="b">
        <v>0</v>
      </c>
      <c r="W9" s="402" t="s">
        <v>255</v>
      </c>
      <c r="X9" s="403"/>
      <c r="Y9" s="403"/>
      <c r="Z9" s="403"/>
      <c r="AA9" s="399"/>
      <c r="AB9" s="399"/>
      <c r="AC9" s="399"/>
      <c r="AD9" s="399"/>
      <c r="AE9" s="399"/>
      <c r="AF9" s="399"/>
      <c r="AG9" s="399"/>
      <c r="AH9" s="441" t="b">
        <v>0</v>
      </c>
      <c r="AI9" s="402" t="s">
        <v>256</v>
      </c>
      <c r="AJ9" s="399"/>
      <c r="AK9" s="399"/>
      <c r="AL9" s="399"/>
      <c r="AO9" s="399"/>
      <c r="AP9" s="399"/>
      <c r="AQ9" s="399"/>
      <c r="AR9" s="399"/>
      <c r="AS9" s="783"/>
    </row>
    <row r="10" spans="5:45" ht="20" x14ac:dyDescent="0.35">
      <c r="E10" s="935"/>
      <c r="F10" s="399"/>
      <c r="I10" s="441" t="b">
        <v>0</v>
      </c>
      <c r="J10" s="402" t="s">
        <v>257</v>
      </c>
      <c r="K10" s="1434"/>
      <c r="L10" s="399"/>
      <c r="M10" s="425"/>
      <c r="N10" s="402"/>
      <c r="O10" s="402"/>
      <c r="P10" s="402"/>
      <c r="Q10" s="402"/>
      <c r="R10" s="402"/>
      <c r="S10" s="402"/>
      <c r="T10" s="402"/>
      <c r="V10" s="441" t="b">
        <v>0</v>
      </c>
      <c r="W10" s="402" t="s">
        <v>258</v>
      </c>
      <c r="X10" s="403"/>
      <c r="Y10" s="403"/>
      <c r="Z10" s="403"/>
      <c r="AA10" s="399"/>
      <c r="AB10" s="399"/>
      <c r="AC10" s="399"/>
      <c r="AD10" s="399"/>
      <c r="AE10" s="399"/>
      <c r="AF10" s="399"/>
      <c r="AG10" s="399"/>
      <c r="AH10" s="441" t="b">
        <v>0</v>
      </c>
      <c r="AI10" s="402" t="s">
        <v>259</v>
      </c>
      <c r="AJ10" s="399"/>
      <c r="AK10" s="399"/>
      <c r="AL10" s="399"/>
      <c r="AO10" s="399"/>
      <c r="AP10" s="399"/>
      <c r="AQ10" s="399"/>
      <c r="AR10" s="399"/>
      <c r="AS10" s="783"/>
    </row>
    <row r="11" spans="5:45" ht="20" x14ac:dyDescent="0.35">
      <c r="E11" s="935"/>
      <c r="F11" s="399"/>
      <c r="I11" s="425"/>
      <c r="J11" s="399"/>
      <c r="K11" s="425"/>
      <c r="L11" s="399"/>
      <c r="M11" s="425"/>
      <c r="N11" s="402"/>
      <c r="O11" s="402"/>
      <c r="P11" s="402"/>
      <c r="Q11" s="402"/>
      <c r="R11" s="402"/>
      <c r="S11" s="402"/>
      <c r="T11" s="402"/>
      <c r="V11" s="425"/>
      <c r="W11" s="402" t="s">
        <v>260</v>
      </c>
      <c r="X11" s="403"/>
      <c r="Y11" s="403"/>
      <c r="Z11" s="403"/>
      <c r="AA11" s="399"/>
      <c r="AB11" s="399"/>
      <c r="AC11" s="399"/>
      <c r="AD11" s="399"/>
      <c r="AE11" s="399"/>
      <c r="AF11" s="399"/>
      <c r="AG11" s="399"/>
      <c r="AH11" s="441" t="b">
        <v>1</v>
      </c>
      <c r="AI11" s="402" t="s">
        <v>261</v>
      </c>
      <c r="AJ11" s="399"/>
      <c r="AK11" s="399"/>
      <c r="AL11" s="399"/>
      <c r="AO11" s="399"/>
      <c r="AP11" s="399"/>
      <c r="AQ11" s="399"/>
      <c r="AR11" s="399"/>
      <c r="AS11" s="783"/>
    </row>
    <row r="12" spans="5:45" ht="20" x14ac:dyDescent="0.35">
      <c r="E12" s="935"/>
      <c r="F12" s="399"/>
      <c r="I12" s="425"/>
      <c r="J12" s="399"/>
      <c r="K12" s="425"/>
      <c r="L12" s="399"/>
      <c r="M12" s="425"/>
      <c r="N12" s="402"/>
      <c r="O12" s="402"/>
      <c r="P12" s="402"/>
      <c r="Q12" s="402"/>
      <c r="R12" s="402"/>
      <c r="S12" s="402"/>
      <c r="T12" s="402"/>
      <c r="V12" s="425"/>
      <c r="W12" s="402"/>
      <c r="X12" s="399"/>
      <c r="Y12" s="399"/>
      <c r="Z12" s="399"/>
      <c r="AA12" s="399"/>
      <c r="AB12" s="399"/>
      <c r="AC12" s="399"/>
      <c r="AD12" s="399"/>
      <c r="AE12" s="399"/>
      <c r="AF12" s="399"/>
      <c r="AG12" s="399"/>
      <c r="AH12" s="425"/>
      <c r="AI12" s="402"/>
      <c r="AJ12" s="399"/>
      <c r="AK12" s="399"/>
      <c r="AL12" s="399"/>
      <c r="AO12" s="399"/>
      <c r="AP12" s="399"/>
      <c r="AQ12" s="399"/>
      <c r="AR12" s="399"/>
      <c r="AS12" s="783"/>
    </row>
    <row r="13" spans="5:45" ht="20" x14ac:dyDescent="0.35">
      <c r="E13" s="934" t="s">
        <v>106</v>
      </c>
      <c r="F13" s="520" t="s">
        <v>1104</v>
      </c>
      <c r="G13" s="521"/>
      <c r="H13" s="521"/>
      <c r="I13" s="521"/>
      <c r="J13" s="521"/>
      <c r="K13" s="425"/>
      <c r="L13" s="402"/>
      <c r="M13" s="402"/>
      <c r="N13" s="402"/>
      <c r="O13" s="402"/>
      <c r="P13" s="402"/>
      <c r="Q13" s="402"/>
      <c r="R13" s="402"/>
      <c r="S13" s="402"/>
      <c r="T13" s="402"/>
      <c r="U13" s="402"/>
      <c r="V13" s="402"/>
      <c r="W13" s="402"/>
      <c r="X13" s="402"/>
      <c r="Y13" s="402"/>
      <c r="Z13" s="402"/>
      <c r="AA13" s="402"/>
      <c r="AB13" s="402"/>
      <c r="AC13" s="402"/>
      <c r="AD13" s="402"/>
      <c r="AE13" s="402"/>
      <c r="AF13" s="402"/>
      <c r="AG13" s="402"/>
      <c r="AH13" s="402"/>
      <c r="AI13" s="402"/>
      <c r="AJ13" s="402"/>
      <c r="AK13" s="402"/>
      <c r="AL13" s="402"/>
      <c r="AM13" s="402"/>
      <c r="AN13" s="402"/>
      <c r="AO13" s="402"/>
      <c r="AP13" s="402"/>
      <c r="AQ13" s="402"/>
      <c r="AR13" s="402"/>
      <c r="AS13" s="783"/>
    </row>
    <row r="14" spans="5:45" ht="20" x14ac:dyDescent="0.35">
      <c r="E14" s="935"/>
      <c r="F14" s="399"/>
      <c r="I14" s="441" t="b">
        <v>1</v>
      </c>
      <c r="J14" s="402" t="s">
        <v>9</v>
      </c>
      <c r="K14" s="425"/>
      <c r="L14" s="402"/>
      <c r="M14" s="402"/>
      <c r="N14" s="402"/>
      <c r="O14" s="402"/>
      <c r="P14" s="402"/>
      <c r="Q14" s="402"/>
      <c r="U14" s="399"/>
      <c r="V14" s="441" t="b">
        <v>0</v>
      </c>
      <c r="W14" s="402" t="s">
        <v>262</v>
      </c>
      <c r="AH14" s="441" t="b">
        <v>0</v>
      </c>
      <c r="AI14" s="402" t="s">
        <v>263</v>
      </c>
      <c r="AO14" s="399"/>
      <c r="AP14" s="399"/>
      <c r="AQ14" s="399"/>
      <c r="AR14" s="399"/>
      <c r="AS14" s="783"/>
    </row>
    <row r="15" spans="5:45" ht="20" x14ac:dyDescent="0.35">
      <c r="E15" s="935"/>
      <c r="F15" s="399"/>
      <c r="I15" s="441" t="b">
        <v>0</v>
      </c>
      <c r="J15" s="402" t="s">
        <v>264</v>
      </c>
      <c r="K15" s="425"/>
      <c r="L15" s="402"/>
      <c r="M15" s="402"/>
      <c r="N15" s="402"/>
      <c r="O15" s="402"/>
      <c r="P15" s="402"/>
      <c r="Q15" s="402"/>
      <c r="U15" s="399"/>
      <c r="V15" s="441" t="b">
        <v>1</v>
      </c>
      <c r="W15" s="402" t="s">
        <v>265</v>
      </c>
      <c r="AM15" s="399"/>
      <c r="AN15" s="399"/>
      <c r="AO15" s="399"/>
      <c r="AP15" s="399"/>
      <c r="AQ15" s="399"/>
      <c r="AR15" s="399"/>
      <c r="AS15" s="783"/>
    </row>
    <row r="16" spans="5:45" ht="8.15" customHeight="1" thickBot="1" x14ac:dyDescent="0.4">
      <c r="E16" s="528"/>
      <c r="F16" s="529"/>
      <c r="G16" s="778"/>
      <c r="H16" s="778"/>
      <c r="I16" s="778"/>
      <c r="J16" s="408"/>
      <c r="K16" s="672"/>
      <c r="L16" s="408"/>
      <c r="M16" s="408"/>
      <c r="N16" s="408"/>
      <c r="O16" s="408"/>
      <c r="P16" s="408"/>
      <c r="Q16" s="408"/>
      <c r="R16" s="408"/>
      <c r="S16" s="408"/>
      <c r="T16" s="408"/>
      <c r="U16" s="408"/>
      <c r="V16" s="408"/>
      <c r="W16" s="408"/>
      <c r="X16" s="408"/>
      <c r="Y16" s="408"/>
      <c r="Z16" s="408"/>
      <c r="AA16" s="408"/>
      <c r="AB16" s="408"/>
      <c r="AC16" s="798"/>
      <c r="AD16" s="798"/>
      <c r="AE16" s="798"/>
      <c r="AF16" s="798"/>
      <c r="AG16" s="798"/>
      <c r="AH16" s="798"/>
      <c r="AI16" s="798"/>
      <c r="AJ16" s="798"/>
      <c r="AK16" s="798"/>
      <c r="AL16" s="798"/>
      <c r="AM16" s="798"/>
      <c r="AN16" s="798"/>
      <c r="AO16" s="798"/>
      <c r="AP16" s="798"/>
      <c r="AQ16" s="798"/>
      <c r="AR16" s="798"/>
      <c r="AS16" s="923"/>
    </row>
    <row r="17" spans="5:43" ht="25" customHeight="1" thickTop="1" x14ac:dyDescent="0.35"/>
    <row r="18" spans="5:43" x14ac:dyDescent="0.35">
      <c r="E18" s="924" t="s">
        <v>12737</v>
      </c>
      <c r="F18" s="937"/>
      <c r="G18" s="938"/>
      <c r="H18" s="89"/>
      <c r="I18" s="89"/>
      <c r="J18" s="89"/>
      <c r="K18" s="89"/>
      <c r="L18" s="89"/>
      <c r="M18" s="89"/>
      <c r="N18" s="89"/>
      <c r="O18" s="89"/>
      <c r="P18" s="89"/>
      <c r="Q18" s="89"/>
      <c r="R18" s="89"/>
      <c r="S18" s="89"/>
      <c r="T18" s="89"/>
      <c r="U18" s="89"/>
      <c r="V18" s="89"/>
      <c r="W18" s="89"/>
      <c r="X18" s="89"/>
      <c r="Y18" s="89"/>
      <c r="Z18" s="89"/>
      <c r="AA18" s="89"/>
      <c r="AB18" s="89"/>
      <c r="AC18" s="89"/>
      <c r="AD18" s="89"/>
      <c r="AE18" s="89"/>
      <c r="AF18" s="89"/>
      <c r="AG18" s="89"/>
    </row>
    <row r="19" spans="5:43" s="402" customFormat="1" ht="16" thickBot="1" x14ac:dyDescent="0.4">
      <c r="E19" s="419" t="s">
        <v>1091</v>
      </c>
    </row>
    <row r="20" spans="5:43" ht="8.15" customHeight="1" thickTop="1" x14ac:dyDescent="0.35">
      <c r="E20" s="939"/>
      <c r="F20" s="816"/>
      <c r="G20" s="940"/>
      <c r="H20" s="941"/>
      <c r="I20" s="942"/>
      <c r="J20" s="942"/>
      <c r="K20" s="942"/>
      <c r="L20" s="942"/>
      <c r="M20" s="942"/>
      <c r="N20" s="942"/>
      <c r="O20" s="942"/>
      <c r="P20" s="942"/>
      <c r="Q20" s="942"/>
      <c r="R20" s="942"/>
      <c r="S20" s="942"/>
      <c r="T20" s="942"/>
      <c r="U20" s="942"/>
      <c r="V20" s="942"/>
      <c r="W20" s="942"/>
      <c r="X20" s="942"/>
      <c r="Y20" s="942"/>
      <c r="Z20" s="942"/>
      <c r="AA20" s="942"/>
      <c r="AB20" s="942"/>
      <c r="AC20" s="942"/>
      <c r="AD20" s="942"/>
      <c r="AE20" s="942"/>
      <c r="AF20" s="942"/>
      <c r="AG20" s="816"/>
      <c r="AH20" s="817"/>
    </row>
    <row r="21" spans="5:43" ht="19.5" customHeight="1" x14ac:dyDescent="0.35">
      <c r="E21" s="943"/>
      <c r="F21" s="546" t="s">
        <v>1085</v>
      </c>
      <c r="G21" s="486"/>
      <c r="H21" s="944"/>
      <c r="I21" s="89"/>
      <c r="J21" s="89"/>
      <c r="K21" s="89"/>
      <c r="L21" s="89"/>
      <c r="M21" s="89"/>
      <c r="N21" s="89"/>
      <c r="O21" s="89"/>
      <c r="P21" s="89"/>
      <c r="Q21" s="89"/>
      <c r="R21" s="89"/>
      <c r="S21" s="89"/>
      <c r="T21" s="89"/>
      <c r="U21" s="89"/>
      <c r="V21" s="89"/>
      <c r="W21" s="89"/>
      <c r="X21" s="89"/>
      <c r="Y21" s="89"/>
      <c r="Z21" s="89"/>
      <c r="AA21" s="89"/>
      <c r="AB21" s="89"/>
      <c r="AC21" s="89"/>
      <c r="AD21" s="89"/>
      <c r="AE21" s="89"/>
      <c r="AF21" s="89"/>
      <c r="AH21" s="783"/>
    </row>
    <row r="22" spans="5:43" ht="19.5" customHeight="1" x14ac:dyDescent="0.35">
      <c r="E22" s="779"/>
      <c r="F22" s="89"/>
      <c r="G22" s="438"/>
      <c r="H22" s="945"/>
      <c r="I22" s="441" t="b">
        <v>1</v>
      </c>
      <c r="J22" s="402" t="s">
        <v>280</v>
      </c>
      <c r="K22" s="89"/>
      <c r="L22" s="89"/>
      <c r="M22" s="89"/>
      <c r="N22" s="89"/>
      <c r="O22" s="89"/>
      <c r="P22" s="89"/>
      <c r="Q22" s="89"/>
      <c r="R22" s="89"/>
      <c r="S22" s="89"/>
      <c r="T22" s="89"/>
      <c r="U22" s="441" t="b">
        <v>0</v>
      </c>
      <c r="V22" s="402" t="s">
        <v>281</v>
      </c>
      <c r="W22" s="89"/>
      <c r="X22" s="89"/>
      <c r="Y22" s="89"/>
      <c r="Z22" s="89"/>
      <c r="AA22" s="89"/>
      <c r="AB22" s="89"/>
      <c r="AC22" s="438"/>
      <c r="AH22" s="783"/>
    </row>
    <row r="23" spans="5:43" ht="19.5" customHeight="1" x14ac:dyDescent="0.35">
      <c r="E23" s="779"/>
      <c r="F23" s="89"/>
      <c r="G23" s="438"/>
      <c r="H23" s="945"/>
      <c r="I23" s="441" t="b">
        <v>0</v>
      </c>
      <c r="J23" s="402" t="s">
        <v>282</v>
      </c>
      <c r="K23" s="89"/>
      <c r="L23" s="89"/>
      <c r="M23" s="89"/>
      <c r="N23" s="89"/>
      <c r="O23" s="89"/>
      <c r="P23" s="89"/>
      <c r="Q23" s="89"/>
      <c r="R23" s="89"/>
      <c r="S23" s="89"/>
      <c r="T23" s="89"/>
      <c r="U23" s="441" t="b">
        <v>0</v>
      </c>
      <c r="V23" s="402" t="s">
        <v>283</v>
      </c>
      <c r="W23" s="89"/>
      <c r="X23" s="89"/>
      <c r="Y23" s="89"/>
      <c r="Z23" s="89"/>
      <c r="AA23" s="89"/>
      <c r="AB23" s="89"/>
      <c r="AC23" s="438"/>
      <c r="AH23" s="783"/>
    </row>
    <row r="24" spans="5:43" ht="19.5" customHeight="1" x14ac:dyDescent="0.35">
      <c r="E24" s="932" t="s">
        <v>161</v>
      </c>
      <c r="G24" s="501" t="s">
        <v>1141</v>
      </c>
      <c r="H24" s="518"/>
      <c r="I24" s="509"/>
      <c r="J24" s="509"/>
      <c r="K24" s="509"/>
      <c r="L24" s="509"/>
      <c r="M24" s="509"/>
      <c r="N24" s="509"/>
      <c r="O24" s="509"/>
      <c r="P24" s="509"/>
      <c r="Q24" s="509"/>
      <c r="R24" s="509"/>
      <c r="S24" s="509"/>
      <c r="T24" s="509"/>
      <c r="U24" s="509"/>
      <c r="V24" s="509"/>
      <c r="W24" s="509"/>
      <c r="X24" s="509"/>
      <c r="Y24" s="509"/>
      <c r="Z24" s="3173"/>
      <c r="AA24" s="3173"/>
      <c r="AB24" s="3173"/>
      <c r="AC24" s="3173"/>
      <c r="AD24" s="3173"/>
      <c r="AE24" s="3173"/>
      <c r="AF24" s="3173"/>
      <c r="AG24" s="486"/>
      <c r="AH24" s="783"/>
      <c r="AQ24" s="813"/>
    </row>
    <row r="25" spans="5:43" ht="19.5" customHeight="1" x14ac:dyDescent="0.35">
      <c r="E25" s="804" t="s">
        <v>106</v>
      </c>
      <c r="G25" s="546" t="s">
        <v>1105</v>
      </c>
      <c r="H25" s="805"/>
      <c r="I25" s="426"/>
      <c r="J25" s="426"/>
      <c r="K25" s="426"/>
      <c r="L25" s="426"/>
      <c r="M25" s="426"/>
      <c r="N25" s="426"/>
      <c r="O25" s="426"/>
      <c r="P25" s="426"/>
      <c r="Q25" s="426"/>
      <c r="R25" s="426"/>
      <c r="S25" s="426"/>
      <c r="T25" s="426"/>
      <c r="U25" s="426"/>
      <c r="V25" s="426"/>
      <c r="W25" s="426"/>
      <c r="X25" s="426"/>
      <c r="Y25" s="426"/>
      <c r="Z25" s="426"/>
      <c r="AA25" s="426"/>
      <c r="AB25" s="426"/>
      <c r="AC25" s="402"/>
      <c r="AD25" s="402"/>
      <c r="AE25" s="402"/>
      <c r="AF25" s="402"/>
      <c r="AG25" s="486"/>
      <c r="AH25" s="783"/>
    </row>
    <row r="26" spans="5:43" ht="19.5" customHeight="1" x14ac:dyDescent="0.35">
      <c r="E26" s="931"/>
      <c r="F26" s="818"/>
      <c r="G26" s="438"/>
      <c r="I26" s="441" t="b">
        <v>1</v>
      </c>
      <c r="J26" s="402" t="s">
        <v>57</v>
      </c>
      <c r="U26" s="441" t="b">
        <v>0</v>
      </c>
      <c r="V26" s="402" t="s">
        <v>58</v>
      </c>
      <c r="AC26" s="438"/>
      <c r="AD26" s="402"/>
      <c r="AE26" s="438"/>
      <c r="AF26" s="402"/>
      <c r="AG26" s="438"/>
      <c r="AH26" s="783"/>
    </row>
    <row r="27" spans="5:43" ht="19.5" customHeight="1" x14ac:dyDescent="0.35">
      <c r="E27" s="931"/>
      <c r="F27" s="818"/>
      <c r="G27" s="438"/>
      <c r="I27" s="441" t="b">
        <v>0</v>
      </c>
      <c r="J27" s="402" t="s">
        <v>60</v>
      </c>
      <c r="U27" s="441" t="b">
        <v>0</v>
      </c>
      <c r="V27" s="402" t="s">
        <v>61</v>
      </c>
      <c r="AC27" s="438"/>
      <c r="AD27" s="402"/>
      <c r="AE27" s="402"/>
      <c r="AF27" s="402"/>
      <c r="AG27" s="402"/>
      <c r="AH27" s="783"/>
    </row>
    <row r="28" spans="5:43" ht="19.5" customHeight="1" x14ac:dyDescent="0.35">
      <c r="E28" s="931"/>
      <c r="F28" s="818"/>
      <c r="G28" s="438"/>
      <c r="I28" s="441" t="b">
        <v>0</v>
      </c>
      <c r="J28" s="402" t="s">
        <v>59</v>
      </c>
      <c r="U28" s="441" t="b">
        <v>0</v>
      </c>
      <c r="V28" s="807" t="s">
        <v>1093</v>
      </c>
      <c r="W28" s="399"/>
      <c r="X28" s="399"/>
      <c r="Y28" s="399"/>
      <c r="Z28" s="2691"/>
      <c r="AA28" s="2691"/>
      <c r="AB28" s="2691"/>
      <c r="AC28" s="2691"/>
      <c r="AD28" s="2691"/>
      <c r="AE28" s="2691"/>
      <c r="AF28" s="2691"/>
      <c r="AG28" s="485"/>
      <c r="AH28" s="783"/>
    </row>
    <row r="29" spans="5:43" ht="15" customHeight="1" thickBot="1" x14ac:dyDescent="0.4">
      <c r="E29" s="777"/>
      <c r="F29" s="798"/>
      <c r="G29" s="798"/>
      <c r="H29" s="798"/>
      <c r="I29" s="798"/>
      <c r="J29" s="798"/>
      <c r="K29" s="798"/>
      <c r="L29" s="798"/>
      <c r="M29" s="798"/>
      <c r="N29" s="798"/>
      <c r="O29" s="798"/>
      <c r="P29" s="798"/>
      <c r="Q29" s="798"/>
      <c r="R29" s="798"/>
      <c r="S29" s="798"/>
      <c r="T29" s="798"/>
      <c r="U29" s="798"/>
      <c r="V29" s="798"/>
      <c r="W29" s="798"/>
      <c r="X29" s="798"/>
      <c r="Y29" s="798"/>
      <c r="Z29" s="946" t="str">
        <f>IF(AND(opmaintsanitfac_sanitfacclean_pay_mthly_bills_others=TRUE,ISBLANK(sch_opmaintsanitfac_sanitfacclean_pay_mthly_bills_others_specify)),"Please specify.",IF(AND(opmaintsanitfac_sanitfacclean_pay_mthly_bills_others=FALSE,(sch_opmaintsanitfac_sanitfacclean_pay_mthly_bills_others_specify&gt;0)),"Please check Others if you have entries.",""))</f>
        <v/>
      </c>
      <c r="AA29" s="798"/>
      <c r="AB29" s="798"/>
      <c r="AC29" s="798"/>
      <c r="AD29" s="798"/>
      <c r="AE29" s="798"/>
      <c r="AF29" s="798"/>
      <c r="AG29" s="798"/>
      <c r="AH29" s="923"/>
    </row>
    <row r="30" spans="5:43" ht="25" customHeight="1" thickTop="1" x14ac:dyDescent="0.35"/>
    <row r="31" spans="5:43" ht="20.5" x14ac:dyDescent="0.35">
      <c r="E31" s="924" t="s">
        <v>12738</v>
      </c>
      <c r="F31" s="437"/>
      <c r="G31" s="400"/>
      <c r="H31" s="925"/>
      <c r="I31" s="925"/>
      <c r="J31" s="925"/>
      <c r="K31" s="437"/>
      <c r="L31" s="437"/>
      <c r="M31" s="437"/>
      <c r="N31" s="437"/>
      <c r="O31" s="437"/>
    </row>
    <row r="32" spans="5:43" s="402" customFormat="1" ht="16" thickBot="1" x14ac:dyDescent="0.4">
      <c r="E32" s="419" t="s">
        <v>1091</v>
      </c>
    </row>
    <row r="33" spans="2:49" ht="8.15" customHeight="1" thickTop="1" x14ac:dyDescent="0.35">
      <c r="E33" s="791"/>
      <c r="F33" s="915"/>
      <c r="G33" s="597"/>
      <c r="H33" s="926"/>
      <c r="I33" s="926"/>
      <c r="J33" s="926"/>
      <c r="K33" s="915"/>
      <c r="L33" s="915"/>
      <c r="M33" s="915"/>
      <c r="N33" s="915"/>
      <c r="O33" s="915"/>
      <c r="P33" s="816"/>
      <c r="Q33" s="816"/>
      <c r="R33" s="816"/>
      <c r="S33" s="816"/>
      <c r="T33" s="816"/>
      <c r="U33" s="816"/>
      <c r="V33" s="816"/>
      <c r="W33" s="816"/>
      <c r="X33" s="816"/>
      <c r="Y33" s="816"/>
      <c r="Z33" s="816"/>
      <c r="AA33" s="816"/>
      <c r="AB33" s="816"/>
      <c r="AC33" s="816"/>
      <c r="AD33" s="816"/>
      <c r="AE33" s="816"/>
      <c r="AF33" s="816"/>
      <c r="AG33" s="816"/>
      <c r="AH33" s="817"/>
    </row>
    <row r="34" spans="2:49" ht="19.5" customHeight="1" x14ac:dyDescent="0.45">
      <c r="E34" s="927"/>
      <c r="F34" s="546" t="s">
        <v>302</v>
      </c>
      <c r="G34" s="399"/>
      <c r="H34" s="925"/>
      <c r="I34" s="925"/>
      <c r="J34" s="925"/>
      <c r="K34" s="857"/>
      <c r="L34" s="857"/>
      <c r="M34" s="857"/>
      <c r="N34" s="857"/>
      <c r="O34" s="857"/>
      <c r="V34" s="925"/>
      <c r="W34" s="925"/>
      <c r="X34" s="680" t="b">
        <v>1</v>
      </c>
      <c r="Y34" s="403" t="s">
        <v>65</v>
      </c>
      <c r="Z34" s="403"/>
      <c r="AC34" s="680"/>
      <c r="AD34" s="403" t="s">
        <v>11</v>
      </c>
      <c r="AE34" s="668"/>
      <c r="AF34" s="403"/>
      <c r="AH34" s="783"/>
    </row>
    <row r="35" spans="2:49" ht="19.5" customHeight="1" x14ac:dyDescent="0.35">
      <c r="E35" s="928"/>
      <c r="G35" s="546" t="s">
        <v>294</v>
      </c>
      <c r="H35" s="925"/>
      <c r="I35" s="925"/>
      <c r="J35" s="925"/>
      <c r="K35" s="437"/>
      <c r="L35" s="437"/>
      <c r="M35" s="437"/>
      <c r="N35" s="437"/>
      <c r="O35" s="437"/>
      <c r="AH35" s="783"/>
    </row>
    <row r="36" spans="2:49" ht="19.5" customHeight="1" x14ac:dyDescent="0.35">
      <c r="E36" s="928"/>
      <c r="H36" s="400"/>
      <c r="I36" s="441" t="b">
        <v>1</v>
      </c>
      <c r="J36" s="402" t="s">
        <v>284</v>
      </c>
      <c r="U36" s="441" t="b">
        <v>0</v>
      </c>
      <c r="V36" s="402" t="s">
        <v>286</v>
      </c>
      <c r="AH36" s="783"/>
    </row>
    <row r="37" spans="2:49" ht="19.5" customHeight="1" x14ac:dyDescent="0.35">
      <c r="E37" s="928"/>
      <c r="H37" s="400"/>
      <c r="I37" s="441" t="b">
        <v>1</v>
      </c>
      <c r="J37" s="402" t="s">
        <v>285</v>
      </c>
      <c r="U37" s="441" t="b">
        <v>0</v>
      </c>
      <c r="V37" s="807" t="s">
        <v>1093</v>
      </c>
      <c r="W37" s="399"/>
      <c r="X37" s="399"/>
      <c r="Y37" s="399"/>
      <c r="Z37" s="3329"/>
      <c r="AA37" s="3329"/>
      <c r="AB37" s="3329"/>
      <c r="AC37" s="3329"/>
      <c r="AD37" s="3329"/>
      <c r="AE37" s="3329"/>
      <c r="AF37" s="3329"/>
      <c r="AG37" s="485"/>
      <c r="AH37" s="783"/>
    </row>
    <row r="38" spans="2:49" ht="15" customHeight="1" thickBot="1" x14ac:dyDescent="0.4">
      <c r="E38" s="929"/>
      <c r="F38" s="672"/>
      <c r="G38" s="408"/>
      <c r="H38" s="930"/>
      <c r="I38" s="930"/>
      <c r="J38" s="798"/>
      <c r="K38" s="798"/>
      <c r="L38" s="798"/>
      <c r="M38" s="798"/>
      <c r="N38" s="798"/>
      <c r="O38" s="798"/>
      <c r="P38" s="798"/>
      <c r="Q38" s="798"/>
      <c r="R38" s="798"/>
      <c r="S38" s="798"/>
      <c r="T38" s="798"/>
      <c r="U38" s="798"/>
      <c r="V38" s="798"/>
      <c r="W38" s="798"/>
      <c r="X38" s="798"/>
      <c r="Y38" s="798"/>
      <c r="Z38" s="947" t="str">
        <f>IF(AND(menshygiene_avail_sanpads_yes_others=TRUE,ISBLANK(sch_menshygiene_avail_sanpads_yes_others_specify)),"Please specify.",IF(AND(menshygiene_avail_sanpads_yes_others=FALSE,(sch_menshygiene_avail_sanpads_yes_others_specify&gt;0)),"Please check Others if you have entries.",""))</f>
        <v/>
      </c>
      <c r="AA38" s="798"/>
      <c r="AB38" s="798"/>
      <c r="AC38" s="798"/>
      <c r="AD38" s="798"/>
      <c r="AE38" s="798"/>
      <c r="AF38" s="798"/>
      <c r="AG38" s="798"/>
      <c r="AH38" s="923"/>
    </row>
    <row r="39" spans="2:49" s="44" customFormat="1" ht="30.75" customHeight="1" thickTop="1" x14ac:dyDescent="0.35">
      <c r="P39" s="85"/>
      <c r="AE39" s="85"/>
      <c r="AG39" s="85"/>
      <c r="AI39" s="85"/>
      <c r="AW39" s="85"/>
    </row>
    <row r="40" spans="2:49" s="73" customFormat="1" ht="14" x14ac:dyDescent="0.3">
      <c r="B40" s="74" t="s">
        <v>913</v>
      </c>
      <c r="Q40" s="74" t="s">
        <v>908</v>
      </c>
      <c r="AI40" s="74" t="s">
        <v>922</v>
      </c>
    </row>
    <row r="41" spans="2:49" s="73" customFormat="1" ht="21.75" customHeight="1" x14ac:dyDescent="0.3">
      <c r="B41" s="74" t="s">
        <v>811</v>
      </c>
      <c r="F41" s="1482" t="str">
        <f>SchInfo!F38</f>
        <v>MELCHESIEDICK Q. BOLANIO/ March 17, 2023</v>
      </c>
      <c r="G41" s="1482"/>
      <c r="H41" s="1482"/>
      <c r="I41" s="1482"/>
      <c r="J41" s="1482"/>
      <c r="K41" s="1482"/>
      <c r="L41" s="1482"/>
      <c r="M41" s="1482"/>
      <c r="N41" s="1482"/>
      <c r="Q41" s="1482" t="str">
        <f>'Table33a-b'!R42</f>
        <v>RACQUEL N. ACOMPAÑADO</v>
      </c>
      <c r="R41" s="1482"/>
      <c r="S41" s="1482"/>
      <c r="T41" s="1482"/>
      <c r="U41" s="1482"/>
      <c r="V41" s="1482"/>
      <c r="W41" s="1482"/>
      <c r="X41" s="1482"/>
      <c r="Y41" s="1482"/>
      <c r="Z41" s="1482"/>
      <c r="AA41" s="1482"/>
      <c r="AB41" s="1482"/>
      <c r="AC41" s="1482"/>
      <c r="AD41" s="1482"/>
      <c r="AE41" s="1482"/>
      <c r="AF41" s="1482"/>
      <c r="AI41" s="1484" t="str">
        <f>SchInfo!R38</f>
        <v>MICHAEL T. JAMIS   /  March 17, 2023</v>
      </c>
      <c r="AJ41" s="1484"/>
      <c r="AK41" s="1484"/>
      <c r="AL41" s="1484"/>
      <c r="AM41" s="1484"/>
      <c r="AN41" s="1484"/>
      <c r="AO41" s="1484"/>
      <c r="AP41" s="1484"/>
      <c r="AQ41" s="1484"/>
      <c r="AR41" s="1484"/>
      <c r="AS41" s="1484"/>
      <c r="AT41" s="1484"/>
      <c r="AU41" s="1484"/>
    </row>
    <row r="42" spans="2:49" s="68" customFormat="1" ht="15" customHeight="1" x14ac:dyDescent="0.3">
      <c r="B42" s="210"/>
      <c r="F42" s="1452" t="s">
        <v>779</v>
      </c>
      <c r="G42" s="1452"/>
      <c r="H42" s="1452"/>
      <c r="I42" s="1452"/>
      <c r="J42" s="1452"/>
      <c r="K42" s="1452"/>
      <c r="L42" s="1452"/>
      <c r="M42" s="1452"/>
      <c r="N42" s="1452"/>
      <c r="O42" s="64"/>
      <c r="P42" s="64"/>
      <c r="Q42" s="1452" t="s">
        <v>779</v>
      </c>
      <c r="R42" s="1452"/>
      <c r="S42" s="1452"/>
      <c r="T42" s="1452"/>
      <c r="U42" s="1452"/>
      <c r="V42" s="1452"/>
      <c r="W42" s="1452"/>
      <c r="X42" s="1452"/>
      <c r="Y42" s="1452"/>
      <c r="Z42" s="1452"/>
      <c r="AA42" s="1452"/>
      <c r="AB42" s="1452"/>
      <c r="AC42" s="1452"/>
      <c r="AD42" s="1452"/>
      <c r="AE42" s="1452"/>
      <c r="AF42" s="1452"/>
      <c r="AI42" s="1485"/>
      <c r="AJ42" s="1485"/>
      <c r="AK42" s="1485"/>
      <c r="AL42" s="1485"/>
      <c r="AM42" s="1485"/>
      <c r="AN42" s="1485"/>
      <c r="AO42" s="1485"/>
      <c r="AP42" s="1485"/>
      <c r="AQ42" s="1485"/>
      <c r="AR42" s="1485"/>
      <c r="AS42" s="1485"/>
      <c r="AT42" s="1485"/>
      <c r="AU42" s="1485"/>
    </row>
    <row r="43" spans="2:49" s="73" customFormat="1" ht="21.75" customHeight="1" x14ac:dyDescent="0.3">
      <c r="B43" s="74" t="s">
        <v>784</v>
      </c>
      <c r="F43" s="1482" t="str">
        <f>SchInfo!F40</f>
        <v>Principal IV</v>
      </c>
      <c r="G43" s="1482"/>
      <c r="H43" s="1482"/>
      <c r="I43" s="1482"/>
      <c r="J43" s="1482"/>
      <c r="K43" s="1482"/>
      <c r="L43" s="1482"/>
      <c r="M43" s="1482"/>
      <c r="N43" s="1482"/>
      <c r="Q43" s="74" t="s">
        <v>784</v>
      </c>
      <c r="U43" s="1482" t="str">
        <f>'Table33a-b'!V44</f>
        <v>Nurse II</v>
      </c>
      <c r="V43" s="1482"/>
      <c r="W43" s="1482"/>
      <c r="X43" s="1482"/>
      <c r="Y43" s="1482"/>
      <c r="Z43" s="1482"/>
      <c r="AA43" s="1482"/>
      <c r="AB43" s="1482"/>
      <c r="AC43" s="1482"/>
      <c r="AD43" s="1482"/>
      <c r="AE43" s="1482"/>
      <c r="AF43" s="1482"/>
      <c r="AI43" s="1452" t="s">
        <v>779</v>
      </c>
      <c r="AJ43" s="1452"/>
      <c r="AK43" s="1452"/>
      <c r="AL43" s="1452"/>
      <c r="AM43" s="1452"/>
      <c r="AN43" s="1452"/>
      <c r="AO43" s="1452"/>
      <c r="AP43" s="1452"/>
      <c r="AQ43" s="1452"/>
      <c r="AR43" s="1452"/>
      <c r="AS43" s="1452"/>
      <c r="AT43" s="1452"/>
      <c r="AU43" s="1452"/>
    </row>
    <row r="44" spans="2:49" ht="11.25" customHeight="1" x14ac:dyDescent="0.3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c r="AA44" s="765"/>
      <c r="AB44" s="748"/>
    </row>
  </sheetData>
  <sheetProtection algorithmName="SHA-512" hashValue="Ng6a902sLkZ5CxOGUuF58Az+IPOIniwsI3dMnT+ZyjQnhAwVCdhZD7fn084w9HdkRORZH8hcZbVU2jaqNSBL6Q==" saltValue="54kVnuCIUoj3CxDYfK5v+w==" spinCount="100000" sheet="1" objects="1" scenarios="1"/>
  <mergeCells count="11">
    <mergeCell ref="F43:N43"/>
    <mergeCell ref="U43:AF43"/>
    <mergeCell ref="AI43:AU43"/>
    <mergeCell ref="F41:N41"/>
    <mergeCell ref="Q41:AF41"/>
    <mergeCell ref="Z28:AF28"/>
    <mergeCell ref="Z24:AF24"/>
    <mergeCell ref="Z37:AF37"/>
    <mergeCell ref="AI41:AU42"/>
    <mergeCell ref="F42:N42"/>
    <mergeCell ref="Q42:AF42"/>
  </mergeCells>
  <conditionalFormatting sqref="G35">
    <cfRule type="expression" dxfId="44" priority="1">
      <formula>$U$37</formula>
    </cfRule>
    <cfRule type="expression" dxfId="43" priority="2">
      <formula>$U$36</formula>
    </cfRule>
    <cfRule type="expression" dxfId="42" priority="3">
      <formula>$I$37</formula>
    </cfRule>
    <cfRule type="expression" dxfId="41" priority="4">
      <formula>$I$36</formula>
    </cfRule>
    <cfRule type="expression" dxfId="40" priority="5">
      <formula>$X$34</formula>
    </cfRule>
  </conditionalFormatting>
  <dataValidations count="1">
    <dataValidation type="decimal" allowBlank="1" showInputMessage="1" showErrorMessage="1" errorTitle="GJHSP SY 2021-2022" error="Please enter valid number between 0-1,000,000.00." sqref="Z24:AF24" xr:uid="{E6EC3EE5-4CD1-4C33-8AF6-6830B2EA9344}">
      <formula1>0</formula1>
      <formula2>1000000</formula2>
    </dataValidation>
  </dataValidations>
  <printOptions horizontalCentered="1" verticalCentered="1"/>
  <pageMargins left="0.23622047244094491" right="0.23622047244094491" top="0.19685039370078741" bottom="0.19685039370078741" header="0" footer="0.11811023622047245"/>
  <pageSetup paperSize="14" scale="75" orientation="landscape" r:id="rId1"/>
  <headerFooter alignWithMargins="0">
    <oddFooter>&amp;L&amp;10&amp;F &amp;A&amp;R&amp;10Page 39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0657" r:id="rId4" name="Check Box 1">
              <controlPr defaultSize="0" autoFill="0" autoLine="0" autoPict="0">
                <anchor moveWithCells="1">
                  <from>
                    <xdr:col>27</xdr:col>
                    <xdr:colOff>266700</xdr:colOff>
                    <xdr:row>4</xdr:row>
                    <xdr:rowOff>6350</xdr:rowOff>
                  </from>
                  <to>
                    <xdr:col>29</xdr:col>
                    <xdr:colOff>82550</xdr:colOff>
                    <xdr:row>4</xdr:row>
                    <xdr:rowOff>228600</xdr:rowOff>
                  </to>
                </anchor>
              </controlPr>
            </control>
          </mc:Choice>
        </mc:AlternateContent>
        <mc:AlternateContent xmlns:mc="http://schemas.openxmlformats.org/markup-compatibility/2006">
          <mc:Choice Requires="x14">
            <control shapeId="70658" r:id="rId5" name="Check Box 2">
              <controlPr defaultSize="0" autoFill="0" autoLine="0" autoPict="0">
                <anchor moveWithCells="1">
                  <from>
                    <xdr:col>33</xdr:col>
                    <xdr:colOff>0</xdr:colOff>
                    <xdr:row>4</xdr:row>
                    <xdr:rowOff>12700</xdr:rowOff>
                  </from>
                  <to>
                    <xdr:col>34</xdr:col>
                    <xdr:colOff>88900</xdr:colOff>
                    <xdr:row>4</xdr:row>
                    <xdr:rowOff>234950</xdr:rowOff>
                  </to>
                </anchor>
              </controlPr>
            </control>
          </mc:Choice>
        </mc:AlternateContent>
        <mc:AlternateContent xmlns:mc="http://schemas.openxmlformats.org/markup-compatibility/2006">
          <mc:Choice Requires="x14">
            <control shapeId="70659" r:id="rId6" name="Check Box 3">
              <controlPr defaultSize="0" autoFill="0" autoLine="0" autoPict="0">
                <anchor moveWithCells="1">
                  <from>
                    <xdr:col>7</xdr:col>
                    <xdr:colOff>266700</xdr:colOff>
                    <xdr:row>7</xdr:row>
                    <xdr:rowOff>6350</xdr:rowOff>
                  </from>
                  <to>
                    <xdr:col>9</xdr:col>
                    <xdr:colOff>82550</xdr:colOff>
                    <xdr:row>7</xdr:row>
                    <xdr:rowOff>228600</xdr:rowOff>
                  </to>
                </anchor>
              </controlPr>
            </control>
          </mc:Choice>
        </mc:AlternateContent>
        <mc:AlternateContent xmlns:mc="http://schemas.openxmlformats.org/markup-compatibility/2006">
          <mc:Choice Requires="x14">
            <control shapeId="70660" r:id="rId7" name="Check Box 4">
              <controlPr defaultSize="0" autoFill="0" autoLine="0" autoPict="0">
                <anchor moveWithCells="1">
                  <from>
                    <xdr:col>7</xdr:col>
                    <xdr:colOff>266700</xdr:colOff>
                    <xdr:row>8</xdr:row>
                    <xdr:rowOff>6350</xdr:rowOff>
                  </from>
                  <to>
                    <xdr:col>9</xdr:col>
                    <xdr:colOff>82550</xdr:colOff>
                    <xdr:row>8</xdr:row>
                    <xdr:rowOff>228600</xdr:rowOff>
                  </to>
                </anchor>
              </controlPr>
            </control>
          </mc:Choice>
        </mc:AlternateContent>
        <mc:AlternateContent xmlns:mc="http://schemas.openxmlformats.org/markup-compatibility/2006">
          <mc:Choice Requires="x14">
            <control shapeId="70661" r:id="rId8" name="Check Box 5">
              <controlPr defaultSize="0" autoFill="0" autoLine="0" autoPict="0">
                <anchor moveWithCells="1">
                  <from>
                    <xdr:col>7</xdr:col>
                    <xdr:colOff>266700</xdr:colOff>
                    <xdr:row>9</xdr:row>
                    <xdr:rowOff>6350</xdr:rowOff>
                  </from>
                  <to>
                    <xdr:col>9</xdr:col>
                    <xdr:colOff>82550</xdr:colOff>
                    <xdr:row>9</xdr:row>
                    <xdr:rowOff>228600</xdr:rowOff>
                  </to>
                </anchor>
              </controlPr>
            </control>
          </mc:Choice>
        </mc:AlternateContent>
        <mc:AlternateContent xmlns:mc="http://schemas.openxmlformats.org/markup-compatibility/2006">
          <mc:Choice Requires="x14">
            <control shapeId="70662" r:id="rId9" name="Check Box 6">
              <controlPr defaultSize="0" autoFill="0" autoLine="0" autoPict="0">
                <anchor moveWithCells="1">
                  <from>
                    <xdr:col>20</xdr:col>
                    <xdr:colOff>266700</xdr:colOff>
                    <xdr:row>7</xdr:row>
                    <xdr:rowOff>6350</xdr:rowOff>
                  </from>
                  <to>
                    <xdr:col>22</xdr:col>
                    <xdr:colOff>82550</xdr:colOff>
                    <xdr:row>7</xdr:row>
                    <xdr:rowOff>228600</xdr:rowOff>
                  </to>
                </anchor>
              </controlPr>
            </control>
          </mc:Choice>
        </mc:AlternateContent>
        <mc:AlternateContent xmlns:mc="http://schemas.openxmlformats.org/markup-compatibility/2006">
          <mc:Choice Requires="x14">
            <control shapeId="70663" r:id="rId10" name="Check Box 7">
              <controlPr defaultSize="0" autoFill="0" autoLine="0" autoPict="0">
                <anchor moveWithCells="1">
                  <from>
                    <xdr:col>20</xdr:col>
                    <xdr:colOff>266700</xdr:colOff>
                    <xdr:row>8</xdr:row>
                    <xdr:rowOff>6350</xdr:rowOff>
                  </from>
                  <to>
                    <xdr:col>22</xdr:col>
                    <xdr:colOff>82550</xdr:colOff>
                    <xdr:row>8</xdr:row>
                    <xdr:rowOff>228600</xdr:rowOff>
                  </to>
                </anchor>
              </controlPr>
            </control>
          </mc:Choice>
        </mc:AlternateContent>
        <mc:AlternateContent xmlns:mc="http://schemas.openxmlformats.org/markup-compatibility/2006">
          <mc:Choice Requires="x14">
            <control shapeId="70664" r:id="rId11" name="Check Box 8">
              <controlPr defaultSize="0" autoFill="0" autoLine="0" autoPict="0">
                <anchor moveWithCells="1">
                  <from>
                    <xdr:col>20</xdr:col>
                    <xdr:colOff>266700</xdr:colOff>
                    <xdr:row>9</xdr:row>
                    <xdr:rowOff>6350</xdr:rowOff>
                  </from>
                  <to>
                    <xdr:col>22</xdr:col>
                    <xdr:colOff>82550</xdr:colOff>
                    <xdr:row>9</xdr:row>
                    <xdr:rowOff>228600</xdr:rowOff>
                  </to>
                </anchor>
              </controlPr>
            </control>
          </mc:Choice>
        </mc:AlternateContent>
        <mc:AlternateContent xmlns:mc="http://schemas.openxmlformats.org/markup-compatibility/2006">
          <mc:Choice Requires="x14">
            <control shapeId="70665" r:id="rId12" name="Check Box 9">
              <controlPr defaultSize="0" autoFill="0" autoLine="0" autoPict="0">
                <anchor moveWithCells="1">
                  <from>
                    <xdr:col>32</xdr:col>
                    <xdr:colOff>266700</xdr:colOff>
                    <xdr:row>10</xdr:row>
                    <xdr:rowOff>6350</xdr:rowOff>
                  </from>
                  <to>
                    <xdr:col>34</xdr:col>
                    <xdr:colOff>82550</xdr:colOff>
                    <xdr:row>10</xdr:row>
                    <xdr:rowOff>228600</xdr:rowOff>
                  </to>
                </anchor>
              </controlPr>
            </control>
          </mc:Choice>
        </mc:AlternateContent>
        <mc:AlternateContent xmlns:mc="http://schemas.openxmlformats.org/markup-compatibility/2006">
          <mc:Choice Requires="x14">
            <control shapeId="70666" r:id="rId13" name="Check Box 10">
              <controlPr defaultSize="0" autoFill="0" autoLine="0" autoPict="0">
                <anchor moveWithCells="1">
                  <from>
                    <xdr:col>32</xdr:col>
                    <xdr:colOff>266700</xdr:colOff>
                    <xdr:row>9</xdr:row>
                    <xdr:rowOff>6350</xdr:rowOff>
                  </from>
                  <to>
                    <xdr:col>34</xdr:col>
                    <xdr:colOff>82550</xdr:colOff>
                    <xdr:row>9</xdr:row>
                    <xdr:rowOff>228600</xdr:rowOff>
                  </to>
                </anchor>
              </controlPr>
            </control>
          </mc:Choice>
        </mc:AlternateContent>
        <mc:AlternateContent xmlns:mc="http://schemas.openxmlformats.org/markup-compatibility/2006">
          <mc:Choice Requires="x14">
            <control shapeId="70667" r:id="rId14" name="Check Box 11">
              <controlPr defaultSize="0" autoFill="0" autoLine="0" autoPict="0">
                <anchor moveWithCells="1">
                  <from>
                    <xdr:col>32</xdr:col>
                    <xdr:colOff>266700</xdr:colOff>
                    <xdr:row>8</xdr:row>
                    <xdr:rowOff>6350</xdr:rowOff>
                  </from>
                  <to>
                    <xdr:col>34</xdr:col>
                    <xdr:colOff>82550</xdr:colOff>
                    <xdr:row>8</xdr:row>
                    <xdr:rowOff>228600</xdr:rowOff>
                  </to>
                </anchor>
              </controlPr>
            </control>
          </mc:Choice>
        </mc:AlternateContent>
        <mc:AlternateContent xmlns:mc="http://schemas.openxmlformats.org/markup-compatibility/2006">
          <mc:Choice Requires="x14">
            <control shapeId="70668" r:id="rId15" name="Check Box 12">
              <controlPr defaultSize="0" autoFill="0" autoLine="0" autoPict="0">
                <anchor moveWithCells="1">
                  <from>
                    <xdr:col>32</xdr:col>
                    <xdr:colOff>266700</xdr:colOff>
                    <xdr:row>7</xdr:row>
                    <xdr:rowOff>6350</xdr:rowOff>
                  </from>
                  <to>
                    <xdr:col>34</xdr:col>
                    <xdr:colOff>82550</xdr:colOff>
                    <xdr:row>7</xdr:row>
                    <xdr:rowOff>228600</xdr:rowOff>
                  </to>
                </anchor>
              </controlPr>
            </control>
          </mc:Choice>
        </mc:AlternateContent>
        <mc:AlternateContent xmlns:mc="http://schemas.openxmlformats.org/markup-compatibility/2006">
          <mc:Choice Requires="x14">
            <control shapeId="70669" r:id="rId16" name="Check Box 13">
              <controlPr defaultSize="0" autoFill="0" autoLine="0" autoPict="0">
                <anchor moveWithCells="1">
                  <from>
                    <xdr:col>7</xdr:col>
                    <xdr:colOff>266700</xdr:colOff>
                    <xdr:row>13</xdr:row>
                    <xdr:rowOff>6350</xdr:rowOff>
                  </from>
                  <to>
                    <xdr:col>9</xdr:col>
                    <xdr:colOff>82550</xdr:colOff>
                    <xdr:row>13</xdr:row>
                    <xdr:rowOff>228600</xdr:rowOff>
                  </to>
                </anchor>
              </controlPr>
            </control>
          </mc:Choice>
        </mc:AlternateContent>
        <mc:AlternateContent xmlns:mc="http://schemas.openxmlformats.org/markup-compatibility/2006">
          <mc:Choice Requires="x14">
            <control shapeId="70670" r:id="rId17" name="Check Box 14">
              <controlPr defaultSize="0" autoFill="0" autoLine="0" autoPict="0">
                <anchor moveWithCells="1">
                  <from>
                    <xdr:col>7</xdr:col>
                    <xdr:colOff>266700</xdr:colOff>
                    <xdr:row>14</xdr:row>
                    <xdr:rowOff>6350</xdr:rowOff>
                  </from>
                  <to>
                    <xdr:col>9</xdr:col>
                    <xdr:colOff>82550</xdr:colOff>
                    <xdr:row>14</xdr:row>
                    <xdr:rowOff>228600</xdr:rowOff>
                  </to>
                </anchor>
              </controlPr>
            </control>
          </mc:Choice>
        </mc:AlternateContent>
        <mc:AlternateContent xmlns:mc="http://schemas.openxmlformats.org/markup-compatibility/2006">
          <mc:Choice Requires="x14">
            <control shapeId="70671" r:id="rId18" name="Check Box 15">
              <controlPr defaultSize="0" autoFill="0" autoLine="0" autoPict="0">
                <anchor moveWithCells="1">
                  <from>
                    <xdr:col>20</xdr:col>
                    <xdr:colOff>266700</xdr:colOff>
                    <xdr:row>13</xdr:row>
                    <xdr:rowOff>6350</xdr:rowOff>
                  </from>
                  <to>
                    <xdr:col>22</xdr:col>
                    <xdr:colOff>82550</xdr:colOff>
                    <xdr:row>13</xdr:row>
                    <xdr:rowOff>228600</xdr:rowOff>
                  </to>
                </anchor>
              </controlPr>
            </control>
          </mc:Choice>
        </mc:AlternateContent>
        <mc:AlternateContent xmlns:mc="http://schemas.openxmlformats.org/markup-compatibility/2006">
          <mc:Choice Requires="x14">
            <control shapeId="70672" r:id="rId19" name="Check Box 16">
              <controlPr defaultSize="0" autoFill="0" autoLine="0" autoPict="0">
                <anchor moveWithCells="1">
                  <from>
                    <xdr:col>20</xdr:col>
                    <xdr:colOff>266700</xdr:colOff>
                    <xdr:row>14</xdr:row>
                    <xdr:rowOff>6350</xdr:rowOff>
                  </from>
                  <to>
                    <xdr:col>22</xdr:col>
                    <xdr:colOff>82550</xdr:colOff>
                    <xdr:row>14</xdr:row>
                    <xdr:rowOff>228600</xdr:rowOff>
                  </to>
                </anchor>
              </controlPr>
            </control>
          </mc:Choice>
        </mc:AlternateContent>
        <mc:AlternateContent xmlns:mc="http://schemas.openxmlformats.org/markup-compatibility/2006">
          <mc:Choice Requires="x14">
            <control shapeId="70673" r:id="rId20" name="Check Box 17">
              <controlPr defaultSize="0" autoFill="0" autoLine="0" autoPict="0">
                <anchor moveWithCells="1">
                  <from>
                    <xdr:col>32</xdr:col>
                    <xdr:colOff>266700</xdr:colOff>
                    <xdr:row>13</xdr:row>
                    <xdr:rowOff>6350</xdr:rowOff>
                  </from>
                  <to>
                    <xdr:col>34</xdr:col>
                    <xdr:colOff>82550</xdr:colOff>
                    <xdr:row>13</xdr:row>
                    <xdr:rowOff>228600</xdr:rowOff>
                  </to>
                </anchor>
              </controlPr>
            </control>
          </mc:Choice>
        </mc:AlternateContent>
        <mc:AlternateContent xmlns:mc="http://schemas.openxmlformats.org/markup-compatibility/2006">
          <mc:Choice Requires="x14">
            <control shapeId="70674" r:id="rId21" name="Check Box 18">
              <controlPr defaultSize="0" autoFill="0" autoLine="0" autoPict="0">
                <anchor moveWithCells="1">
                  <from>
                    <xdr:col>19</xdr:col>
                    <xdr:colOff>266700</xdr:colOff>
                    <xdr:row>21</xdr:row>
                    <xdr:rowOff>6350</xdr:rowOff>
                  </from>
                  <to>
                    <xdr:col>21</xdr:col>
                    <xdr:colOff>82550</xdr:colOff>
                    <xdr:row>21</xdr:row>
                    <xdr:rowOff>228600</xdr:rowOff>
                  </to>
                </anchor>
              </controlPr>
            </control>
          </mc:Choice>
        </mc:AlternateContent>
        <mc:AlternateContent xmlns:mc="http://schemas.openxmlformats.org/markup-compatibility/2006">
          <mc:Choice Requires="x14">
            <control shapeId="70675" r:id="rId22" name="Check Box 19">
              <controlPr defaultSize="0" autoFill="0" autoLine="0" autoPict="0">
                <anchor moveWithCells="1">
                  <from>
                    <xdr:col>19</xdr:col>
                    <xdr:colOff>266700</xdr:colOff>
                    <xdr:row>22</xdr:row>
                    <xdr:rowOff>6350</xdr:rowOff>
                  </from>
                  <to>
                    <xdr:col>21</xdr:col>
                    <xdr:colOff>82550</xdr:colOff>
                    <xdr:row>22</xdr:row>
                    <xdr:rowOff>228600</xdr:rowOff>
                  </to>
                </anchor>
              </controlPr>
            </control>
          </mc:Choice>
        </mc:AlternateContent>
        <mc:AlternateContent xmlns:mc="http://schemas.openxmlformats.org/markup-compatibility/2006">
          <mc:Choice Requires="x14">
            <control shapeId="70676" r:id="rId23" name="Check Box 20">
              <controlPr defaultSize="0" autoFill="0" autoLine="0" autoPict="0">
                <anchor moveWithCells="1">
                  <from>
                    <xdr:col>7</xdr:col>
                    <xdr:colOff>266700</xdr:colOff>
                    <xdr:row>21</xdr:row>
                    <xdr:rowOff>6350</xdr:rowOff>
                  </from>
                  <to>
                    <xdr:col>9</xdr:col>
                    <xdr:colOff>82550</xdr:colOff>
                    <xdr:row>21</xdr:row>
                    <xdr:rowOff>228600</xdr:rowOff>
                  </to>
                </anchor>
              </controlPr>
            </control>
          </mc:Choice>
        </mc:AlternateContent>
        <mc:AlternateContent xmlns:mc="http://schemas.openxmlformats.org/markup-compatibility/2006">
          <mc:Choice Requires="x14">
            <control shapeId="70677" r:id="rId24" name="Check Box 21">
              <controlPr defaultSize="0" autoFill="0" autoLine="0" autoPict="0">
                <anchor moveWithCells="1">
                  <from>
                    <xdr:col>7</xdr:col>
                    <xdr:colOff>266700</xdr:colOff>
                    <xdr:row>22</xdr:row>
                    <xdr:rowOff>6350</xdr:rowOff>
                  </from>
                  <to>
                    <xdr:col>9</xdr:col>
                    <xdr:colOff>82550</xdr:colOff>
                    <xdr:row>22</xdr:row>
                    <xdr:rowOff>228600</xdr:rowOff>
                  </to>
                </anchor>
              </controlPr>
            </control>
          </mc:Choice>
        </mc:AlternateContent>
        <mc:AlternateContent xmlns:mc="http://schemas.openxmlformats.org/markup-compatibility/2006">
          <mc:Choice Requires="x14">
            <control shapeId="70678" r:id="rId25" name="Check Box 22">
              <controlPr defaultSize="0" autoFill="0" autoLine="0" autoPict="0">
                <anchor moveWithCells="1">
                  <from>
                    <xdr:col>7</xdr:col>
                    <xdr:colOff>266700</xdr:colOff>
                    <xdr:row>25</xdr:row>
                    <xdr:rowOff>6350</xdr:rowOff>
                  </from>
                  <to>
                    <xdr:col>9</xdr:col>
                    <xdr:colOff>82550</xdr:colOff>
                    <xdr:row>25</xdr:row>
                    <xdr:rowOff>228600</xdr:rowOff>
                  </to>
                </anchor>
              </controlPr>
            </control>
          </mc:Choice>
        </mc:AlternateContent>
        <mc:AlternateContent xmlns:mc="http://schemas.openxmlformats.org/markup-compatibility/2006">
          <mc:Choice Requires="x14">
            <control shapeId="70679" r:id="rId26" name="Check Box 23">
              <controlPr defaultSize="0" autoFill="0" autoLine="0" autoPict="0">
                <anchor moveWithCells="1">
                  <from>
                    <xdr:col>7</xdr:col>
                    <xdr:colOff>266700</xdr:colOff>
                    <xdr:row>26</xdr:row>
                    <xdr:rowOff>6350</xdr:rowOff>
                  </from>
                  <to>
                    <xdr:col>9</xdr:col>
                    <xdr:colOff>82550</xdr:colOff>
                    <xdr:row>26</xdr:row>
                    <xdr:rowOff>228600</xdr:rowOff>
                  </to>
                </anchor>
              </controlPr>
            </control>
          </mc:Choice>
        </mc:AlternateContent>
        <mc:AlternateContent xmlns:mc="http://schemas.openxmlformats.org/markup-compatibility/2006">
          <mc:Choice Requires="x14">
            <control shapeId="70680" r:id="rId27" name="Check Box 24">
              <controlPr defaultSize="0" autoFill="0" autoLine="0" autoPict="0">
                <anchor moveWithCells="1">
                  <from>
                    <xdr:col>7</xdr:col>
                    <xdr:colOff>266700</xdr:colOff>
                    <xdr:row>27</xdr:row>
                    <xdr:rowOff>6350</xdr:rowOff>
                  </from>
                  <to>
                    <xdr:col>9</xdr:col>
                    <xdr:colOff>82550</xdr:colOff>
                    <xdr:row>27</xdr:row>
                    <xdr:rowOff>228600</xdr:rowOff>
                  </to>
                </anchor>
              </controlPr>
            </control>
          </mc:Choice>
        </mc:AlternateContent>
        <mc:AlternateContent xmlns:mc="http://schemas.openxmlformats.org/markup-compatibility/2006">
          <mc:Choice Requires="x14">
            <control shapeId="70681" r:id="rId28" name="Check Box 25">
              <controlPr defaultSize="0" autoFill="0" autoLine="0" autoPict="0">
                <anchor moveWithCells="1">
                  <from>
                    <xdr:col>19</xdr:col>
                    <xdr:colOff>266700</xdr:colOff>
                    <xdr:row>25</xdr:row>
                    <xdr:rowOff>6350</xdr:rowOff>
                  </from>
                  <to>
                    <xdr:col>21</xdr:col>
                    <xdr:colOff>82550</xdr:colOff>
                    <xdr:row>25</xdr:row>
                    <xdr:rowOff>228600</xdr:rowOff>
                  </to>
                </anchor>
              </controlPr>
            </control>
          </mc:Choice>
        </mc:AlternateContent>
        <mc:AlternateContent xmlns:mc="http://schemas.openxmlformats.org/markup-compatibility/2006">
          <mc:Choice Requires="x14">
            <control shapeId="70682" r:id="rId29" name="Check Box 26">
              <controlPr defaultSize="0" autoFill="0" autoLine="0" autoPict="0">
                <anchor moveWithCells="1">
                  <from>
                    <xdr:col>19</xdr:col>
                    <xdr:colOff>266700</xdr:colOff>
                    <xdr:row>26</xdr:row>
                    <xdr:rowOff>6350</xdr:rowOff>
                  </from>
                  <to>
                    <xdr:col>21</xdr:col>
                    <xdr:colOff>82550</xdr:colOff>
                    <xdr:row>26</xdr:row>
                    <xdr:rowOff>228600</xdr:rowOff>
                  </to>
                </anchor>
              </controlPr>
            </control>
          </mc:Choice>
        </mc:AlternateContent>
        <mc:AlternateContent xmlns:mc="http://schemas.openxmlformats.org/markup-compatibility/2006">
          <mc:Choice Requires="x14">
            <control shapeId="70683" r:id="rId30" name="Check Box 27">
              <controlPr defaultSize="0" autoFill="0" autoLine="0" autoPict="0">
                <anchor moveWithCells="1">
                  <from>
                    <xdr:col>19</xdr:col>
                    <xdr:colOff>266700</xdr:colOff>
                    <xdr:row>27</xdr:row>
                    <xdr:rowOff>6350</xdr:rowOff>
                  </from>
                  <to>
                    <xdr:col>21</xdr:col>
                    <xdr:colOff>82550</xdr:colOff>
                    <xdr:row>27</xdr:row>
                    <xdr:rowOff>228600</xdr:rowOff>
                  </to>
                </anchor>
              </controlPr>
            </control>
          </mc:Choice>
        </mc:AlternateContent>
        <mc:AlternateContent xmlns:mc="http://schemas.openxmlformats.org/markup-compatibility/2006">
          <mc:Choice Requires="x14">
            <control shapeId="70684" r:id="rId31" name="Check Box 28">
              <controlPr defaultSize="0" autoFill="0" autoLine="0" autoPict="0">
                <anchor moveWithCells="1">
                  <from>
                    <xdr:col>22</xdr:col>
                    <xdr:colOff>266700</xdr:colOff>
                    <xdr:row>33</xdr:row>
                    <xdr:rowOff>6350</xdr:rowOff>
                  </from>
                  <to>
                    <xdr:col>24</xdr:col>
                    <xdr:colOff>82550</xdr:colOff>
                    <xdr:row>33</xdr:row>
                    <xdr:rowOff>228600</xdr:rowOff>
                  </to>
                </anchor>
              </controlPr>
            </control>
          </mc:Choice>
        </mc:AlternateContent>
        <mc:AlternateContent xmlns:mc="http://schemas.openxmlformats.org/markup-compatibility/2006">
          <mc:Choice Requires="x14">
            <control shapeId="70685" r:id="rId32" name="Check Box 29">
              <controlPr defaultSize="0" autoFill="0" autoLine="0" autoPict="0">
                <anchor moveWithCells="1">
                  <from>
                    <xdr:col>27</xdr:col>
                    <xdr:colOff>266700</xdr:colOff>
                    <xdr:row>33</xdr:row>
                    <xdr:rowOff>6350</xdr:rowOff>
                  </from>
                  <to>
                    <xdr:col>29</xdr:col>
                    <xdr:colOff>82550</xdr:colOff>
                    <xdr:row>33</xdr:row>
                    <xdr:rowOff>228600</xdr:rowOff>
                  </to>
                </anchor>
              </controlPr>
            </control>
          </mc:Choice>
        </mc:AlternateContent>
        <mc:AlternateContent xmlns:mc="http://schemas.openxmlformats.org/markup-compatibility/2006">
          <mc:Choice Requires="x14">
            <control shapeId="70686" r:id="rId33" name="Check Box 30">
              <controlPr defaultSize="0" autoFill="0" autoLine="0" autoPict="0">
                <anchor moveWithCells="1">
                  <from>
                    <xdr:col>7</xdr:col>
                    <xdr:colOff>266700</xdr:colOff>
                    <xdr:row>35</xdr:row>
                    <xdr:rowOff>6350</xdr:rowOff>
                  </from>
                  <to>
                    <xdr:col>9</xdr:col>
                    <xdr:colOff>82550</xdr:colOff>
                    <xdr:row>35</xdr:row>
                    <xdr:rowOff>228600</xdr:rowOff>
                  </to>
                </anchor>
              </controlPr>
            </control>
          </mc:Choice>
        </mc:AlternateContent>
        <mc:AlternateContent xmlns:mc="http://schemas.openxmlformats.org/markup-compatibility/2006">
          <mc:Choice Requires="x14">
            <control shapeId="70687" r:id="rId34" name="Check Box 31">
              <controlPr defaultSize="0" autoFill="0" autoLine="0" autoPict="0">
                <anchor moveWithCells="1">
                  <from>
                    <xdr:col>7</xdr:col>
                    <xdr:colOff>266700</xdr:colOff>
                    <xdr:row>36</xdr:row>
                    <xdr:rowOff>6350</xdr:rowOff>
                  </from>
                  <to>
                    <xdr:col>9</xdr:col>
                    <xdr:colOff>82550</xdr:colOff>
                    <xdr:row>36</xdr:row>
                    <xdr:rowOff>228600</xdr:rowOff>
                  </to>
                </anchor>
              </controlPr>
            </control>
          </mc:Choice>
        </mc:AlternateContent>
        <mc:AlternateContent xmlns:mc="http://schemas.openxmlformats.org/markup-compatibility/2006">
          <mc:Choice Requires="x14">
            <control shapeId="70688" r:id="rId35" name="Check Box 32">
              <controlPr defaultSize="0" autoFill="0" autoLine="0" autoPict="0">
                <anchor moveWithCells="1">
                  <from>
                    <xdr:col>19</xdr:col>
                    <xdr:colOff>266700</xdr:colOff>
                    <xdr:row>35</xdr:row>
                    <xdr:rowOff>6350</xdr:rowOff>
                  </from>
                  <to>
                    <xdr:col>21</xdr:col>
                    <xdr:colOff>82550</xdr:colOff>
                    <xdr:row>35</xdr:row>
                    <xdr:rowOff>228600</xdr:rowOff>
                  </to>
                </anchor>
              </controlPr>
            </control>
          </mc:Choice>
        </mc:AlternateContent>
        <mc:AlternateContent xmlns:mc="http://schemas.openxmlformats.org/markup-compatibility/2006">
          <mc:Choice Requires="x14">
            <control shapeId="70689" r:id="rId36" name="Check Box 33">
              <controlPr defaultSize="0" autoFill="0" autoLine="0" autoPict="0">
                <anchor moveWithCells="1">
                  <from>
                    <xdr:col>19</xdr:col>
                    <xdr:colOff>266700</xdr:colOff>
                    <xdr:row>36</xdr:row>
                    <xdr:rowOff>6350</xdr:rowOff>
                  </from>
                  <to>
                    <xdr:col>21</xdr:col>
                    <xdr:colOff>82550</xdr:colOff>
                    <xdr:row>36</xdr:row>
                    <xdr:rowOff>228600</xdr:rowOff>
                  </to>
                </anchor>
              </controlPr>
            </control>
          </mc:Choice>
        </mc:AlternateContent>
      </controls>
    </mc:Choice>
  </mc:AlternateContent>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9202E-09DE-4EF6-917F-CE0E92905C1E}">
  <sheetPr codeName="Sheet40">
    <pageSetUpPr fitToPage="1"/>
  </sheetPr>
  <dimension ref="B1:BN43"/>
  <sheetViews>
    <sheetView showGridLines="0" topLeftCell="H31" zoomScaleNormal="100" zoomScaleSheetLayoutView="100" workbookViewId="0">
      <selection activeCell="X44" sqref="X44"/>
    </sheetView>
  </sheetViews>
  <sheetFormatPr defaultColWidth="9" defaultRowHeight="15.5" x14ac:dyDescent="0.35"/>
  <cols>
    <col min="1" max="1" width="2.08203125" style="546" customWidth="1"/>
    <col min="2" max="52" width="3.58203125" style="546" customWidth="1"/>
    <col min="53" max="53" width="2.08203125" style="546" customWidth="1"/>
    <col min="54" max="69" width="3.58203125" style="546" customWidth="1"/>
    <col min="70" max="16384" width="9" style="546"/>
  </cols>
  <sheetData>
    <row r="1" spans="7:46" ht="12" customHeight="1" x14ac:dyDescent="0.35"/>
    <row r="2" spans="7:46" x14ac:dyDescent="0.35">
      <c r="G2" s="502" t="s">
        <v>12739</v>
      </c>
      <c r="H2" s="502"/>
      <c r="I2" s="502"/>
      <c r="J2" s="502"/>
      <c r="K2" s="502"/>
      <c r="L2" s="502"/>
      <c r="M2" s="502"/>
      <c r="N2" s="502"/>
      <c r="O2" s="502"/>
      <c r="P2" s="502"/>
      <c r="Q2" s="503"/>
      <c r="R2" s="503"/>
      <c r="S2" s="503"/>
      <c r="T2" s="503"/>
      <c r="U2" s="503"/>
      <c r="V2" s="503"/>
      <c r="W2" s="503"/>
      <c r="X2" s="503"/>
      <c r="Y2" s="503"/>
      <c r="Z2" s="503"/>
      <c r="AA2" s="503"/>
      <c r="AB2" s="503"/>
      <c r="AC2" s="503"/>
      <c r="AD2" s="503"/>
      <c r="AE2" s="503"/>
      <c r="AF2" s="503"/>
      <c r="AG2" s="503"/>
      <c r="AH2" s="503"/>
      <c r="AI2" s="503"/>
      <c r="AJ2" s="503"/>
      <c r="AK2" s="503"/>
      <c r="AL2" s="503"/>
      <c r="AM2" s="503"/>
      <c r="AN2" s="503"/>
      <c r="AO2" s="503"/>
      <c r="AP2" s="503"/>
      <c r="AQ2" s="502"/>
    </row>
    <row r="3" spans="7:46" s="402" customFormat="1" ht="16" thickBot="1" x14ac:dyDescent="0.4">
      <c r="G3" s="419" t="s">
        <v>1091</v>
      </c>
    </row>
    <row r="4" spans="7:46" s="501" customFormat="1" ht="5.25" customHeight="1" thickTop="1" x14ac:dyDescent="0.35">
      <c r="G4" s="533"/>
      <c r="H4" s="535"/>
      <c r="I4" s="792"/>
      <c r="J4" s="506"/>
      <c r="K4" s="506"/>
      <c r="L4" s="506"/>
      <c r="M4" s="506"/>
      <c r="N4" s="506"/>
      <c r="O4" s="506"/>
      <c r="P4" s="506"/>
      <c r="Q4" s="506"/>
      <c r="R4" s="506"/>
      <c r="S4" s="506"/>
      <c r="T4" s="462"/>
      <c r="U4" s="462"/>
      <c r="V4" s="462"/>
      <c r="W4" s="462"/>
      <c r="X4" s="462"/>
      <c r="Y4" s="462"/>
      <c r="Z4" s="422"/>
      <c r="AA4" s="793"/>
      <c r="AB4" s="793"/>
      <c r="AC4" s="793"/>
      <c r="AD4" s="793"/>
      <c r="AE4" s="793"/>
      <c r="AF4" s="793"/>
      <c r="AG4" s="462"/>
      <c r="AH4" s="462"/>
      <c r="AI4" s="462"/>
      <c r="AJ4" s="462"/>
      <c r="AK4" s="462"/>
      <c r="AL4" s="462"/>
      <c r="AM4" s="462"/>
      <c r="AN4" s="462"/>
      <c r="AO4" s="462"/>
      <c r="AP4" s="462"/>
      <c r="AQ4" s="535"/>
      <c r="AR4" s="535"/>
      <c r="AS4" s="535"/>
      <c r="AT4" s="536"/>
    </row>
    <row r="5" spans="7:46" s="501" customFormat="1" ht="30" customHeight="1" x14ac:dyDescent="0.4">
      <c r="G5" s="834"/>
      <c r="H5" s="851" t="s">
        <v>150</v>
      </c>
      <c r="I5" s="780" t="s">
        <v>1044</v>
      </c>
      <c r="J5" s="789"/>
      <c r="L5" s="789"/>
      <c r="M5" s="789"/>
      <c r="N5" s="789"/>
      <c r="O5" s="789"/>
      <c r="P5" s="789"/>
      <c r="Q5" s="789"/>
      <c r="R5" s="789"/>
      <c r="S5" s="789"/>
      <c r="T5" s="789"/>
      <c r="U5" s="789"/>
      <c r="V5" s="789"/>
      <c r="W5" s="789"/>
      <c r="X5" s="789"/>
      <c r="Y5" s="789"/>
      <c r="Z5" s="789"/>
      <c r="AF5" s="680" t="b">
        <v>1</v>
      </c>
      <c r="AG5" s="403" t="s">
        <v>65</v>
      </c>
      <c r="AH5" s="403"/>
      <c r="AK5" s="680"/>
      <c r="AL5" s="403" t="s">
        <v>11</v>
      </c>
      <c r="AM5" s="668"/>
      <c r="AN5" s="403"/>
      <c r="AO5" s="403"/>
      <c r="AR5" s="668"/>
      <c r="AS5" s="403"/>
      <c r="AT5" s="850"/>
    </row>
    <row r="6" spans="7:46" s="509" customFormat="1" ht="30" customHeight="1" x14ac:dyDescent="0.3">
      <c r="G6" s="515"/>
      <c r="I6" s="511" t="s">
        <v>565</v>
      </c>
      <c r="J6" s="520" t="s">
        <v>1047</v>
      </c>
      <c r="L6" s="513"/>
      <c r="M6" s="513"/>
      <c r="N6" s="513"/>
      <c r="O6" s="513"/>
      <c r="P6" s="513"/>
      <c r="Q6" s="513"/>
      <c r="R6" s="513"/>
      <c r="T6" s="441" t="b">
        <v>0</v>
      </c>
      <c r="U6" s="402" t="s">
        <v>318</v>
      </c>
      <c r="X6" s="441" t="b">
        <v>0</v>
      </c>
      <c r="Y6" s="402" t="s">
        <v>317</v>
      </c>
      <c r="AB6" s="441" t="b">
        <v>1</v>
      </c>
      <c r="AC6" s="402" t="s">
        <v>522</v>
      </c>
      <c r="AF6" s="441" t="b">
        <v>1</v>
      </c>
      <c r="AG6" s="807" t="s">
        <v>1093</v>
      </c>
      <c r="AH6" s="399"/>
      <c r="AI6" s="399"/>
      <c r="AJ6" s="399"/>
      <c r="AK6" s="3318" t="s">
        <v>12825</v>
      </c>
      <c r="AL6" s="3318"/>
      <c r="AM6" s="3318"/>
      <c r="AN6" s="3318"/>
      <c r="AO6" s="3318"/>
      <c r="AP6" s="3318"/>
      <c r="AQ6" s="3318"/>
      <c r="AR6" s="230" t="str">
        <f>IF(AND(sch_childprotect_others=TRUE,ISBLANK(sch_childprotect_others_specify)),"Please specify.",IF(AND(sch_childprotect_others=FALSE,(sch_childprotect_others_specify&gt;0)),"Please check Others if you have entries.",""))</f>
        <v/>
      </c>
      <c r="AT6" s="519"/>
    </row>
    <row r="7" spans="7:46" s="509" customFormat="1" ht="30" customHeight="1" x14ac:dyDescent="0.3">
      <c r="G7" s="515"/>
      <c r="H7" s="511"/>
      <c r="I7" s="511" t="s">
        <v>566</v>
      </c>
      <c r="J7" s="520" t="s">
        <v>1045</v>
      </c>
      <c r="L7" s="513"/>
      <c r="M7" s="513"/>
      <c r="N7" s="513"/>
      <c r="O7" s="513"/>
      <c r="P7" s="513"/>
      <c r="Q7" s="513"/>
      <c r="R7" s="513"/>
      <c r="S7" s="513"/>
      <c r="T7" s="513"/>
      <c r="U7" s="513"/>
      <c r="V7" s="513"/>
      <c r="W7" s="513"/>
      <c r="X7" s="513"/>
      <c r="Y7" s="425"/>
      <c r="Z7" s="402"/>
      <c r="AA7" s="402"/>
      <c r="AD7" s="425"/>
      <c r="AE7" s="402"/>
      <c r="AF7" s="3330">
        <v>1</v>
      </c>
      <c r="AG7" s="3330"/>
      <c r="AH7" s="3330"/>
      <c r="AI7" s="3330"/>
      <c r="AJ7" s="3330"/>
      <c r="AK7" s="3330"/>
      <c r="AL7" s="3330"/>
      <c r="AM7" s="425"/>
      <c r="AN7" s="402"/>
      <c r="AO7" s="402"/>
      <c r="AR7" s="425"/>
      <c r="AS7" s="402"/>
      <c r="AT7" s="519"/>
    </row>
    <row r="8" spans="7:46" s="501" customFormat="1" ht="17.399999999999999" customHeight="1" x14ac:dyDescent="0.4">
      <c r="G8" s="834"/>
      <c r="J8" s="849"/>
      <c r="K8" s="503"/>
      <c r="L8" s="503"/>
      <c r="M8" s="503"/>
      <c r="N8" s="503"/>
      <c r="O8" s="503"/>
      <c r="P8" s="503"/>
      <c r="Q8" s="503"/>
      <c r="R8" s="503"/>
      <c r="S8" s="503"/>
      <c r="T8" s="668"/>
      <c r="V8" s="668"/>
      <c r="W8" s="761"/>
      <c r="X8" s="403"/>
      <c r="AA8" s="668"/>
      <c r="AB8" s="761"/>
      <c r="AC8" s="403"/>
      <c r="AD8" s="403"/>
      <c r="AE8" s="403"/>
      <c r="AF8" s="403"/>
      <c r="AG8" s="403"/>
      <c r="AI8" s="668"/>
      <c r="AJ8" s="668"/>
      <c r="AK8" s="668"/>
      <c r="AL8" s="668"/>
      <c r="AM8" s="668"/>
      <c r="AN8" s="668"/>
      <c r="AO8" s="668"/>
      <c r="AP8" s="668"/>
      <c r="AT8" s="850"/>
    </row>
    <row r="9" spans="7:46" s="501" customFormat="1" ht="24" customHeight="1" x14ac:dyDescent="0.4">
      <c r="G9" s="834"/>
      <c r="H9" s="851" t="s">
        <v>151</v>
      </c>
      <c r="I9" s="780" t="s">
        <v>1048</v>
      </c>
      <c r="J9" s="789"/>
      <c r="L9" s="789"/>
      <c r="M9" s="789"/>
      <c r="N9" s="789"/>
      <c r="O9" s="789"/>
      <c r="P9" s="789"/>
      <c r="Q9" s="789"/>
      <c r="R9" s="789"/>
      <c r="S9" s="789"/>
      <c r="T9" s="789"/>
      <c r="U9" s="789"/>
      <c r="V9" s="789"/>
      <c r="W9" s="789"/>
      <c r="X9" s="789"/>
      <c r="Y9" s="789"/>
      <c r="Z9" s="789"/>
      <c r="AF9" s="680" t="b">
        <v>1</v>
      </c>
      <c r="AG9" s="403" t="s">
        <v>65</v>
      </c>
      <c r="AH9" s="403"/>
      <c r="AK9" s="680"/>
      <c r="AL9" s="403" t="s">
        <v>11</v>
      </c>
      <c r="AM9" s="668"/>
      <c r="AN9" s="403"/>
      <c r="AO9" s="403"/>
      <c r="AR9" s="668"/>
      <c r="AS9" s="403"/>
      <c r="AT9" s="850"/>
    </row>
    <row r="10" spans="7:46" s="501" customFormat="1" ht="11.25" customHeight="1" thickBot="1" x14ac:dyDescent="0.4">
      <c r="G10" s="532"/>
      <c r="H10" s="543"/>
      <c r="I10" s="529"/>
      <c r="J10" s="529"/>
      <c r="K10" s="778"/>
      <c r="L10" s="408"/>
      <c r="M10" s="408"/>
      <c r="N10" s="408"/>
      <c r="O10" s="408"/>
      <c r="P10" s="408"/>
      <c r="Q10" s="408"/>
      <c r="R10" s="408"/>
      <c r="S10" s="408"/>
      <c r="T10" s="408"/>
      <c r="U10" s="672"/>
      <c r="V10" s="672"/>
      <c r="W10" s="672"/>
      <c r="X10" s="672"/>
      <c r="Y10" s="672"/>
      <c r="Z10" s="408"/>
      <c r="AA10" s="672"/>
      <c r="AB10" s="672"/>
      <c r="AC10" s="672"/>
      <c r="AD10" s="672"/>
      <c r="AE10" s="672"/>
      <c r="AF10" s="672"/>
      <c r="AG10" s="408"/>
      <c r="AH10" s="408"/>
      <c r="AI10" s="408"/>
      <c r="AJ10" s="408"/>
      <c r="AK10" s="408"/>
      <c r="AL10" s="408"/>
      <c r="AM10" s="408"/>
      <c r="AN10" s="408"/>
      <c r="AO10" s="408"/>
      <c r="AP10" s="408"/>
      <c r="AQ10" s="543"/>
      <c r="AR10" s="543"/>
      <c r="AS10" s="543"/>
      <c r="AT10" s="544"/>
    </row>
    <row r="11" spans="7:46" s="761" customFormat="1" ht="30.75" customHeight="1" thickTop="1" x14ac:dyDescent="0.3">
      <c r="G11" s="85"/>
      <c r="H11" s="762"/>
      <c r="I11" s="762"/>
      <c r="J11" s="762"/>
      <c r="K11" s="762"/>
      <c r="L11" s="762"/>
      <c r="M11" s="763"/>
      <c r="N11" s="763"/>
      <c r="O11" s="763"/>
      <c r="P11" s="763"/>
      <c r="Q11" s="763"/>
      <c r="R11" s="763"/>
      <c r="S11" s="763"/>
      <c r="T11" s="763"/>
      <c r="U11" s="763"/>
      <c r="V11" s="763"/>
      <c r="W11" s="763"/>
      <c r="X11" s="763"/>
      <c r="Y11" s="763"/>
      <c r="Z11" s="763"/>
      <c r="AA11" s="763"/>
      <c r="AB11" s="763"/>
      <c r="AC11" s="763"/>
      <c r="AD11" s="763"/>
      <c r="AE11" s="763"/>
      <c r="AF11" s="763"/>
      <c r="AG11" s="763"/>
      <c r="AH11" s="763"/>
      <c r="AI11" s="763"/>
      <c r="AJ11" s="763"/>
      <c r="AK11" s="763"/>
      <c r="AL11" s="763"/>
      <c r="AM11" s="763"/>
      <c r="AN11" s="763"/>
      <c r="AO11" s="763"/>
      <c r="AP11" s="763"/>
      <c r="AQ11" s="763"/>
      <c r="AR11" s="763"/>
      <c r="AS11" s="763"/>
      <c r="AT11" s="763"/>
    </row>
    <row r="12" spans="7:46" s="501" customFormat="1" x14ac:dyDescent="0.35">
      <c r="G12" s="502" t="s">
        <v>12740</v>
      </c>
      <c r="H12" s="502"/>
      <c r="I12" s="502"/>
      <c r="J12" s="502"/>
      <c r="K12" s="502"/>
      <c r="L12" s="502"/>
      <c r="M12" s="502"/>
      <c r="N12" s="502"/>
      <c r="O12" s="502"/>
      <c r="P12" s="502"/>
      <c r="Q12" s="503"/>
      <c r="R12" s="503"/>
      <c r="S12" s="503"/>
      <c r="T12" s="503"/>
      <c r="U12" s="503"/>
      <c r="V12" s="503"/>
      <c r="W12" s="503"/>
      <c r="X12" s="503"/>
      <c r="Y12" s="503"/>
      <c r="Z12" s="503"/>
      <c r="AA12" s="503"/>
      <c r="AB12" s="503"/>
      <c r="AC12" s="503"/>
      <c r="AD12" s="503"/>
      <c r="AE12" s="503"/>
      <c r="AF12" s="503"/>
      <c r="AG12" s="503"/>
      <c r="AH12" s="503"/>
      <c r="AI12" s="503"/>
      <c r="AJ12" s="503"/>
      <c r="AK12" s="503"/>
      <c r="AL12" s="503"/>
      <c r="AM12" s="503"/>
      <c r="AN12" s="503"/>
      <c r="AO12" s="503"/>
      <c r="AP12" s="503"/>
      <c r="AQ12" s="502"/>
    </row>
    <row r="13" spans="7:46" s="402" customFormat="1" ht="16" thickBot="1" x14ac:dyDescent="0.4">
      <c r="G13" s="419" t="s">
        <v>1098</v>
      </c>
    </row>
    <row r="14" spans="7:46" s="501" customFormat="1" ht="5.25" customHeight="1" thickTop="1" x14ac:dyDescent="0.35">
      <c r="G14" s="533"/>
      <c r="H14" s="535"/>
      <c r="I14" s="792"/>
      <c r="J14" s="506"/>
      <c r="K14" s="506"/>
      <c r="L14" s="506"/>
      <c r="M14" s="506"/>
      <c r="N14" s="506"/>
      <c r="O14" s="506"/>
      <c r="P14" s="506"/>
      <c r="Q14" s="506"/>
      <c r="R14" s="506"/>
      <c r="S14" s="506"/>
      <c r="T14" s="462"/>
      <c r="U14" s="462"/>
      <c r="V14" s="462"/>
      <c r="W14" s="462"/>
      <c r="X14" s="462"/>
      <c r="Y14" s="462"/>
      <c r="Z14" s="422"/>
      <c r="AA14" s="793"/>
      <c r="AB14" s="793"/>
      <c r="AC14" s="793"/>
      <c r="AD14" s="793"/>
      <c r="AE14" s="793"/>
      <c r="AF14" s="793"/>
      <c r="AG14" s="462"/>
      <c r="AH14" s="462"/>
      <c r="AI14" s="462"/>
      <c r="AJ14" s="462"/>
      <c r="AK14" s="462"/>
      <c r="AL14" s="462"/>
      <c r="AM14" s="462"/>
      <c r="AN14" s="462"/>
      <c r="AO14" s="462"/>
      <c r="AP14" s="462"/>
      <c r="AQ14" s="535"/>
      <c r="AR14" s="535"/>
      <c r="AS14" s="535"/>
      <c r="AT14" s="536"/>
    </row>
    <row r="15" spans="7:46" s="501" customFormat="1" ht="25" customHeight="1" x14ac:dyDescent="0.45">
      <c r="G15" s="834"/>
      <c r="H15" s="851" t="s">
        <v>150</v>
      </c>
      <c r="I15" s="780" t="s">
        <v>1266</v>
      </c>
      <c r="J15" s="780"/>
      <c r="K15" s="781"/>
      <c r="L15" s="781"/>
      <c r="M15" s="781"/>
      <c r="N15" s="781"/>
      <c r="O15" s="781"/>
      <c r="P15" s="781"/>
      <c r="Q15" s="781"/>
      <c r="R15" s="781"/>
      <c r="S15" s="781"/>
      <c r="T15" s="668"/>
      <c r="U15" s="403"/>
      <c r="V15" s="403"/>
      <c r="W15" s="403"/>
      <c r="X15" s="403"/>
      <c r="Y15" s="403"/>
      <c r="Z15" s="782"/>
      <c r="AA15" s="668"/>
      <c r="AB15" s="668"/>
      <c r="AC15" s="668"/>
      <c r="AD15" s="668"/>
      <c r="AE15" s="668"/>
      <c r="AF15" s="668"/>
      <c r="AG15" s="403"/>
      <c r="AH15" s="403"/>
      <c r="AI15" s="403"/>
      <c r="AJ15" s="403"/>
      <c r="AK15" s="403"/>
      <c r="AL15" s="403"/>
      <c r="AM15" s="403"/>
      <c r="AN15" s="403"/>
      <c r="AO15" s="403"/>
      <c r="AP15" s="403"/>
      <c r="AT15" s="850"/>
    </row>
    <row r="16" spans="7:46" s="501" customFormat="1" ht="6" customHeight="1" thickBot="1" x14ac:dyDescent="0.45">
      <c r="G16" s="834"/>
      <c r="J16" s="849"/>
      <c r="K16" s="503"/>
      <c r="L16" s="503"/>
      <c r="M16" s="503"/>
      <c r="N16" s="503"/>
      <c r="O16" s="503"/>
      <c r="P16" s="503"/>
      <c r="Q16" s="503"/>
      <c r="R16" s="503"/>
      <c r="S16" s="503"/>
      <c r="T16" s="668"/>
      <c r="V16" s="668"/>
      <c r="W16" s="761"/>
      <c r="X16" s="403"/>
      <c r="AA16" s="668"/>
      <c r="AB16" s="761"/>
      <c r="AC16" s="403"/>
      <c r="AD16" s="403"/>
      <c r="AE16" s="403"/>
      <c r="AF16" s="403"/>
      <c r="AG16" s="403"/>
      <c r="AH16" s="403"/>
      <c r="AJ16" s="668"/>
      <c r="AK16" s="668"/>
      <c r="AL16" s="668"/>
      <c r="AM16" s="668"/>
      <c r="AN16" s="668"/>
      <c r="AO16" s="668"/>
      <c r="AP16" s="668"/>
      <c r="AT16" s="850"/>
    </row>
    <row r="17" spans="7:46" s="501" customFormat="1" ht="20" customHeight="1" thickTop="1" thickBot="1" x14ac:dyDescent="0.4">
      <c r="G17" s="834"/>
      <c r="I17" s="3239" t="s">
        <v>1309</v>
      </c>
      <c r="J17" s="3240"/>
      <c r="K17" s="3240"/>
      <c r="L17" s="3240"/>
      <c r="M17" s="3240"/>
      <c r="N17" s="3241"/>
      <c r="O17" s="3245" t="s">
        <v>1039</v>
      </c>
      <c r="P17" s="3246"/>
      <c r="Q17" s="3246"/>
      <c r="R17" s="3246"/>
      <c r="S17" s="3246"/>
      <c r="T17" s="3246"/>
      <c r="U17" s="3246"/>
      <c r="V17" s="3246"/>
      <c r="W17" s="3246"/>
      <c r="X17" s="3246"/>
      <c r="Y17" s="3246"/>
      <c r="Z17" s="3246"/>
      <c r="AA17" s="3246"/>
      <c r="AB17" s="3246"/>
      <c r="AC17" s="3246"/>
      <c r="AD17" s="3246"/>
      <c r="AE17" s="3246"/>
      <c r="AF17" s="3315"/>
      <c r="AG17" s="3245" t="s">
        <v>1040</v>
      </c>
      <c r="AH17" s="3246"/>
      <c r="AI17" s="3246"/>
      <c r="AJ17" s="3246"/>
      <c r="AK17" s="3246"/>
      <c r="AL17" s="3246"/>
      <c r="AM17" s="3246"/>
      <c r="AN17" s="3246"/>
      <c r="AO17" s="3246"/>
      <c r="AP17" s="3246"/>
      <c r="AQ17" s="3246"/>
      <c r="AR17" s="3247"/>
      <c r="AS17" s="852"/>
      <c r="AT17" s="867"/>
    </row>
    <row r="18" spans="7:46" s="501" customFormat="1" ht="16" customHeight="1" thickBot="1" x14ac:dyDescent="0.4">
      <c r="G18" s="834"/>
      <c r="I18" s="3242"/>
      <c r="J18" s="3243"/>
      <c r="K18" s="3243"/>
      <c r="L18" s="3243"/>
      <c r="M18" s="3243"/>
      <c r="N18" s="3244"/>
      <c r="O18" s="3331" t="s">
        <v>637</v>
      </c>
      <c r="P18" s="3332"/>
      <c r="Q18" s="3332"/>
      <c r="R18" s="3332"/>
      <c r="S18" s="3332"/>
      <c r="T18" s="3333"/>
      <c r="U18" s="3331" t="s">
        <v>638</v>
      </c>
      <c r="V18" s="3332"/>
      <c r="W18" s="3332"/>
      <c r="X18" s="3332"/>
      <c r="Y18" s="3332"/>
      <c r="Z18" s="3334"/>
      <c r="AA18" s="3332" t="s">
        <v>16</v>
      </c>
      <c r="AB18" s="3332"/>
      <c r="AC18" s="3332"/>
      <c r="AD18" s="3332"/>
      <c r="AE18" s="3332"/>
      <c r="AF18" s="3333"/>
      <c r="AG18" s="3331" t="s">
        <v>1041</v>
      </c>
      <c r="AH18" s="3332"/>
      <c r="AI18" s="3332"/>
      <c r="AJ18" s="3332"/>
      <c r="AK18" s="3332"/>
      <c r="AL18" s="3333"/>
      <c r="AM18" s="3331" t="s">
        <v>1042</v>
      </c>
      <c r="AN18" s="3332"/>
      <c r="AO18" s="3332"/>
      <c r="AP18" s="3332"/>
      <c r="AQ18" s="3332"/>
      <c r="AR18" s="3335"/>
      <c r="AS18" s="852"/>
      <c r="AT18" s="867"/>
    </row>
    <row r="19" spans="7:46" s="501" customFormat="1" ht="30" customHeight="1" thickTop="1" x14ac:dyDescent="0.35">
      <c r="G19" s="834"/>
      <c r="I19" s="840" t="s">
        <v>1262</v>
      </c>
      <c r="J19" s="873"/>
      <c r="K19" s="873"/>
      <c r="L19" s="873"/>
      <c r="M19" s="873"/>
      <c r="N19" s="875"/>
      <c r="O19" s="3184">
        <v>0</v>
      </c>
      <c r="P19" s="3192"/>
      <c r="Q19" s="3192"/>
      <c r="R19" s="3192"/>
      <c r="S19" s="3192"/>
      <c r="T19" s="3254"/>
      <c r="U19" s="3184">
        <v>0</v>
      </c>
      <c r="V19" s="3192"/>
      <c r="W19" s="3192"/>
      <c r="X19" s="3192"/>
      <c r="Y19" s="3192"/>
      <c r="Z19" s="3339"/>
      <c r="AA19" s="3340">
        <f>SUM(O19:Z19)</f>
        <v>0</v>
      </c>
      <c r="AB19" s="3340"/>
      <c r="AC19" s="3340"/>
      <c r="AD19" s="3340"/>
      <c r="AE19" s="3340"/>
      <c r="AF19" s="3341"/>
      <c r="AG19" s="3184">
        <v>0</v>
      </c>
      <c r="AH19" s="3192"/>
      <c r="AI19" s="3192"/>
      <c r="AJ19" s="3192"/>
      <c r="AK19" s="3192"/>
      <c r="AL19" s="3254"/>
      <c r="AM19" s="3184">
        <v>0</v>
      </c>
      <c r="AN19" s="3192"/>
      <c r="AO19" s="3192"/>
      <c r="AP19" s="3192"/>
      <c r="AQ19" s="3192"/>
      <c r="AR19" s="3271"/>
      <c r="AS19" s="512"/>
      <c r="AT19" s="861"/>
    </row>
    <row r="20" spans="7:46" s="501" customFormat="1" ht="30" customHeight="1" x14ac:dyDescent="0.35">
      <c r="G20" s="834"/>
      <c r="I20" s="843" t="s">
        <v>1263</v>
      </c>
      <c r="J20" s="844"/>
      <c r="K20" s="844"/>
      <c r="L20" s="844"/>
      <c r="M20" s="844"/>
      <c r="N20" s="845"/>
      <c r="O20" s="3272">
        <v>0</v>
      </c>
      <c r="P20" s="3273"/>
      <c r="Q20" s="3273"/>
      <c r="R20" s="3273"/>
      <c r="S20" s="3273"/>
      <c r="T20" s="3291"/>
      <c r="U20" s="3272">
        <v>0</v>
      </c>
      <c r="V20" s="3273"/>
      <c r="W20" s="3273"/>
      <c r="X20" s="3273"/>
      <c r="Y20" s="3273"/>
      <c r="Z20" s="3336"/>
      <c r="AA20" s="3337">
        <f t="shared" ref="AA20:AA22" si="0">SUM(O20:Z20)</f>
        <v>0</v>
      </c>
      <c r="AB20" s="3337"/>
      <c r="AC20" s="3337"/>
      <c r="AD20" s="3337"/>
      <c r="AE20" s="3337"/>
      <c r="AF20" s="3338"/>
      <c r="AG20" s="3272">
        <v>0</v>
      </c>
      <c r="AH20" s="3273"/>
      <c r="AI20" s="3273"/>
      <c r="AJ20" s="3273"/>
      <c r="AK20" s="3273"/>
      <c r="AL20" s="3291"/>
      <c r="AM20" s="3272">
        <v>0</v>
      </c>
      <c r="AN20" s="3273"/>
      <c r="AO20" s="3273"/>
      <c r="AP20" s="3273"/>
      <c r="AQ20" s="3273"/>
      <c r="AR20" s="3274"/>
      <c r="AS20" s="512"/>
      <c r="AT20" s="861"/>
    </row>
    <row r="21" spans="7:46" s="501" customFormat="1" ht="30" customHeight="1" x14ac:dyDescent="0.35">
      <c r="G21" s="834"/>
      <c r="I21" s="843" t="s">
        <v>1264</v>
      </c>
      <c r="J21" s="844"/>
      <c r="K21" s="844"/>
      <c r="L21" s="844"/>
      <c r="M21" s="844"/>
      <c r="N21" s="845"/>
      <c r="O21" s="3272">
        <v>0</v>
      </c>
      <c r="P21" s="3273"/>
      <c r="Q21" s="3273"/>
      <c r="R21" s="3273"/>
      <c r="S21" s="3273"/>
      <c r="T21" s="3291"/>
      <c r="U21" s="3272">
        <v>0</v>
      </c>
      <c r="V21" s="3273"/>
      <c r="W21" s="3273"/>
      <c r="X21" s="3273"/>
      <c r="Y21" s="3273"/>
      <c r="Z21" s="3336"/>
      <c r="AA21" s="3337">
        <f t="shared" si="0"/>
        <v>0</v>
      </c>
      <c r="AB21" s="3337"/>
      <c r="AC21" s="3337"/>
      <c r="AD21" s="3337"/>
      <c r="AE21" s="3337"/>
      <c r="AF21" s="3338"/>
      <c r="AG21" s="3272">
        <v>0</v>
      </c>
      <c r="AH21" s="3273"/>
      <c r="AI21" s="3273"/>
      <c r="AJ21" s="3273"/>
      <c r="AK21" s="3273"/>
      <c r="AL21" s="3291"/>
      <c r="AM21" s="3272">
        <v>0</v>
      </c>
      <c r="AN21" s="3273"/>
      <c r="AO21" s="3273"/>
      <c r="AP21" s="3273"/>
      <c r="AQ21" s="3273"/>
      <c r="AR21" s="3274"/>
      <c r="AS21" s="512"/>
      <c r="AT21" s="861"/>
    </row>
    <row r="22" spans="7:46" s="501" customFormat="1" ht="30" customHeight="1" thickBot="1" x14ac:dyDescent="0.4">
      <c r="G22" s="834"/>
      <c r="I22" s="846" t="s">
        <v>1265</v>
      </c>
      <c r="J22" s="847"/>
      <c r="K22" s="847"/>
      <c r="L22" s="847"/>
      <c r="M22" s="847"/>
      <c r="N22" s="848"/>
      <c r="O22" s="3215">
        <v>0</v>
      </c>
      <c r="P22" s="3187"/>
      <c r="Q22" s="3187"/>
      <c r="R22" s="3187"/>
      <c r="S22" s="3187"/>
      <c r="T22" s="3260"/>
      <c r="U22" s="3215">
        <v>0</v>
      </c>
      <c r="V22" s="3187"/>
      <c r="W22" s="3187"/>
      <c r="X22" s="3187"/>
      <c r="Y22" s="3187"/>
      <c r="Z22" s="3342"/>
      <c r="AA22" s="3343">
        <f t="shared" si="0"/>
        <v>0</v>
      </c>
      <c r="AB22" s="3343"/>
      <c r="AC22" s="3343"/>
      <c r="AD22" s="3343"/>
      <c r="AE22" s="3343"/>
      <c r="AF22" s="3344"/>
      <c r="AG22" s="3215">
        <v>0</v>
      </c>
      <c r="AH22" s="3187"/>
      <c r="AI22" s="3187"/>
      <c r="AJ22" s="3187"/>
      <c r="AK22" s="3187"/>
      <c r="AL22" s="3260"/>
      <c r="AM22" s="3215">
        <v>0</v>
      </c>
      <c r="AN22" s="3187"/>
      <c r="AO22" s="3187"/>
      <c r="AP22" s="3187"/>
      <c r="AQ22" s="3187"/>
      <c r="AR22" s="3275"/>
      <c r="AS22" s="512"/>
      <c r="AT22" s="861"/>
    </row>
    <row r="23" spans="7:46" s="501" customFormat="1" ht="30" customHeight="1" thickTop="1" thickBot="1" x14ac:dyDescent="0.4">
      <c r="G23" s="834"/>
      <c r="I23" s="3276" t="s">
        <v>16</v>
      </c>
      <c r="J23" s="3277"/>
      <c r="K23" s="3277"/>
      <c r="L23" s="3277"/>
      <c r="M23" s="3277"/>
      <c r="N23" s="3278"/>
      <c r="O23" s="3214">
        <f>SUM(O19:T22)</f>
        <v>0</v>
      </c>
      <c r="P23" s="3212"/>
      <c r="Q23" s="3212"/>
      <c r="R23" s="3212"/>
      <c r="S23" s="3212"/>
      <c r="T23" s="3285"/>
      <c r="U23" s="3214">
        <f t="shared" ref="U23" si="1">SUM(U19:Z22)</f>
        <v>0</v>
      </c>
      <c r="V23" s="3212"/>
      <c r="W23" s="3212"/>
      <c r="X23" s="3212"/>
      <c r="Y23" s="3212"/>
      <c r="Z23" s="3285"/>
      <c r="AA23" s="3214">
        <f t="shared" ref="AA23" si="2">SUM(AA19:AF22)</f>
        <v>0</v>
      </c>
      <c r="AB23" s="3212"/>
      <c r="AC23" s="3212"/>
      <c r="AD23" s="3212"/>
      <c r="AE23" s="3212"/>
      <c r="AF23" s="3285"/>
      <c r="AG23" s="3214">
        <f t="shared" ref="AG23" si="3">SUM(AG19:AL22)</f>
        <v>0</v>
      </c>
      <c r="AH23" s="3212"/>
      <c r="AI23" s="3212"/>
      <c r="AJ23" s="3212"/>
      <c r="AK23" s="3212"/>
      <c r="AL23" s="3285"/>
      <c r="AM23" s="3214">
        <f t="shared" ref="AM23" si="4">SUM(AM19:AR22)</f>
        <v>0</v>
      </c>
      <c r="AN23" s="3212"/>
      <c r="AO23" s="3212"/>
      <c r="AP23" s="3212"/>
      <c r="AQ23" s="3212"/>
      <c r="AR23" s="3285"/>
      <c r="AS23" s="512"/>
      <c r="AT23" s="861"/>
    </row>
    <row r="24" spans="7:46" s="501" customFormat="1" ht="6" customHeight="1" thickTop="1" x14ac:dyDescent="0.4">
      <c r="G24" s="834"/>
      <c r="J24" s="849"/>
      <c r="K24" s="503"/>
      <c r="L24" s="503"/>
      <c r="M24" s="503"/>
      <c r="N24" s="503"/>
      <c r="O24" s="503"/>
      <c r="P24" s="503"/>
      <c r="Q24" s="503"/>
      <c r="R24" s="503"/>
      <c r="S24" s="503"/>
      <c r="T24" s="668"/>
      <c r="V24" s="668"/>
      <c r="W24" s="761"/>
      <c r="X24" s="403"/>
      <c r="AA24" s="668"/>
      <c r="AB24" s="761"/>
      <c r="AC24" s="403"/>
      <c r="AD24" s="403"/>
      <c r="AE24" s="403"/>
      <c r="AF24" s="403"/>
      <c r="AG24" s="403"/>
      <c r="AI24" s="668"/>
      <c r="AJ24" s="668"/>
      <c r="AK24" s="668"/>
      <c r="AL24" s="668"/>
      <c r="AM24" s="668"/>
      <c r="AN24" s="668"/>
      <c r="AO24" s="668"/>
      <c r="AP24" s="668"/>
      <c r="AT24" s="850"/>
    </row>
    <row r="25" spans="7:46" s="501" customFormat="1" ht="25" customHeight="1" x14ac:dyDescent="0.45">
      <c r="G25" s="834"/>
      <c r="H25" s="851" t="s">
        <v>151</v>
      </c>
      <c r="I25" s="780" t="s">
        <v>1043</v>
      </c>
      <c r="J25" s="780"/>
      <c r="K25" s="781"/>
      <c r="L25" s="781"/>
      <c r="M25" s="781"/>
      <c r="N25" s="781"/>
      <c r="O25" s="781"/>
      <c r="P25" s="781"/>
      <c r="Q25" s="781"/>
      <c r="R25" s="781"/>
      <c r="S25" s="781"/>
      <c r="T25" s="668"/>
      <c r="U25" s="403"/>
      <c r="V25" s="403"/>
      <c r="W25" s="403"/>
      <c r="X25" s="403"/>
      <c r="Y25" s="403"/>
      <c r="Z25" s="782"/>
      <c r="AA25" s="668"/>
      <c r="AB25" s="668"/>
      <c r="AC25" s="668"/>
      <c r="AD25" s="668"/>
      <c r="AE25" s="668"/>
      <c r="AF25" s="668"/>
      <c r="AG25" s="403"/>
      <c r="AH25" s="403"/>
      <c r="AI25" s="403"/>
      <c r="AJ25" s="403"/>
      <c r="AK25" s="403"/>
      <c r="AL25" s="403"/>
      <c r="AM25" s="403"/>
      <c r="AN25" s="403"/>
      <c r="AO25" s="403"/>
      <c r="AP25" s="403"/>
      <c r="AT25" s="850"/>
    </row>
    <row r="26" spans="7:46" s="501" customFormat="1" ht="6" customHeight="1" thickBot="1" x14ac:dyDescent="0.45">
      <c r="G26" s="834"/>
      <c r="I26" s="503"/>
      <c r="J26" s="503"/>
      <c r="K26" s="503"/>
      <c r="L26" s="503"/>
      <c r="M26" s="503"/>
      <c r="N26" s="503"/>
      <c r="O26" s="503"/>
      <c r="P26" s="503"/>
      <c r="Q26" s="503"/>
      <c r="R26" s="668"/>
      <c r="T26" s="668"/>
      <c r="U26" s="761"/>
      <c r="V26" s="403"/>
      <c r="Y26" s="668"/>
      <c r="Z26" s="761"/>
      <c r="AA26" s="403"/>
      <c r="AB26" s="403"/>
      <c r="AC26" s="403"/>
      <c r="AD26" s="403"/>
      <c r="AE26" s="403"/>
      <c r="AF26" s="403"/>
      <c r="AH26" s="668"/>
      <c r="AI26" s="668"/>
      <c r="AJ26" s="668"/>
      <c r="AK26" s="668"/>
      <c r="AL26" s="668"/>
      <c r="AM26" s="668"/>
      <c r="AN26" s="668"/>
      <c r="AT26" s="850"/>
    </row>
    <row r="27" spans="7:46" s="501" customFormat="1" ht="34.5" customHeight="1" thickTop="1" thickBot="1" x14ac:dyDescent="0.45">
      <c r="G27" s="834"/>
      <c r="I27" s="3239" t="s">
        <v>564</v>
      </c>
      <c r="J27" s="3240"/>
      <c r="K27" s="3240"/>
      <c r="L27" s="3240"/>
      <c r="M27" s="3240"/>
      <c r="N27" s="3241"/>
      <c r="O27" s="3269" t="s">
        <v>14</v>
      </c>
      <c r="P27" s="3240"/>
      <c r="Q27" s="3240"/>
      <c r="R27" s="3240"/>
      <c r="S27" s="3240"/>
      <c r="T27" s="3241"/>
      <c r="U27" s="3269" t="s">
        <v>15</v>
      </c>
      <c r="V27" s="3240"/>
      <c r="W27" s="3240"/>
      <c r="X27" s="3240"/>
      <c r="Y27" s="3240"/>
      <c r="Z27" s="3345"/>
      <c r="AA27" s="3346" t="s">
        <v>16</v>
      </c>
      <c r="AB27" s="3240"/>
      <c r="AC27" s="3240"/>
      <c r="AD27" s="3240"/>
      <c r="AE27" s="3240"/>
      <c r="AF27" s="3270"/>
      <c r="AG27" s="668"/>
      <c r="AH27" s="668"/>
      <c r="AI27" s="668"/>
      <c r="AS27" s="403"/>
      <c r="AT27" s="469"/>
    </row>
    <row r="28" spans="7:46" s="501" customFormat="1" ht="30" customHeight="1" thickTop="1" x14ac:dyDescent="0.4">
      <c r="G28" s="834"/>
      <c r="I28" s="840"/>
      <c r="J28" s="951" t="s">
        <v>1255</v>
      </c>
      <c r="K28" s="841"/>
      <c r="L28" s="841"/>
      <c r="M28" s="841"/>
      <c r="N28" s="842"/>
      <c r="O28" s="3184">
        <v>0</v>
      </c>
      <c r="P28" s="3192"/>
      <c r="Q28" s="3192"/>
      <c r="R28" s="3192"/>
      <c r="S28" s="3192"/>
      <c r="T28" s="3254"/>
      <c r="U28" s="3184">
        <v>0</v>
      </c>
      <c r="V28" s="3192"/>
      <c r="W28" s="3192"/>
      <c r="X28" s="3192"/>
      <c r="Y28" s="3192"/>
      <c r="Z28" s="3339"/>
      <c r="AA28" s="3340">
        <f>SUM(O28:Z28)</f>
        <v>0</v>
      </c>
      <c r="AB28" s="3340"/>
      <c r="AC28" s="3340"/>
      <c r="AD28" s="3340"/>
      <c r="AE28" s="3340"/>
      <c r="AF28" s="3347"/>
      <c r="AG28" s="668"/>
      <c r="AH28" s="668"/>
      <c r="AI28" s="668"/>
      <c r="AS28" s="403"/>
      <c r="AT28" s="469"/>
    </row>
    <row r="29" spans="7:46" s="501" customFormat="1" ht="30" customHeight="1" x14ac:dyDescent="0.4">
      <c r="G29" s="834"/>
      <c r="I29" s="843"/>
      <c r="J29" s="952" t="s">
        <v>1256</v>
      </c>
      <c r="K29" s="844"/>
      <c r="L29" s="844"/>
      <c r="M29" s="844"/>
      <c r="N29" s="845"/>
      <c r="O29" s="3272">
        <v>0</v>
      </c>
      <c r="P29" s="3273"/>
      <c r="Q29" s="3273"/>
      <c r="R29" s="3273"/>
      <c r="S29" s="3273"/>
      <c r="T29" s="3291"/>
      <c r="U29" s="3272">
        <v>0</v>
      </c>
      <c r="V29" s="3273"/>
      <c r="W29" s="3273"/>
      <c r="X29" s="3273"/>
      <c r="Y29" s="3273"/>
      <c r="Z29" s="3336"/>
      <c r="AA29" s="3337">
        <f t="shared" ref="AA29:AA31" si="5">SUM(O29:Z29)</f>
        <v>0</v>
      </c>
      <c r="AB29" s="3337"/>
      <c r="AC29" s="3337"/>
      <c r="AD29" s="3337"/>
      <c r="AE29" s="3337"/>
      <c r="AF29" s="3348"/>
      <c r="AG29" s="668"/>
      <c r="AH29" s="668"/>
      <c r="AI29" s="668"/>
      <c r="AS29" s="403"/>
      <c r="AT29" s="469"/>
    </row>
    <row r="30" spans="7:46" s="501" customFormat="1" ht="30" customHeight="1" x14ac:dyDescent="0.4">
      <c r="G30" s="834"/>
      <c r="I30" s="843"/>
      <c r="J30" s="952" t="s">
        <v>1257</v>
      </c>
      <c r="K30" s="844"/>
      <c r="L30" s="844"/>
      <c r="M30" s="844"/>
      <c r="N30" s="845"/>
      <c r="O30" s="3272">
        <v>0</v>
      </c>
      <c r="P30" s="3273"/>
      <c r="Q30" s="3273"/>
      <c r="R30" s="3273"/>
      <c r="S30" s="3273"/>
      <c r="T30" s="3291"/>
      <c r="U30" s="3272">
        <v>0</v>
      </c>
      <c r="V30" s="3273"/>
      <c r="W30" s="3273"/>
      <c r="X30" s="3273"/>
      <c r="Y30" s="3273"/>
      <c r="Z30" s="3336"/>
      <c r="AA30" s="3337">
        <f t="shared" si="5"/>
        <v>0</v>
      </c>
      <c r="AB30" s="3337"/>
      <c r="AC30" s="3337"/>
      <c r="AD30" s="3337"/>
      <c r="AE30" s="3337"/>
      <c r="AF30" s="3348"/>
      <c r="AG30" s="668"/>
      <c r="AH30" s="668"/>
      <c r="AI30" s="668"/>
      <c r="AS30" s="403"/>
      <c r="AT30" s="469"/>
    </row>
    <row r="31" spans="7:46" s="501" customFormat="1" ht="30" customHeight="1" thickBot="1" x14ac:dyDescent="0.45">
      <c r="G31" s="834"/>
      <c r="I31" s="846"/>
      <c r="J31" s="953" t="s">
        <v>1258</v>
      </c>
      <c r="K31" s="847"/>
      <c r="L31" s="847"/>
      <c r="M31" s="847"/>
      <c r="N31" s="848"/>
      <c r="O31" s="3215">
        <v>0</v>
      </c>
      <c r="P31" s="3187"/>
      <c r="Q31" s="3187"/>
      <c r="R31" s="3187"/>
      <c r="S31" s="3187"/>
      <c r="T31" s="3260"/>
      <c r="U31" s="3215">
        <v>0</v>
      </c>
      <c r="V31" s="3187"/>
      <c r="W31" s="3187"/>
      <c r="X31" s="3187"/>
      <c r="Y31" s="3187"/>
      <c r="Z31" s="3342"/>
      <c r="AA31" s="3343">
        <f t="shared" si="5"/>
        <v>0</v>
      </c>
      <c r="AB31" s="3343"/>
      <c r="AC31" s="3343"/>
      <c r="AD31" s="3343"/>
      <c r="AE31" s="3343"/>
      <c r="AF31" s="3349"/>
      <c r="AG31" s="668"/>
      <c r="AH31" s="668"/>
      <c r="AI31" s="668"/>
      <c r="AS31" s="403"/>
      <c r="AT31" s="469"/>
    </row>
    <row r="32" spans="7:46" s="501" customFormat="1" ht="30" customHeight="1" thickTop="1" thickBot="1" x14ac:dyDescent="0.45">
      <c r="G32" s="834"/>
      <c r="I32" s="3276" t="s">
        <v>16</v>
      </c>
      <c r="J32" s="3277"/>
      <c r="K32" s="3277"/>
      <c r="L32" s="3277"/>
      <c r="M32" s="3277"/>
      <c r="N32" s="3278"/>
      <c r="O32" s="3214">
        <f>SUM(O28:T31)</f>
        <v>0</v>
      </c>
      <c r="P32" s="3212"/>
      <c r="Q32" s="3212"/>
      <c r="R32" s="3212"/>
      <c r="S32" s="3212"/>
      <c r="T32" s="3285"/>
      <c r="U32" s="3214">
        <f t="shared" ref="U32" si="6">SUM(U28:Z31)</f>
        <v>0</v>
      </c>
      <c r="V32" s="3212"/>
      <c r="W32" s="3212"/>
      <c r="X32" s="3212"/>
      <c r="Y32" s="3212"/>
      <c r="Z32" s="3285"/>
      <c r="AA32" s="3214">
        <f t="shared" ref="AA32" si="7">SUM(AA28:AF31)</f>
        <v>0</v>
      </c>
      <c r="AB32" s="3212"/>
      <c r="AC32" s="3212"/>
      <c r="AD32" s="3212"/>
      <c r="AE32" s="3212"/>
      <c r="AF32" s="3285"/>
      <c r="AG32" s="668"/>
      <c r="AH32" s="668"/>
      <c r="AI32" s="668"/>
      <c r="AS32" s="403"/>
      <c r="AT32" s="469"/>
    </row>
    <row r="33" spans="2:66" s="501" customFormat="1" ht="11.25" customHeight="1" thickTop="1" thickBot="1" x14ac:dyDescent="0.4">
      <c r="G33" s="532"/>
      <c r="H33" s="543"/>
      <c r="I33" s="529"/>
      <c r="J33" s="529"/>
      <c r="K33" s="778"/>
      <c r="L33" s="408"/>
      <c r="M33" s="408"/>
      <c r="N33" s="408"/>
      <c r="O33" s="408"/>
      <c r="P33" s="408"/>
      <c r="Q33" s="408"/>
      <c r="R33" s="408"/>
      <c r="S33" s="408"/>
      <c r="T33" s="408"/>
      <c r="U33" s="672"/>
      <c r="V33" s="672"/>
      <c r="W33" s="672"/>
      <c r="X33" s="672"/>
      <c r="Y33" s="672"/>
      <c r="Z33" s="408"/>
      <c r="AA33" s="672"/>
      <c r="AB33" s="672"/>
      <c r="AC33" s="672"/>
      <c r="AD33" s="672"/>
      <c r="AE33" s="672"/>
      <c r="AF33" s="672"/>
      <c r="AG33" s="408"/>
      <c r="AH33" s="408"/>
      <c r="AI33" s="408"/>
      <c r="AJ33" s="408"/>
      <c r="AK33" s="408"/>
      <c r="AL33" s="408"/>
      <c r="AM33" s="408"/>
      <c r="AN33" s="408"/>
      <c r="AO33" s="408"/>
      <c r="AP33" s="408"/>
      <c r="AQ33" s="543"/>
      <c r="AR33" s="543"/>
      <c r="AS33" s="543"/>
      <c r="AT33" s="544"/>
    </row>
    <row r="34" spans="2:66" ht="6" customHeight="1" thickTop="1" x14ac:dyDescent="0.4">
      <c r="J34" s="849"/>
      <c r="K34" s="503"/>
      <c r="L34" s="503"/>
      <c r="M34" s="503"/>
      <c r="N34" s="503"/>
      <c r="O34" s="503"/>
      <c r="P34" s="503"/>
      <c r="Q34" s="503"/>
      <c r="R34" s="503"/>
      <c r="S34" s="503"/>
      <c r="T34" s="668"/>
      <c r="V34" s="668"/>
      <c r="W34" s="761"/>
      <c r="X34" s="403"/>
      <c r="AA34" s="668"/>
      <c r="AB34" s="761"/>
      <c r="AC34" s="403"/>
      <c r="AD34" s="403"/>
      <c r="AE34" s="403"/>
      <c r="AF34" s="403"/>
      <c r="AG34" s="403"/>
      <c r="AI34" s="668"/>
      <c r="AJ34" s="668"/>
      <c r="AK34" s="668"/>
      <c r="AL34" s="668"/>
      <c r="AM34" s="668"/>
      <c r="AN34" s="668"/>
      <c r="AO34" s="668"/>
      <c r="AP34" s="668"/>
      <c r="AQ34" s="668"/>
      <c r="AR34" s="668"/>
      <c r="AS34" s="668"/>
      <c r="AT34" s="668"/>
      <c r="AU34" s="668"/>
      <c r="AV34" s="668"/>
      <c r="AW34" s="668"/>
      <c r="AX34" s="668"/>
      <c r="AY34" s="668"/>
      <c r="AZ34" s="668"/>
      <c r="BA34" s="668"/>
      <c r="BK34" s="403"/>
      <c r="BL34" s="403"/>
      <c r="BM34" s="403"/>
      <c r="BN34" s="403"/>
    </row>
    <row r="35" spans="2:66" ht="16" customHeight="1" x14ac:dyDescent="0.35">
      <c r="G35" s="948" t="s">
        <v>150</v>
      </c>
      <c r="H35" s="3350" t="s">
        <v>1137</v>
      </c>
      <c r="I35" s="3350"/>
      <c r="J35" s="3350"/>
      <c r="K35" s="3350"/>
      <c r="L35" s="3350"/>
      <c r="M35" s="3350"/>
      <c r="N35" s="3350"/>
      <c r="O35" s="3350"/>
      <c r="P35" s="3350"/>
      <c r="Q35" s="3350"/>
      <c r="R35" s="3350"/>
      <c r="S35" s="3350"/>
      <c r="T35" s="3350"/>
      <c r="U35" s="3350"/>
      <c r="V35" s="3350"/>
      <c r="W35" s="3350"/>
      <c r="X35" s="3350"/>
      <c r="Y35" s="3350"/>
      <c r="Z35" s="3350"/>
      <c r="AA35" s="3350"/>
      <c r="AB35" s="3350"/>
      <c r="AC35" s="3350"/>
      <c r="AD35" s="3350"/>
      <c r="AE35" s="3350"/>
      <c r="AF35" s="3350"/>
      <c r="AG35" s="3350"/>
      <c r="AH35" s="3350"/>
      <c r="AI35" s="3350"/>
      <c r="AJ35" s="3350"/>
      <c r="AK35" s="3350"/>
      <c r="AL35" s="3350"/>
      <c r="AM35" s="3350"/>
      <c r="AN35" s="3350"/>
      <c r="AO35" s="3350"/>
      <c r="AP35" s="3350"/>
      <c r="AQ35" s="3350"/>
      <c r="AR35" s="3350"/>
      <c r="AS35" s="3350"/>
      <c r="AT35" s="3350"/>
      <c r="AU35" s="949"/>
      <c r="AV35" s="949"/>
      <c r="AW35" s="949"/>
      <c r="AX35" s="949"/>
    </row>
    <row r="36" spans="2:66" ht="15.75" customHeight="1" x14ac:dyDescent="0.35">
      <c r="G36" s="948" t="s">
        <v>151</v>
      </c>
      <c r="H36" s="950" t="s">
        <v>1138</v>
      </c>
      <c r="K36" s="949"/>
      <c r="L36" s="949"/>
      <c r="M36" s="949"/>
      <c r="N36" s="949"/>
      <c r="O36" s="949"/>
      <c r="P36" s="949"/>
      <c r="Q36" s="949"/>
      <c r="R36" s="949"/>
      <c r="S36" s="949"/>
      <c r="T36" s="949"/>
      <c r="U36" s="949"/>
      <c r="V36" s="949"/>
      <c r="W36" s="949"/>
      <c r="X36" s="949"/>
      <c r="Y36" s="949"/>
      <c r="Z36" s="949"/>
      <c r="AA36" s="949"/>
      <c r="AB36" s="949"/>
      <c r="AC36" s="949"/>
      <c r="AD36" s="949"/>
      <c r="AE36" s="949"/>
      <c r="AF36" s="949"/>
      <c r="AG36" s="949"/>
      <c r="AH36" s="949"/>
      <c r="AI36" s="949"/>
      <c r="AJ36" s="949"/>
      <c r="AK36" s="949"/>
      <c r="AL36" s="949"/>
      <c r="AM36" s="949"/>
      <c r="AN36" s="949"/>
      <c r="AO36" s="949"/>
      <c r="AP36" s="949"/>
      <c r="AQ36" s="949"/>
      <c r="AR36" s="949"/>
      <c r="AS36" s="949"/>
      <c r="AT36" s="949"/>
      <c r="AU36" s="949"/>
      <c r="AV36" s="949"/>
      <c r="AW36" s="949"/>
      <c r="AX36" s="949"/>
    </row>
    <row r="37" spans="2:66" ht="15.75" customHeight="1" x14ac:dyDescent="0.35">
      <c r="G37" s="948" t="s">
        <v>152</v>
      </c>
      <c r="H37" s="950" t="s">
        <v>1139</v>
      </c>
      <c r="K37" s="949"/>
      <c r="L37" s="949"/>
      <c r="M37" s="949"/>
      <c r="N37" s="949"/>
      <c r="O37" s="949"/>
      <c r="P37" s="949"/>
      <c r="Q37" s="949"/>
      <c r="R37" s="949"/>
      <c r="S37" s="949"/>
      <c r="T37" s="949"/>
      <c r="U37" s="949"/>
      <c r="V37" s="949"/>
      <c r="W37" s="949"/>
      <c r="X37" s="949"/>
      <c r="Y37" s="949"/>
      <c r="Z37" s="949"/>
      <c r="AA37" s="949"/>
      <c r="AB37" s="949"/>
      <c r="AC37" s="949"/>
      <c r="AD37" s="949"/>
      <c r="AE37" s="949"/>
      <c r="AF37" s="949"/>
      <c r="AG37" s="949"/>
      <c r="AH37" s="949"/>
      <c r="AI37" s="949"/>
      <c r="AJ37" s="949"/>
      <c r="AK37" s="949"/>
      <c r="AL37" s="949"/>
      <c r="AM37" s="949"/>
      <c r="AN37" s="949"/>
      <c r="AO37" s="949"/>
      <c r="AP37" s="949"/>
      <c r="AQ37" s="949"/>
      <c r="AR37" s="949"/>
      <c r="AS37" s="949"/>
      <c r="AT37" s="949"/>
      <c r="AU37" s="949"/>
      <c r="AV37" s="949"/>
      <c r="AW37" s="949"/>
      <c r="AX37" s="949"/>
    </row>
    <row r="38" spans="2:66" ht="15.75" customHeight="1" x14ac:dyDescent="0.35">
      <c r="G38" s="948" t="s">
        <v>155</v>
      </c>
      <c r="H38" s="950" t="s">
        <v>1140</v>
      </c>
      <c r="K38" s="949"/>
      <c r="L38" s="949"/>
      <c r="M38" s="949"/>
      <c r="N38" s="949"/>
      <c r="O38" s="949"/>
      <c r="P38" s="949"/>
      <c r="Q38" s="949"/>
      <c r="R38" s="949"/>
      <c r="S38" s="949"/>
      <c r="T38" s="949"/>
      <c r="U38" s="949"/>
      <c r="V38" s="949"/>
      <c r="W38" s="949"/>
      <c r="X38" s="949"/>
      <c r="Y38" s="949"/>
      <c r="Z38" s="949"/>
      <c r="AA38" s="949"/>
      <c r="AB38" s="949"/>
      <c r="AC38" s="949"/>
      <c r="AD38" s="949"/>
      <c r="AE38" s="949"/>
      <c r="AF38" s="949"/>
      <c r="AG38" s="949"/>
      <c r="AH38" s="949"/>
      <c r="AI38" s="949"/>
      <c r="AJ38" s="949"/>
      <c r="AK38" s="949"/>
      <c r="AL38" s="949"/>
      <c r="AM38" s="949"/>
      <c r="AN38" s="949"/>
      <c r="AO38" s="949"/>
      <c r="AP38" s="949"/>
      <c r="AQ38" s="949"/>
      <c r="AR38" s="949"/>
      <c r="AS38" s="949"/>
      <c r="AT38" s="949"/>
      <c r="AU38" s="949"/>
      <c r="AV38" s="949"/>
      <c r="AW38" s="949"/>
      <c r="AX38" s="949"/>
    </row>
    <row r="39" spans="2:66" s="761" customFormat="1" ht="30.75" customHeight="1" x14ac:dyDescent="0.3">
      <c r="B39" s="85"/>
      <c r="C39" s="762"/>
      <c r="D39" s="762"/>
      <c r="E39" s="762"/>
      <c r="F39" s="762"/>
      <c r="G39" s="762"/>
      <c r="H39" s="763"/>
      <c r="I39" s="763"/>
      <c r="J39" s="763"/>
      <c r="K39" s="763"/>
      <c r="L39" s="763"/>
      <c r="M39" s="763"/>
      <c r="N39" s="763"/>
      <c r="O39" s="763"/>
      <c r="P39" s="763"/>
      <c r="Q39" s="763"/>
      <c r="R39" s="763"/>
      <c r="S39" s="763"/>
      <c r="T39" s="763"/>
      <c r="U39" s="763"/>
      <c r="V39" s="763"/>
      <c r="W39" s="763"/>
      <c r="X39" s="763"/>
      <c r="Y39" s="763"/>
      <c r="Z39" s="763"/>
      <c r="AA39" s="763"/>
      <c r="AB39" s="763"/>
      <c r="AC39" s="763"/>
      <c r="AD39" s="763"/>
      <c r="AE39" s="763"/>
      <c r="AF39" s="763"/>
      <c r="AG39" s="763"/>
      <c r="AH39" s="763"/>
      <c r="AI39" s="763"/>
      <c r="AJ39" s="763"/>
      <c r="AK39" s="763"/>
      <c r="AL39" s="763"/>
      <c r="AM39" s="763"/>
      <c r="AN39" s="763"/>
      <c r="AO39" s="763"/>
    </row>
    <row r="40" spans="2:66" s="73" customFormat="1" ht="14" x14ac:dyDescent="0.3">
      <c r="B40" s="74" t="s">
        <v>12</v>
      </c>
      <c r="T40" s="74" t="s">
        <v>1052</v>
      </c>
      <c r="AL40" s="74" t="s">
        <v>922</v>
      </c>
    </row>
    <row r="41" spans="2:66" s="73" customFormat="1" ht="21.75" customHeight="1" x14ac:dyDescent="0.35">
      <c r="B41" s="74" t="s">
        <v>811</v>
      </c>
      <c r="F41" s="1482" t="str">
        <f>SchInfo!F38</f>
        <v>MELCHESIEDICK Q. BOLANIO/ March 17, 2023</v>
      </c>
      <c r="G41" s="1482"/>
      <c r="H41" s="1482"/>
      <c r="I41" s="1482"/>
      <c r="J41" s="1482"/>
      <c r="K41" s="1482"/>
      <c r="L41" s="1482"/>
      <c r="M41" s="1482"/>
      <c r="N41" s="1482"/>
      <c r="O41" s="1482"/>
      <c r="P41" s="1482"/>
      <c r="R41" s="545"/>
      <c r="S41" s="545"/>
      <c r="T41" s="1758" t="s">
        <v>12804</v>
      </c>
      <c r="U41" s="1758"/>
      <c r="V41" s="1758"/>
      <c r="W41" s="1758"/>
      <c r="X41" s="1758"/>
      <c r="Y41" s="1758"/>
      <c r="Z41" s="1758"/>
      <c r="AA41" s="1758"/>
      <c r="AB41" s="1758"/>
      <c r="AC41" s="1758"/>
      <c r="AD41" s="1758"/>
      <c r="AE41" s="1758"/>
      <c r="AF41" s="1758"/>
      <c r="AG41" s="1758"/>
      <c r="AH41" s="1758"/>
      <c r="AL41" s="1484" t="str">
        <f>SchInfo!R38</f>
        <v>MICHAEL T. JAMIS   /  March 17, 2023</v>
      </c>
      <c r="AM41" s="1484"/>
      <c r="AN41" s="1484"/>
      <c r="AO41" s="1484"/>
      <c r="AP41" s="1484"/>
      <c r="AQ41" s="1484"/>
      <c r="AR41" s="1484"/>
      <c r="AS41" s="1484"/>
      <c r="AT41" s="1484"/>
      <c r="AU41" s="1484"/>
      <c r="AV41" s="1484"/>
      <c r="AW41" s="1484"/>
      <c r="AX41" s="1484"/>
      <c r="AY41" s="1484"/>
      <c r="AZ41" s="1484"/>
    </row>
    <row r="42" spans="2:66" s="68" customFormat="1" ht="13.5" customHeight="1" x14ac:dyDescent="0.3">
      <c r="B42" s="210"/>
      <c r="F42" s="1452" t="s">
        <v>779</v>
      </c>
      <c r="G42" s="1452"/>
      <c r="H42" s="1452"/>
      <c r="I42" s="1452"/>
      <c r="J42" s="1452"/>
      <c r="K42" s="1452"/>
      <c r="L42" s="1452"/>
      <c r="M42" s="1452"/>
      <c r="N42" s="1452"/>
      <c r="O42" s="1452"/>
      <c r="P42" s="1452"/>
      <c r="Q42" s="172"/>
      <c r="R42" s="220"/>
      <c r="S42" s="220"/>
      <c r="T42" s="1452" t="s">
        <v>779</v>
      </c>
      <c r="U42" s="1452"/>
      <c r="V42" s="1452"/>
      <c r="W42" s="1452"/>
      <c r="X42" s="1452"/>
      <c r="Y42" s="1452"/>
      <c r="Z42" s="1452"/>
      <c r="AA42" s="1452"/>
      <c r="AB42" s="1452"/>
      <c r="AC42" s="1452"/>
      <c r="AD42" s="1452"/>
      <c r="AE42" s="1452"/>
      <c r="AF42" s="1452"/>
      <c r="AG42" s="1452"/>
      <c r="AH42" s="1452"/>
      <c r="AI42" s="172"/>
      <c r="AL42" s="1485"/>
      <c r="AM42" s="1485"/>
      <c r="AN42" s="1485"/>
      <c r="AO42" s="1485"/>
      <c r="AP42" s="1485"/>
      <c r="AQ42" s="1485"/>
      <c r="AR42" s="1485"/>
      <c r="AS42" s="1485"/>
      <c r="AT42" s="1485"/>
      <c r="AU42" s="1485"/>
      <c r="AV42" s="1485"/>
      <c r="AW42" s="1485"/>
      <c r="AX42" s="1485"/>
      <c r="AY42" s="1485"/>
      <c r="AZ42" s="1485"/>
    </row>
    <row r="43" spans="2:66" s="73" customFormat="1" ht="21.75" customHeight="1" x14ac:dyDescent="0.35">
      <c r="B43" s="74" t="s">
        <v>784</v>
      </c>
      <c r="F43" s="1482" t="str">
        <f>SchInfo!F40</f>
        <v>Principal IV</v>
      </c>
      <c r="G43" s="1482"/>
      <c r="H43" s="1482"/>
      <c r="I43" s="1482"/>
      <c r="J43" s="1482"/>
      <c r="K43" s="1482"/>
      <c r="L43" s="1482"/>
      <c r="M43" s="1482"/>
      <c r="N43" s="1482"/>
      <c r="O43" s="1482"/>
      <c r="P43" s="1482"/>
      <c r="R43" s="545"/>
      <c r="S43" s="545"/>
      <c r="T43" s="74" t="s">
        <v>784</v>
      </c>
      <c r="X43" s="1758" t="s">
        <v>12805</v>
      </c>
      <c r="Y43" s="1758"/>
      <c r="Z43" s="1758"/>
      <c r="AA43" s="1758"/>
      <c r="AB43" s="1758"/>
      <c r="AC43" s="1758"/>
      <c r="AD43" s="1758"/>
      <c r="AE43" s="1758"/>
      <c r="AF43" s="1758"/>
      <c r="AG43" s="1758"/>
      <c r="AH43" s="1758"/>
      <c r="AL43" s="1452" t="s">
        <v>779</v>
      </c>
      <c r="AM43" s="1452"/>
      <c r="AN43" s="1452"/>
      <c r="AO43" s="1452"/>
      <c r="AP43" s="1452"/>
      <c r="AQ43" s="1452"/>
      <c r="AR43" s="1452"/>
      <c r="AS43" s="1452"/>
      <c r="AT43" s="1452"/>
      <c r="AU43" s="1452"/>
      <c r="AV43" s="1452"/>
      <c r="AW43" s="1452"/>
      <c r="AX43" s="1452"/>
      <c r="AY43" s="1452"/>
      <c r="AZ43" s="1452"/>
    </row>
  </sheetData>
  <sheetProtection algorithmName="SHA-512" hashValue="nRaxM853hbrl4JijhInzsmqBiVhPOA79Jj0gGGy8xOXqesFwfRqocBReqORVnGxZNz4nczfBKlA96uI42tjxSQ==" saltValue="SVoRG/vehXJu+9foMh4Nhw==" spinCount="100000" sheet="1" objects="1" scenarios="1"/>
  <mergeCells count="65">
    <mergeCell ref="T42:AH42"/>
    <mergeCell ref="F43:P43"/>
    <mergeCell ref="X43:AH43"/>
    <mergeCell ref="AL43:AZ43"/>
    <mergeCell ref="H35:AT35"/>
    <mergeCell ref="F41:P41"/>
    <mergeCell ref="T41:AH41"/>
    <mergeCell ref="AL41:AZ42"/>
    <mergeCell ref="F42:P42"/>
    <mergeCell ref="O31:T31"/>
    <mergeCell ref="U31:Z31"/>
    <mergeCell ref="AA31:AF31"/>
    <mergeCell ref="I32:N32"/>
    <mergeCell ref="O32:T32"/>
    <mergeCell ref="U32:Z32"/>
    <mergeCell ref="AA32:AF32"/>
    <mergeCell ref="O29:T29"/>
    <mergeCell ref="U29:Z29"/>
    <mergeCell ref="AA29:AF29"/>
    <mergeCell ref="O30:T30"/>
    <mergeCell ref="U30:Z30"/>
    <mergeCell ref="AA30:AF30"/>
    <mergeCell ref="I27:N27"/>
    <mergeCell ref="O27:T27"/>
    <mergeCell ref="U27:Z27"/>
    <mergeCell ref="AA27:AF27"/>
    <mergeCell ref="O28:T28"/>
    <mergeCell ref="U28:Z28"/>
    <mergeCell ref="AA28:AF28"/>
    <mergeCell ref="I23:N23"/>
    <mergeCell ref="O23:T23"/>
    <mergeCell ref="U23:Z23"/>
    <mergeCell ref="AA23:AF23"/>
    <mergeCell ref="AG23:AL23"/>
    <mergeCell ref="AM23:AR23"/>
    <mergeCell ref="O21:T21"/>
    <mergeCell ref="U21:Z21"/>
    <mergeCell ref="AA21:AF21"/>
    <mergeCell ref="AG21:AL21"/>
    <mergeCell ref="AM21:AR21"/>
    <mergeCell ref="O22:T22"/>
    <mergeCell ref="U22:Z22"/>
    <mergeCell ref="AA22:AF22"/>
    <mergeCell ref="AG22:AL22"/>
    <mergeCell ref="AM22:AR22"/>
    <mergeCell ref="O19:T19"/>
    <mergeCell ref="U19:Z19"/>
    <mergeCell ref="AA19:AF19"/>
    <mergeCell ref="AG19:AL19"/>
    <mergeCell ref="AM19:AR19"/>
    <mergeCell ref="O20:T20"/>
    <mergeCell ref="U20:Z20"/>
    <mergeCell ref="AA20:AF20"/>
    <mergeCell ref="AG20:AL20"/>
    <mergeCell ref="AM20:AR20"/>
    <mergeCell ref="AK6:AQ6"/>
    <mergeCell ref="AF7:AL7"/>
    <mergeCell ref="I17:N18"/>
    <mergeCell ref="O17:AF17"/>
    <mergeCell ref="AG17:AR17"/>
    <mergeCell ref="O18:T18"/>
    <mergeCell ref="U18:Z18"/>
    <mergeCell ref="AA18:AF18"/>
    <mergeCell ref="AG18:AL18"/>
    <mergeCell ref="AM18:AR18"/>
  </mergeCells>
  <conditionalFormatting sqref="I6">
    <cfRule type="expression" dxfId="39" priority="3">
      <formula>$AF$6</formula>
    </cfRule>
    <cfRule type="expression" dxfId="38" priority="5">
      <formula>$AB$6</formula>
    </cfRule>
    <cfRule type="expression" dxfId="37" priority="8">
      <formula>$X$6</formula>
    </cfRule>
    <cfRule type="expression" dxfId="36" priority="9">
      <formula>$T$6</formula>
    </cfRule>
    <cfRule type="expression" dxfId="35" priority="12">
      <formula>$AF$5</formula>
    </cfRule>
  </conditionalFormatting>
  <conditionalFormatting sqref="J6">
    <cfRule type="expression" dxfId="34" priority="4">
      <formula>$AF$6</formula>
    </cfRule>
    <cfRule type="expression" dxfId="33" priority="6">
      <formula>$AB$6</formula>
    </cfRule>
    <cfRule type="expression" dxfId="32" priority="7">
      <formula>$X$6</formula>
    </cfRule>
    <cfRule type="expression" dxfId="31" priority="10">
      <formula>$T$6</formula>
    </cfRule>
    <cfRule type="expression" dxfId="30" priority="11">
      <formula>$AF$5</formula>
    </cfRule>
  </conditionalFormatting>
  <conditionalFormatting sqref="J7">
    <cfRule type="expression" dxfId="29" priority="1">
      <formula>$AF$7</formula>
    </cfRule>
  </conditionalFormatting>
  <dataValidations count="1">
    <dataValidation type="whole" allowBlank="1" showInputMessage="1" showErrorMessage="1" errorTitle="GJHSP SY 2022-2023" error="Please enter valid number between 0-20,000." sqref="O28:Z31 AF7:AL7 O19:Z22 AG19:AR22" xr:uid="{0FEAEB34-63B1-424B-A9FB-46D7C4C696A2}">
      <formula1>0</formula1>
      <formula2>20000</formula2>
    </dataValidation>
  </dataValidations>
  <printOptions horizontalCentered="1" verticalCentered="1"/>
  <pageMargins left="0.23622047244094491" right="0.23622047244094491" top="0.19685039370078741" bottom="0.19685039370078741" header="0" footer="0.11811023622047245"/>
  <pageSetup paperSize="14" scale="64" orientation="landscape" r:id="rId1"/>
  <headerFooter alignWithMargins="0">
    <oddFooter>&amp;L&amp;10&amp;F &amp;A&amp;R&amp;10Page 40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681" r:id="rId4" name="Check Box 1">
              <controlPr defaultSize="0" autoFill="0" autoLine="0" autoPict="0">
                <anchor moveWithCells="1">
                  <from>
                    <xdr:col>30</xdr:col>
                    <xdr:colOff>266700</xdr:colOff>
                    <xdr:row>4</xdr:row>
                    <xdr:rowOff>146050</xdr:rowOff>
                  </from>
                  <to>
                    <xdr:col>31</xdr:col>
                    <xdr:colOff>177800</xdr:colOff>
                    <xdr:row>4</xdr:row>
                    <xdr:rowOff>349250</xdr:rowOff>
                  </to>
                </anchor>
              </controlPr>
            </control>
          </mc:Choice>
        </mc:AlternateContent>
        <mc:AlternateContent xmlns:mc="http://schemas.openxmlformats.org/markup-compatibility/2006">
          <mc:Choice Requires="x14">
            <control shapeId="71682" r:id="rId5" name="Check Box 2">
              <controlPr defaultSize="0" autoFill="0" autoLine="0" autoPict="0">
                <anchor moveWithCells="1">
                  <from>
                    <xdr:col>19</xdr:col>
                    <xdr:colOff>0</xdr:colOff>
                    <xdr:row>5</xdr:row>
                    <xdr:rowOff>88900</xdr:rowOff>
                  </from>
                  <to>
                    <xdr:col>19</xdr:col>
                    <xdr:colOff>177800</xdr:colOff>
                    <xdr:row>5</xdr:row>
                    <xdr:rowOff>292100</xdr:rowOff>
                  </to>
                </anchor>
              </controlPr>
            </control>
          </mc:Choice>
        </mc:AlternateContent>
        <mc:AlternateContent xmlns:mc="http://schemas.openxmlformats.org/markup-compatibility/2006">
          <mc:Choice Requires="x14">
            <control shapeId="71683" r:id="rId6" name="Check Box 3">
              <controlPr defaultSize="0" autoFill="0" autoLine="0" autoPict="0">
                <anchor moveWithCells="1">
                  <from>
                    <xdr:col>35</xdr:col>
                    <xdr:colOff>260350</xdr:colOff>
                    <xdr:row>4</xdr:row>
                    <xdr:rowOff>146050</xdr:rowOff>
                  </from>
                  <to>
                    <xdr:col>36</xdr:col>
                    <xdr:colOff>165100</xdr:colOff>
                    <xdr:row>4</xdr:row>
                    <xdr:rowOff>349250</xdr:rowOff>
                  </to>
                </anchor>
              </controlPr>
            </control>
          </mc:Choice>
        </mc:AlternateContent>
        <mc:AlternateContent xmlns:mc="http://schemas.openxmlformats.org/markup-compatibility/2006">
          <mc:Choice Requires="x14">
            <control shapeId="71684" r:id="rId7" name="Check Box 4">
              <controlPr defaultSize="0" autoFill="0" autoLine="0" autoPict="0">
                <anchor moveWithCells="1">
                  <from>
                    <xdr:col>22</xdr:col>
                    <xdr:colOff>266700</xdr:colOff>
                    <xdr:row>5</xdr:row>
                    <xdr:rowOff>76200</xdr:rowOff>
                  </from>
                  <to>
                    <xdr:col>23</xdr:col>
                    <xdr:colOff>177800</xdr:colOff>
                    <xdr:row>5</xdr:row>
                    <xdr:rowOff>279400</xdr:rowOff>
                  </to>
                </anchor>
              </controlPr>
            </control>
          </mc:Choice>
        </mc:AlternateContent>
        <mc:AlternateContent xmlns:mc="http://schemas.openxmlformats.org/markup-compatibility/2006">
          <mc:Choice Requires="x14">
            <control shapeId="71685" r:id="rId8" name="Check Box 5">
              <controlPr defaultSize="0" autoFill="0" autoLine="0" autoPict="0">
                <anchor moveWithCells="1">
                  <from>
                    <xdr:col>27</xdr:col>
                    <xdr:colOff>0</xdr:colOff>
                    <xdr:row>5</xdr:row>
                    <xdr:rowOff>82550</xdr:rowOff>
                  </from>
                  <to>
                    <xdr:col>27</xdr:col>
                    <xdr:colOff>177800</xdr:colOff>
                    <xdr:row>5</xdr:row>
                    <xdr:rowOff>292100</xdr:rowOff>
                  </to>
                </anchor>
              </controlPr>
            </control>
          </mc:Choice>
        </mc:AlternateContent>
        <mc:AlternateContent xmlns:mc="http://schemas.openxmlformats.org/markup-compatibility/2006">
          <mc:Choice Requires="x14">
            <control shapeId="71686" r:id="rId9" name="Check Box 6">
              <controlPr defaultSize="0" autoFill="0" autoLine="0" autoPict="0">
                <anchor moveWithCells="1">
                  <from>
                    <xdr:col>30</xdr:col>
                    <xdr:colOff>266700</xdr:colOff>
                    <xdr:row>5</xdr:row>
                    <xdr:rowOff>76200</xdr:rowOff>
                  </from>
                  <to>
                    <xdr:col>31</xdr:col>
                    <xdr:colOff>177800</xdr:colOff>
                    <xdr:row>5</xdr:row>
                    <xdr:rowOff>279400</xdr:rowOff>
                  </to>
                </anchor>
              </controlPr>
            </control>
          </mc:Choice>
        </mc:AlternateContent>
        <mc:AlternateContent xmlns:mc="http://schemas.openxmlformats.org/markup-compatibility/2006">
          <mc:Choice Requires="x14">
            <control shapeId="71687" r:id="rId10" name="Check Box 7">
              <controlPr defaultSize="0" autoFill="0" autoLine="0" autoPict="0">
                <anchor moveWithCells="1">
                  <from>
                    <xdr:col>30</xdr:col>
                    <xdr:colOff>266700</xdr:colOff>
                    <xdr:row>8</xdr:row>
                    <xdr:rowOff>88900</xdr:rowOff>
                  </from>
                  <to>
                    <xdr:col>31</xdr:col>
                    <xdr:colOff>177800</xdr:colOff>
                    <xdr:row>8</xdr:row>
                    <xdr:rowOff>298450</xdr:rowOff>
                  </to>
                </anchor>
              </controlPr>
            </control>
          </mc:Choice>
        </mc:AlternateContent>
        <mc:AlternateContent xmlns:mc="http://schemas.openxmlformats.org/markup-compatibility/2006">
          <mc:Choice Requires="x14">
            <control shapeId="71688" r:id="rId11" name="Check Box 8">
              <controlPr defaultSize="0" autoFill="0" autoLine="0" autoPict="0">
                <anchor moveWithCells="1">
                  <from>
                    <xdr:col>35</xdr:col>
                    <xdr:colOff>266700</xdr:colOff>
                    <xdr:row>8</xdr:row>
                    <xdr:rowOff>101600</xdr:rowOff>
                  </from>
                  <to>
                    <xdr:col>36</xdr:col>
                    <xdr:colOff>177800</xdr:colOff>
                    <xdr:row>9</xdr:row>
                    <xdr:rowOff>0</xdr:rowOff>
                  </to>
                </anchor>
              </controlPr>
            </control>
          </mc:Choice>
        </mc:AlternateContent>
      </controls>
    </mc:Choice>
  </mc:AlternateConten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0AAA3-B0A9-4AC5-87CE-7C4E54218E14}">
  <sheetPr codeName="Sheet41"/>
  <dimension ref="B1:BL53"/>
  <sheetViews>
    <sheetView showGridLines="0" zoomScaleNormal="100" zoomScaleSheetLayoutView="100" workbookViewId="0">
      <selection activeCell="O11" sqref="O11:T11"/>
    </sheetView>
  </sheetViews>
  <sheetFormatPr defaultColWidth="9" defaultRowHeight="15.5" x14ac:dyDescent="0.35"/>
  <cols>
    <col min="1" max="1" width="2.08203125" style="546" customWidth="1"/>
    <col min="2" max="52" width="3.58203125" style="546" customWidth="1"/>
    <col min="53" max="53" width="2.08203125" style="546" customWidth="1"/>
    <col min="54" max="57" width="3.58203125" style="546" customWidth="1"/>
    <col min="58" max="16384" width="9" style="546"/>
  </cols>
  <sheetData>
    <row r="1" spans="7:52" ht="12" customHeight="1" x14ac:dyDescent="0.35"/>
    <row r="2" spans="7:52" x14ac:dyDescent="0.35">
      <c r="G2" s="502" t="s">
        <v>12741</v>
      </c>
      <c r="H2" s="502"/>
      <c r="I2" s="502"/>
      <c r="J2" s="502"/>
      <c r="K2" s="502"/>
      <c r="L2" s="502"/>
      <c r="M2" s="502"/>
      <c r="N2" s="502"/>
      <c r="O2" s="502"/>
      <c r="P2" s="502"/>
      <c r="Q2" s="503"/>
      <c r="R2" s="503"/>
      <c r="S2" s="503"/>
      <c r="T2" s="503"/>
      <c r="U2" s="503"/>
      <c r="V2" s="503"/>
      <c r="W2" s="503"/>
      <c r="X2" s="503"/>
      <c r="Y2" s="503"/>
      <c r="Z2" s="503"/>
      <c r="AA2" s="503"/>
      <c r="AB2" s="503"/>
      <c r="AC2" s="503"/>
      <c r="AD2" s="503"/>
      <c r="AE2" s="503"/>
      <c r="AF2" s="503"/>
      <c r="AG2" s="503"/>
      <c r="AH2" s="503"/>
      <c r="AI2" s="503"/>
      <c r="AJ2" s="503"/>
      <c r="AK2" s="503"/>
      <c r="AL2" s="503"/>
      <c r="AM2" s="503"/>
      <c r="AN2" s="503"/>
      <c r="AO2" s="503"/>
      <c r="AP2" s="503"/>
      <c r="AQ2" s="502"/>
    </row>
    <row r="3" spans="7:52" s="402" customFormat="1" ht="16" thickBot="1" x14ac:dyDescent="0.4">
      <c r="G3" s="419" t="s">
        <v>1098</v>
      </c>
    </row>
    <row r="4" spans="7:52" s="501" customFormat="1" ht="5.25" customHeight="1" thickTop="1" x14ac:dyDescent="0.35">
      <c r="G4" s="533"/>
      <c r="H4" s="535"/>
      <c r="I4" s="792"/>
      <c r="J4" s="506"/>
      <c r="K4" s="506"/>
      <c r="L4" s="506"/>
      <c r="M4" s="506"/>
      <c r="N4" s="506"/>
      <c r="O4" s="506"/>
      <c r="P4" s="506"/>
      <c r="Q4" s="506"/>
      <c r="R4" s="506"/>
      <c r="S4" s="506"/>
      <c r="T4" s="462"/>
      <c r="U4" s="462"/>
      <c r="V4" s="462"/>
      <c r="W4" s="462"/>
      <c r="X4" s="462"/>
      <c r="Y4" s="462"/>
      <c r="Z4" s="422"/>
      <c r="AA4" s="793"/>
      <c r="AB4" s="793"/>
      <c r="AC4" s="793"/>
      <c r="AD4" s="793"/>
      <c r="AE4" s="793"/>
      <c r="AF4" s="793"/>
      <c r="AG4" s="462"/>
      <c r="AH4" s="462"/>
      <c r="AI4" s="462"/>
      <c r="AJ4" s="462"/>
      <c r="AK4" s="462"/>
      <c r="AL4" s="462"/>
      <c r="AM4" s="462"/>
      <c r="AN4" s="462"/>
      <c r="AO4" s="462"/>
      <c r="AP4" s="462"/>
      <c r="AQ4" s="462"/>
      <c r="AR4" s="462"/>
      <c r="AS4" s="462"/>
      <c r="AT4" s="794"/>
      <c r="AU4" s="425"/>
      <c r="AV4" s="425"/>
    </row>
    <row r="5" spans="7:52" s="501" customFormat="1" ht="25" customHeight="1" x14ac:dyDescent="0.45">
      <c r="G5" s="834"/>
      <c r="H5" s="851" t="s">
        <v>150</v>
      </c>
      <c r="I5" s="780" t="s">
        <v>1279</v>
      </c>
      <c r="J5" s="780"/>
      <c r="K5" s="781"/>
      <c r="L5" s="781"/>
      <c r="M5" s="781"/>
      <c r="N5" s="781"/>
      <c r="O5" s="781"/>
      <c r="P5" s="781"/>
      <c r="Q5" s="781"/>
      <c r="R5" s="781"/>
      <c r="S5" s="781"/>
      <c r="T5" s="668"/>
      <c r="U5" s="403"/>
      <c r="V5" s="403"/>
      <c r="W5" s="403"/>
      <c r="X5" s="403"/>
      <c r="Y5" s="403"/>
      <c r="Z5" s="782"/>
      <c r="AA5" s="668"/>
      <c r="AB5" s="668"/>
      <c r="AC5" s="668"/>
      <c r="AD5" s="668"/>
      <c r="AE5" s="668"/>
      <c r="AF5" s="668"/>
      <c r="AG5" s="403"/>
      <c r="AH5" s="403"/>
      <c r="AI5" s="403"/>
      <c r="AJ5" s="403"/>
      <c r="AK5" s="403"/>
      <c r="AL5" s="403"/>
      <c r="AM5" s="403"/>
      <c r="AN5" s="403"/>
      <c r="AO5" s="403"/>
      <c r="AP5" s="403"/>
      <c r="AQ5" s="403"/>
      <c r="AR5" s="403"/>
      <c r="AS5" s="403"/>
      <c r="AT5" s="469"/>
      <c r="AU5" s="403"/>
      <c r="AV5" s="403"/>
    </row>
    <row r="6" spans="7:52" s="501" customFormat="1" ht="6" customHeight="1" thickBot="1" x14ac:dyDescent="0.45">
      <c r="G6" s="834"/>
      <c r="J6" s="849"/>
      <c r="K6" s="503"/>
      <c r="L6" s="503"/>
      <c r="M6" s="503"/>
      <c r="N6" s="503"/>
      <c r="O6" s="503"/>
      <c r="P6" s="503"/>
      <c r="Q6" s="503"/>
      <c r="R6" s="503"/>
      <c r="S6" s="503"/>
      <c r="T6" s="668"/>
      <c r="V6" s="668"/>
      <c r="W6" s="761"/>
      <c r="X6" s="403"/>
      <c r="AA6" s="668"/>
      <c r="AB6" s="761"/>
      <c r="AC6" s="403"/>
      <c r="AD6" s="403"/>
      <c r="AE6" s="403"/>
      <c r="AF6" s="403"/>
      <c r="AG6" s="403"/>
      <c r="AH6" s="403"/>
      <c r="AJ6" s="668"/>
      <c r="AK6" s="668"/>
      <c r="AL6" s="668"/>
      <c r="AM6" s="668"/>
      <c r="AN6" s="668"/>
      <c r="AO6" s="668"/>
      <c r="AP6" s="668"/>
      <c r="AQ6" s="668"/>
      <c r="AR6" s="668"/>
      <c r="AS6" s="668"/>
      <c r="AT6" s="788"/>
      <c r="AU6" s="668"/>
      <c r="AV6" s="668"/>
    </row>
    <row r="7" spans="7:52" s="501" customFormat="1" ht="20" customHeight="1" thickTop="1" thickBot="1" x14ac:dyDescent="0.4">
      <c r="G7" s="834"/>
      <c r="I7" s="3239" t="s">
        <v>1308</v>
      </c>
      <c r="J7" s="3240"/>
      <c r="K7" s="3240"/>
      <c r="L7" s="3240"/>
      <c r="M7" s="3240"/>
      <c r="N7" s="3241"/>
      <c r="O7" s="3245" t="s">
        <v>1039</v>
      </c>
      <c r="P7" s="3246"/>
      <c r="Q7" s="3246"/>
      <c r="R7" s="3246"/>
      <c r="S7" s="3246"/>
      <c r="T7" s="3246"/>
      <c r="U7" s="3246"/>
      <c r="V7" s="3246"/>
      <c r="W7" s="3246"/>
      <c r="X7" s="3246"/>
      <c r="Y7" s="3246"/>
      <c r="Z7" s="3246"/>
      <c r="AA7" s="3246"/>
      <c r="AB7" s="3246"/>
      <c r="AC7" s="3246"/>
      <c r="AD7" s="3246"/>
      <c r="AE7" s="3246"/>
      <c r="AF7" s="3247"/>
      <c r="AG7" s="852"/>
      <c r="AH7" s="852"/>
      <c r="AI7" s="852"/>
      <c r="AJ7" s="852"/>
      <c r="AK7" s="852"/>
      <c r="AL7" s="852"/>
      <c r="AM7" s="852"/>
      <c r="AN7" s="852"/>
      <c r="AO7" s="852"/>
      <c r="AP7" s="852"/>
      <c r="AQ7" s="852"/>
      <c r="AR7" s="852"/>
      <c r="AS7" s="852"/>
      <c r="AT7" s="867"/>
      <c r="AU7" s="852"/>
      <c r="AV7" s="852"/>
      <c r="AW7" s="852"/>
      <c r="AX7" s="852"/>
      <c r="AY7" s="852"/>
      <c r="AZ7" s="852"/>
    </row>
    <row r="8" spans="7:52" s="501" customFormat="1" ht="16" customHeight="1" thickBot="1" x14ac:dyDescent="0.4">
      <c r="G8" s="834"/>
      <c r="I8" s="3242"/>
      <c r="J8" s="3243"/>
      <c r="K8" s="3243"/>
      <c r="L8" s="3243"/>
      <c r="M8" s="3243"/>
      <c r="N8" s="3244"/>
      <c r="O8" s="3331" t="s">
        <v>637</v>
      </c>
      <c r="P8" s="3332"/>
      <c r="Q8" s="3332"/>
      <c r="R8" s="3332"/>
      <c r="S8" s="3332"/>
      <c r="T8" s="3333"/>
      <c r="U8" s="3331" t="s">
        <v>638</v>
      </c>
      <c r="V8" s="3332"/>
      <c r="W8" s="3332"/>
      <c r="X8" s="3332"/>
      <c r="Y8" s="3332"/>
      <c r="Z8" s="3334"/>
      <c r="AA8" s="3332" t="s">
        <v>16</v>
      </c>
      <c r="AB8" s="3332"/>
      <c r="AC8" s="3332"/>
      <c r="AD8" s="3332"/>
      <c r="AE8" s="3332"/>
      <c r="AF8" s="3335"/>
      <c r="AG8" s="955"/>
      <c r="AH8" s="955"/>
      <c r="AI8" s="955"/>
      <c r="AJ8" s="955"/>
      <c r="AK8" s="955"/>
      <c r="AL8" s="955"/>
      <c r="AM8" s="955"/>
      <c r="AN8" s="955"/>
      <c r="AO8" s="955"/>
      <c r="AP8" s="955"/>
      <c r="AQ8" s="955"/>
      <c r="AR8" s="955"/>
      <c r="AS8" s="955"/>
      <c r="AT8" s="956"/>
      <c r="AU8" s="955"/>
      <c r="AV8" s="955"/>
      <c r="AW8" s="955"/>
      <c r="AX8" s="955"/>
      <c r="AY8" s="852"/>
      <c r="AZ8" s="852"/>
    </row>
    <row r="9" spans="7:52" s="501" customFormat="1" ht="27" customHeight="1" thickTop="1" x14ac:dyDescent="0.35">
      <c r="G9" s="834"/>
      <c r="I9" s="840" t="s">
        <v>1267</v>
      </c>
      <c r="J9" s="873"/>
      <c r="K9" s="873"/>
      <c r="L9" s="873"/>
      <c r="M9" s="873"/>
      <c r="N9" s="875"/>
      <c r="O9" s="3184">
        <v>0</v>
      </c>
      <c r="P9" s="3192"/>
      <c r="Q9" s="3192"/>
      <c r="R9" s="3192"/>
      <c r="S9" s="3192"/>
      <c r="T9" s="3254"/>
      <c r="U9" s="3184">
        <v>0</v>
      </c>
      <c r="V9" s="3192"/>
      <c r="W9" s="3192"/>
      <c r="X9" s="3192"/>
      <c r="Y9" s="3192"/>
      <c r="Z9" s="3339"/>
      <c r="AA9" s="3340">
        <f>SUM(O9:Z9)</f>
        <v>0</v>
      </c>
      <c r="AB9" s="3340"/>
      <c r="AC9" s="3340"/>
      <c r="AD9" s="3340"/>
      <c r="AE9" s="3340"/>
      <c r="AF9" s="3347"/>
      <c r="AG9" s="512"/>
      <c r="AH9" s="512"/>
      <c r="AI9" s="512"/>
      <c r="AJ9" s="512"/>
      <c r="AK9" s="512"/>
      <c r="AL9" s="512"/>
      <c r="AM9" s="512"/>
      <c r="AN9" s="512"/>
      <c r="AO9" s="512"/>
      <c r="AP9" s="512"/>
      <c r="AQ9" s="512"/>
      <c r="AR9" s="512"/>
      <c r="AS9" s="512"/>
      <c r="AT9" s="861"/>
      <c r="AU9" s="512"/>
      <c r="AV9" s="512"/>
      <c r="AW9" s="512"/>
      <c r="AX9" s="512"/>
      <c r="AY9" s="512"/>
      <c r="AZ9" s="512"/>
    </row>
    <row r="10" spans="7:52" s="501" customFormat="1" ht="27" customHeight="1" x14ac:dyDescent="0.35">
      <c r="G10" s="834"/>
      <c r="I10" s="843" t="s">
        <v>1268</v>
      </c>
      <c r="J10" s="844"/>
      <c r="K10" s="844"/>
      <c r="L10" s="844"/>
      <c r="M10" s="844"/>
      <c r="N10" s="845"/>
      <c r="O10" s="3272">
        <v>0</v>
      </c>
      <c r="P10" s="3273"/>
      <c r="Q10" s="3273"/>
      <c r="R10" s="3273"/>
      <c r="S10" s="3273"/>
      <c r="T10" s="3291"/>
      <c r="U10" s="3272">
        <v>0</v>
      </c>
      <c r="V10" s="3273"/>
      <c r="W10" s="3273"/>
      <c r="X10" s="3273"/>
      <c r="Y10" s="3273"/>
      <c r="Z10" s="3336"/>
      <c r="AA10" s="3337">
        <f t="shared" ref="AA10:AA12" si="0">SUM(O10:Z10)</f>
        <v>0</v>
      </c>
      <c r="AB10" s="3337"/>
      <c r="AC10" s="3337"/>
      <c r="AD10" s="3337"/>
      <c r="AE10" s="3337"/>
      <c r="AF10" s="3348"/>
      <c r="AG10" s="512"/>
      <c r="AH10" s="512"/>
      <c r="AI10" s="512"/>
      <c r="AJ10" s="512"/>
      <c r="AK10" s="512"/>
      <c r="AL10" s="512"/>
      <c r="AM10" s="512"/>
      <c r="AN10" s="512"/>
      <c r="AO10" s="512"/>
      <c r="AP10" s="512"/>
      <c r="AQ10" s="512"/>
      <c r="AR10" s="512"/>
      <c r="AS10" s="512"/>
      <c r="AT10" s="861"/>
      <c r="AU10" s="512"/>
      <c r="AV10" s="512"/>
      <c r="AW10" s="512"/>
      <c r="AX10" s="512"/>
      <c r="AY10" s="512"/>
      <c r="AZ10" s="512"/>
    </row>
    <row r="11" spans="7:52" s="501" customFormat="1" ht="27" customHeight="1" x14ac:dyDescent="0.35">
      <c r="G11" s="834"/>
      <c r="I11" s="843" t="s">
        <v>1269</v>
      </c>
      <c r="J11" s="844"/>
      <c r="K11" s="844"/>
      <c r="L11" s="844"/>
      <c r="M11" s="844"/>
      <c r="N11" s="845"/>
      <c r="O11" s="3272">
        <v>0</v>
      </c>
      <c r="P11" s="3273"/>
      <c r="Q11" s="3273"/>
      <c r="R11" s="3273"/>
      <c r="S11" s="3273"/>
      <c r="T11" s="3291"/>
      <c r="U11" s="3272">
        <v>0</v>
      </c>
      <c r="V11" s="3273"/>
      <c r="W11" s="3273"/>
      <c r="X11" s="3273"/>
      <c r="Y11" s="3273"/>
      <c r="Z11" s="3336"/>
      <c r="AA11" s="3337">
        <f t="shared" si="0"/>
        <v>0</v>
      </c>
      <c r="AB11" s="3337"/>
      <c r="AC11" s="3337"/>
      <c r="AD11" s="3337"/>
      <c r="AE11" s="3337"/>
      <c r="AF11" s="3348"/>
      <c r="AG11" s="512"/>
      <c r="AH11" s="512"/>
      <c r="AI11" s="512"/>
      <c r="AJ11" s="512"/>
      <c r="AK11" s="512"/>
      <c r="AL11" s="512"/>
      <c r="AM11" s="512"/>
      <c r="AN11" s="512"/>
      <c r="AO11" s="512"/>
      <c r="AP11" s="512"/>
      <c r="AQ11" s="512"/>
      <c r="AR11" s="512"/>
      <c r="AS11" s="512"/>
      <c r="AT11" s="861"/>
      <c r="AU11" s="512"/>
      <c r="AV11" s="512"/>
      <c r="AW11" s="512"/>
      <c r="AX11" s="512"/>
      <c r="AY11" s="512"/>
      <c r="AZ11" s="512"/>
    </row>
    <row r="12" spans="7:52" s="501" customFormat="1" ht="27" customHeight="1" thickBot="1" x14ac:dyDescent="0.4">
      <c r="G12" s="834"/>
      <c r="I12" s="846" t="s">
        <v>1270</v>
      </c>
      <c r="J12" s="847"/>
      <c r="K12" s="847"/>
      <c r="L12" s="847"/>
      <c r="M12" s="847"/>
      <c r="N12" s="848"/>
      <c r="O12" s="3215">
        <v>0</v>
      </c>
      <c r="P12" s="3187"/>
      <c r="Q12" s="3187"/>
      <c r="R12" s="3187"/>
      <c r="S12" s="3187"/>
      <c r="T12" s="3260"/>
      <c r="U12" s="3215">
        <v>0</v>
      </c>
      <c r="V12" s="3187"/>
      <c r="W12" s="3187"/>
      <c r="X12" s="3187"/>
      <c r="Y12" s="3187"/>
      <c r="Z12" s="3342"/>
      <c r="AA12" s="3343">
        <f t="shared" si="0"/>
        <v>0</v>
      </c>
      <c r="AB12" s="3343"/>
      <c r="AC12" s="3343"/>
      <c r="AD12" s="3343"/>
      <c r="AE12" s="3343"/>
      <c r="AF12" s="3349"/>
      <c r="AG12" s="512"/>
      <c r="AH12" s="512"/>
      <c r="AI12" s="512"/>
      <c r="AJ12" s="512"/>
      <c r="AK12" s="512"/>
      <c r="AL12" s="512"/>
      <c r="AM12" s="512"/>
      <c r="AN12" s="512"/>
      <c r="AO12" s="512"/>
      <c r="AP12" s="512"/>
      <c r="AQ12" s="512"/>
      <c r="AR12" s="512"/>
      <c r="AS12" s="512"/>
      <c r="AT12" s="861"/>
      <c r="AU12" s="512"/>
      <c r="AV12" s="512"/>
      <c r="AW12" s="512"/>
      <c r="AX12" s="512"/>
      <c r="AY12" s="512"/>
      <c r="AZ12" s="512"/>
    </row>
    <row r="13" spans="7:52" s="501" customFormat="1" ht="27" customHeight="1" thickTop="1" thickBot="1" x14ac:dyDescent="0.4">
      <c r="G13" s="834"/>
      <c r="I13" s="3276" t="s">
        <v>16</v>
      </c>
      <c r="J13" s="3277"/>
      <c r="K13" s="3277"/>
      <c r="L13" s="3277"/>
      <c r="M13" s="3277"/>
      <c r="N13" s="3278"/>
      <c r="O13" s="3214">
        <f>SUM(O9:T12)</f>
        <v>0</v>
      </c>
      <c r="P13" s="3212"/>
      <c r="Q13" s="3212"/>
      <c r="R13" s="3212"/>
      <c r="S13" s="3212"/>
      <c r="T13" s="3285"/>
      <c r="U13" s="3214">
        <f t="shared" ref="U13" si="1">SUM(U9:Z12)</f>
        <v>0</v>
      </c>
      <c r="V13" s="3212"/>
      <c r="W13" s="3212"/>
      <c r="X13" s="3212"/>
      <c r="Y13" s="3212"/>
      <c r="Z13" s="3351"/>
      <c r="AA13" s="3212">
        <f t="shared" ref="AA13" si="2">SUM(AA9:AF12)</f>
        <v>0</v>
      </c>
      <c r="AB13" s="3212"/>
      <c r="AC13" s="3212"/>
      <c r="AD13" s="3212"/>
      <c r="AE13" s="3212"/>
      <c r="AF13" s="3285"/>
      <c r="AG13" s="512"/>
      <c r="AH13" s="512"/>
      <c r="AI13" s="512"/>
      <c r="AJ13" s="512"/>
      <c r="AK13" s="512"/>
      <c r="AL13" s="512"/>
      <c r="AM13" s="512"/>
      <c r="AN13" s="512"/>
      <c r="AO13" s="512"/>
      <c r="AP13" s="512"/>
      <c r="AQ13" s="512"/>
      <c r="AR13" s="512"/>
      <c r="AS13" s="512"/>
      <c r="AT13" s="861"/>
      <c r="AU13" s="512"/>
      <c r="AV13" s="512"/>
      <c r="AW13" s="512"/>
      <c r="AX13" s="512"/>
      <c r="AY13" s="512"/>
      <c r="AZ13" s="512"/>
    </row>
    <row r="14" spans="7:52" s="501" customFormat="1" ht="6" customHeight="1" thickTop="1" x14ac:dyDescent="0.4">
      <c r="G14" s="834"/>
      <c r="J14" s="849"/>
      <c r="K14" s="503"/>
      <c r="L14" s="503"/>
      <c r="M14" s="503"/>
      <c r="N14" s="503"/>
      <c r="O14" s="503"/>
      <c r="P14" s="503"/>
      <c r="Q14" s="503"/>
      <c r="R14" s="503"/>
      <c r="S14" s="503"/>
      <c r="T14" s="668"/>
      <c r="V14" s="668"/>
      <c r="W14" s="761"/>
      <c r="X14" s="403"/>
      <c r="AA14" s="668"/>
      <c r="AB14" s="761"/>
      <c r="AC14" s="403"/>
      <c r="AD14" s="403"/>
      <c r="AE14" s="403"/>
      <c r="AF14" s="403"/>
      <c r="AG14" s="403"/>
      <c r="AI14" s="668"/>
      <c r="AJ14" s="668"/>
      <c r="AK14" s="668"/>
      <c r="AL14" s="668"/>
      <c r="AM14" s="668"/>
      <c r="AN14" s="668"/>
      <c r="AO14" s="668"/>
      <c r="AP14" s="668"/>
      <c r="AQ14" s="668"/>
      <c r="AR14" s="668"/>
      <c r="AS14" s="668"/>
      <c r="AT14" s="788"/>
      <c r="AU14" s="668"/>
      <c r="AV14" s="668"/>
    </row>
    <row r="15" spans="7:52" s="501" customFormat="1" ht="25" customHeight="1" x14ac:dyDescent="0.45">
      <c r="G15" s="834"/>
      <c r="H15" s="851" t="s">
        <v>151</v>
      </c>
      <c r="I15" s="780" t="s">
        <v>1049</v>
      </c>
      <c r="J15" s="780"/>
      <c r="K15" s="781"/>
      <c r="L15" s="781"/>
      <c r="M15" s="781"/>
      <c r="N15" s="781"/>
      <c r="O15" s="781"/>
      <c r="P15" s="781"/>
      <c r="Q15" s="781"/>
      <c r="R15" s="781"/>
      <c r="S15" s="781"/>
      <c r="T15" s="668"/>
      <c r="U15" s="403"/>
      <c r="V15" s="403"/>
      <c r="W15" s="403"/>
      <c r="X15" s="403"/>
      <c r="Y15" s="403"/>
      <c r="Z15" s="782"/>
      <c r="AA15" s="668"/>
      <c r="AB15" s="668"/>
      <c r="AC15" s="668"/>
      <c r="AD15" s="668"/>
      <c r="AE15" s="668"/>
      <c r="AF15" s="668"/>
      <c r="AG15" s="403"/>
      <c r="AH15" s="403"/>
      <c r="AI15" s="403"/>
      <c r="AJ15" s="403"/>
      <c r="AK15" s="403"/>
      <c r="AL15" s="403"/>
      <c r="AM15" s="403"/>
      <c r="AN15" s="403"/>
      <c r="AO15" s="403"/>
      <c r="AP15" s="403"/>
      <c r="AQ15" s="403"/>
      <c r="AR15" s="403"/>
      <c r="AS15" s="403"/>
      <c r="AT15" s="469"/>
      <c r="AU15" s="403"/>
      <c r="AV15" s="403"/>
    </row>
    <row r="16" spans="7:52" s="501" customFormat="1" ht="6" customHeight="1" thickBot="1" x14ac:dyDescent="0.45">
      <c r="G16" s="834"/>
      <c r="I16" s="503"/>
      <c r="J16" s="503"/>
      <c r="K16" s="503"/>
      <c r="L16" s="503"/>
      <c r="M16" s="503"/>
      <c r="N16" s="503"/>
      <c r="O16" s="503"/>
      <c r="P16" s="503"/>
      <c r="Q16" s="503"/>
      <c r="R16" s="668"/>
      <c r="T16" s="668"/>
      <c r="U16" s="761"/>
      <c r="V16" s="403"/>
      <c r="Y16" s="668"/>
      <c r="Z16" s="761"/>
      <c r="AA16" s="403"/>
      <c r="AB16" s="403"/>
      <c r="AC16" s="403"/>
      <c r="AD16" s="403"/>
      <c r="AE16" s="403"/>
      <c r="AF16" s="403"/>
      <c r="AH16" s="668"/>
      <c r="AI16" s="668"/>
      <c r="AJ16" s="668"/>
      <c r="AK16" s="668"/>
      <c r="AL16" s="668"/>
      <c r="AM16" s="668"/>
      <c r="AN16" s="668"/>
      <c r="AO16" s="668"/>
      <c r="AP16" s="668"/>
      <c r="AQ16" s="668"/>
      <c r="AR16" s="668"/>
      <c r="AS16" s="668"/>
      <c r="AT16" s="788"/>
    </row>
    <row r="17" spans="7:52" s="501" customFormat="1" ht="34.5" customHeight="1" thickTop="1" thickBot="1" x14ac:dyDescent="0.45">
      <c r="G17" s="834"/>
      <c r="I17" s="3239" t="s">
        <v>564</v>
      </c>
      <c r="J17" s="3240"/>
      <c r="K17" s="3240"/>
      <c r="L17" s="3240"/>
      <c r="M17" s="3240"/>
      <c r="N17" s="3241"/>
      <c r="O17" s="3269" t="s">
        <v>14</v>
      </c>
      <c r="P17" s="3240"/>
      <c r="Q17" s="3240"/>
      <c r="R17" s="3240"/>
      <c r="S17" s="3240"/>
      <c r="T17" s="3241"/>
      <c r="U17" s="3269" t="s">
        <v>15</v>
      </c>
      <c r="V17" s="3240"/>
      <c r="W17" s="3240"/>
      <c r="X17" s="3240"/>
      <c r="Y17" s="3240"/>
      <c r="Z17" s="3345"/>
      <c r="AA17" s="3346" t="s">
        <v>16</v>
      </c>
      <c r="AB17" s="3240"/>
      <c r="AC17" s="3240"/>
      <c r="AD17" s="3240"/>
      <c r="AE17" s="3240"/>
      <c r="AF17" s="3270"/>
      <c r="AG17" s="668"/>
      <c r="AH17" s="668"/>
      <c r="AI17" s="668"/>
      <c r="AT17" s="850"/>
      <c r="AY17" s="403"/>
      <c r="AZ17" s="403"/>
    </row>
    <row r="18" spans="7:52" s="501" customFormat="1" ht="27" customHeight="1" thickTop="1" x14ac:dyDescent="0.4">
      <c r="G18" s="834"/>
      <c r="I18" s="840"/>
      <c r="J18" s="951" t="s">
        <v>1255</v>
      </c>
      <c r="K18" s="951"/>
      <c r="L18" s="841"/>
      <c r="M18" s="841"/>
      <c r="N18" s="842"/>
      <c r="O18" s="3184">
        <v>0</v>
      </c>
      <c r="P18" s="3192"/>
      <c r="Q18" s="3192"/>
      <c r="R18" s="3192"/>
      <c r="S18" s="3192"/>
      <c r="T18" s="3254"/>
      <c r="U18" s="3184">
        <v>0</v>
      </c>
      <c r="V18" s="3192"/>
      <c r="W18" s="3192"/>
      <c r="X18" s="3192"/>
      <c r="Y18" s="3192"/>
      <c r="Z18" s="3339"/>
      <c r="AA18" s="3340">
        <f>SUM(O18:Z18)</f>
        <v>0</v>
      </c>
      <c r="AB18" s="3340"/>
      <c r="AC18" s="3340"/>
      <c r="AD18" s="3340"/>
      <c r="AE18" s="3340"/>
      <c r="AF18" s="3347"/>
      <c r="AG18" s="668"/>
      <c r="AH18" s="668"/>
      <c r="AI18" s="668"/>
      <c r="AT18" s="850"/>
      <c r="AY18" s="403"/>
      <c r="AZ18" s="403"/>
    </row>
    <row r="19" spans="7:52" s="501" customFormat="1" ht="27" customHeight="1" x14ac:dyDescent="0.4">
      <c r="G19" s="834"/>
      <c r="I19" s="843"/>
      <c r="J19" s="952" t="s">
        <v>1256</v>
      </c>
      <c r="K19" s="952"/>
      <c r="L19" s="844"/>
      <c r="M19" s="844"/>
      <c r="N19" s="845"/>
      <c r="O19" s="3272">
        <v>0</v>
      </c>
      <c r="P19" s="3273"/>
      <c r="Q19" s="3273"/>
      <c r="R19" s="3273"/>
      <c r="S19" s="3273"/>
      <c r="T19" s="3291"/>
      <c r="U19" s="3272">
        <v>0</v>
      </c>
      <c r="V19" s="3273"/>
      <c r="W19" s="3273"/>
      <c r="X19" s="3273"/>
      <c r="Y19" s="3273"/>
      <c r="Z19" s="3336"/>
      <c r="AA19" s="3337">
        <f t="shared" ref="AA19:AA21" si="3">SUM(O19:Z19)</f>
        <v>0</v>
      </c>
      <c r="AB19" s="3337"/>
      <c r="AC19" s="3337"/>
      <c r="AD19" s="3337"/>
      <c r="AE19" s="3337"/>
      <c r="AF19" s="3348"/>
      <c r="AG19" s="668"/>
      <c r="AH19" s="668"/>
      <c r="AI19" s="668"/>
      <c r="AT19" s="850"/>
      <c r="AY19" s="403"/>
      <c r="AZ19" s="403"/>
    </row>
    <row r="20" spans="7:52" s="501" customFormat="1" ht="27" customHeight="1" x14ac:dyDescent="0.4">
      <c r="G20" s="834"/>
      <c r="I20" s="843"/>
      <c r="J20" s="952" t="s">
        <v>1257</v>
      </c>
      <c r="K20" s="952"/>
      <c r="L20" s="844"/>
      <c r="M20" s="844"/>
      <c r="N20" s="845"/>
      <c r="O20" s="3272">
        <v>0</v>
      </c>
      <c r="P20" s="3273"/>
      <c r="Q20" s="3273"/>
      <c r="R20" s="3273"/>
      <c r="S20" s="3273"/>
      <c r="T20" s="3291"/>
      <c r="U20" s="3272">
        <v>0</v>
      </c>
      <c r="V20" s="3273"/>
      <c r="W20" s="3273"/>
      <c r="X20" s="3273"/>
      <c r="Y20" s="3273"/>
      <c r="Z20" s="3336"/>
      <c r="AA20" s="3337">
        <f t="shared" si="3"/>
        <v>0</v>
      </c>
      <c r="AB20" s="3337"/>
      <c r="AC20" s="3337"/>
      <c r="AD20" s="3337"/>
      <c r="AE20" s="3337"/>
      <c r="AF20" s="3348"/>
      <c r="AG20" s="668"/>
      <c r="AH20" s="668"/>
      <c r="AI20" s="668"/>
      <c r="AT20" s="850"/>
      <c r="AY20" s="403"/>
      <c r="AZ20" s="403"/>
    </row>
    <row r="21" spans="7:52" s="501" customFormat="1" ht="27" customHeight="1" thickBot="1" x14ac:dyDescent="0.45">
      <c r="G21" s="834"/>
      <c r="I21" s="846"/>
      <c r="J21" s="953" t="s">
        <v>1258</v>
      </c>
      <c r="K21" s="953"/>
      <c r="L21" s="847"/>
      <c r="M21" s="847"/>
      <c r="N21" s="848"/>
      <c r="O21" s="3215">
        <v>0</v>
      </c>
      <c r="P21" s="3187"/>
      <c r="Q21" s="3187"/>
      <c r="R21" s="3187"/>
      <c r="S21" s="3187"/>
      <c r="T21" s="3260"/>
      <c r="U21" s="3215">
        <v>0</v>
      </c>
      <c r="V21" s="3187"/>
      <c r="W21" s="3187"/>
      <c r="X21" s="3187"/>
      <c r="Y21" s="3187"/>
      <c r="Z21" s="3342"/>
      <c r="AA21" s="3343">
        <f t="shared" si="3"/>
        <v>0</v>
      </c>
      <c r="AB21" s="3343"/>
      <c r="AC21" s="3343"/>
      <c r="AD21" s="3343"/>
      <c r="AE21" s="3343"/>
      <c r="AF21" s="3349"/>
      <c r="AG21" s="668"/>
      <c r="AH21" s="668"/>
      <c r="AI21" s="668"/>
      <c r="AT21" s="850"/>
      <c r="AY21" s="403"/>
      <c r="AZ21" s="403"/>
    </row>
    <row r="22" spans="7:52" s="501" customFormat="1" ht="27" customHeight="1" thickTop="1" thickBot="1" x14ac:dyDescent="0.45">
      <c r="G22" s="834"/>
      <c r="I22" s="3276" t="s">
        <v>16</v>
      </c>
      <c r="J22" s="3277"/>
      <c r="K22" s="3277"/>
      <c r="L22" s="3277"/>
      <c r="M22" s="3277"/>
      <c r="N22" s="3278"/>
      <c r="O22" s="3214">
        <f>SUM(O18:T21)</f>
        <v>0</v>
      </c>
      <c r="P22" s="3212"/>
      <c r="Q22" s="3212"/>
      <c r="R22" s="3212"/>
      <c r="S22" s="3212"/>
      <c r="T22" s="3285"/>
      <c r="U22" s="3214">
        <f t="shared" ref="U22" si="4">SUM(U18:Z21)</f>
        <v>0</v>
      </c>
      <c r="V22" s="3212"/>
      <c r="W22" s="3212"/>
      <c r="X22" s="3212"/>
      <c r="Y22" s="3212"/>
      <c r="Z22" s="3212"/>
      <c r="AA22" s="3358">
        <f t="shared" ref="AA22" si="5">SUM(AA18:AF21)</f>
        <v>0</v>
      </c>
      <c r="AB22" s="3212"/>
      <c r="AC22" s="3212"/>
      <c r="AD22" s="3212"/>
      <c r="AE22" s="3212"/>
      <c r="AF22" s="3285"/>
      <c r="AG22" s="668"/>
      <c r="AH22" s="668"/>
      <c r="AI22" s="668"/>
      <c r="AT22" s="850"/>
      <c r="AY22" s="403"/>
      <c r="AZ22" s="403"/>
    </row>
    <row r="23" spans="7:52" s="501" customFormat="1" ht="6" customHeight="1" thickTop="1" x14ac:dyDescent="0.4">
      <c r="G23" s="834"/>
      <c r="J23" s="849"/>
      <c r="K23" s="503"/>
      <c r="L23" s="503"/>
      <c r="M23" s="503"/>
      <c r="N23" s="503"/>
      <c r="O23" s="503"/>
      <c r="P23" s="503"/>
      <c r="Q23" s="503"/>
      <c r="R23" s="503"/>
      <c r="S23" s="503"/>
      <c r="T23" s="668"/>
      <c r="V23" s="668"/>
      <c r="W23" s="761"/>
      <c r="X23" s="403"/>
      <c r="AA23" s="668"/>
      <c r="AB23" s="761"/>
      <c r="AC23" s="403"/>
      <c r="AD23" s="403"/>
      <c r="AE23" s="403"/>
      <c r="AF23" s="403"/>
      <c r="AG23" s="403"/>
      <c r="AI23" s="668"/>
      <c r="AJ23" s="668"/>
      <c r="AK23" s="668"/>
      <c r="AL23" s="668"/>
      <c r="AM23" s="668"/>
      <c r="AN23" s="668"/>
      <c r="AO23" s="668"/>
      <c r="AP23" s="668"/>
      <c r="AQ23" s="668"/>
      <c r="AR23" s="668"/>
      <c r="AS23" s="668"/>
      <c r="AT23" s="788"/>
      <c r="AU23" s="668"/>
      <c r="AV23" s="668"/>
    </row>
    <row r="24" spans="7:52" s="501" customFormat="1" ht="25" customHeight="1" x14ac:dyDescent="0.45">
      <c r="G24" s="834"/>
      <c r="H24" s="851" t="s">
        <v>152</v>
      </c>
      <c r="I24" s="780" t="s">
        <v>1050</v>
      </c>
      <c r="J24" s="780"/>
      <c r="K24" s="781"/>
      <c r="L24" s="781"/>
      <c r="M24" s="781"/>
      <c r="N24" s="781"/>
      <c r="O24" s="781"/>
      <c r="P24" s="781"/>
      <c r="Q24" s="781"/>
      <c r="R24" s="781"/>
      <c r="S24" s="781"/>
      <c r="T24" s="668"/>
      <c r="U24" s="403"/>
      <c r="V24" s="403"/>
      <c r="W24" s="403"/>
      <c r="X24" s="403"/>
      <c r="Y24" s="403"/>
      <c r="Z24" s="782"/>
      <c r="AA24" s="668"/>
      <c r="AB24" s="668"/>
      <c r="AC24" s="668"/>
      <c r="AD24" s="668"/>
      <c r="AE24" s="668"/>
      <c r="AF24" s="668"/>
      <c r="AG24" s="403"/>
      <c r="AH24" s="403"/>
      <c r="AI24" s="403"/>
      <c r="AJ24" s="403"/>
      <c r="AK24" s="403"/>
      <c r="AL24" s="403"/>
      <c r="AM24" s="403"/>
      <c r="AN24" s="403"/>
      <c r="AO24" s="403"/>
      <c r="AP24" s="403"/>
      <c r="AQ24" s="403"/>
      <c r="AR24" s="403"/>
      <c r="AS24" s="403"/>
      <c r="AT24" s="469"/>
      <c r="AU24" s="403"/>
      <c r="AV24" s="403"/>
    </row>
    <row r="25" spans="7:52" s="501" customFormat="1" ht="6" customHeight="1" thickBot="1" x14ac:dyDescent="0.45">
      <c r="G25" s="834"/>
      <c r="I25" s="503"/>
      <c r="J25" s="503"/>
      <c r="K25" s="503"/>
      <c r="L25" s="503"/>
      <c r="M25" s="503"/>
      <c r="N25" s="503"/>
      <c r="O25" s="503"/>
      <c r="P25" s="503"/>
      <c r="Q25" s="503"/>
      <c r="R25" s="668"/>
      <c r="T25" s="668"/>
      <c r="U25" s="761"/>
      <c r="V25" s="403"/>
      <c r="Y25" s="668"/>
      <c r="Z25" s="761"/>
      <c r="AA25" s="403"/>
      <c r="AB25" s="403"/>
      <c r="AC25" s="403"/>
      <c r="AD25" s="403"/>
      <c r="AE25" s="403"/>
      <c r="AF25" s="403"/>
      <c r="AH25" s="668"/>
      <c r="AI25" s="668"/>
      <c r="AJ25" s="668"/>
      <c r="AK25" s="668"/>
      <c r="AL25" s="668"/>
      <c r="AM25" s="668"/>
      <c r="AN25" s="668"/>
      <c r="AO25" s="668"/>
      <c r="AP25" s="668"/>
      <c r="AQ25" s="668"/>
      <c r="AR25" s="668"/>
      <c r="AS25" s="668"/>
      <c r="AT25" s="788"/>
    </row>
    <row r="26" spans="7:52" s="501" customFormat="1" ht="34.5" customHeight="1" thickTop="1" thickBot="1" x14ac:dyDescent="0.4">
      <c r="G26" s="834"/>
      <c r="I26" s="3239" t="s">
        <v>1051</v>
      </c>
      <c r="J26" s="3240"/>
      <c r="K26" s="3240"/>
      <c r="L26" s="3240"/>
      <c r="M26" s="3240"/>
      <c r="N26" s="3241"/>
      <c r="O26" s="3269" t="s">
        <v>87</v>
      </c>
      <c r="P26" s="3240"/>
      <c r="Q26" s="3240"/>
      <c r="R26" s="3240"/>
      <c r="S26" s="3240"/>
      <c r="T26" s="3241"/>
      <c r="U26" s="3269" t="s">
        <v>88</v>
      </c>
      <c r="V26" s="3240"/>
      <c r="W26" s="3240"/>
      <c r="X26" s="3240"/>
      <c r="Y26" s="3240"/>
      <c r="Z26" s="3240"/>
      <c r="AA26" s="3269" t="s">
        <v>89</v>
      </c>
      <c r="AB26" s="3240"/>
      <c r="AC26" s="3240"/>
      <c r="AD26" s="3240"/>
      <c r="AE26" s="3240"/>
      <c r="AF26" s="3241"/>
      <c r="AG26" s="3269" t="s">
        <v>90</v>
      </c>
      <c r="AH26" s="3240"/>
      <c r="AI26" s="3240"/>
      <c r="AJ26" s="3240"/>
      <c r="AK26" s="3240"/>
      <c r="AL26" s="3345"/>
      <c r="AM26" s="3240" t="s">
        <v>362</v>
      </c>
      <c r="AN26" s="3240"/>
      <c r="AO26" s="3240"/>
      <c r="AP26" s="3240"/>
      <c r="AQ26" s="3240"/>
      <c r="AR26" s="3270"/>
      <c r="AT26" s="850"/>
      <c r="AY26" s="403"/>
      <c r="AZ26" s="403"/>
    </row>
    <row r="27" spans="7:52" s="501" customFormat="1" ht="27" customHeight="1" thickTop="1" x14ac:dyDescent="0.35">
      <c r="G27" s="834"/>
      <c r="I27" s="3355" t="s">
        <v>1271</v>
      </c>
      <c r="J27" s="3356"/>
      <c r="K27" s="3356"/>
      <c r="L27" s="3356"/>
      <c r="M27" s="3356"/>
      <c r="N27" s="3357"/>
      <c r="O27" s="3184">
        <v>0</v>
      </c>
      <c r="P27" s="3192"/>
      <c r="Q27" s="3192"/>
      <c r="R27" s="3192"/>
      <c r="S27" s="3192"/>
      <c r="T27" s="3254"/>
      <c r="U27" s="3184">
        <v>0</v>
      </c>
      <c r="V27" s="3192"/>
      <c r="W27" s="3192"/>
      <c r="X27" s="3192"/>
      <c r="Y27" s="3192"/>
      <c r="Z27" s="3192"/>
      <c r="AA27" s="3184">
        <v>0</v>
      </c>
      <c r="AB27" s="3192"/>
      <c r="AC27" s="3192"/>
      <c r="AD27" s="3192"/>
      <c r="AE27" s="3192"/>
      <c r="AF27" s="3254"/>
      <c r="AG27" s="3184">
        <v>0</v>
      </c>
      <c r="AH27" s="3192"/>
      <c r="AI27" s="3192"/>
      <c r="AJ27" s="3192"/>
      <c r="AK27" s="3192"/>
      <c r="AL27" s="3339"/>
      <c r="AM27" s="3340">
        <f>SUM(O27:AL27)</f>
        <v>0</v>
      </c>
      <c r="AN27" s="3340"/>
      <c r="AO27" s="3340"/>
      <c r="AP27" s="3340"/>
      <c r="AQ27" s="3340"/>
      <c r="AR27" s="3347"/>
      <c r="AT27" s="850"/>
      <c r="AY27" s="403"/>
      <c r="AZ27" s="403"/>
    </row>
    <row r="28" spans="7:52" s="501" customFormat="1" ht="27" customHeight="1" x14ac:dyDescent="0.35">
      <c r="G28" s="834"/>
      <c r="I28" s="3352" t="s">
        <v>1272</v>
      </c>
      <c r="J28" s="3353"/>
      <c r="K28" s="3353"/>
      <c r="L28" s="3353"/>
      <c r="M28" s="3353"/>
      <c r="N28" s="3354"/>
      <c r="O28" s="3272">
        <v>0</v>
      </c>
      <c r="P28" s="3273"/>
      <c r="Q28" s="3273"/>
      <c r="R28" s="3273"/>
      <c r="S28" s="3273"/>
      <c r="T28" s="3291"/>
      <c r="U28" s="3272">
        <v>0</v>
      </c>
      <c r="V28" s="3273"/>
      <c r="W28" s="3273"/>
      <c r="X28" s="3273"/>
      <c r="Y28" s="3273"/>
      <c r="Z28" s="3273"/>
      <c r="AA28" s="3272">
        <v>0</v>
      </c>
      <c r="AB28" s="3273"/>
      <c r="AC28" s="3273"/>
      <c r="AD28" s="3273"/>
      <c r="AE28" s="3273"/>
      <c r="AF28" s="3291"/>
      <c r="AG28" s="3272">
        <v>0</v>
      </c>
      <c r="AH28" s="3273"/>
      <c r="AI28" s="3273"/>
      <c r="AJ28" s="3273"/>
      <c r="AK28" s="3273"/>
      <c r="AL28" s="3336"/>
      <c r="AM28" s="3337">
        <f t="shared" ref="AM28:AM35" si="6">SUM(O28:AL28)</f>
        <v>0</v>
      </c>
      <c r="AN28" s="3337"/>
      <c r="AO28" s="3337"/>
      <c r="AP28" s="3337"/>
      <c r="AQ28" s="3337"/>
      <c r="AR28" s="3348"/>
      <c r="AT28" s="850"/>
      <c r="AY28" s="403"/>
      <c r="AZ28" s="403"/>
    </row>
    <row r="29" spans="7:52" s="501" customFormat="1" ht="27" customHeight="1" x14ac:dyDescent="0.35">
      <c r="G29" s="834"/>
      <c r="I29" s="3352" t="s">
        <v>1273</v>
      </c>
      <c r="J29" s="3353"/>
      <c r="K29" s="3353"/>
      <c r="L29" s="3353"/>
      <c r="M29" s="3353"/>
      <c r="N29" s="3354"/>
      <c r="O29" s="3272">
        <v>0</v>
      </c>
      <c r="P29" s="3273"/>
      <c r="Q29" s="3273"/>
      <c r="R29" s="3273"/>
      <c r="S29" s="3273"/>
      <c r="T29" s="3291"/>
      <c r="U29" s="3272">
        <v>0</v>
      </c>
      <c r="V29" s="3273"/>
      <c r="W29" s="3273"/>
      <c r="X29" s="3273"/>
      <c r="Y29" s="3273"/>
      <c r="Z29" s="3273"/>
      <c r="AA29" s="3272">
        <v>0</v>
      </c>
      <c r="AB29" s="3273"/>
      <c r="AC29" s="3273"/>
      <c r="AD29" s="3273"/>
      <c r="AE29" s="3273"/>
      <c r="AF29" s="3291"/>
      <c r="AG29" s="3272">
        <v>0</v>
      </c>
      <c r="AH29" s="3273"/>
      <c r="AI29" s="3273"/>
      <c r="AJ29" s="3273"/>
      <c r="AK29" s="3273"/>
      <c r="AL29" s="3336"/>
      <c r="AM29" s="3337">
        <f t="shared" si="6"/>
        <v>0</v>
      </c>
      <c r="AN29" s="3337"/>
      <c r="AO29" s="3337"/>
      <c r="AP29" s="3337"/>
      <c r="AQ29" s="3337"/>
      <c r="AR29" s="3348"/>
      <c r="AT29" s="850"/>
      <c r="AY29" s="403"/>
      <c r="AZ29" s="403"/>
    </row>
    <row r="30" spans="7:52" s="501" customFormat="1" ht="27" customHeight="1" x14ac:dyDescent="0.35">
      <c r="G30" s="834"/>
      <c r="I30" s="3352" t="s">
        <v>1274</v>
      </c>
      <c r="J30" s="3353"/>
      <c r="K30" s="3353"/>
      <c r="L30" s="3353"/>
      <c r="M30" s="3353"/>
      <c r="N30" s="3354"/>
      <c r="O30" s="3272">
        <v>0</v>
      </c>
      <c r="P30" s="3273"/>
      <c r="Q30" s="3273"/>
      <c r="R30" s="3273"/>
      <c r="S30" s="3273"/>
      <c r="T30" s="3291"/>
      <c r="U30" s="3272">
        <v>0</v>
      </c>
      <c r="V30" s="3273"/>
      <c r="W30" s="3273"/>
      <c r="X30" s="3273"/>
      <c r="Y30" s="3273"/>
      <c r="Z30" s="3273"/>
      <c r="AA30" s="3272">
        <v>0</v>
      </c>
      <c r="AB30" s="3273"/>
      <c r="AC30" s="3273"/>
      <c r="AD30" s="3273"/>
      <c r="AE30" s="3273"/>
      <c r="AF30" s="3291"/>
      <c r="AG30" s="3272">
        <v>0</v>
      </c>
      <c r="AH30" s="3273"/>
      <c r="AI30" s="3273"/>
      <c r="AJ30" s="3273"/>
      <c r="AK30" s="3273"/>
      <c r="AL30" s="3336"/>
      <c r="AM30" s="3337">
        <f t="shared" si="6"/>
        <v>0</v>
      </c>
      <c r="AN30" s="3337"/>
      <c r="AO30" s="3337"/>
      <c r="AP30" s="3337"/>
      <c r="AQ30" s="3337"/>
      <c r="AR30" s="3348"/>
      <c r="AT30" s="850"/>
      <c r="AY30" s="403"/>
      <c r="AZ30" s="403"/>
    </row>
    <row r="31" spans="7:52" s="501" customFormat="1" ht="27" customHeight="1" x14ac:dyDescent="0.35">
      <c r="G31" s="834"/>
      <c r="I31" s="3352" t="s">
        <v>1275</v>
      </c>
      <c r="J31" s="3353"/>
      <c r="K31" s="3353"/>
      <c r="L31" s="3353"/>
      <c r="M31" s="3353"/>
      <c r="N31" s="3354"/>
      <c r="O31" s="3272">
        <v>0</v>
      </c>
      <c r="P31" s="3273"/>
      <c r="Q31" s="3273"/>
      <c r="R31" s="3273"/>
      <c r="S31" s="3273"/>
      <c r="T31" s="3291"/>
      <c r="U31" s="3272">
        <v>0</v>
      </c>
      <c r="V31" s="3273"/>
      <c r="W31" s="3273"/>
      <c r="X31" s="3273"/>
      <c r="Y31" s="3273"/>
      <c r="Z31" s="3273"/>
      <c r="AA31" s="3272">
        <v>0</v>
      </c>
      <c r="AB31" s="3273"/>
      <c r="AC31" s="3273"/>
      <c r="AD31" s="3273"/>
      <c r="AE31" s="3273"/>
      <c r="AF31" s="3291"/>
      <c r="AG31" s="3272">
        <v>0</v>
      </c>
      <c r="AH31" s="3273"/>
      <c r="AI31" s="3273"/>
      <c r="AJ31" s="3273"/>
      <c r="AK31" s="3273"/>
      <c r="AL31" s="3336"/>
      <c r="AM31" s="3337">
        <f t="shared" si="6"/>
        <v>0</v>
      </c>
      <c r="AN31" s="3337"/>
      <c r="AO31" s="3337"/>
      <c r="AP31" s="3337"/>
      <c r="AQ31" s="3337"/>
      <c r="AR31" s="3348"/>
      <c r="AT31" s="850"/>
      <c r="AY31" s="403"/>
      <c r="AZ31" s="403"/>
    </row>
    <row r="32" spans="7:52" s="501" customFormat="1" ht="27" customHeight="1" x14ac:dyDescent="0.35">
      <c r="G32" s="834"/>
      <c r="I32" s="3352" t="s">
        <v>1276</v>
      </c>
      <c r="J32" s="3353"/>
      <c r="K32" s="3353"/>
      <c r="L32" s="3353"/>
      <c r="M32" s="3353"/>
      <c r="N32" s="3354"/>
      <c r="O32" s="3272">
        <v>0</v>
      </c>
      <c r="P32" s="3273"/>
      <c r="Q32" s="3273"/>
      <c r="R32" s="3273"/>
      <c r="S32" s="3273"/>
      <c r="T32" s="3291"/>
      <c r="U32" s="3272">
        <v>0</v>
      </c>
      <c r="V32" s="3273"/>
      <c r="W32" s="3273"/>
      <c r="X32" s="3273"/>
      <c r="Y32" s="3273"/>
      <c r="Z32" s="3273"/>
      <c r="AA32" s="3272">
        <v>0</v>
      </c>
      <c r="AB32" s="3273"/>
      <c r="AC32" s="3273"/>
      <c r="AD32" s="3273"/>
      <c r="AE32" s="3273"/>
      <c r="AF32" s="3291"/>
      <c r="AG32" s="3272">
        <v>0</v>
      </c>
      <c r="AH32" s="3273"/>
      <c r="AI32" s="3273"/>
      <c r="AJ32" s="3273"/>
      <c r="AK32" s="3273"/>
      <c r="AL32" s="3336"/>
      <c r="AM32" s="3337">
        <f t="shared" si="6"/>
        <v>0</v>
      </c>
      <c r="AN32" s="3337"/>
      <c r="AO32" s="3337"/>
      <c r="AP32" s="3337"/>
      <c r="AQ32" s="3337"/>
      <c r="AR32" s="3348"/>
      <c r="AT32" s="850"/>
      <c r="AY32" s="403"/>
      <c r="AZ32" s="403"/>
    </row>
    <row r="33" spans="2:64" s="501" customFormat="1" ht="27" customHeight="1" x14ac:dyDescent="0.35">
      <c r="G33" s="834"/>
      <c r="I33" s="3352" t="s">
        <v>1277</v>
      </c>
      <c r="J33" s="3353"/>
      <c r="K33" s="3353"/>
      <c r="L33" s="3353"/>
      <c r="M33" s="3353"/>
      <c r="N33" s="3354"/>
      <c r="O33" s="3272">
        <v>0</v>
      </c>
      <c r="P33" s="3273"/>
      <c r="Q33" s="3273"/>
      <c r="R33" s="3273"/>
      <c r="S33" s="3273"/>
      <c r="T33" s="3291"/>
      <c r="U33" s="3272">
        <v>0</v>
      </c>
      <c r="V33" s="3273"/>
      <c r="W33" s="3273"/>
      <c r="X33" s="3273"/>
      <c r="Y33" s="3273"/>
      <c r="Z33" s="3273"/>
      <c r="AA33" s="3272">
        <v>0</v>
      </c>
      <c r="AB33" s="3273"/>
      <c r="AC33" s="3273"/>
      <c r="AD33" s="3273"/>
      <c r="AE33" s="3273"/>
      <c r="AF33" s="3291"/>
      <c r="AG33" s="3272">
        <v>0</v>
      </c>
      <c r="AH33" s="3273"/>
      <c r="AI33" s="3273"/>
      <c r="AJ33" s="3273"/>
      <c r="AK33" s="3273"/>
      <c r="AL33" s="3336"/>
      <c r="AM33" s="3337">
        <f t="shared" si="6"/>
        <v>0</v>
      </c>
      <c r="AN33" s="3337"/>
      <c r="AO33" s="3337"/>
      <c r="AP33" s="3337"/>
      <c r="AQ33" s="3337"/>
      <c r="AR33" s="3348"/>
      <c r="AT33" s="850"/>
      <c r="AY33" s="403"/>
      <c r="AZ33" s="403"/>
    </row>
    <row r="34" spans="2:64" s="501" customFormat="1" ht="27" customHeight="1" x14ac:dyDescent="0.35">
      <c r="G34" s="834"/>
      <c r="I34" s="3352" t="s">
        <v>1278</v>
      </c>
      <c r="J34" s="3353"/>
      <c r="K34" s="3353"/>
      <c r="L34" s="3353"/>
      <c r="M34" s="3353"/>
      <c r="N34" s="3354"/>
      <c r="O34" s="3272">
        <v>0</v>
      </c>
      <c r="P34" s="3273"/>
      <c r="Q34" s="3273"/>
      <c r="R34" s="3273"/>
      <c r="S34" s="3273"/>
      <c r="T34" s="3291"/>
      <c r="U34" s="3272">
        <v>0</v>
      </c>
      <c r="V34" s="3273"/>
      <c r="W34" s="3273"/>
      <c r="X34" s="3273"/>
      <c r="Y34" s="3273"/>
      <c r="Z34" s="3273"/>
      <c r="AA34" s="3272">
        <v>0</v>
      </c>
      <c r="AB34" s="3273"/>
      <c r="AC34" s="3273"/>
      <c r="AD34" s="3273"/>
      <c r="AE34" s="3273"/>
      <c r="AF34" s="3291"/>
      <c r="AG34" s="3272">
        <v>0</v>
      </c>
      <c r="AH34" s="3273"/>
      <c r="AI34" s="3273"/>
      <c r="AJ34" s="3273"/>
      <c r="AK34" s="3273"/>
      <c r="AL34" s="3336"/>
      <c r="AM34" s="3337">
        <f t="shared" si="6"/>
        <v>0</v>
      </c>
      <c r="AN34" s="3337"/>
      <c r="AO34" s="3337"/>
      <c r="AP34" s="3337"/>
      <c r="AQ34" s="3337"/>
      <c r="AR34" s="3348"/>
      <c r="AT34" s="850"/>
      <c r="AY34" s="403"/>
      <c r="AZ34" s="403"/>
    </row>
    <row r="35" spans="2:64" s="501" customFormat="1" ht="27" customHeight="1" thickBot="1" x14ac:dyDescent="0.4">
      <c r="G35" s="834"/>
      <c r="I35" s="3361" t="s">
        <v>1312</v>
      </c>
      <c r="J35" s="3362"/>
      <c r="K35" s="3362"/>
      <c r="L35" s="3362"/>
      <c r="M35" s="3362"/>
      <c r="N35" s="3363"/>
      <c r="O35" s="3215">
        <v>0</v>
      </c>
      <c r="P35" s="3187"/>
      <c r="Q35" s="3187"/>
      <c r="R35" s="3187"/>
      <c r="S35" s="3187"/>
      <c r="T35" s="3260"/>
      <c r="U35" s="3215">
        <v>0</v>
      </c>
      <c r="V35" s="3187"/>
      <c r="W35" s="3187"/>
      <c r="X35" s="3187"/>
      <c r="Y35" s="3187"/>
      <c r="Z35" s="3187"/>
      <c r="AA35" s="3215">
        <v>0</v>
      </c>
      <c r="AB35" s="3187"/>
      <c r="AC35" s="3187"/>
      <c r="AD35" s="3187"/>
      <c r="AE35" s="3187"/>
      <c r="AF35" s="3260"/>
      <c r="AG35" s="3215">
        <v>0</v>
      </c>
      <c r="AH35" s="3187"/>
      <c r="AI35" s="3187"/>
      <c r="AJ35" s="3187"/>
      <c r="AK35" s="3187"/>
      <c r="AL35" s="3342"/>
      <c r="AM35" s="3343">
        <f t="shared" si="6"/>
        <v>0</v>
      </c>
      <c r="AN35" s="3343"/>
      <c r="AO35" s="3343"/>
      <c r="AP35" s="3343"/>
      <c r="AQ35" s="3343"/>
      <c r="AR35" s="3349"/>
      <c r="AT35" s="850"/>
      <c r="AY35" s="403"/>
      <c r="AZ35" s="403"/>
    </row>
    <row r="36" spans="2:64" s="501" customFormat="1" ht="27" customHeight="1" thickTop="1" thickBot="1" x14ac:dyDescent="0.4">
      <c r="G36" s="834"/>
      <c r="I36" s="3276" t="s">
        <v>16</v>
      </c>
      <c r="J36" s="3277"/>
      <c r="K36" s="3277"/>
      <c r="L36" s="3277"/>
      <c r="M36" s="3277"/>
      <c r="N36" s="3278"/>
      <c r="O36" s="3214">
        <f>SUM(O27:T35)</f>
        <v>0</v>
      </c>
      <c r="P36" s="3212"/>
      <c r="Q36" s="3212"/>
      <c r="R36" s="3212"/>
      <c r="S36" s="3212"/>
      <c r="T36" s="3285"/>
      <c r="U36" s="3214">
        <f t="shared" ref="U36" si="7">SUM(U27:Z35)</f>
        <v>0</v>
      </c>
      <c r="V36" s="3212"/>
      <c r="W36" s="3212"/>
      <c r="X36" s="3212"/>
      <c r="Y36" s="3212"/>
      <c r="Z36" s="3285"/>
      <c r="AA36" s="3214">
        <f t="shared" ref="AA36" si="8">SUM(AA27:AF35)</f>
        <v>0</v>
      </c>
      <c r="AB36" s="3212"/>
      <c r="AC36" s="3212"/>
      <c r="AD36" s="3212"/>
      <c r="AE36" s="3212"/>
      <c r="AF36" s="3285"/>
      <c r="AG36" s="3214">
        <f t="shared" ref="AG36" si="9">SUM(AG27:AL35)</f>
        <v>0</v>
      </c>
      <c r="AH36" s="3212"/>
      <c r="AI36" s="3212"/>
      <c r="AJ36" s="3212"/>
      <c r="AK36" s="3212"/>
      <c r="AL36" s="3212"/>
      <c r="AM36" s="3358">
        <f t="shared" ref="AM36" si="10">SUM(AM27:AR35)</f>
        <v>0</v>
      </c>
      <c r="AN36" s="3212"/>
      <c r="AO36" s="3212"/>
      <c r="AP36" s="3212"/>
      <c r="AQ36" s="3212"/>
      <c r="AR36" s="3285"/>
      <c r="AT36" s="850"/>
      <c r="AY36" s="403"/>
      <c r="AZ36" s="403"/>
    </row>
    <row r="37" spans="2:64" s="501" customFormat="1" ht="11.25" customHeight="1" thickTop="1" thickBot="1" x14ac:dyDescent="0.4">
      <c r="G37" s="532"/>
      <c r="H37" s="543"/>
      <c r="I37" s="529"/>
      <c r="J37" s="529"/>
      <c r="K37" s="778"/>
      <c r="L37" s="408"/>
      <c r="M37" s="408"/>
      <c r="N37" s="408"/>
      <c r="O37" s="408"/>
      <c r="P37" s="408"/>
      <c r="Q37" s="408"/>
      <c r="R37" s="408"/>
      <c r="S37" s="408"/>
      <c r="T37" s="408"/>
      <c r="U37" s="672"/>
      <c r="V37" s="672"/>
      <c r="W37" s="672"/>
      <c r="X37" s="672"/>
      <c r="Y37" s="672"/>
      <c r="Z37" s="408"/>
      <c r="AA37" s="672"/>
      <c r="AB37" s="672"/>
      <c r="AC37" s="672"/>
      <c r="AD37" s="672"/>
      <c r="AE37" s="672"/>
      <c r="AF37" s="672"/>
      <c r="AG37" s="408"/>
      <c r="AH37" s="408"/>
      <c r="AI37" s="408"/>
      <c r="AJ37" s="408"/>
      <c r="AK37" s="408"/>
      <c r="AL37" s="408"/>
      <c r="AM37" s="408"/>
      <c r="AN37" s="408"/>
      <c r="AO37" s="408"/>
      <c r="AP37" s="408"/>
      <c r="AQ37" s="408"/>
      <c r="AR37" s="408"/>
      <c r="AS37" s="408"/>
      <c r="AT37" s="409"/>
      <c r="AU37" s="402"/>
      <c r="AV37" s="402"/>
    </row>
    <row r="38" spans="2:64" ht="6" customHeight="1" thickTop="1" x14ac:dyDescent="0.4">
      <c r="J38" s="849"/>
      <c r="K38" s="503"/>
      <c r="L38" s="503"/>
      <c r="M38" s="503"/>
      <c r="N38" s="503"/>
      <c r="O38" s="503"/>
      <c r="P38" s="503"/>
      <c r="Q38" s="503"/>
      <c r="R38" s="503"/>
      <c r="S38" s="503"/>
      <c r="T38" s="668"/>
      <c r="V38" s="668"/>
      <c r="W38" s="761"/>
      <c r="X38" s="403"/>
      <c r="AA38" s="668"/>
      <c r="AB38" s="761"/>
      <c r="AC38" s="403"/>
      <c r="AD38" s="403"/>
      <c r="AE38" s="403"/>
      <c r="AF38" s="403"/>
      <c r="AG38" s="403"/>
      <c r="AI38" s="668"/>
      <c r="AJ38" s="668"/>
      <c r="AK38" s="668"/>
      <c r="AL38" s="668"/>
      <c r="AM38" s="668"/>
      <c r="AN38" s="668"/>
      <c r="AO38" s="668"/>
      <c r="AP38" s="668"/>
      <c r="AQ38" s="668"/>
      <c r="AR38" s="668"/>
      <c r="AS38" s="668"/>
      <c r="AT38" s="668"/>
      <c r="AU38" s="668"/>
      <c r="AV38" s="668"/>
      <c r="AW38" s="668"/>
      <c r="AX38" s="668"/>
      <c r="AY38" s="668"/>
      <c r="AZ38" s="668"/>
      <c r="BA38" s="668"/>
      <c r="BI38" s="403"/>
      <c r="BJ38" s="403"/>
      <c r="BK38" s="403"/>
      <c r="BL38" s="403"/>
    </row>
    <row r="39" spans="2:64" ht="33" customHeight="1" x14ac:dyDescent="0.35">
      <c r="G39" s="954" t="s">
        <v>150</v>
      </c>
      <c r="H39" s="3360" t="s">
        <v>1131</v>
      </c>
      <c r="I39" s="3360"/>
      <c r="J39" s="3360"/>
      <c r="K39" s="3360"/>
      <c r="L39" s="3360"/>
      <c r="M39" s="3360"/>
      <c r="N39" s="3360"/>
      <c r="O39" s="3360"/>
      <c r="P39" s="3360"/>
      <c r="Q39" s="3360"/>
      <c r="R39" s="3360"/>
      <c r="S39" s="3360"/>
      <c r="T39" s="3360"/>
      <c r="U39" s="3360"/>
      <c r="V39" s="3360"/>
      <c r="W39" s="3360"/>
      <c r="X39" s="3360"/>
      <c r="Y39" s="3360"/>
      <c r="Z39" s="3360"/>
      <c r="AA39" s="3360"/>
      <c r="AB39" s="3360"/>
      <c r="AC39" s="3360"/>
      <c r="AD39" s="3360"/>
      <c r="AE39" s="3360"/>
      <c r="AF39" s="3360"/>
      <c r="AG39" s="3360"/>
      <c r="AH39" s="3360"/>
      <c r="AI39" s="3360"/>
      <c r="AJ39" s="3360"/>
      <c r="AK39" s="3360"/>
      <c r="AL39" s="3360"/>
      <c r="AM39" s="3360"/>
      <c r="AN39" s="3360"/>
      <c r="AO39" s="3360"/>
      <c r="AP39" s="3360"/>
      <c r="AQ39" s="3360"/>
      <c r="AR39" s="3360"/>
      <c r="AS39" s="3360"/>
      <c r="AT39" s="3360"/>
      <c r="AU39" s="949"/>
      <c r="AV39" s="949"/>
      <c r="AW39" s="949"/>
      <c r="AX39" s="949"/>
    </row>
    <row r="40" spans="2:64" ht="15.75" customHeight="1" x14ac:dyDescent="0.35">
      <c r="G40" s="948" t="s">
        <v>151</v>
      </c>
      <c r="H40" s="3359" t="s">
        <v>1132</v>
      </c>
      <c r="I40" s="3359"/>
      <c r="J40" s="3359"/>
      <c r="K40" s="3359"/>
      <c r="L40" s="3359"/>
      <c r="M40" s="3359"/>
      <c r="N40" s="3359"/>
      <c r="O40" s="3359"/>
      <c r="P40" s="3359"/>
      <c r="Q40" s="3359"/>
      <c r="R40" s="3359"/>
      <c r="S40" s="3359"/>
      <c r="T40" s="3359"/>
      <c r="U40" s="3359"/>
      <c r="V40" s="3359"/>
      <c r="W40" s="3359"/>
      <c r="X40" s="3359"/>
      <c r="Y40" s="3359"/>
      <c r="Z40" s="3359"/>
      <c r="AA40" s="3359"/>
      <c r="AB40" s="3359"/>
      <c r="AC40" s="3359"/>
      <c r="AD40" s="3359"/>
      <c r="AE40" s="3359"/>
      <c r="AF40" s="3359"/>
      <c r="AG40" s="3359"/>
      <c r="AH40" s="3359"/>
      <c r="AI40" s="3359"/>
      <c r="AJ40" s="3359"/>
      <c r="AK40" s="3359"/>
      <c r="AL40" s="3359"/>
      <c r="AM40" s="3359"/>
      <c r="AN40" s="3359"/>
      <c r="AO40" s="3359"/>
      <c r="AP40" s="3359"/>
      <c r="AQ40" s="3359"/>
      <c r="AR40" s="3359"/>
      <c r="AS40" s="3359"/>
      <c r="AT40" s="3359"/>
      <c r="AU40" s="949"/>
      <c r="AV40" s="949"/>
      <c r="AW40" s="949"/>
      <c r="AX40" s="949"/>
    </row>
    <row r="41" spans="2:64" ht="15.75" customHeight="1" x14ac:dyDescent="0.35">
      <c r="G41" s="948" t="s">
        <v>152</v>
      </c>
      <c r="H41" s="3359" t="s">
        <v>1133</v>
      </c>
      <c r="I41" s="3359"/>
      <c r="J41" s="3359"/>
      <c r="K41" s="3359"/>
      <c r="L41" s="3359"/>
      <c r="M41" s="3359"/>
      <c r="N41" s="3359"/>
      <c r="O41" s="3359"/>
      <c r="P41" s="3359"/>
      <c r="Q41" s="3359"/>
      <c r="R41" s="3359"/>
      <c r="S41" s="3359"/>
      <c r="T41" s="3359"/>
      <c r="U41" s="3359"/>
      <c r="V41" s="3359"/>
      <c r="W41" s="3359"/>
      <c r="X41" s="3359"/>
      <c r="Y41" s="3359"/>
      <c r="Z41" s="3359"/>
      <c r="AA41" s="3359"/>
      <c r="AB41" s="3359"/>
      <c r="AC41" s="3359"/>
      <c r="AD41" s="3359"/>
      <c r="AE41" s="3359"/>
      <c r="AF41" s="3359"/>
      <c r="AG41" s="3359"/>
      <c r="AH41" s="3359"/>
      <c r="AI41" s="3359"/>
      <c r="AJ41" s="3359"/>
      <c r="AK41" s="3359"/>
      <c r="AL41" s="3359"/>
      <c r="AM41" s="3359"/>
      <c r="AN41" s="3359"/>
      <c r="AO41" s="3359"/>
      <c r="AP41" s="3359"/>
      <c r="AQ41" s="3359"/>
      <c r="AR41" s="3359"/>
      <c r="AS41" s="3359"/>
      <c r="AT41" s="3359"/>
      <c r="AU41" s="949"/>
      <c r="AV41" s="949"/>
      <c r="AW41" s="949"/>
      <c r="AX41" s="949"/>
    </row>
    <row r="42" spans="2:64" ht="15.75" customHeight="1" x14ac:dyDescent="0.35">
      <c r="G42" s="948" t="s">
        <v>155</v>
      </c>
      <c r="H42" s="3359" t="s">
        <v>1134</v>
      </c>
      <c r="I42" s="3359"/>
      <c r="J42" s="3359"/>
      <c r="K42" s="3359"/>
      <c r="L42" s="3359"/>
      <c r="M42" s="3359"/>
      <c r="N42" s="3359"/>
      <c r="O42" s="3359"/>
      <c r="P42" s="3359"/>
      <c r="Q42" s="3359"/>
      <c r="R42" s="3359"/>
      <c r="S42" s="3359"/>
      <c r="T42" s="3359"/>
      <c r="U42" s="3359"/>
      <c r="V42" s="3359"/>
      <c r="W42" s="3359"/>
      <c r="X42" s="3359"/>
      <c r="Y42" s="3359"/>
      <c r="Z42" s="3359"/>
      <c r="AA42" s="3359"/>
      <c r="AB42" s="3359"/>
      <c r="AC42" s="3359"/>
      <c r="AD42" s="3359"/>
      <c r="AE42" s="3359"/>
      <c r="AF42" s="3359"/>
      <c r="AG42" s="3359"/>
      <c r="AH42" s="3359"/>
      <c r="AI42" s="3359"/>
      <c r="AJ42" s="3359"/>
      <c r="AK42" s="3359"/>
      <c r="AL42" s="3359"/>
      <c r="AM42" s="3359"/>
      <c r="AN42" s="3359"/>
      <c r="AO42" s="3359"/>
      <c r="AP42" s="3359"/>
      <c r="AQ42" s="3359"/>
      <c r="AR42" s="3359"/>
      <c r="AS42" s="3359"/>
      <c r="AT42" s="3359"/>
      <c r="AU42" s="949"/>
      <c r="AV42" s="949"/>
      <c r="AW42" s="949"/>
      <c r="AX42" s="949"/>
    </row>
    <row r="43" spans="2:64" x14ac:dyDescent="0.35">
      <c r="G43" s="954" t="s">
        <v>156</v>
      </c>
      <c r="H43" s="3360" t="s">
        <v>1135</v>
      </c>
      <c r="I43" s="3360"/>
      <c r="J43" s="3360"/>
      <c r="K43" s="3360"/>
      <c r="L43" s="3360"/>
      <c r="M43" s="3360"/>
      <c r="N43" s="3360"/>
      <c r="O43" s="3360"/>
      <c r="P43" s="3360"/>
      <c r="Q43" s="3360"/>
      <c r="R43" s="3360"/>
      <c r="S43" s="3360"/>
      <c r="T43" s="3360"/>
      <c r="U43" s="3360"/>
      <c r="V43" s="3360"/>
      <c r="W43" s="3360"/>
      <c r="X43" s="3360"/>
      <c r="Y43" s="3360"/>
      <c r="Z43" s="3360"/>
      <c r="AA43" s="3360"/>
      <c r="AB43" s="3360"/>
      <c r="AC43" s="3360"/>
      <c r="AD43" s="3360"/>
      <c r="AE43" s="3360"/>
      <c r="AF43" s="3360"/>
      <c r="AG43" s="3360"/>
      <c r="AH43" s="3360"/>
      <c r="AI43" s="3360"/>
      <c r="AJ43" s="3360"/>
      <c r="AK43" s="3360"/>
      <c r="AL43" s="3360"/>
      <c r="AM43" s="3360"/>
      <c r="AN43" s="3360"/>
      <c r="AO43" s="3360"/>
      <c r="AP43" s="3360"/>
      <c r="AQ43" s="3360"/>
      <c r="AR43" s="3360"/>
      <c r="AS43" s="3360"/>
      <c r="AT43" s="3360"/>
      <c r="AU43" s="949"/>
      <c r="AV43" s="949"/>
      <c r="AW43" s="949"/>
      <c r="AX43" s="949"/>
    </row>
    <row r="44" spans="2:64" ht="15.75" customHeight="1" x14ac:dyDescent="0.35">
      <c r="G44" s="948" t="s">
        <v>157</v>
      </c>
      <c r="H44" s="3360" t="s">
        <v>1136</v>
      </c>
      <c r="I44" s="3360"/>
      <c r="J44" s="3360"/>
      <c r="K44" s="3360"/>
      <c r="L44" s="3360"/>
      <c r="M44" s="3360"/>
      <c r="N44" s="3360"/>
      <c r="O44" s="3360"/>
      <c r="P44" s="3360"/>
      <c r="Q44" s="3360"/>
      <c r="R44" s="3360"/>
      <c r="S44" s="3360"/>
      <c r="T44" s="3360"/>
      <c r="U44" s="3360"/>
      <c r="V44" s="3360"/>
      <c r="W44" s="3360"/>
      <c r="X44" s="3360"/>
      <c r="Y44" s="3360"/>
      <c r="Z44" s="3360"/>
      <c r="AA44" s="3360"/>
      <c r="AB44" s="3360"/>
      <c r="AC44" s="3360"/>
      <c r="AD44" s="3360"/>
      <c r="AE44" s="3360"/>
      <c r="AF44" s="3360"/>
      <c r="AG44" s="3360"/>
      <c r="AH44" s="3360"/>
      <c r="AI44" s="3360"/>
      <c r="AJ44" s="3360"/>
      <c r="AK44" s="3360"/>
      <c r="AL44" s="3360"/>
      <c r="AM44" s="3360"/>
      <c r="AN44" s="3360"/>
      <c r="AO44" s="3360"/>
      <c r="AP44" s="3360"/>
      <c r="AQ44" s="3360"/>
      <c r="AR44" s="3360"/>
      <c r="AS44" s="3360"/>
      <c r="AT44" s="3360"/>
      <c r="AU44" s="949"/>
      <c r="AV44" s="949"/>
      <c r="AW44" s="949"/>
      <c r="AX44" s="949"/>
    </row>
    <row r="45" spans="2:64" s="44" customFormat="1" ht="30.75" customHeight="1" x14ac:dyDescent="0.35">
      <c r="C45" s="85"/>
      <c r="E45" s="85"/>
      <c r="G45" s="85"/>
      <c r="I45" s="85"/>
      <c r="K45" s="85"/>
      <c r="M45" s="85"/>
      <c r="O45" s="85"/>
      <c r="Q45" s="85"/>
      <c r="T45" s="85"/>
      <c r="U45" s="85"/>
      <c r="V45" s="85"/>
      <c r="X45" s="85"/>
      <c r="Z45" s="85"/>
      <c r="AB45" s="85"/>
      <c r="AE45" s="85"/>
    </row>
    <row r="46" spans="2:64" s="73" customFormat="1" ht="14" x14ac:dyDescent="0.3">
      <c r="B46" s="74" t="s">
        <v>12</v>
      </c>
      <c r="T46" s="74" t="s">
        <v>1052</v>
      </c>
      <c r="AL46" s="74" t="s">
        <v>922</v>
      </c>
    </row>
    <row r="47" spans="2:64" s="73" customFormat="1" ht="21.75" customHeight="1" x14ac:dyDescent="0.3">
      <c r="B47" s="74" t="s">
        <v>811</v>
      </c>
      <c r="F47" s="1482" t="str">
        <f>SchInfo!F38</f>
        <v>MELCHESIEDICK Q. BOLANIO/ March 17, 2023</v>
      </c>
      <c r="G47" s="1482"/>
      <c r="H47" s="1482"/>
      <c r="I47" s="1482"/>
      <c r="J47" s="1482"/>
      <c r="K47" s="1482"/>
      <c r="L47" s="1482"/>
      <c r="M47" s="1482"/>
      <c r="N47" s="1482"/>
      <c r="O47" s="1482"/>
      <c r="P47" s="1482"/>
      <c r="R47" s="545"/>
      <c r="S47" s="545"/>
      <c r="T47" s="1482" t="str">
        <f>'Boxes24-25'!T41</f>
        <v>RONE RAY M. PORTACION  /  March 17, 2023</v>
      </c>
      <c r="U47" s="1482"/>
      <c r="V47" s="1482"/>
      <c r="W47" s="1482"/>
      <c r="X47" s="1482"/>
      <c r="Y47" s="1482"/>
      <c r="Z47" s="1482"/>
      <c r="AA47" s="1482"/>
      <c r="AB47" s="1482"/>
      <c r="AC47" s="1482"/>
      <c r="AD47" s="1482"/>
      <c r="AE47" s="1482"/>
      <c r="AF47" s="1482"/>
      <c r="AG47" s="1482"/>
      <c r="AH47" s="1482"/>
      <c r="AL47" s="1484" t="str">
        <f>SchInfo!R38</f>
        <v>MICHAEL T. JAMIS   /  March 17, 2023</v>
      </c>
      <c r="AM47" s="1484"/>
      <c r="AN47" s="1484"/>
      <c r="AO47" s="1484"/>
      <c r="AP47" s="1484"/>
      <c r="AQ47" s="1484"/>
      <c r="AR47" s="1484"/>
      <c r="AS47" s="1484"/>
      <c r="AT47" s="1484"/>
      <c r="AU47" s="1484"/>
      <c r="AV47" s="1484"/>
      <c r="AW47" s="1484"/>
      <c r="AX47" s="1484"/>
      <c r="AY47" s="1484"/>
      <c r="AZ47" s="1484"/>
    </row>
    <row r="48" spans="2:64" s="68" customFormat="1" ht="13.5" customHeight="1" x14ac:dyDescent="0.3">
      <c r="B48" s="210"/>
      <c r="F48" s="1452" t="s">
        <v>779</v>
      </c>
      <c r="G48" s="1452"/>
      <c r="H48" s="1452"/>
      <c r="I48" s="1452"/>
      <c r="J48" s="1452"/>
      <c r="K48" s="1452"/>
      <c r="L48" s="1452"/>
      <c r="M48" s="1452"/>
      <c r="N48" s="1452"/>
      <c r="O48" s="1452"/>
      <c r="P48" s="1452"/>
      <c r="Q48" s="172"/>
      <c r="R48" s="220"/>
      <c r="S48" s="220"/>
      <c r="T48" s="1452" t="s">
        <v>779</v>
      </c>
      <c r="U48" s="1452"/>
      <c r="V48" s="1452"/>
      <c r="W48" s="1452"/>
      <c r="X48" s="1452"/>
      <c r="Y48" s="1452"/>
      <c r="Z48" s="1452"/>
      <c r="AA48" s="1452"/>
      <c r="AB48" s="1452"/>
      <c r="AC48" s="1452"/>
      <c r="AD48" s="1452"/>
      <c r="AE48" s="1452"/>
      <c r="AF48" s="1452"/>
      <c r="AG48" s="1452"/>
      <c r="AH48" s="1452"/>
      <c r="AI48" s="172"/>
      <c r="AL48" s="1485"/>
      <c r="AM48" s="1485"/>
      <c r="AN48" s="1485"/>
      <c r="AO48" s="1485"/>
      <c r="AP48" s="1485"/>
      <c r="AQ48" s="1485"/>
      <c r="AR48" s="1485"/>
      <c r="AS48" s="1485"/>
      <c r="AT48" s="1485"/>
      <c r="AU48" s="1485"/>
      <c r="AV48" s="1485"/>
      <c r="AW48" s="1485"/>
      <c r="AX48" s="1485"/>
      <c r="AY48" s="1485"/>
      <c r="AZ48" s="1485"/>
    </row>
    <row r="49" spans="2:52" s="73" customFormat="1" ht="21.75" customHeight="1" x14ac:dyDescent="0.3">
      <c r="B49" s="74" t="s">
        <v>784</v>
      </c>
      <c r="F49" s="1482" t="str">
        <f>SchInfo!F40</f>
        <v>Principal IV</v>
      </c>
      <c r="G49" s="1482"/>
      <c r="H49" s="1482"/>
      <c r="I49" s="1482"/>
      <c r="J49" s="1482"/>
      <c r="K49" s="1482"/>
      <c r="L49" s="1482"/>
      <c r="M49" s="1482"/>
      <c r="N49" s="1482"/>
      <c r="O49" s="1482"/>
      <c r="P49" s="1482"/>
      <c r="R49" s="545"/>
      <c r="S49" s="545"/>
      <c r="T49" s="74" t="s">
        <v>784</v>
      </c>
      <c r="X49" s="1482" t="str">
        <f>'Boxes24-25'!$X43</f>
        <v>Education Program Supervisor</v>
      </c>
      <c r="Y49" s="1482"/>
      <c r="Z49" s="1482"/>
      <c r="AA49" s="1482"/>
      <c r="AB49" s="1482"/>
      <c r="AC49" s="1482"/>
      <c r="AD49" s="1482"/>
      <c r="AE49" s="1482"/>
      <c r="AF49" s="1482"/>
      <c r="AG49" s="1482"/>
      <c r="AH49" s="1482"/>
      <c r="AL49" s="1452" t="s">
        <v>779</v>
      </c>
      <c r="AM49" s="1452"/>
      <c r="AN49" s="1452"/>
      <c r="AO49" s="1452"/>
      <c r="AP49" s="1452"/>
      <c r="AQ49" s="1452"/>
      <c r="AR49" s="1452"/>
      <c r="AS49" s="1452"/>
      <c r="AT49" s="1452"/>
      <c r="AU49" s="1452"/>
      <c r="AV49" s="1452"/>
      <c r="AW49" s="1452"/>
      <c r="AX49" s="1452"/>
      <c r="AY49" s="1452"/>
      <c r="AZ49" s="1452"/>
    </row>
    <row r="50" spans="2:52" s="124" customFormat="1" x14ac:dyDescent="0.3">
      <c r="B50" s="123"/>
      <c r="D50" s="123"/>
      <c r="F50" s="123"/>
      <c r="H50" s="123"/>
      <c r="J50" s="123"/>
      <c r="L50" s="123"/>
      <c r="N50" s="123"/>
      <c r="P50" s="123"/>
      <c r="R50" s="123"/>
      <c r="T50" s="123"/>
      <c r="V50" s="123"/>
      <c r="X50" s="123"/>
      <c r="Z50" s="123"/>
      <c r="AB50" s="123"/>
      <c r="AD50" s="123"/>
      <c r="AF50" s="123"/>
      <c r="AH50" s="123"/>
      <c r="AJ50" s="123"/>
      <c r="AL50" s="123"/>
      <c r="AN50" s="123"/>
      <c r="AP50" s="123"/>
      <c r="AR50" s="123"/>
      <c r="AT50" s="123"/>
      <c r="AV50" s="123"/>
      <c r="AX50" s="123"/>
      <c r="AZ50" s="123"/>
    </row>
    <row r="51" spans="2:52" s="73" customFormat="1" ht="14" x14ac:dyDescent="0.3"/>
    <row r="52" spans="2:52" s="73" customFormat="1" ht="14" x14ac:dyDescent="0.3"/>
    <row r="53" spans="2:52" s="68" customFormat="1" ht="12" x14ac:dyDescent="0.3"/>
  </sheetData>
  <sheetProtection algorithmName="SHA-512" hashValue="z+rJbFLtQyosKU3d8+OHoaz3GGU5MjQpk/OC0FqUn+P4MWd7ReGyl7T2Fy9mwo3dMlqC1nMa8XXwlvqm9Q0xYw==" saltValue="OWoK9H/ufGIdcv5LAnZRqQ==" spinCount="100000" sheet="1" objects="1" scenarios="1"/>
  <mergeCells count="121">
    <mergeCell ref="U29:Z29"/>
    <mergeCell ref="AA29:AF29"/>
    <mergeCell ref="I26:N26"/>
    <mergeCell ref="O26:T26"/>
    <mergeCell ref="U26:Z26"/>
    <mergeCell ref="AM35:AR35"/>
    <mergeCell ref="AM36:AR36"/>
    <mergeCell ref="AM26:AR26"/>
    <mergeCell ref="AM27:AR27"/>
    <mergeCell ref="AM28:AR28"/>
    <mergeCell ref="AM29:AR29"/>
    <mergeCell ref="AM30:AR30"/>
    <mergeCell ref="AM31:AR31"/>
    <mergeCell ref="AM32:AR32"/>
    <mergeCell ref="AM33:AR33"/>
    <mergeCell ref="AM34:AR34"/>
    <mergeCell ref="U36:Z36"/>
    <mergeCell ref="AA36:AF36"/>
    <mergeCell ref="AA33:AF33"/>
    <mergeCell ref="AG33:AL33"/>
    <mergeCell ref="U31:Z31"/>
    <mergeCell ref="AA31:AF31"/>
    <mergeCell ref="AG31:AL31"/>
    <mergeCell ref="I32:N32"/>
    <mergeCell ref="O32:T32"/>
    <mergeCell ref="U32:Z32"/>
    <mergeCell ref="AA32:AF32"/>
    <mergeCell ref="AG32:AL32"/>
    <mergeCell ref="AG35:AL35"/>
    <mergeCell ref="I35:N35"/>
    <mergeCell ref="O35:T35"/>
    <mergeCell ref="U35:Z35"/>
    <mergeCell ref="AA35:AF35"/>
    <mergeCell ref="I34:N34"/>
    <mergeCell ref="O34:T34"/>
    <mergeCell ref="U34:Z34"/>
    <mergeCell ref="AA34:AF34"/>
    <mergeCell ref="AG34:AL34"/>
    <mergeCell ref="U33:Z33"/>
    <mergeCell ref="I33:N33"/>
    <mergeCell ref="O33:T33"/>
    <mergeCell ref="O12:T12"/>
    <mergeCell ref="U12:Z12"/>
    <mergeCell ref="AA12:AF12"/>
    <mergeCell ref="H39:AT39"/>
    <mergeCell ref="H40:AT40"/>
    <mergeCell ref="AG26:AL26"/>
    <mergeCell ref="AG27:AL27"/>
    <mergeCell ref="AG28:AL28"/>
    <mergeCell ref="AG29:AL29"/>
    <mergeCell ref="AG36:AL36"/>
    <mergeCell ref="I30:N30"/>
    <mergeCell ref="O30:T30"/>
    <mergeCell ref="U30:Z30"/>
    <mergeCell ref="AA30:AF30"/>
    <mergeCell ref="AG30:AL30"/>
    <mergeCell ref="I31:N31"/>
    <mergeCell ref="O31:T31"/>
    <mergeCell ref="AA28:AF28"/>
    <mergeCell ref="I29:N29"/>
    <mergeCell ref="O29:T29"/>
    <mergeCell ref="I36:N36"/>
    <mergeCell ref="O36:T36"/>
    <mergeCell ref="U27:Z27"/>
    <mergeCell ref="AA27:AF27"/>
    <mergeCell ref="H41:AT41"/>
    <mergeCell ref="H42:AT42"/>
    <mergeCell ref="H43:AT43"/>
    <mergeCell ref="H44:AT44"/>
    <mergeCell ref="F47:P47"/>
    <mergeCell ref="F48:P48"/>
    <mergeCell ref="F49:P49"/>
    <mergeCell ref="T47:AH47"/>
    <mergeCell ref="T48:AH48"/>
    <mergeCell ref="X49:AH49"/>
    <mergeCell ref="AL47:AZ48"/>
    <mergeCell ref="AL49:AZ49"/>
    <mergeCell ref="I28:N28"/>
    <mergeCell ref="O28:T28"/>
    <mergeCell ref="U28:Z28"/>
    <mergeCell ref="O19:T19"/>
    <mergeCell ref="U19:Z19"/>
    <mergeCell ref="AA19:AF19"/>
    <mergeCell ref="O20:T20"/>
    <mergeCell ref="U20:Z20"/>
    <mergeCell ref="AA20:AF20"/>
    <mergeCell ref="I27:N27"/>
    <mergeCell ref="O27:T27"/>
    <mergeCell ref="O21:T21"/>
    <mergeCell ref="U21:Z21"/>
    <mergeCell ref="AA21:AF21"/>
    <mergeCell ref="I22:N22"/>
    <mergeCell ref="O22:T22"/>
    <mergeCell ref="U22:Z22"/>
    <mergeCell ref="AA22:AF22"/>
    <mergeCell ref="AA26:AF26"/>
    <mergeCell ref="I17:N17"/>
    <mergeCell ref="O17:T17"/>
    <mergeCell ref="U17:Z17"/>
    <mergeCell ref="AA17:AF17"/>
    <mergeCell ref="O18:T18"/>
    <mergeCell ref="U18:Z18"/>
    <mergeCell ref="AA18:AF18"/>
    <mergeCell ref="O13:T13"/>
    <mergeCell ref="U13:Z13"/>
    <mergeCell ref="AA13:AF13"/>
    <mergeCell ref="I13:N13"/>
    <mergeCell ref="I7:N8"/>
    <mergeCell ref="O7:AF7"/>
    <mergeCell ref="O8:T8"/>
    <mergeCell ref="U8:Z8"/>
    <mergeCell ref="AA8:AF8"/>
    <mergeCell ref="O11:T11"/>
    <mergeCell ref="U11:Z11"/>
    <mergeCell ref="AA11:AF11"/>
    <mergeCell ref="O10:T10"/>
    <mergeCell ref="U10:Z10"/>
    <mergeCell ref="AA10:AF10"/>
    <mergeCell ref="O9:T9"/>
    <mergeCell ref="U9:Z9"/>
    <mergeCell ref="AA9:AF9"/>
  </mergeCells>
  <dataValidations count="1">
    <dataValidation type="whole" allowBlank="1" showInputMessage="1" showErrorMessage="1" errorTitle="GJHSP SY 2022-2023" error="Please enter valid number between 0-20,000." sqref="O27:AL35 O9:Z12 O18:Z21" xr:uid="{8ACC61C8-BD5F-40DA-B33A-49C89FBEA3F0}">
      <formula1>0</formula1>
      <formula2>20000</formula2>
    </dataValidation>
  </dataValidations>
  <printOptions horizontalCentered="1" verticalCentered="1"/>
  <pageMargins left="0.23622047244094491" right="0.23622047244094491" top="0.19685039370078741" bottom="0.19685039370078741" header="0" footer="0.11811023622047245"/>
  <pageSetup paperSize="14" scale="55" orientation="portrait" r:id="rId1"/>
  <headerFooter alignWithMargins="0">
    <oddFooter>&amp;L&amp;10&amp;F &amp;A&amp;R&amp;10Page 41 of 63</oddFooter>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8">
    <pageSetUpPr fitToPage="1"/>
  </sheetPr>
  <dimension ref="B1:BC45"/>
  <sheetViews>
    <sheetView showGridLines="0" topLeftCell="A6" zoomScaleNormal="100" workbookViewId="0">
      <selection activeCell="AF29" sqref="AF29"/>
    </sheetView>
  </sheetViews>
  <sheetFormatPr defaultColWidth="9" defaultRowHeight="15.5" x14ac:dyDescent="0.35"/>
  <cols>
    <col min="1" max="1" width="2.08203125" style="547" customWidth="1"/>
    <col min="2" max="45" width="3.58203125" style="547" customWidth="1"/>
    <col min="46" max="46" width="2.08203125" style="547" customWidth="1"/>
    <col min="47" max="48" width="3.58203125" style="547" customWidth="1"/>
    <col min="49" max="49" width="2.08203125" style="547" customWidth="1"/>
    <col min="50" max="60" width="3.58203125" style="547" customWidth="1"/>
    <col min="61" max="61" width="2.08203125" style="547" customWidth="1"/>
    <col min="62" max="16384" width="9" style="547"/>
  </cols>
  <sheetData>
    <row r="1" spans="5:44" ht="12" customHeight="1" x14ac:dyDescent="0.35"/>
    <row r="2" spans="5:44" x14ac:dyDescent="0.35">
      <c r="E2" s="418" t="s">
        <v>12742</v>
      </c>
      <c r="J2" s="959"/>
    </row>
    <row r="3" spans="5:44" ht="16" thickBot="1" x14ac:dyDescent="0.4">
      <c r="E3" s="504" t="s">
        <v>1099</v>
      </c>
      <c r="J3" s="960"/>
      <c r="K3" s="960"/>
      <c r="L3" s="960"/>
      <c r="M3" s="960"/>
      <c r="N3" s="960"/>
      <c r="O3" s="960"/>
    </row>
    <row r="4" spans="5:44" s="531" customFormat="1" ht="40" customHeight="1" thickTop="1" thickBot="1" x14ac:dyDescent="0.4">
      <c r="E4" s="2595" t="s">
        <v>667</v>
      </c>
      <c r="F4" s="2596"/>
      <c r="G4" s="2596"/>
      <c r="H4" s="2596"/>
      <c r="I4" s="2596"/>
      <c r="J4" s="2596"/>
      <c r="K4" s="2596"/>
      <c r="L4" s="2596"/>
      <c r="M4" s="2596"/>
      <c r="N4" s="3365"/>
      <c r="O4" s="3366" t="s">
        <v>668</v>
      </c>
      <c r="P4" s="2596"/>
      <c r="Q4" s="3367"/>
      <c r="R4" s="3368" t="s">
        <v>669</v>
      </c>
      <c r="S4" s="2596"/>
      <c r="T4" s="3367"/>
      <c r="U4" s="3368" t="s">
        <v>670</v>
      </c>
      <c r="V4" s="2596"/>
      <c r="W4" s="2597"/>
      <c r="X4" s="2742" t="s">
        <v>667</v>
      </c>
      <c r="Y4" s="2596"/>
      <c r="Z4" s="2596"/>
      <c r="AA4" s="2596"/>
      <c r="AB4" s="2596"/>
      <c r="AC4" s="2596"/>
      <c r="AD4" s="2596"/>
      <c r="AE4" s="2596"/>
      <c r="AF4" s="2596"/>
      <c r="AG4" s="3365"/>
      <c r="AH4" s="3366" t="s">
        <v>668</v>
      </c>
      <c r="AI4" s="2596"/>
      <c r="AJ4" s="3367"/>
      <c r="AK4" s="3368" t="s">
        <v>669</v>
      </c>
      <c r="AL4" s="2596"/>
      <c r="AM4" s="3367"/>
      <c r="AN4" s="3368" t="s">
        <v>670</v>
      </c>
      <c r="AO4" s="2596"/>
      <c r="AP4" s="2745"/>
      <c r="AQ4" s="830"/>
      <c r="AR4" s="830"/>
    </row>
    <row r="5" spans="5:44" s="399" customFormat="1" ht="30" customHeight="1" thickTop="1" x14ac:dyDescent="0.35">
      <c r="E5" s="961" t="s">
        <v>150</v>
      </c>
      <c r="F5" s="962" t="s">
        <v>689</v>
      </c>
      <c r="G5" s="962"/>
      <c r="H5" s="962"/>
      <c r="I5" s="962"/>
      <c r="J5" s="962"/>
      <c r="K5" s="962"/>
      <c r="L5" s="962"/>
      <c r="M5" s="962"/>
      <c r="N5" s="963"/>
      <c r="O5" s="3378" t="b">
        <v>0</v>
      </c>
      <c r="P5" s="3376"/>
      <c r="Q5" s="3376"/>
      <c r="R5" s="3376" t="b">
        <v>0</v>
      </c>
      <c r="S5" s="3376"/>
      <c r="T5" s="3376"/>
      <c r="U5" s="3376" t="b">
        <v>0</v>
      </c>
      <c r="V5" s="3376"/>
      <c r="W5" s="3377"/>
      <c r="X5" s="964" t="s">
        <v>674</v>
      </c>
      <c r="Y5" s="962" t="s">
        <v>688</v>
      </c>
      <c r="Z5" s="962"/>
      <c r="AA5" s="962"/>
      <c r="AB5" s="962"/>
      <c r="AC5" s="962"/>
      <c r="AD5" s="962"/>
      <c r="AE5" s="962"/>
      <c r="AF5" s="962"/>
      <c r="AG5" s="963"/>
      <c r="AH5" s="3385" t="b">
        <v>0</v>
      </c>
      <c r="AI5" s="3383"/>
      <c r="AJ5" s="3383"/>
      <c r="AK5" s="3383" t="b">
        <v>0</v>
      </c>
      <c r="AL5" s="3383"/>
      <c r="AM5" s="3383"/>
      <c r="AN5" s="3383" t="b">
        <v>0</v>
      </c>
      <c r="AO5" s="3383"/>
      <c r="AP5" s="3384"/>
      <c r="AQ5" s="965"/>
      <c r="AR5" s="965"/>
    </row>
    <row r="6" spans="5:44" s="399" customFormat="1" ht="30" customHeight="1" x14ac:dyDescent="0.35">
      <c r="E6" s="966" t="s">
        <v>151</v>
      </c>
      <c r="F6" s="725" t="s">
        <v>568</v>
      </c>
      <c r="G6" s="725"/>
      <c r="H6" s="725"/>
      <c r="I6" s="725"/>
      <c r="J6" s="725"/>
      <c r="K6" s="725"/>
      <c r="L6" s="725"/>
      <c r="M6" s="725"/>
      <c r="N6" s="967"/>
      <c r="O6" s="3370" t="b">
        <v>1</v>
      </c>
      <c r="P6" s="3369"/>
      <c r="Q6" s="3369"/>
      <c r="R6" s="3369" t="b">
        <v>1</v>
      </c>
      <c r="S6" s="3369"/>
      <c r="T6" s="3369"/>
      <c r="U6" s="3369" t="b">
        <v>1</v>
      </c>
      <c r="V6" s="3369"/>
      <c r="W6" s="3371"/>
      <c r="X6" s="968" t="s">
        <v>675</v>
      </c>
      <c r="Y6" s="725" t="s">
        <v>692</v>
      </c>
      <c r="Z6" s="725"/>
      <c r="AA6" s="725"/>
      <c r="AB6" s="725"/>
      <c r="AC6" s="725"/>
      <c r="AD6" s="725"/>
      <c r="AE6" s="725"/>
      <c r="AF6" s="725"/>
      <c r="AG6" s="967"/>
      <c r="AH6" s="3370" t="b">
        <v>0</v>
      </c>
      <c r="AI6" s="3369"/>
      <c r="AJ6" s="3369"/>
      <c r="AK6" s="3369" t="b">
        <v>0</v>
      </c>
      <c r="AL6" s="3369"/>
      <c r="AM6" s="3369"/>
      <c r="AN6" s="3369" t="b">
        <v>0</v>
      </c>
      <c r="AO6" s="3369"/>
      <c r="AP6" s="3382"/>
      <c r="AQ6" s="965"/>
      <c r="AR6" s="965"/>
    </row>
    <row r="7" spans="5:44" s="399" customFormat="1" ht="30" customHeight="1" x14ac:dyDescent="0.35">
      <c r="E7" s="966" t="s">
        <v>152</v>
      </c>
      <c r="F7" s="725" t="s">
        <v>569</v>
      </c>
      <c r="G7" s="725"/>
      <c r="H7" s="725"/>
      <c r="I7" s="725"/>
      <c r="J7" s="725"/>
      <c r="K7" s="725"/>
      <c r="L7" s="725"/>
      <c r="M7" s="725"/>
      <c r="N7" s="969"/>
      <c r="O7" s="3370" t="b">
        <v>0</v>
      </c>
      <c r="P7" s="3369"/>
      <c r="Q7" s="3369"/>
      <c r="R7" s="3369" t="b">
        <v>0</v>
      </c>
      <c r="S7" s="3369"/>
      <c r="T7" s="3369"/>
      <c r="U7" s="3369" t="b">
        <v>0</v>
      </c>
      <c r="V7" s="3369"/>
      <c r="W7" s="3371"/>
      <c r="X7" s="968" t="s">
        <v>676</v>
      </c>
      <c r="Y7" s="725" t="s">
        <v>693</v>
      </c>
      <c r="Z7" s="725"/>
      <c r="AA7" s="725"/>
      <c r="AB7" s="725"/>
      <c r="AC7" s="725"/>
      <c r="AD7" s="725"/>
      <c r="AE7" s="725"/>
      <c r="AF7" s="725"/>
      <c r="AG7" s="969"/>
      <c r="AH7" s="3370" t="b">
        <v>0</v>
      </c>
      <c r="AI7" s="3369"/>
      <c r="AJ7" s="3369"/>
      <c r="AK7" s="3369" t="b">
        <v>0</v>
      </c>
      <c r="AL7" s="3369"/>
      <c r="AM7" s="3369"/>
      <c r="AN7" s="3369" t="b">
        <v>0</v>
      </c>
      <c r="AO7" s="3369"/>
      <c r="AP7" s="3382"/>
      <c r="AQ7" s="965"/>
      <c r="AR7" s="965"/>
    </row>
    <row r="8" spans="5:44" s="399" customFormat="1" ht="30" customHeight="1" x14ac:dyDescent="0.35">
      <c r="E8" s="966" t="s">
        <v>155</v>
      </c>
      <c r="F8" s="725" t="s">
        <v>570</v>
      </c>
      <c r="G8" s="725"/>
      <c r="H8" s="725"/>
      <c r="I8" s="725"/>
      <c r="J8" s="725"/>
      <c r="K8" s="725"/>
      <c r="L8" s="725"/>
      <c r="M8" s="725"/>
      <c r="N8" s="969"/>
      <c r="O8" s="3370" t="b">
        <v>0</v>
      </c>
      <c r="P8" s="3369"/>
      <c r="Q8" s="3369"/>
      <c r="R8" s="3369" t="b">
        <v>0</v>
      </c>
      <c r="S8" s="3369"/>
      <c r="T8" s="3369"/>
      <c r="U8" s="3369" t="b">
        <v>0</v>
      </c>
      <c r="V8" s="3369"/>
      <c r="W8" s="3371"/>
      <c r="X8" s="968" t="s">
        <v>677</v>
      </c>
      <c r="Y8" s="725" t="s">
        <v>580</v>
      </c>
      <c r="Z8" s="725"/>
      <c r="AA8" s="725"/>
      <c r="AB8" s="725"/>
      <c r="AC8" s="725"/>
      <c r="AD8" s="725"/>
      <c r="AE8" s="725"/>
      <c r="AF8" s="725"/>
      <c r="AG8" s="969"/>
      <c r="AH8" s="3370" t="b">
        <v>1</v>
      </c>
      <c r="AI8" s="3369"/>
      <c r="AJ8" s="3369"/>
      <c r="AK8" s="3369" t="b">
        <v>1</v>
      </c>
      <c r="AL8" s="3369"/>
      <c r="AM8" s="3369"/>
      <c r="AN8" s="3369" t="b">
        <v>1</v>
      </c>
      <c r="AO8" s="3369"/>
      <c r="AP8" s="3382"/>
      <c r="AQ8" s="965"/>
      <c r="AR8" s="965"/>
    </row>
    <row r="9" spans="5:44" s="399" customFormat="1" ht="30" customHeight="1" x14ac:dyDescent="0.35">
      <c r="E9" s="966" t="s">
        <v>156</v>
      </c>
      <c r="F9" s="725" t="s">
        <v>571</v>
      </c>
      <c r="G9" s="725"/>
      <c r="H9" s="725"/>
      <c r="I9" s="725"/>
      <c r="J9" s="725"/>
      <c r="K9" s="725"/>
      <c r="L9" s="725"/>
      <c r="M9" s="725"/>
      <c r="N9" s="969"/>
      <c r="O9" s="3370" t="b">
        <v>0</v>
      </c>
      <c r="P9" s="3369"/>
      <c r="Q9" s="3369"/>
      <c r="R9" s="3369" t="b">
        <v>0</v>
      </c>
      <c r="S9" s="3369"/>
      <c r="T9" s="3369"/>
      <c r="U9" s="3369" t="b">
        <v>0</v>
      </c>
      <c r="V9" s="3369"/>
      <c r="W9" s="3371"/>
      <c r="X9" s="968" t="s">
        <v>678</v>
      </c>
      <c r="Y9" s="725" t="s">
        <v>581</v>
      </c>
      <c r="Z9" s="725"/>
      <c r="AA9" s="725"/>
      <c r="AB9" s="725"/>
      <c r="AC9" s="725"/>
      <c r="AD9" s="725"/>
      <c r="AE9" s="725"/>
      <c r="AF9" s="725"/>
      <c r="AG9" s="969"/>
      <c r="AH9" s="3370" t="b">
        <v>0</v>
      </c>
      <c r="AI9" s="3369"/>
      <c r="AJ9" s="3369"/>
      <c r="AK9" s="3369" t="b">
        <v>0</v>
      </c>
      <c r="AL9" s="3369"/>
      <c r="AM9" s="3369"/>
      <c r="AN9" s="3369" t="b">
        <v>0</v>
      </c>
      <c r="AO9" s="3369"/>
      <c r="AP9" s="3382"/>
      <c r="AQ9" s="965"/>
      <c r="AR9" s="965"/>
    </row>
    <row r="10" spans="5:44" s="97" customFormat="1" ht="30" customHeight="1" x14ac:dyDescent="0.35">
      <c r="E10" s="966" t="s">
        <v>157</v>
      </c>
      <c r="F10" s="725" t="s">
        <v>572</v>
      </c>
      <c r="G10" s="725"/>
      <c r="H10" s="725"/>
      <c r="I10" s="725"/>
      <c r="J10" s="725"/>
      <c r="K10" s="725"/>
      <c r="L10" s="725"/>
      <c r="M10" s="725"/>
      <c r="N10" s="969"/>
      <c r="O10" s="3370" t="b">
        <v>0</v>
      </c>
      <c r="P10" s="3369"/>
      <c r="Q10" s="3369"/>
      <c r="R10" s="3369" t="b">
        <v>0</v>
      </c>
      <c r="S10" s="3369"/>
      <c r="T10" s="3369"/>
      <c r="U10" s="3369" t="b">
        <v>0</v>
      </c>
      <c r="V10" s="3369"/>
      <c r="W10" s="3371"/>
      <c r="X10" s="968" t="s">
        <v>679</v>
      </c>
      <c r="Y10" s="725" t="s">
        <v>582</v>
      </c>
      <c r="Z10" s="725"/>
      <c r="AA10" s="725"/>
      <c r="AB10" s="725"/>
      <c r="AC10" s="725"/>
      <c r="AD10" s="725"/>
      <c r="AE10" s="725"/>
      <c r="AF10" s="725"/>
      <c r="AG10" s="969"/>
      <c r="AH10" s="3370" t="b">
        <v>0</v>
      </c>
      <c r="AI10" s="3369"/>
      <c r="AJ10" s="3369"/>
      <c r="AK10" s="3369" t="b">
        <v>0</v>
      </c>
      <c r="AL10" s="3369"/>
      <c r="AM10" s="3369"/>
      <c r="AN10" s="3369" t="b">
        <v>0</v>
      </c>
      <c r="AO10" s="3369"/>
      <c r="AP10" s="3382"/>
      <c r="AQ10" s="965"/>
      <c r="AR10" s="965"/>
    </row>
    <row r="11" spans="5:44" s="399" customFormat="1" ht="30" customHeight="1" x14ac:dyDescent="0.35">
      <c r="E11" s="966" t="s">
        <v>159</v>
      </c>
      <c r="F11" s="725" t="s">
        <v>573</v>
      </c>
      <c r="G11" s="725"/>
      <c r="H11" s="725"/>
      <c r="I11" s="725"/>
      <c r="J11" s="725"/>
      <c r="K11" s="725"/>
      <c r="L11" s="725"/>
      <c r="M11" s="725"/>
      <c r="N11" s="969"/>
      <c r="O11" s="3370" t="b">
        <v>0</v>
      </c>
      <c r="P11" s="3369"/>
      <c r="Q11" s="3369"/>
      <c r="R11" s="3369" t="b">
        <v>0</v>
      </c>
      <c r="S11" s="3369"/>
      <c r="T11" s="3369"/>
      <c r="U11" s="3369" t="b">
        <v>0</v>
      </c>
      <c r="V11" s="3369"/>
      <c r="W11" s="3371"/>
      <c r="X11" s="968" t="s">
        <v>680</v>
      </c>
      <c r="Y11" s="725" t="s">
        <v>583</v>
      </c>
      <c r="Z11" s="725"/>
      <c r="AA11" s="725"/>
      <c r="AB11" s="725"/>
      <c r="AC11" s="725"/>
      <c r="AD11" s="725"/>
      <c r="AE11" s="725"/>
      <c r="AF11" s="725"/>
      <c r="AG11" s="969"/>
      <c r="AH11" s="3370" t="b">
        <v>0</v>
      </c>
      <c r="AI11" s="3369"/>
      <c r="AJ11" s="3369"/>
      <c r="AK11" s="3369" t="b">
        <v>0</v>
      </c>
      <c r="AL11" s="3369"/>
      <c r="AM11" s="3369"/>
      <c r="AN11" s="3369" t="b">
        <v>0</v>
      </c>
      <c r="AO11" s="3369"/>
      <c r="AP11" s="3382"/>
      <c r="AQ11" s="965"/>
      <c r="AR11" s="965"/>
    </row>
    <row r="12" spans="5:44" s="399" customFormat="1" ht="30" customHeight="1" x14ac:dyDescent="0.35">
      <c r="E12" s="966" t="s">
        <v>153</v>
      </c>
      <c r="F12" s="725" t="s">
        <v>574</v>
      </c>
      <c r="G12" s="725"/>
      <c r="H12" s="725"/>
      <c r="I12" s="725"/>
      <c r="J12" s="725"/>
      <c r="K12" s="725"/>
      <c r="L12" s="725"/>
      <c r="M12" s="725"/>
      <c r="N12" s="969"/>
      <c r="O12" s="3370" t="b">
        <v>0</v>
      </c>
      <c r="P12" s="3369"/>
      <c r="Q12" s="3369"/>
      <c r="R12" s="3369" t="b">
        <v>0</v>
      </c>
      <c r="S12" s="3369"/>
      <c r="T12" s="3369"/>
      <c r="U12" s="3369" t="b">
        <v>0</v>
      </c>
      <c r="V12" s="3369"/>
      <c r="W12" s="3371"/>
      <c r="X12" s="968" t="s">
        <v>681</v>
      </c>
      <c r="Y12" s="725" t="s">
        <v>584</v>
      </c>
      <c r="Z12" s="725"/>
      <c r="AA12" s="725"/>
      <c r="AB12" s="725"/>
      <c r="AC12" s="725"/>
      <c r="AD12" s="725"/>
      <c r="AE12" s="725"/>
      <c r="AF12" s="725"/>
      <c r="AG12" s="969"/>
      <c r="AH12" s="3370" t="b">
        <v>0</v>
      </c>
      <c r="AI12" s="3369"/>
      <c r="AJ12" s="3369"/>
      <c r="AK12" s="3369" t="b">
        <v>0</v>
      </c>
      <c r="AL12" s="3369"/>
      <c r="AM12" s="3369"/>
      <c r="AN12" s="3369" t="b">
        <v>0</v>
      </c>
      <c r="AO12" s="3369"/>
      <c r="AP12" s="3382"/>
      <c r="AQ12" s="965"/>
      <c r="AR12" s="965"/>
    </row>
    <row r="13" spans="5:44" s="399" customFormat="1" ht="30" customHeight="1" x14ac:dyDescent="0.35">
      <c r="E13" s="966" t="s">
        <v>154</v>
      </c>
      <c r="F13" s="725" t="s">
        <v>575</v>
      </c>
      <c r="G13" s="725"/>
      <c r="H13" s="725"/>
      <c r="I13" s="725"/>
      <c r="J13" s="725"/>
      <c r="K13" s="725"/>
      <c r="L13" s="725"/>
      <c r="M13" s="725"/>
      <c r="N13" s="969"/>
      <c r="O13" s="3370" t="b">
        <v>0</v>
      </c>
      <c r="P13" s="3369"/>
      <c r="Q13" s="3369"/>
      <c r="R13" s="3369" t="b">
        <v>0</v>
      </c>
      <c r="S13" s="3369"/>
      <c r="T13" s="3369"/>
      <c r="U13" s="3369" t="b">
        <v>0</v>
      </c>
      <c r="V13" s="3369"/>
      <c r="W13" s="3371"/>
      <c r="X13" s="968" t="s">
        <v>682</v>
      </c>
      <c r="Y13" s="725" t="s">
        <v>585</v>
      </c>
      <c r="Z13" s="725"/>
      <c r="AA13" s="725"/>
      <c r="AB13" s="725"/>
      <c r="AC13" s="725"/>
      <c r="AD13" s="725"/>
      <c r="AE13" s="725"/>
      <c r="AF13" s="725"/>
      <c r="AG13" s="969"/>
      <c r="AH13" s="3370" t="b">
        <v>0</v>
      </c>
      <c r="AI13" s="3369"/>
      <c r="AJ13" s="3369"/>
      <c r="AK13" s="3369" t="b">
        <v>0</v>
      </c>
      <c r="AL13" s="3369"/>
      <c r="AM13" s="3369"/>
      <c r="AN13" s="3369" t="b">
        <v>0</v>
      </c>
      <c r="AO13" s="3369"/>
      <c r="AP13" s="3382"/>
      <c r="AQ13" s="965"/>
      <c r="AR13" s="965"/>
    </row>
    <row r="14" spans="5:44" s="399" customFormat="1" ht="30" customHeight="1" x14ac:dyDescent="0.35">
      <c r="E14" s="966" t="s">
        <v>160</v>
      </c>
      <c r="F14" s="725" t="s">
        <v>576</v>
      </c>
      <c r="G14" s="725"/>
      <c r="H14" s="725"/>
      <c r="I14" s="725"/>
      <c r="J14" s="725"/>
      <c r="K14" s="725"/>
      <c r="L14" s="725"/>
      <c r="M14" s="725"/>
      <c r="N14" s="969"/>
      <c r="O14" s="3370" t="b">
        <v>0</v>
      </c>
      <c r="P14" s="3369"/>
      <c r="Q14" s="3369"/>
      <c r="R14" s="3369" t="b">
        <v>0</v>
      </c>
      <c r="S14" s="3369"/>
      <c r="T14" s="3369"/>
      <c r="U14" s="3369" t="b">
        <v>0</v>
      </c>
      <c r="V14" s="3369"/>
      <c r="W14" s="3371"/>
      <c r="X14" s="968" t="s">
        <v>683</v>
      </c>
      <c r="Y14" s="725" t="s">
        <v>586</v>
      </c>
      <c r="Z14" s="725"/>
      <c r="AA14" s="725"/>
      <c r="AB14" s="725"/>
      <c r="AC14" s="725"/>
      <c r="AD14" s="725"/>
      <c r="AE14" s="725"/>
      <c r="AF14" s="725"/>
      <c r="AG14" s="969"/>
      <c r="AH14" s="3370" t="b">
        <v>0</v>
      </c>
      <c r="AI14" s="3369"/>
      <c r="AJ14" s="3369"/>
      <c r="AK14" s="3369" t="b">
        <v>0</v>
      </c>
      <c r="AL14" s="3369"/>
      <c r="AM14" s="3369"/>
      <c r="AN14" s="3369" t="b">
        <v>0</v>
      </c>
      <c r="AO14" s="3369"/>
      <c r="AP14" s="3382"/>
      <c r="AQ14" s="965"/>
      <c r="AR14" s="965"/>
    </row>
    <row r="15" spans="5:44" s="399" customFormat="1" ht="30" customHeight="1" x14ac:dyDescent="0.35">
      <c r="E15" s="966" t="s">
        <v>158</v>
      </c>
      <c r="F15" s="725" t="s">
        <v>577</v>
      </c>
      <c r="G15" s="725"/>
      <c r="H15" s="725"/>
      <c r="I15" s="725"/>
      <c r="J15" s="725"/>
      <c r="K15" s="725"/>
      <c r="L15" s="725"/>
      <c r="M15" s="725"/>
      <c r="N15" s="969"/>
      <c r="O15" s="3370" t="b">
        <v>1</v>
      </c>
      <c r="P15" s="3369"/>
      <c r="Q15" s="3369"/>
      <c r="R15" s="3369" t="b">
        <v>1</v>
      </c>
      <c r="S15" s="3369"/>
      <c r="T15" s="3369"/>
      <c r="U15" s="3369" t="b">
        <v>0</v>
      </c>
      <c r="V15" s="3369"/>
      <c r="W15" s="3371"/>
      <c r="X15" s="968" t="s">
        <v>684</v>
      </c>
      <c r="Y15" s="725" t="s">
        <v>587</v>
      </c>
      <c r="Z15" s="725"/>
      <c r="AA15" s="725"/>
      <c r="AB15" s="725"/>
      <c r="AC15" s="725"/>
      <c r="AD15" s="725"/>
      <c r="AE15" s="725"/>
      <c r="AF15" s="725"/>
      <c r="AG15" s="969"/>
      <c r="AH15" s="3370" t="b">
        <v>0</v>
      </c>
      <c r="AI15" s="3369"/>
      <c r="AJ15" s="3369"/>
      <c r="AK15" s="3369" t="b">
        <v>0</v>
      </c>
      <c r="AL15" s="3369"/>
      <c r="AM15" s="3369"/>
      <c r="AN15" s="3369" t="b">
        <v>0</v>
      </c>
      <c r="AO15" s="3369"/>
      <c r="AP15" s="3382"/>
      <c r="AQ15" s="965"/>
      <c r="AR15" s="965"/>
    </row>
    <row r="16" spans="5:44" s="399" customFormat="1" ht="30" customHeight="1" x14ac:dyDescent="0.35">
      <c r="E16" s="966" t="s">
        <v>660</v>
      </c>
      <c r="F16" s="725" t="s">
        <v>578</v>
      </c>
      <c r="G16" s="725"/>
      <c r="H16" s="725"/>
      <c r="I16" s="725"/>
      <c r="J16" s="725"/>
      <c r="K16" s="725"/>
      <c r="L16" s="725"/>
      <c r="M16" s="725"/>
      <c r="N16" s="969"/>
      <c r="O16" s="3370" t="b">
        <v>0</v>
      </c>
      <c r="P16" s="3369"/>
      <c r="Q16" s="3369"/>
      <c r="R16" s="3369" t="b">
        <v>0</v>
      </c>
      <c r="S16" s="3369"/>
      <c r="T16" s="3369"/>
      <c r="U16" s="3369" t="b">
        <v>0</v>
      </c>
      <c r="V16" s="3369"/>
      <c r="W16" s="3371"/>
      <c r="X16" s="968" t="s">
        <v>685</v>
      </c>
      <c r="Y16" s="725" t="s">
        <v>588</v>
      </c>
      <c r="Z16" s="725"/>
      <c r="AA16" s="725"/>
      <c r="AB16" s="725"/>
      <c r="AC16" s="725"/>
      <c r="AD16" s="725"/>
      <c r="AE16" s="725"/>
      <c r="AF16" s="725"/>
      <c r="AG16" s="969"/>
      <c r="AH16" s="3370" t="b">
        <v>0</v>
      </c>
      <c r="AI16" s="3369"/>
      <c r="AJ16" s="3369"/>
      <c r="AK16" s="3369" t="b">
        <v>0</v>
      </c>
      <c r="AL16" s="3369"/>
      <c r="AM16" s="3369"/>
      <c r="AN16" s="3369" t="b">
        <v>0</v>
      </c>
      <c r="AO16" s="3369"/>
      <c r="AP16" s="3382"/>
      <c r="AQ16" s="965"/>
      <c r="AR16" s="965"/>
    </row>
    <row r="17" spans="2:55" s="399" customFormat="1" ht="30" customHeight="1" x14ac:dyDescent="0.35">
      <c r="E17" s="966" t="s">
        <v>671</v>
      </c>
      <c r="F17" s="725" t="s">
        <v>690</v>
      </c>
      <c r="G17" s="725"/>
      <c r="H17" s="725"/>
      <c r="I17" s="725"/>
      <c r="J17" s="725"/>
      <c r="K17" s="725"/>
      <c r="L17" s="725"/>
      <c r="M17" s="725"/>
      <c r="N17" s="969"/>
      <c r="O17" s="3370" t="b">
        <v>0</v>
      </c>
      <c r="P17" s="3369"/>
      <c r="Q17" s="3369"/>
      <c r="R17" s="3369" t="b">
        <v>0</v>
      </c>
      <c r="S17" s="3369"/>
      <c r="T17" s="3369"/>
      <c r="U17" s="3369" t="b">
        <v>0</v>
      </c>
      <c r="V17" s="3369"/>
      <c r="W17" s="3371"/>
      <c r="X17" s="968" t="s">
        <v>686</v>
      </c>
      <c r="Y17" s="725" t="s">
        <v>589</v>
      </c>
      <c r="Z17" s="725"/>
      <c r="AA17" s="725"/>
      <c r="AB17" s="725"/>
      <c r="AC17" s="725"/>
      <c r="AD17" s="725"/>
      <c r="AE17" s="725"/>
      <c r="AF17" s="725"/>
      <c r="AG17" s="969"/>
      <c r="AH17" s="3370" t="b">
        <v>0</v>
      </c>
      <c r="AI17" s="3369"/>
      <c r="AJ17" s="3369"/>
      <c r="AK17" s="3369" t="b">
        <v>0</v>
      </c>
      <c r="AL17" s="3369"/>
      <c r="AM17" s="3369"/>
      <c r="AN17" s="3369" t="b">
        <v>0</v>
      </c>
      <c r="AO17" s="3369"/>
      <c r="AP17" s="3382"/>
      <c r="AQ17" s="965"/>
      <c r="AR17" s="965"/>
    </row>
    <row r="18" spans="2:55" s="399" customFormat="1" ht="30" customHeight="1" x14ac:dyDescent="0.35">
      <c r="E18" s="966" t="s">
        <v>672</v>
      </c>
      <c r="F18" s="725" t="s">
        <v>579</v>
      </c>
      <c r="G18" s="725"/>
      <c r="H18" s="725"/>
      <c r="I18" s="725"/>
      <c r="J18" s="725"/>
      <c r="K18" s="725"/>
      <c r="L18" s="725"/>
      <c r="M18" s="725"/>
      <c r="N18" s="969"/>
      <c r="O18" s="3370" t="b">
        <v>0</v>
      </c>
      <c r="P18" s="3369"/>
      <c r="Q18" s="3369"/>
      <c r="R18" s="3369" t="b">
        <v>0</v>
      </c>
      <c r="S18" s="3369"/>
      <c r="T18" s="3369"/>
      <c r="U18" s="3369" t="b">
        <v>0</v>
      </c>
      <c r="V18" s="3369"/>
      <c r="W18" s="3371"/>
      <c r="X18" s="968" t="s">
        <v>687</v>
      </c>
      <c r="Y18" s="725" t="s">
        <v>590</v>
      </c>
      <c r="Z18" s="725"/>
      <c r="AA18" s="725"/>
      <c r="AB18" s="725"/>
      <c r="AC18" s="725"/>
      <c r="AD18" s="725"/>
      <c r="AE18" s="725"/>
      <c r="AF18" s="725"/>
      <c r="AG18" s="969"/>
      <c r="AH18" s="3370" t="b">
        <v>0</v>
      </c>
      <c r="AI18" s="3369"/>
      <c r="AJ18" s="3369"/>
      <c r="AK18" s="3369" t="b">
        <v>0</v>
      </c>
      <c r="AL18" s="3369"/>
      <c r="AM18" s="3369"/>
      <c r="AN18" s="3369" t="b">
        <v>0</v>
      </c>
      <c r="AO18" s="3369"/>
      <c r="AP18" s="3382"/>
      <c r="AQ18" s="965"/>
      <c r="AR18" s="965"/>
    </row>
    <row r="19" spans="2:55" s="399" customFormat="1" ht="30" customHeight="1" thickBot="1" x14ac:dyDescent="0.4">
      <c r="E19" s="970" t="s">
        <v>673</v>
      </c>
      <c r="F19" s="619" t="s">
        <v>691</v>
      </c>
      <c r="G19" s="619"/>
      <c r="H19" s="619"/>
      <c r="I19" s="619"/>
      <c r="J19" s="619"/>
      <c r="K19" s="619"/>
      <c r="L19" s="619"/>
      <c r="M19" s="619"/>
      <c r="N19" s="971"/>
      <c r="O19" s="3381" t="b">
        <v>0</v>
      </c>
      <c r="P19" s="3379"/>
      <c r="Q19" s="3379"/>
      <c r="R19" s="3379" t="b">
        <v>0</v>
      </c>
      <c r="S19" s="3379"/>
      <c r="T19" s="3379"/>
      <c r="U19" s="3379" t="b">
        <v>0</v>
      </c>
      <c r="V19" s="3379"/>
      <c r="W19" s="3380"/>
      <c r="X19" s="3373"/>
      <c r="Y19" s="3374"/>
      <c r="Z19" s="3374"/>
      <c r="AA19" s="3374"/>
      <c r="AB19" s="3374"/>
      <c r="AC19" s="3374"/>
      <c r="AD19" s="3374"/>
      <c r="AE19" s="3374"/>
      <c r="AF19" s="3374"/>
      <c r="AG19" s="3374"/>
      <c r="AH19" s="3374"/>
      <c r="AI19" s="3374"/>
      <c r="AJ19" s="3374"/>
      <c r="AK19" s="3374"/>
      <c r="AL19" s="3374"/>
      <c r="AM19" s="3374"/>
      <c r="AN19" s="3374"/>
      <c r="AO19" s="3374"/>
      <c r="AP19" s="3375"/>
    </row>
    <row r="20" spans="2:55" s="972" customFormat="1" ht="16" thickTop="1" x14ac:dyDescent="0.35">
      <c r="E20" s="372" t="s">
        <v>150</v>
      </c>
      <c r="F20" s="3372" t="s">
        <v>1128</v>
      </c>
      <c r="G20" s="3372"/>
      <c r="H20" s="3372"/>
      <c r="I20" s="3372"/>
      <c r="J20" s="3372"/>
      <c r="K20" s="3372"/>
      <c r="L20" s="3372"/>
      <c r="M20" s="3372"/>
      <c r="N20" s="3372"/>
      <c r="O20" s="3372"/>
      <c r="P20" s="3372"/>
      <c r="Q20" s="3372"/>
      <c r="R20" s="3372"/>
      <c r="S20" s="3372"/>
      <c r="T20" s="3372"/>
      <c r="U20" s="3372"/>
      <c r="V20" s="3372"/>
      <c r="W20" s="3372"/>
      <c r="X20" s="3372"/>
      <c r="Y20" s="3372"/>
      <c r="Z20" s="3372"/>
      <c r="AA20" s="3372"/>
      <c r="AB20" s="3372"/>
      <c r="AC20" s="3372"/>
      <c r="AD20" s="3372"/>
      <c r="AE20" s="3372"/>
      <c r="AF20" s="3372"/>
      <c r="AG20" s="3372"/>
      <c r="AH20" s="3372"/>
      <c r="AI20" s="3372"/>
      <c r="AJ20" s="3372"/>
      <c r="AK20" s="3372"/>
      <c r="AL20" s="3372"/>
      <c r="AM20" s="3372"/>
      <c r="AN20" s="3372"/>
      <c r="AO20" s="3372"/>
      <c r="AP20" s="3372"/>
      <c r="AQ20" s="973"/>
      <c r="AR20" s="973"/>
      <c r="AS20" s="974"/>
      <c r="AT20" s="974"/>
      <c r="AU20" s="974"/>
      <c r="AV20" s="974"/>
      <c r="AW20" s="974"/>
      <c r="AX20" s="974"/>
      <c r="AY20" s="974"/>
      <c r="AZ20" s="974"/>
    </row>
    <row r="21" spans="2:55" s="972" customFormat="1" x14ac:dyDescent="0.35">
      <c r="E21" s="372" t="s">
        <v>151</v>
      </c>
      <c r="F21" s="3372" t="s">
        <v>1129</v>
      </c>
      <c r="G21" s="3372"/>
      <c r="H21" s="3372"/>
      <c r="I21" s="3372"/>
      <c r="J21" s="3372"/>
      <c r="K21" s="3372"/>
      <c r="L21" s="3372"/>
      <c r="M21" s="3372"/>
      <c r="N21" s="3372"/>
      <c r="O21" s="3372"/>
      <c r="P21" s="3372"/>
      <c r="Q21" s="3372"/>
      <c r="R21" s="3372"/>
      <c r="S21" s="3372"/>
      <c r="T21" s="3372"/>
      <c r="U21" s="3372"/>
      <c r="V21" s="3372"/>
      <c r="W21" s="3372"/>
      <c r="X21" s="3372"/>
      <c r="Y21" s="3372"/>
      <c r="Z21" s="3372"/>
      <c r="AA21" s="3372"/>
      <c r="AB21" s="3372"/>
      <c r="AC21" s="3372"/>
      <c r="AD21" s="3372"/>
      <c r="AE21" s="3372"/>
      <c r="AF21" s="3372"/>
      <c r="AG21" s="3372"/>
      <c r="AH21" s="3372"/>
      <c r="AI21" s="3372"/>
      <c r="AJ21" s="3372"/>
      <c r="AK21" s="3372"/>
      <c r="AL21" s="3372"/>
      <c r="AM21" s="3372"/>
      <c r="AN21" s="3372"/>
      <c r="AO21" s="3372"/>
      <c r="AP21" s="3372"/>
      <c r="AQ21" s="973"/>
      <c r="AR21" s="973"/>
      <c r="AS21" s="974"/>
      <c r="AT21" s="974"/>
      <c r="AU21" s="974"/>
      <c r="AV21" s="974"/>
      <c r="AW21" s="974"/>
      <c r="AX21" s="974"/>
      <c r="AY21" s="974"/>
      <c r="AZ21" s="974"/>
    </row>
    <row r="22" spans="2:55" s="972" customFormat="1" x14ac:dyDescent="0.35">
      <c r="E22" s="372" t="s">
        <v>152</v>
      </c>
      <c r="F22" s="3372" t="s">
        <v>1130</v>
      </c>
      <c r="G22" s="3372"/>
      <c r="H22" s="3372"/>
      <c r="I22" s="3372"/>
      <c r="J22" s="3372"/>
      <c r="K22" s="3372"/>
      <c r="L22" s="3372"/>
      <c r="M22" s="3372"/>
      <c r="N22" s="3372"/>
      <c r="O22" s="3372"/>
      <c r="P22" s="3372"/>
      <c r="Q22" s="3372"/>
      <c r="R22" s="3372"/>
      <c r="S22" s="3372"/>
      <c r="T22" s="3372"/>
      <c r="U22" s="3372"/>
      <c r="V22" s="3372"/>
      <c r="W22" s="3372"/>
      <c r="X22" s="3372"/>
      <c r="Y22" s="3372"/>
      <c r="Z22" s="3372"/>
      <c r="AA22" s="3372"/>
      <c r="AB22" s="3372"/>
      <c r="AC22" s="3372"/>
      <c r="AD22" s="3372"/>
      <c r="AE22" s="3372"/>
      <c r="AF22" s="3372"/>
      <c r="AG22" s="3372"/>
      <c r="AH22" s="3372"/>
      <c r="AI22" s="3372"/>
      <c r="AJ22" s="3372"/>
      <c r="AK22" s="3372"/>
      <c r="AL22" s="3372"/>
      <c r="AM22" s="3372"/>
      <c r="AN22" s="3372"/>
      <c r="AO22" s="3372"/>
      <c r="AP22" s="3372"/>
      <c r="AQ22" s="973"/>
      <c r="AR22" s="973"/>
      <c r="AS22" s="974"/>
      <c r="AT22" s="974"/>
      <c r="AU22" s="974"/>
      <c r="AV22" s="974"/>
      <c r="AW22" s="974"/>
      <c r="AX22" s="974"/>
      <c r="AY22" s="974"/>
      <c r="AZ22" s="974"/>
    </row>
    <row r="23" spans="2:55" s="501" customFormat="1" ht="30.75" customHeight="1" x14ac:dyDescent="0.35">
      <c r="O23" s="975"/>
    </row>
    <row r="24" spans="2:55" s="73" customFormat="1" ht="14" x14ac:dyDescent="0.3">
      <c r="B24" s="74" t="s">
        <v>913</v>
      </c>
      <c r="Q24" s="74" t="s">
        <v>909</v>
      </c>
      <c r="AF24" s="74" t="s">
        <v>922</v>
      </c>
    </row>
    <row r="25" spans="2:55" s="73" customFormat="1" ht="21.75" customHeight="1" x14ac:dyDescent="0.3">
      <c r="B25" s="74" t="s">
        <v>811</v>
      </c>
      <c r="F25" s="1482" t="str">
        <f>SchInfo!F38</f>
        <v>MELCHESIEDICK Q. BOLANIO/ March 17, 2023</v>
      </c>
      <c r="G25" s="1482"/>
      <c r="H25" s="1482"/>
      <c r="I25" s="1482"/>
      <c r="J25" s="1482"/>
      <c r="K25" s="1482"/>
      <c r="L25" s="1482"/>
      <c r="M25" s="1482"/>
      <c r="N25" s="1482"/>
      <c r="Q25" s="3364" t="s">
        <v>12826</v>
      </c>
      <c r="R25" s="3364"/>
      <c r="S25" s="3364"/>
      <c r="T25" s="3364"/>
      <c r="U25" s="3364"/>
      <c r="V25" s="3364"/>
      <c r="W25" s="3364"/>
      <c r="X25" s="3364"/>
      <c r="Y25" s="3364"/>
      <c r="Z25" s="3364"/>
      <c r="AA25" s="3364"/>
      <c r="AB25" s="3364"/>
      <c r="AC25" s="3364"/>
      <c r="AF25" s="1484" t="str">
        <f>SchInfo!R38</f>
        <v>MICHAEL T. JAMIS   /  March 17, 2023</v>
      </c>
      <c r="AG25" s="1484"/>
      <c r="AH25" s="1484"/>
      <c r="AI25" s="1484"/>
      <c r="AJ25" s="1484"/>
      <c r="AK25" s="1484"/>
      <c r="AL25" s="1484"/>
      <c r="AM25" s="1484"/>
      <c r="AN25" s="1484"/>
      <c r="AO25" s="1484"/>
      <c r="AP25" s="1484"/>
      <c r="AQ25" s="1484"/>
      <c r="AR25" s="1484"/>
    </row>
    <row r="26" spans="2:55" s="68" customFormat="1" ht="14" x14ac:dyDescent="0.3">
      <c r="B26" s="210"/>
      <c r="F26" s="1452" t="s">
        <v>779</v>
      </c>
      <c r="G26" s="1452"/>
      <c r="H26" s="1452"/>
      <c r="I26" s="1452"/>
      <c r="J26" s="1452"/>
      <c r="K26" s="1452"/>
      <c r="L26" s="1452"/>
      <c r="M26" s="1452"/>
      <c r="N26" s="1452"/>
      <c r="O26" s="64"/>
      <c r="P26" s="64"/>
      <c r="Q26" s="1452" t="s">
        <v>779</v>
      </c>
      <c r="R26" s="1452"/>
      <c r="S26" s="1452"/>
      <c r="T26" s="1452"/>
      <c r="U26" s="1452"/>
      <c r="V26" s="1452"/>
      <c r="W26" s="1452"/>
      <c r="X26" s="1452"/>
      <c r="Y26" s="1452"/>
      <c r="Z26" s="1452"/>
      <c r="AA26" s="1452"/>
      <c r="AB26" s="1452"/>
      <c r="AC26" s="1452"/>
      <c r="AF26" s="1485"/>
      <c r="AG26" s="1485"/>
      <c r="AH26" s="1485"/>
      <c r="AI26" s="1485"/>
      <c r="AJ26" s="1485"/>
      <c r="AK26" s="1485"/>
      <c r="AL26" s="1485"/>
      <c r="AM26" s="1485"/>
      <c r="AN26" s="1485"/>
      <c r="AO26" s="1485"/>
      <c r="AP26" s="1485"/>
      <c r="AQ26" s="1485"/>
      <c r="AR26" s="1485"/>
      <c r="AS26" s="73"/>
      <c r="AT26" s="73"/>
    </row>
    <row r="27" spans="2:55" s="73" customFormat="1" ht="21.75" customHeight="1" x14ac:dyDescent="0.3">
      <c r="B27" s="74" t="s">
        <v>784</v>
      </c>
      <c r="F27" s="1482" t="str">
        <f>SchInfo!F40</f>
        <v>Principal IV</v>
      </c>
      <c r="G27" s="1482"/>
      <c r="H27" s="1482"/>
      <c r="I27" s="1482"/>
      <c r="J27" s="1482"/>
      <c r="K27" s="1482"/>
      <c r="L27" s="1482"/>
      <c r="M27" s="1482"/>
      <c r="N27" s="1482"/>
      <c r="Q27" s="74" t="s">
        <v>784</v>
      </c>
      <c r="U27" s="3364" t="s">
        <v>12805</v>
      </c>
      <c r="V27" s="3364"/>
      <c r="W27" s="3364"/>
      <c r="X27" s="3364"/>
      <c r="Y27" s="3364"/>
      <c r="Z27" s="3364"/>
      <c r="AA27" s="3364"/>
      <c r="AB27" s="3364"/>
      <c r="AC27" s="3364"/>
      <c r="AF27" s="1452" t="s">
        <v>779</v>
      </c>
      <c r="AG27" s="1452"/>
      <c r="AH27" s="1452"/>
      <c r="AI27" s="1452"/>
      <c r="AJ27" s="1452"/>
      <c r="AK27" s="1452"/>
      <c r="AL27" s="1452"/>
      <c r="AM27" s="1452"/>
      <c r="AN27" s="1452"/>
      <c r="AO27" s="1452"/>
      <c r="AP27" s="1452"/>
      <c r="AQ27" s="1452"/>
      <c r="AR27" s="1452"/>
      <c r="AS27" s="65"/>
      <c r="AT27" s="65"/>
    </row>
    <row r="28" spans="2:55" ht="15" customHeight="1" x14ac:dyDescent="0.35">
      <c r="D28" s="957"/>
      <c r="E28" s="957"/>
      <c r="F28" s="957"/>
      <c r="G28" s="957"/>
      <c r="H28" s="957"/>
      <c r="I28" s="957"/>
      <c r="J28" s="957"/>
      <c r="K28" s="957"/>
      <c r="L28" s="957"/>
      <c r="M28" s="957"/>
      <c r="N28" s="957"/>
      <c r="O28" s="957"/>
      <c r="P28" s="957"/>
      <c r="Q28" s="957"/>
      <c r="R28" s="957"/>
      <c r="S28" s="957"/>
      <c r="T28" s="957"/>
      <c r="U28" s="957"/>
      <c r="V28" s="957"/>
      <c r="W28" s="957"/>
      <c r="X28" s="957"/>
      <c r="Y28" s="957"/>
      <c r="Z28" s="957"/>
      <c r="AA28" s="957"/>
      <c r="AB28" s="957"/>
      <c r="AC28" s="957"/>
      <c r="AD28" s="957"/>
      <c r="AE28" s="957"/>
      <c r="AF28" s="957"/>
      <c r="AG28" s="73"/>
      <c r="AH28" s="73"/>
      <c r="AI28" s="73"/>
      <c r="AJ28" s="73"/>
      <c r="AK28" s="73"/>
      <c r="AL28" s="73"/>
      <c r="AM28" s="73"/>
      <c r="AN28" s="73"/>
      <c r="AO28" s="73"/>
      <c r="AP28" s="73"/>
      <c r="AQ28" s="73"/>
      <c r="AR28" s="73"/>
      <c r="AS28" s="73"/>
      <c r="AT28" s="73"/>
      <c r="AU28" s="73"/>
      <c r="AV28" s="958"/>
      <c r="AW28" s="958"/>
      <c r="AX28" s="958"/>
      <c r="AY28" s="958"/>
      <c r="AZ28" s="958"/>
      <c r="BA28" s="958"/>
    </row>
    <row r="29" spans="2:55" ht="15" customHeight="1" x14ac:dyDescent="0.35">
      <c r="E29" s="418"/>
      <c r="AH29" s="957"/>
      <c r="AI29" s="957"/>
      <c r="AJ29" s="957"/>
      <c r="AK29" s="958"/>
      <c r="AL29" s="958"/>
      <c r="AM29" s="958"/>
      <c r="AN29" s="958"/>
      <c r="AO29" s="958"/>
      <c r="AP29" s="958"/>
      <c r="AQ29" s="958"/>
      <c r="AR29" s="958"/>
      <c r="AS29" s="958"/>
      <c r="AT29" s="958"/>
      <c r="AU29" s="958"/>
      <c r="AV29" s="958"/>
      <c r="AW29" s="958"/>
      <c r="AX29" s="958"/>
      <c r="AY29" s="958"/>
      <c r="AZ29" s="958"/>
      <c r="BA29" s="958"/>
      <c r="BB29" s="958"/>
      <c r="BC29" s="958"/>
    </row>
    <row r="30" spans="2:55" x14ac:dyDescent="0.35">
      <c r="AK30" s="958"/>
      <c r="AL30" s="958"/>
      <c r="AM30" s="958"/>
      <c r="AN30" s="958"/>
      <c r="AO30" s="958"/>
      <c r="AP30" s="958"/>
      <c r="AQ30" s="958"/>
      <c r="AR30" s="958"/>
      <c r="AS30" s="958"/>
    </row>
    <row r="45" ht="30" customHeight="1" x14ac:dyDescent="0.35"/>
  </sheetData>
  <sheetProtection algorithmName="SHA-512" hashValue="IGB/FHQecsyWl25KSfGY/GaWDIcDSIwh3xnV3Z9cd2yLI0mgrz3PfXxbDk54ID8nB8MHkfnwXVRR7DGarXw+gw==" saltValue="/t0nGxyahlCBf/4QjN3tbw==" spinCount="100000" sheet="1" objects="1" scenarios="1"/>
  <mergeCells count="107">
    <mergeCell ref="AN6:AP6"/>
    <mergeCell ref="AK6:AM6"/>
    <mergeCell ref="AH6:AJ6"/>
    <mergeCell ref="AN5:AP5"/>
    <mergeCell ref="AK5:AM5"/>
    <mergeCell ref="AH5:AJ5"/>
    <mergeCell ref="AN8:AP8"/>
    <mergeCell ref="AK8:AM8"/>
    <mergeCell ref="AH8:AJ8"/>
    <mergeCell ref="AN7:AP7"/>
    <mergeCell ref="AK7:AM7"/>
    <mergeCell ref="AH7:AJ7"/>
    <mergeCell ref="AN10:AP10"/>
    <mergeCell ref="AK10:AM10"/>
    <mergeCell ref="AH10:AJ10"/>
    <mergeCell ref="AN9:AP9"/>
    <mergeCell ref="AK9:AM9"/>
    <mergeCell ref="AH9:AJ9"/>
    <mergeCell ref="AN12:AP12"/>
    <mergeCell ref="AK12:AM12"/>
    <mergeCell ref="AH12:AJ12"/>
    <mergeCell ref="AN11:AP11"/>
    <mergeCell ref="AK11:AM11"/>
    <mergeCell ref="AH11:AJ11"/>
    <mergeCell ref="AN18:AP18"/>
    <mergeCell ref="AK18:AM18"/>
    <mergeCell ref="AH18:AJ18"/>
    <mergeCell ref="AN17:AP17"/>
    <mergeCell ref="AK17:AM17"/>
    <mergeCell ref="AH17:AJ17"/>
    <mergeCell ref="U11:W11"/>
    <mergeCell ref="R11:T11"/>
    <mergeCell ref="O11:Q11"/>
    <mergeCell ref="O15:Q15"/>
    <mergeCell ref="AN14:AP14"/>
    <mergeCell ref="AK14:AM14"/>
    <mergeCell ref="AH14:AJ14"/>
    <mergeCell ref="AN13:AP13"/>
    <mergeCell ref="AK13:AM13"/>
    <mergeCell ref="AH13:AJ13"/>
    <mergeCell ref="AN16:AP16"/>
    <mergeCell ref="AK16:AM16"/>
    <mergeCell ref="AH16:AJ16"/>
    <mergeCell ref="AN15:AP15"/>
    <mergeCell ref="AK15:AM15"/>
    <mergeCell ref="AH15:AJ15"/>
    <mergeCell ref="O14:Q14"/>
    <mergeCell ref="R14:T14"/>
    <mergeCell ref="U13:W13"/>
    <mergeCell ref="O12:Q12"/>
    <mergeCell ref="R13:T13"/>
    <mergeCell ref="O13:Q13"/>
    <mergeCell ref="U12:W12"/>
    <mergeCell ref="R12:T12"/>
    <mergeCell ref="U16:W16"/>
    <mergeCell ref="R16:T16"/>
    <mergeCell ref="O16:Q16"/>
    <mergeCell ref="U15:W15"/>
    <mergeCell ref="R15:T15"/>
    <mergeCell ref="X19:AP19"/>
    <mergeCell ref="U6:W6"/>
    <mergeCell ref="R6:T6"/>
    <mergeCell ref="O6:Q6"/>
    <mergeCell ref="U5:W5"/>
    <mergeCell ref="R5:T5"/>
    <mergeCell ref="O5:Q5"/>
    <mergeCell ref="U8:W8"/>
    <mergeCell ref="R8:T8"/>
    <mergeCell ref="O8:Q8"/>
    <mergeCell ref="U7:W7"/>
    <mergeCell ref="R7:T7"/>
    <mergeCell ref="O7:Q7"/>
    <mergeCell ref="U10:W10"/>
    <mergeCell ref="U19:W19"/>
    <mergeCell ref="U18:W18"/>
    <mergeCell ref="R19:T19"/>
    <mergeCell ref="R18:T18"/>
    <mergeCell ref="O19:Q19"/>
    <mergeCell ref="O18:Q18"/>
    <mergeCell ref="U17:W17"/>
    <mergeCell ref="R17:T17"/>
    <mergeCell ref="O17:Q17"/>
    <mergeCell ref="U14:W14"/>
    <mergeCell ref="AF27:AR27"/>
    <mergeCell ref="AF25:AR26"/>
    <mergeCell ref="F25:N25"/>
    <mergeCell ref="F27:N27"/>
    <mergeCell ref="F26:N26"/>
    <mergeCell ref="Q25:AC25"/>
    <mergeCell ref="U27:AC27"/>
    <mergeCell ref="Q26:AC26"/>
    <mergeCell ref="E4:N4"/>
    <mergeCell ref="X4:AG4"/>
    <mergeCell ref="AH4:AJ4"/>
    <mergeCell ref="AK4:AM4"/>
    <mergeCell ref="AN4:AP4"/>
    <mergeCell ref="O4:Q4"/>
    <mergeCell ref="R4:T4"/>
    <mergeCell ref="U4:W4"/>
    <mergeCell ref="R10:T10"/>
    <mergeCell ref="O10:Q10"/>
    <mergeCell ref="U9:W9"/>
    <mergeCell ref="R9:T9"/>
    <mergeCell ref="O9:Q9"/>
    <mergeCell ref="F20:AP20"/>
    <mergeCell ref="F21:AP21"/>
    <mergeCell ref="F22:AP22"/>
  </mergeCells>
  <printOptions horizontalCentered="1" verticalCentered="1"/>
  <pageMargins left="0.25" right="0.25" top="0.2" bottom="0.2" header="0" footer="0.1"/>
  <pageSetup paperSize="9" scale="59" orientation="landscape" r:id="rId1"/>
  <headerFooter alignWithMargins="0">
    <oddFooter>&amp;L&amp;10&amp;F &amp;A&amp;R&amp;10Page 42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3729" r:id="rId4" name="Check Box 1">
              <controlPr defaultSize="0" autoFill="0" autoLine="0" autoPict="0">
                <anchor moveWithCells="1">
                  <from>
                    <xdr:col>15</xdr:col>
                    <xdr:colOff>12700</xdr:colOff>
                    <xdr:row>4</xdr:row>
                    <xdr:rowOff>76200</xdr:rowOff>
                  </from>
                  <to>
                    <xdr:col>16</xdr:col>
                    <xdr:colOff>177800</xdr:colOff>
                    <xdr:row>4</xdr:row>
                    <xdr:rowOff>298450</xdr:rowOff>
                  </to>
                </anchor>
              </controlPr>
            </control>
          </mc:Choice>
        </mc:AlternateContent>
        <mc:AlternateContent xmlns:mc="http://schemas.openxmlformats.org/markup-compatibility/2006">
          <mc:Choice Requires="x14">
            <control shapeId="73730" r:id="rId5" name="Check Box 2">
              <controlPr defaultSize="0" autoFill="0" autoLine="0" autoPict="0">
                <anchor moveWithCells="1">
                  <from>
                    <xdr:col>18</xdr:col>
                    <xdr:colOff>25400</xdr:colOff>
                    <xdr:row>4</xdr:row>
                    <xdr:rowOff>88900</xdr:rowOff>
                  </from>
                  <to>
                    <xdr:col>19</xdr:col>
                    <xdr:colOff>184150</xdr:colOff>
                    <xdr:row>4</xdr:row>
                    <xdr:rowOff>311150</xdr:rowOff>
                  </to>
                </anchor>
              </controlPr>
            </control>
          </mc:Choice>
        </mc:AlternateContent>
        <mc:AlternateContent xmlns:mc="http://schemas.openxmlformats.org/markup-compatibility/2006">
          <mc:Choice Requires="x14">
            <control shapeId="73732" r:id="rId6" name="Check Box 4">
              <controlPr defaultSize="0" autoFill="0" autoLine="0" autoPict="0">
                <anchor moveWithCells="1">
                  <from>
                    <xdr:col>15</xdr:col>
                    <xdr:colOff>6350</xdr:colOff>
                    <xdr:row>5</xdr:row>
                    <xdr:rowOff>69850</xdr:rowOff>
                  </from>
                  <to>
                    <xdr:col>16</xdr:col>
                    <xdr:colOff>165100</xdr:colOff>
                    <xdr:row>5</xdr:row>
                    <xdr:rowOff>292100</xdr:rowOff>
                  </to>
                </anchor>
              </controlPr>
            </control>
          </mc:Choice>
        </mc:AlternateContent>
        <mc:AlternateContent xmlns:mc="http://schemas.openxmlformats.org/markup-compatibility/2006">
          <mc:Choice Requires="x14">
            <control shapeId="73735" r:id="rId7" name="Check Box 7">
              <controlPr defaultSize="0" autoFill="0" autoLine="0" autoPict="0">
                <anchor moveWithCells="1">
                  <from>
                    <xdr:col>15</xdr:col>
                    <xdr:colOff>0</xdr:colOff>
                    <xdr:row>6</xdr:row>
                    <xdr:rowOff>25400</xdr:rowOff>
                  </from>
                  <to>
                    <xdr:col>16</xdr:col>
                    <xdr:colOff>25400</xdr:colOff>
                    <xdr:row>6</xdr:row>
                    <xdr:rowOff>330200</xdr:rowOff>
                  </to>
                </anchor>
              </controlPr>
            </control>
          </mc:Choice>
        </mc:AlternateContent>
        <mc:AlternateContent xmlns:mc="http://schemas.openxmlformats.org/markup-compatibility/2006">
          <mc:Choice Requires="x14">
            <control shapeId="73738" r:id="rId8" name="Check Box 10">
              <controlPr defaultSize="0" autoFill="0" autoLine="0" autoPict="0">
                <anchor moveWithCells="1">
                  <from>
                    <xdr:col>15</xdr:col>
                    <xdr:colOff>6350</xdr:colOff>
                    <xdr:row>7</xdr:row>
                    <xdr:rowOff>38100</xdr:rowOff>
                  </from>
                  <to>
                    <xdr:col>16</xdr:col>
                    <xdr:colOff>25400</xdr:colOff>
                    <xdr:row>7</xdr:row>
                    <xdr:rowOff>342900</xdr:rowOff>
                  </to>
                </anchor>
              </controlPr>
            </control>
          </mc:Choice>
        </mc:AlternateContent>
        <mc:AlternateContent xmlns:mc="http://schemas.openxmlformats.org/markup-compatibility/2006">
          <mc:Choice Requires="x14">
            <control shapeId="73741" r:id="rId9" name="Check Box 13">
              <controlPr defaultSize="0" autoFill="0" autoLine="0" autoPict="0">
                <anchor moveWithCells="1">
                  <from>
                    <xdr:col>15</xdr:col>
                    <xdr:colOff>0</xdr:colOff>
                    <xdr:row>8</xdr:row>
                    <xdr:rowOff>50800</xdr:rowOff>
                  </from>
                  <to>
                    <xdr:col>16</xdr:col>
                    <xdr:colOff>25400</xdr:colOff>
                    <xdr:row>8</xdr:row>
                    <xdr:rowOff>355600</xdr:rowOff>
                  </to>
                </anchor>
              </controlPr>
            </control>
          </mc:Choice>
        </mc:AlternateContent>
        <mc:AlternateContent xmlns:mc="http://schemas.openxmlformats.org/markup-compatibility/2006">
          <mc:Choice Requires="x14">
            <control shapeId="73744" r:id="rId10" name="Check Box 16">
              <controlPr defaultSize="0" autoFill="0" autoLine="0" autoPict="0">
                <anchor moveWithCells="1">
                  <from>
                    <xdr:col>15</xdr:col>
                    <xdr:colOff>6350</xdr:colOff>
                    <xdr:row>9</xdr:row>
                    <xdr:rowOff>44450</xdr:rowOff>
                  </from>
                  <to>
                    <xdr:col>16</xdr:col>
                    <xdr:colOff>25400</xdr:colOff>
                    <xdr:row>9</xdr:row>
                    <xdr:rowOff>349250</xdr:rowOff>
                  </to>
                </anchor>
              </controlPr>
            </control>
          </mc:Choice>
        </mc:AlternateContent>
        <mc:AlternateContent xmlns:mc="http://schemas.openxmlformats.org/markup-compatibility/2006">
          <mc:Choice Requires="x14">
            <control shapeId="73747" r:id="rId11" name="Check Box 19">
              <controlPr defaultSize="0" autoFill="0" autoLine="0" autoPict="0">
                <anchor moveWithCells="1">
                  <from>
                    <xdr:col>15</xdr:col>
                    <xdr:colOff>6350</xdr:colOff>
                    <xdr:row>10</xdr:row>
                    <xdr:rowOff>44450</xdr:rowOff>
                  </from>
                  <to>
                    <xdr:col>16</xdr:col>
                    <xdr:colOff>25400</xdr:colOff>
                    <xdr:row>10</xdr:row>
                    <xdr:rowOff>349250</xdr:rowOff>
                  </to>
                </anchor>
              </controlPr>
            </control>
          </mc:Choice>
        </mc:AlternateContent>
        <mc:AlternateContent xmlns:mc="http://schemas.openxmlformats.org/markup-compatibility/2006">
          <mc:Choice Requires="x14">
            <control shapeId="73750" r:id="rId12" name="Check Box 22">
              <controlPr defaultSize="0" autoFill="0" autoLine="0" autoPict="0">
                <anchor moveWithCells="1">
                  <from>
                    <xdr:col>15</xdr:col>
                    <xdr:colOff>0</xdr:colOff>
                    <xdr:row>11</xdr:row>
                    <xdr:rowOff>31750</xdr:rowOff>
                  </from>
                  <to>
                    <xdr:col>16</xdr:col>
                    <xdr:colOff>25400</xdr:colOff>
                    <xdr:row>11</xdr:row>
                    <xdr:rowOff>336550</xdr:rowOff>
                  </to>
                </anchor>
              </controlPr>
            </control>
          </mc:Choice>
        </mc:AlternateContent>
        <mc:AlternateContent xmlns:mc="http://schemas.openxmlformats.org/markup-compatibility/2006">
          <mc:Choice Requires="x14">
            <control shapeId="73753" r:id="rId13" name="Check Box 25">
              <controlPr defaultSize="0" autoFill="0" autoLine="0" autoPict="0">
                <anchor moveWithCells="1">
                  <from>
                    <xdr:col>15</xdr:col>
                    <xdr:colOff>0</xdr:colOff>
                    <xdr:row>12</xdr:row>
                    <xdr:rowOff>38100</xdr:rowOff>
                  </from>
                  <to>
                    <xdr:col>16</xdr:col>
                    <xdr:colOff>25400</xdr:colOff>
                    <xdr:row>12</xdr:row>
                    <xdr:rowOff>342900</xdr:rowOff>
                  </to>
                </anchor>
              </controlPr>
            </control>
          </mc:Choice>
        </mc:AlternateContent>
        <mc:AlternateContent xmlns:mc="http://schemas.openxmlformats.org/markup-compatibility/2006">
          <mc:Choice Requires="x14">
            <control shapeId="73755" r:id="rId14" name="Check Box 27">
              <controlPr defaultSize="0" autoFill="0" autoLine="0" autoPict="0">
                <anchor moveWithCells="1">
                  <from>
                    <xdr:col>15</xdr:col>
                    <xdr:colOff>12700</xdr:colOff>
                    <xdr:row>13</xdr:row>
                    <xdr:rowOff>44450</xdr:rowOff>
                  </from>
                  <to>
                    <xdr:col>16</xdr:col>
                    <xdr:colOff>31750</xdr:colOff>
                    <xdr:row>13</xdr:row>
                    <xdr:rowOff>349250</xdr:rowOff>
                  </to>
                </anchor>
              </controlPr>
            </control>
          </mc:Choice>
        </mc:AlternateContent>
        <mc:AlternateContent xmlns:mc="http://schemas.openxmlformats.org/markup-compatibility/2006">
          <mc:Choice Requires="x14">
            <control shapeId="73758" r:id="rId15" name="Check Box 30">
              <controlPr defaultSize="0" autoFill="0" autoLine="0" autoPict="0">
                <anchor moveWithCells="1">
                  <from>
                    <xdr:col>15</xdr:col>
                    <xdr:colOff>12700</xdr:colOff>
                    <xdr:row>14</xdr:row>
                    <xdr:rowOff>44450</xdr:rowOff>
                  </from>
                  <to>
                    <xdr:col>16</xdr:col>
                    <xdr:colOff>31750</xdr:colOff>
                    <xdr:row>14</xdr:row>
                    <xdr:rowOff>349250</xdr:rowOff>
                  </to>
                </anchor>
              </controlPr>
            </control>
          </mc:Choice>
        </mc:AlternateContent>
        <mc:AlternateContent xmlns:mc="http://schemas.openxmlformats.org/markup-compatibility/2006">
          <mc:Choice Requires="x14">
            <control shapeId="73761" r:id="rId16" name="Check Box 33">
              <controlPr defaultSize="0" autoFill="0" autoLine="0" autoPict="0">
                <anchor moveWithCells="1">
                  <from>
                    <xdr:col>15</xdr:col>
                    <xdr:colOff>0</xdr:colOff>
                    <xdr:row>15</xdr:row>
                    <xdr:rowOff>44450</xdr:rowOff>
                  </from>
                  <to>
                    <xdr:col>16</xdr:col>
                    <xdr:colOff>25400</xdr:colOff>
                    <xdr:row>15</xdr:row>
                    <xdr:rowOff>349250</xdr:rowOff>
                  </to>
                </anchor>
              </controlPr>
            </control>
          </mc:Choice>
        </mc:AlternateContent>
        <mc:AlternateContent xmlns:mc="http://schemas.openxmlformats.org/markup-compatibility/2006">
          <mc:Choice Requires="x14">
            <control shapeId="73764" r:id="rId17" name="Check Box 36">
              <controlPr defaultSize="0" autoFill="0" autoLine="0" autoPict="0">
                <anchor moveWithCells="1">
                  <from>
                    <xdr:col>15</xdr:col>
                    <xdr:colOff>12700</xdr:colOff>
                    <xdr:row>16</xdr:row>
                    <xdr:rowOff>44450</xdr:rowOff>
                  </from>
                  <to>
                    <xdr:col>16</xdr:col>
                    <xdr:colOff>31750</xdr:colOff>
                    <xdr:row>16</xdr:row>
                    <xdr:rowOff>349250</xdr:rowOff>
                  </to>
                </anchor>
              </controlPr>
            </control>
          </mc:Choice>
        </mc:AlternateContent>
        <mc:AlternateContent xmlns:mc="http://schemas.openxmlformats.org/markup-compatibility/2006">
          <mc:Choice Requires="x14">
            <control shapeId="73767" r:id="rId18" name="Check Box 39">
              <controlPr defaultSize="0" autoFill="0" autoLine="0" autoPict="0">
                <anchor moveWithCells="1">
                  <from>
                    <xdr:col>15</xdr:col>
                    <xdr:colOff>12700</xdr:colOff>
                    <xdr:row>17</xdr:row>
                    <xdr:rowOff>38100</xdr:rowOff>
                  </from>
                  <to>
                    <xdr:col>16</xdr:col>
                    <xdr:colOff>31750</xdr:colOff>
                    <xdr:row>17</xdr:row>
                    <xdr:rowOff>342900</xdr:rowOff>
                  </to>
                </anchor>
              </controlPr>
            </control>
          </mc:Choice>
        </mc:AlternateContent>
        <mc:AlternateContent xmlns:mc="http://schemas.openxmlformats.org/markup-compatibility/2006">
          <mc:Choice Requires="x14">
            <control shapeId="73770" r:id="rId19" name="Check Box 42">
              <controlPr defaultSize="0" autoFill="0" autoLine="0" autoPict="0">
                <anchor moveWithCells="1">
                  <from>
                    <xdr:col>15</xdr:col>
                    <xdr:colOff>0</xdr:colOff>
                    <xdr:row>18</xdr:row>
                    <xdr:rowOff>38100</xdr:rowOff>
                  </from>
                  <to>
                    <xdr:col>16</xdr:col>
                    <xdr:colOff>25400</xdr:colOff>
                    <xdr:row>18</xdr:row>
                    <xdr:rowOff>342900</xdr:rowOff>
                  </to>
                </anchor>
              </controlPr>
            </control>
          </mc:Choice>
        </mc:AlternateContent>
        <mc:AlternateContent xmlns:mc="http://schemas.openxmlformats.org/markup-compatibility/2006">
          <mc:Choice Requires="x14">
            <control shapeId="73773" r:id="rId20" name="Check Box 45">
              <controlPr defaultSize="0" autoFill="0" autoLine="0" autoPict="0">
                <anchor moveWithCells="1">
                  <from>
                    <xdr:col>34</xdr:col>
                    <xdr:colOff>0</xdr:colOff>
                    <xdr:row>17</xdr:row>
                    <xdr:rowOff>38100</xdr:rowOff>
                  </from>
                  <to>
                    <xdr:col>35</xdr:col>
                    <xdr:colOff>25400</xdr:colOff>
                    <xdr:row>17</xdr:row>
                    <xdr:rowOff>342900</xdr:rowOff>
                  </to>
                </anchor>
              </controlPr>
            </control>
          </mc:Choice>
        </mc:AlternateContent>
        <mc:AlternateContent xmlns:mc="http://schemas.openxmlformats.org/markup-compatibility/2006">
          <mc:Choice Requires="x14">
            <control shapeId="73774" r:id="rId21" name="Check Box 46">
              <controlPr defaultSize="0" autoFill="0" autoLine="0" autoPict="0">
                <anchor moveWithCells="1">
                  <from>
                    <xdr:col>37</xdr:col>
                    <xdr:colOff>0</xdr:colOff>
                    <xdr:row>17</xdr:row>
                    <xdr:rowOff>38100</xdr:rowOff>
                  </from>
                  <to>
                    <xdr:col>38</xdr:col>
                    <xdr:colOff>25400</xdr:colOff>
                    <xdr:row>17</xdr:row>
                    <xdr:rowOff>342900</xdr:rowOff>
                  </to>
                </anchor>
              </controlPr>
            </control>
          </mc:Choice>
        </mc:AlternateContent>
        <mc:AlternateContent xmlns:mc="http://schemas.openxmlformats.org/markup-compatibility/2006">
          <mc:Choice Requires="x14">
            <control shapeId="73775" r:id="rId22" name="Check Box 47">
              <controlPr defaultSize="0" autoFill="0" autoLine="0" autoPict="0">
                <anchor moveWithCells="1">
                  <from>
                    <xdr:col>40</xdr:col>
                    <xdr:colOff>12700</xdr:colOff>
                    <xdr:row>17</xdr:row>
                    <xdr:rowOff>44450</xdr:rowOff>
                  </from>
                  <to>
                    <xdr:col>41</xdr:col>
                    <xdr:colOff>31750</xdr:colOff>
                    <xdr:row>17</xdr:row>
                    <xdr:rowOff>349250</xdr:rowOff>
                  </to>
                </anchor>
              </controlPr>
            </control>
          </mc:Choice>
        </mc:AlternateContent>
        <mc:AlternateContent xmlns:mc="http://schemas.openxmlformats.org/markup-compatibility/2006">
          <mc:Choice Requires="x14">
            <control shapeId="73776" r:id="rId23" name="Check Box 48">
              <controlPr defaultSize="0" autoFill="0" autoLine="0" autoPict="0">
                <anchor moveWithCells="1">
                  <from>
                    <xdr:col>34</xdr:col>
                    <xdr:colOff>12700</xdr:colOff>
                    <xdr:row>16</xdr:row>
                    <xdr:rowOff>44450</xdr:rowOff>
                  </from>
                  <to>
                    <xdr:col>35</xdr:col>
                    <xdr:colOff>31750</xdr:colOff>
                    <xdr:row>16</xdr:row>
                    <xdr:rowOff>349250</xdr:rowOff>
                  </to>
                </anchor>
              </controlPr>
            </control>
          </mc:Choice>
        </mc:AlternateContent>
        <mc:AlternateContent xmlns:mc="http://schemas.openxmlformats.org/markup-compatibility/2006">
          <mc:Choice Requires="x14">
            <control shapeId="73777" r:id="rId24" name="Check Box 49">
              <controlPr defaultSize="0" autoFill="0" autoLine="0" autoPict="0">
                <anchor moveWithCells="1">
                  <from>
                    <xdr:col>37</xdr:col>
                    <xdr:colOff>25400</xdr:colOff>
                    <xdr:row>16</xdr:row>
                    <xdr:rowOff>44450</xdr:rowOff>
                  </from>
                  <to>
                    <xdr:col>38</xdr:col>
                    <xdr:colOff>38100</xdr:colOff>
                    <xdr:row>16</xdr:row>
                    <xdr:rowOff>349250</xdr:rowOff>
                  </to>
                </anchor>
              </controlPr>
            </control>
          </mc:Choice>
        </mc:AlternateContent>
        <mc:AlternateContent xmlns:mc="http://schemas.openxmlformats.org/markup-compatibility/2006">
          <mc:Choice Requires="x14">
            <control shapeId="73778" r:id="rId25" name="Check Box 50">
              <controlPr defaultSize="0" autoFill="0" autoLine="0" autoPict="0">
                <anchor moveWithCells="1">
                  <from>
                    <xdr:col>40</xdr:col>
                    <xdr:colOff>6350</xdr:colOff>
                    <xdr:row>16</xdr:row>
                    <xdr:rowOff>63500</xdr:rowOff>
                  </from>
                  <to>
                    <xdr:col>41</xdr:col>
                    <xdr:colOff>25400</xdr:colOff>
                    <xdr:row>16</xdr:row>
                    <xdr:rowOff>368300</xdr:rowOff>
                  </to>
                </anchor>
              </controlPr>
            </control>
          </mc:Choice>
        </mc:AlternateContent>
        <mc:AlternateContent xmlns:mc="http://schemas.openxmlformats.org/markup-compatibility/2006">
          <mc:Choice Requires="x14">
            <control shapeId="73779" r:id="rId26" name="Check Box 51">
              <controlPr defaultSize="0" autoFill="0" autoLine="0" autoPict="0">
                <anchor moveWithCells="1">
                  <from>
                    <xdr:col>34</xdr:col>
                    <xdr:colOff>6350</xdr:colOff>
                    <xdr:row>15</xdr:row>
                    <xdr:rowOff>38100</xdr:rowOff>
                  </from>
                  <to>
                    <xdr:col>35</xdr:col>
                    <xdr:colOff>25400</xdr:colOff>
                    <xdr:row>15</xdr:row>
                    <xdr:rowOff>342900</xdr:rowOff>
                  </to>
                </anchor>
              </controlPr>
            </control>
          </mc:Choice>
        </mc:AlternateContent>
        <mc:AlternateContent xmlns:mc="http://schemas.openxmlformats.org/markup-compatibility/2006">
          <mc:Choice Requires="x14">
            <control shapeId="73780" r:id="rId27" name="Check Box 52">
              <controlPr defaultSize="0" autoFill="0" autoLine="0" autoPict="0">
                <anchor moveWithCells="1">
                  <from>
                    <xdr:col>37</xdr:col>
                    <xdr:colOff>6350</xdr:colOff>
                    <xdr:row>15</xdr:row>
                    <xdr:rowOff>69850</xdr:rowOff>
                  </from>
                  <to>
                    <xdr:col>37</xdr:col>
                    <xdr:colOff>234950</xdr:colOff>
                    <xdr:row>15</xdr:row>
                    <xdr:rowOff>336550</xdr:rowOff>
                  </to>
                </anchor>
              </controlPr>
            </control>
          </mc:Choice>
        </mc:AlternateContent>
        <mc:AlternateContent xmlns:mc="http://schemas.openxmlformats.org/markup-compatibility/2006">
          <mc:Choice Requires="x14">
            <control shapeId="73781" r:id="rId28" name="Check Box 53">
              <controlPr defaultSize="0" autoFill="0" autoLine="0" autoPict="0">
                <anchor moveWithCells="1">
                  <from>
                    <xdr:col>40</xdr:col>
                    <xdr:colOff>6350</xdr:colOff>
                    <xdr:row>15</xdr:row>
                    <xdr:rowOff>44450</xdr:rowOff>
                  </from>
                  <to>
                    <xdr:col>41</xdr:col>
                    <xdr:colOff>25400</xdr:colOff>
                    <xdr:row>15</xdr:row>
                    <xdr:rowOff>349250</xdr:rowOff>
                  </to>
                </anchor>
              </controlPr>
            </control>
          </mc:Choice>
        </mc:AlternateContent>
        <mc:AlternateContent xmlns:mc="http://schemas.openxmlformats.org/markup-compatibility/2006">
          <mc:Choice Requires="x14">
            <control shapeId="73782" r:id="rId29" name="Check Box 54">
              <controlPr defaultSize="0" autoFill="0" autoLine="0" autoPict="0">
                <anchor moveWithCells="1">
                  <from>
                    <xdr:col>34</xdr:col>
                    <xdr:colOff>12700</xdr:colOff>
                    <xdr:row>14</xdr:row>
                    <xdr:rowOff>38100</xdr:rowOff>
                  </from>
                  <to>
                    <xdr:col>35</xdr:col>
                    <xdr:colOff>31750</xdr:colOff>
                    <xdr:row>14</xdr:row>
                    <xdr:rowOff>342900</xdr:rowOff>
                  </to>
                </anchor>
              </controlPr>
            </control>
          </mc:Choice>
        </mc:AlternateContent>
        <mc:AlternateContent xmlns:mc="http://schemas.openxmlformats.org/markup-compatibility/2006">
          <mc:Choice Requires="x14">
            <control shapeId="73783" r:id="rId30" name="Check Box 55">
              <controlPr defaultSize="0" autoFill="0" autoLine="0" autoPict="0">
                <anchor moveWithCells="1">
                  <from>
                    <xdr:col>37</xdr:col>
                    <xdr:colOff>6350</xdr:colOff>
                    <xdr:row>14</xdr:row>
                    <xdr:rowOff>44450</xdr:rowOff>
                  </from>
                  <to>
                    <xdr:col>38</xdr:col>
                    <xdr:colOff>25400</xdr:colOff>
                    <xdr:row>14</xdr:row>
                    <xdr:rowOff>349250</xdr:rowOff>
                  </to>
                </anchor>
              </controlPr>
            </control>
          </mc:Choice>
        </mc:AlternateContent>
        <mc:AlternateContent xmlns:mc="http://schemas.openxmlformats.org/markup-compatibility/2006">
          <mc:Choice Requires="x14">
            <control shapeId="73784" r:id="rId31" name="Check Box 56">
              <controlPr defaultSize="0" autoFill="0" autoLine="0" autoPict="0">
                <anchor moveWithCells="1">
                  <from>
                    <xdr:col>40</xdr:col>
                    <xdr:colOff>0</xdr:colOff>
                    <xdr:row>14</xdr:row>
                    <xdr:rowOff>44450</xdr:rowOff>
                  </from>
                  <to>
                    <xdr:col>41</xdr:col>
                    <xdr:colOff>25400</xdr:colOff>
                    <xdr:row>14</xdr:row>
                    <xdr:rowOff>349250</xdr:rowOff>
                  </to>
                </anchor>
              </controlPr>
            </control>
          </mc:Choice>
        </mc:AlternateContent>
        <mc:AlternateContent xmlns:mc="http://schemas.openxmlformats.org/markup-compatibility/2006">
          <mc:Choice Requires="x14">
            <control shapeId="73785" r:id="rId32" name="Check Box 57">
              <controlPr defaultSize="0" autoFill="0" autoLine="0" autoPict="0">
                <anchor moveWithCells="1">
                  <from>
                    <xdr:col>34</xdr:col>
                    <xdr:colOff>6350</xdr:colOff>
                    <xdr:row>13</xdr:row>
                    <xdr:rowOff>44450</xdr:rowOff>
                  </from>
                  <to>
                    <xdr:col>35</xdr:col>
                    <xdr:colOff>25400</xdr:colOff>
                    <xdr:row>13</xdr:row>
                    <xdr:rowOff>349250</xdr:rowOff>
                  </to>
                </anchor>
              </controlPr>
            </control>
          </mc:Choice>
        </mc:AlternateContent>
        <mc:AlternateContent xmlns:mc="http://schemas.openxmlformats.org/markup-compatibility/2006">
          <mc:Choice Requires="x14">
            <control shapeId="73786" r:id="rId33" name="Check Box 58">
              <controlPr defaultSize="0" autoFill="0" autoLine="0" autoPict="0">
                <anchor moveWithCells="1">
                  <from>
                    <xdr:col>37</xdr:col>
                    <xdr:colOff>6350</xdr:colOff>
                    <xdr:row>13</xdr:row>
                    <xdr:rowOff>44450</xdr:rowOff>
                  </from>
                  <to>
                    <xdr:col>38</xdr:col>
                    <xdr:colOff>25400</xdr:colOff>
                    <xdr:row>13</xdr:row>
                    <xdr:rowOff>349250</xdr:rowOff>
                  </to>
                </anchor>
              </controlPr>
            </control>
          </mc:Choice>
        </mc:AlternateContent>
        <mc:AlternateContent xmlns:mc="http://schemas.openxmlformats.org/markup-compatibility/2006">
          <mc:Choice Requires="x14">
            <control shapeId="73787" r:id="rId34" name="Check Box 59">
              <controlPr defaultSize="0" autoFill="0" autoLine="0" autoPict="0">
                <anchor moveWithCells="1">
                  <from>
                    <xdr:col>40</xdr:col>
                    <xdr:colOff>0</xdr:colOff>
                    <xdr:row>13</xdr:row>
                    <xdr:rowOff>50800</xdr:rowOff>
                  </from>
                  <to>
                    <xdr:col>41</xdr:col>
                    <xdr:colOff>25400</xdr:colOff>
                    <xdr:row>13</xdr:row>
                    <xdr:rowOff>355600</xdr:rowOff>
                  </to>
                </anchor>
              </controlPr>
            </control>
          </mc:Choice>
        </mc:AlternateContent>
        <mc:AlternateContent xmlns:mc="http://schemas.openxmlformats.org/markup-compatibility/2006">
          <mc:Choice Requires="x14">
            <control shapeId="73788" r:id="rId35" name="Check Box 60">
              <controlPr defaultSize="0" autoFill="0" autoLine="0" autoPict="0">
                <anchor moveWithCells="1">
                  <from>
                    <xdr:col>34</xdr:col>
                    <xdr:colOff>6350</xdr:colOff>
                    <xdr:row>12</xdr:row>
                    <xdr:rowOff>63500</xdr:rowOff>
                  </from>
                  <to>
                    <xdr:col>35</xdr:col>
                    <xdr:colOff>25400</xdr:colOff>
                    <xdr:row>12</xdr:row>
                    <xdr:rowOff>368300</xdr:rowOff>
                  </to>
                </anchor>
              </controlPr>
            </control>
          </mc:Choice>
        </mc:AlternateContent>
        <mc:AlternateContent xmlns:mc="http://schemas.openxmlformats.org/markup-compatibility/2006">
          <mc:Choice Requires="x14">
            <control shapeId="73789" r:id="rId36" name="Check Box 61">
              <controlPr defaultSize="0" autoFill="0" autoLine="0" autoPict="0">
                <anchor moveWithCells="1">
                  <from>
                    <xdr:col>37</xdr:col>
                    <xdr:colOff>6350</xdr:colOff>
                    <xdr:row>12</xdr:row>
                    <xdr:rowOff>38100</xdr:rowOff>
                  </from>
                  <to>
                    <xdr:col>38</xdr:col>
                    <xdr:colOff>25400</xdr:colOff>
                    <xdr:row>12</xdr:row>
                    <xdr:rowOff>342900</xdr:rowOff>
                  </to>
                </anchor>
              </controlPr>
            </control>
          </mc:Choice>
        </mc:AlternateContent>
        <mc:AlternateContent xmlns:mc="http://schemas.openxmlformats.org/markup-compatibility/2006">
          <mc:Choice Requires="x14">
            <control shapeId="73790" r:id="rId37" name="Check Box 62">
              <controlPr defaultSize="0" autoFill="0" autoLine="0" autoPict="0">
                <anchor moveWithCells="1">
                  <from>
                    <xdr:col>40</xdr:col>
                    <xdr:colOff>6350</xdr:colOff>
                    <xdr:row>12</xdr:row>
                    <xdr:rowOff>44450</xdr:rowOff>
                  </from>
                  <to>
                    <xdr:col>41</xdr:col>
                    <xdr:colOff>25400</xdr:colOff>
                    <xdr:row>12</xdr:row>
                    <xdr:rowOff>349250</xdr:rowOff>
                  </to>
                </anchor>
              </controlPr>
            </control>
          </mc:Choice>
        </mc:AlternateContent>
        <mc:AlternateContent xmlns:mc="http://schemas.openxmlformats.org/markup-compatibility/2006">
          <mc:Choice Requires="x14">
            <control shapeId="73791" r:id="rId38" name="Check Box 63">
              <controlPr defaultSize="0" autoFill="0" autoLine="0" autoPict="0">
                <anchor moveWithCells="1">
                  <from>
                    <xdr:col>34</xdr:col>
                    <xdr:colOff>12700</xdr:colOff>
                    <xdr:row>11</xdr:row>
                    <xdr:rowOff>38100</xdr:rowOff>
                  </from>
                  <to>
                    <xdr:col>35</xdr:col>
                    <xdr:colOff>31750</xdr:colOff>
                    <xdr:row>11</xdr:row>
                    <xdr:rowOff>342900</xdr:rowOff>
                  </to>
                </anchor>
              </controlPr>
            </control>
          </mc:Choice>
        </mc:AlternateContent>
        <mc:AlternateContent xmlns:mc="http://schemas.openxmlformats.org/markup-compatibility/2006">
          <mc:Choice Requires="x14">
            <control shapeId="73792" r:id="rId39" name="Check Box 64">
              <controlPr defaultSize="0" autoFill="0" autoLine="0" autoPict="0">
                <anchor moveWithCells="1">
                  <from>
                    <xdr:col>37</xdr:col>
                    <xdr:colOff>12700</xdr:colOff>
                    <xdr:row>11</xdr:row>
                    <xdr:rowOff>38100</xdr:rowOff>
                  </from>
                  <to>
                    <xdr:col>38</xdr:col>
                    <xdr:colOff>31750</xdr:colOff>
                    <xdr:row>11</xdr:row>
                    <xdr:rowOff>342900</xdr:rowOff>
                  </to>
                </anchor>
              </controlPr>
            </control>
          </mc:Choice>
        </mc:AlternateContent>
        <mc:AlternateContent xmlns:mc="http://schemas.openxmlformats.org/markup-compatibility/2006">
          <mc:Choice Requires="x14">
            <control shapeId="73793" r:id="rId40" name="Check Box 65">
              <controlPr defaultSize="0" autoFill="0" autoLine="0" autoPict="0">
                <anchor moveWithCells="1">
                  <from>
                    <xdr:col>40</xdr:col>
                    <xdr:colOff>0</xdr:colOff>
                    <xdr:row>11</xdr:row>
                    <xdr:rowOff>38100</xdr:rowOff>
                  </from>
                  <to>
                    <xdr:col>41</xdr:col>
                    <xdr:colOff>25400</xdr:colOff>
                    <xdr:row>11</xdr:row>
                    <xdr:rowOff>342900</xdr:rowOff>
                  </to>
                </anchor>
              </controlPr>
            </control>
          </mc:Choice>
        </mc:AlternateContent>
        <mc:AlternateContent xmlns:mc="http://schemas.openxmlformats.org/markup-compatibility/2006">
          <mc:Choice Requires="x14">
            <control shapeId="73794" r:id="rId41" name="Check Box 66">
              <controlPr defaultSize="0" autoFill="0" autoLine="0" autoPict="0">
                <anchor moveWithCells="1">
                  <from>
                    <xdr:col>34</xdr:col>
                    <xdr:colOff>12700</xdr:colOff>
                    <xdr:row>10</xdr:row>
                    <xdr:rowOff>44450</xdr:rowOff>
                  </from>
                  <to>
                    <xdr:col>35</xdr:col>
                    <xdr:colOff>31750</xdr:colOff>
                    <xdr:row>10</xdr:row>
                    <xdr:rowOff>349250</xdr:rowOff>
                  </to>
                </anchor>
              </controlPr>
            </control>
          </mc:Choice>
        </mc:AlternateContent>
        <mc:AlternateContent xmlns:mc="http://schemas.openxmlformats.org/markup-compatibility/2006">
          <mc:Choice Requires="x14">
            <control shapeId="73795" r:id="rId42" name="Check Box 67">
              <controlPr defaultSize="0" autoFill="0" autoLine="0" autoPict="0">
                <anchor moveWithCells="1">
                  <from>
                    <xdr:col>37</xdr:col>
                    <xdr:colOff>6350</xdr:colOff>
                    <xdr:row>10</xdr:row>
                    <xdr:rowOff>50800</xdr:rowOff>
                  </from>
                  <to>
                    <xdr:col>38</xdr:col>
                    <xdr:colOff>25400</xdr:colOff>
                    <xdr:row>10</xdr:row>
                    <xdr:rowOff>355600</xdr:rowOff>
                  </to>
                </anchor>
              </controlPr>
            </control>
          </mc:Choice>
        </mc:AlternateContent>
        <mc:AlternateContent xmlns:mc="http://schemas.openxmlformats.org/markup-compatibility/2006">
          <mc:Choice Requires="x14">
            <control shapeId="73796" r:id="rId43" name="Check Box 68">
              <controlPr defaultSize="0" autoFill="0" autoLine="0" autoPict="0">
                <anchor moveWithCells="1">
                  <from>
                    <xdr:col>40</xdr:col>
                    <xdr:colOff>12700</xdr:colOff>
                    <xdr:row>10</xdr:row>
                    <xdr:rowOff>38100</xdr:rowOff>
                  </from>
                  <to>
                    <xdr:col>41</xdr:col>
                    <xdr:colOff>31750</xdr:colOff>
                    <xdr:row>10</xdr:row>
                    <xdr:rowOff>342900</xdr:rowOff>
                  </to>
                </anchor>
              </controlPr>
            </control>
          </mc:Choice>
        </mc:AlternateContent>
        <mc:AlternateContent xmlns:mc="http://schemas.openxmlformats.org/markup-compatibility/2006">
          <mc:Choice Requires="x14">
            <control shapeId="73797" r:id="rId44" name="Check Box 69">
              <controlPr defaultSize="0" autoFill="0" autoLine="0" autoPict="0">
                <anchor moveWithCells="1">
                  <from>
                    <xdr:col>34</xdr:col>
                    <xdr:colOff>6350</xdr:colOff>
                    <xdr:row>9</xdr:row>
                    <xdr:rowOff>44450</xdr:rowOff>
                  </from>
                  <to>
                    <xdr:col>35</xdr:col>
                    <xdr:colOff>25400</xdr:colOff>
                    <xdr:row>9</xdr:row>
                    <xdr:rowOff>349250</xdr:rowOff>
                  </to>
                </anchor>
              </controlPr>
            </control>
          </mc:Choice>
        </mc:AlternateContent>
        <mc:AlternateContent xmlns:mc="http://schemas.openxmlformats.org/markup-compatibility/2006">
          <mc:Choice Requires="x14">
            <control shapeId="73798" r:id="rId45" name="Check Box 70">
              <controlPr defaultSize="0" autoFill="0" autoLine="0" autoPict="0">
                <anchor moveWithCells="1">
                  <from>
                    <xdr:col>37</xdr:col>
                    <xdr:colOff>6350</xdr:colOff>
                    <xdr:row>9</xdr:row>
                    <xdr:rowOff>44450</xdr:rowOff>
                  </from>
                  <to>
                    <xdr:col>37</xdr:col>
                    <xdr:colOff>254000</xdr:colOff>
                    <xdr:row>9</xdr:row>
                    <xdr:rowOff>336550</xdr:rowOff>
                  </to>
                </anchor>
              </controlPr>
            </control>
          </mc:Choice>
        </mc:AlternateContent>
        <mc:AlternateContent xmlns:mc="http://schemas.openxmlformats.org/markup-compatibility/2006">
          <mc:Choice Requires="x14">
            <control shapeId="73799" r:id="rId46" name="Check Box 71">
              <controlPr defaultSize="0" autoFill="0" autoLine="0" autoPict="0">
                <anchor moveWithCells="1">
                  <from>
                    <xdr:col>40</xdr:col>
                    <xdr:colOff>12700</xdr:colOff>
                    <xdr:row>9</xdr:row>
                    <xdr:rowOff>44450</xdr:rowOff>
                  </from>
                  <to>
                    <xdr:col>41</xdr:col>
                    <xdr:colOff>31750</xdr:colOff>
                    <xdr:row>9</xdr:row>
                    <xdr:rowOff>349250</xdr:rowOff>
                  </to>
                </anchor>
              </controlPr>
            </control>
          </mc:Choice>
        </mc:AlternateContent>
        <mc:AlternateContent xmlns:mc="http://schemas.openxmlformats.org/markup-compatibility/2006">
          <mc:Choice Requires="x14">
            <control shapeId="73800" r:id="rId47" name="Check Box 72">
              <controlPr defaultSize="0" autoFill="0" autoLine="0" autoPict="0">
                <anchor moveWithCells="1">
                  <from>
                    <xdr:col>34</xdr:col>
                    <xdr:colOff>0</xdr:colOff>
                    <xdr:row>8</xdr:row>
                    <xdr:rowOff>88900</xdr:rowOff>
                  </from>
                  <to>
                    <xdr:col>34</xdr:col>
                    <xdr:colOff>222250</xdr:colOff>
                    <xdr:row>8</xdr:row>
                    <xdr:rowOff>317500</xdr:rowOff>
                  </to>
                </anchor>
              </controlPr>
            </control>
          </mc:Choice>
        </mc:AlternateContent>
        <mc:AlternateContent xmlns:mc="http://schemas.openxmlformats.org/markup-compatibility/2006">
          <mc:Choice Requires="x14">
            <control shapeId="73801" r:id="rId48" name="Check Box 73">
              <controlPr defaultSize="0" autoFill="0" autoLine="0" autoPict="0">
                <anchor moveWithCells="1">
                  <from>
                    <xdr:col>37</xdr:col>
                    <xdr:colOff>6350</xdr:colOff>
                    <xdr:row>8</xdr:row>
                    <xdr:rowOff>50800</xdr:rowOff>
                  </from>
                  <to>
                    <xdr:col>38</xdr:col>
                    <xdr:colOff>25400</xdr:colOff>
                    <xdr:row>8</xdr:row>
                    <xdr:rowOff>355600</xdr:rowOff>
                  </to>
                </anchor>
              </controlPr>
            </control>
          </mc:Choice>
        </mc:AlternateContent>
        <mc:AlternateContent xmlns:mc="http://schemas.openxmlformats.org/markup-compatibility/2006">
          <mc:Choice Requires="x14">
            <control shapeId="73802" r:id="rId49" name="Check Box 74">
              <controlPr defaultSize="0" autoFill="0" autoLine="0" autoPict="0">
                <anchor moveWithCells="1">
                  <from>
                    <xdr:col>40</xdr:col>
                    <xdr:colOff>0</xdr:colOff>
                    <xdr:row>8</xdr:row>
                    <xdr:rowOff>38100</xdr:rowOff>
                  </from>
                  <to>
                    <xdr:col>41</xdr:col>
                    <xdr:colOff>25400</xdr:colOff>
                    <xdr:row>8</xdr:row>
                    <xdr:rowOff>342900</xdr:rowOff>
                  </to>
                </anchor>
              </controlPr>
            </control>
          </mc:Choice>
        </mc:AlternateContent>
        <mc:AlternateContent xmlns:mc="http://schemas.openxmlformats.org/markup-compatibility/2006">
          <mc:Choice Requires="x14">
            <control shapeId="73803" r:id="rId50" name="Check Box 75">
              <controlPr defaultSize="0" autoFill="0" autoLine="0" autoPict="0">
                <anchor moveWithCells="1">
                  <from>
                    <xdr:col>34</xdr:col>
                    <xdr:colOff>6350</xdr:colOff>
                    <xdr:row>7</xdr:row>
                    <xdr:rowOff>44450</xdr:rowOff>
                  </from>
                  <to>
                    <xdr:col>35</xdr:col>
                    <xdr:colOff>25400</xdr:colOff>
                    <xdr:row>7</xdr:row>
                    <xdr:rowOff>349250</xdr:rowOff>
                  </to>
                </anchor>
              </controlPr>
            </control>
          </mc:Choice>
        </mc:AlternateContent>
        <mc:AlternateContent xmlns:mc="http://schemas.openxmlformats.org/markup-compatibility/2006">
          <mc:Choice Requires="x14">
            <control shapeId="73804" r:id="rId51" name="Check Box 76">
              <controlPr defaultSize="0" autoFill="0" autoLine="0" autoPict="0">
                <anchor moveWithCells="1">
                  <from>
                    <xdr:col>37</xdr:col>
                    <xdr:colOff>6350</xdr:colOff>
                    <xdr:row>7</xdr:row>
                    <xdr:rowOff>44450</xdr:rowOff>
                  </from>
                  <to>
                    <xdr:col>38</xdr:col>
                    <xdr:colOff>25400</xdr:colOff>
                    <xdr:row>7</xdr:row>
                    <xdr:rowOff>349250</xdr:rowOff>
                  </to>
                </anchor>
              </controlPr>
            </control>
          </mc:Choice>
        </mc:AlternateContent>
        <mc:AlternateContent xmlns:mc="http://schemas.openxmlformats.org/markup-compatibility/2006">
          <mc:Choice Requires="x14">
            <control shapeId="73805" r:id="rId52" name="Check Box 77">
              <controlPr defaultSize="0" autoFill="0" autoLine="0" autoPict="0">
                <anchor moveWithCells="1">
                  <from>
                    <xdr:col>40</xdr:col>
                    <xdr:colOff>6350</xdr:colOff>
                    <xdr:row>7</xdr:row>
                    <xdr:rowOff>50800</xdr:rowOff>
                  </from>
                  <to>
                    <xdr:col>41</xdr:col>
                    <xdr:colOff>25400</xdr:colOff>
                    <xdr:row>7</xdr:row>
                    <xdr:rowOff>355600</xdr:rowOff>
                  </to>
                </anchor>
              </controlPr>
            </control>
          </mc:Choice>
        </mc:AlternateContent>
        <mc:AlternateContent xmlns:mc="http://schemas.openxmlformats.org/markup-compatibility/2006">
          <mc:Choice Requires="x14">
            <control shapeId="73806" r:id="rId53" name="Check Box 78">
              <controlPr defaultSize="0" autoFill="0" autoLine="0" autoPict="0">
                <anchor moveWithCells="1">
                  <from>
                    <xdr:col>34</xdr:col>
                    <xdr:colOff>12700</xdr:colOff>
                    <xdr:row>6</xdr:row>
                    <xdr:rowOff>69850</xdr:rowOff>
                  </from>
                  <to>
                    <xdr:col>35</xdr:col>
                    <xdr:colOff>0</xdr:colOff>
                    <xdr:row>6</xdr:row>
                    <xdr:rowOff>330200</xdr:rowOff>
                  </to>
                </anchor>
              </controlPr>
            </control>
          </mc:Choice>
        </mc:AlternateContent>
        <mc:AlternateContent xmlns:mc="http://schemas.openxmlformats.org/markup-compatibility/2006">
          <mc:Choice Requires="x14">
            <control shapeId="73807" r:id="rId54" name="Check Box 79">
              <controlPr defaultSize="0" autoFill="0" autoLine="0" autoPict="0">
                <anchor moveWithCells="1">
                  <from>
                    <xdr:col>37</xdr:col>
                    <xdr:colOff>12700</xdr:colOff>
                    <xdr:row>6</xdr:row>
                    <xdr:rowOff>38100</xdr:rowOff>
                  </from>
                  <to>
                    <xdr:col>38</xdr:col>
                    <xdr:colOff>31750</xdr:colOff>
                    <xdr:row>6</xdr:row>
                    <xdr:rowOff>342900</xdr:rowOff>
                  </to>
                </anchor>
              </controlPr>
            </control>
          </mc:Choice>
        </mc:AlternateContent>
        <mc:AlternateContent xmlns:mc="http://schemas.openxmlformats.org/markup-compatibility/2006">
          <mc:Choice Requires="x14">
            <control shapeId="73808" r:id="rId55" name="Check Box 80">
              <controlPr defaultSize="0" autoFill="0" autoLine="0" autoPict="0">
                <anchor moveWithCells="1">
                  <from>
                    <xdr:col>40</xdr:col>
                    <xdr:colOff>12700</xdr:colOff>
                    <xdr:row>6</xdr:row>
                    <xdr:rowOff>38100</xdr:rowOff>
                  </from>
                  <to>
                    <xdr:col>41</xdr:col>
                    <xdr:colOff>31750</xdr:colOff>
                    <xdr:row>6</xdr:row>
                    <xdr:rowOff>342900</xdr:rowOff>
                  </to>
                </anchor>
              </controlPr>
            </control>
          </mc:Choice>
        </mc:AlternateContent>
        <mc:AlternateContent xmlns:mc="http://schemas.openxmlformats.org/markup-compatibility/2006">
          <mc:Choice Requires="x14">
            <control shapeId="73809" r:id="rId56" name="Check Box 81">
              <controlPr defaultSize="0" autoFill="0" autoLine="0" autoPict="0">
                <anchor moveWithCells="1">
                  <from>
                    <xdr:col>34</xdr:col>
                    <xdr:colOff>6350</xdr:colOff>
                    <xdr:row>5</xdr:row>
                    <xdr:rowOff>44450</xdr:rowOff>
                  </from>
                  <to>
                    <xdr:col>35</xdr:col>
                    <xdr:colOff>25400</xdr:colOff>
                    <xdr:row>5</xdr:row>
                    <xdr:rowOff>349250</xdr:rowOff>
                  </to>
                </anchor>
              </controlPr>
            </control>
          </mc:Choice>
        </mc:AlternateContent>
        <mc:AlternateContent xmlns:mc="http://schemas.openxmlformats.org/markup-compatibility/2006">
          <mc:Choice Requires="x14">
            <control shapeId="73810" r:id="rId57" name="Check Box 82">
              <controlPr defaultSize="0" autoFill="0" autoLine="0" autoPict="0">
                <anchor moveWithCells="1">
                  <from>
                    <xdr:col>37</xdr:col>
                    <xdr:colOff>12700</xdr:colOff>
                    <xdr:row>5</xdr:row>
                    <xdr:rowOff>38100</xdr:rowOff>
                  </from>
                  <to>
                    <xdr:col>38</xdr:col>
                    <xdr:colOff>31750</xdr:colOff>
                    <xdr:row>5</xdr:row>
                    <xdr:rowOff>342900</xdr:rowOff>
                  </to>
                </anchor>
              </controlPr>
            </control>
          </mc:Choice>
        </mc:AlternateContent>
        <mc:AlternateContent xmlns:mc="http://schemas.openxmlformats.org/markup-compatibility/2006">
          <mc:Choice Requires="x14">
            <control shapeId="73811" r:id="rId58" name="Check Box 83">
              <controlPr defaultSize="0" autoFill="0" autoLine="0" autoPict="0">
                <anchor moveWithCells="1">
                  <from>
                    <xdr:col>40</xdr:col>
                    <xdr:colOff>6350</xdr:colOff>
                    <xdr:row>5</xdr:row>
                    <xdr:rowOff>38100</xdr:rowOff>
                  </from>
                  <to>
                    <xdr:col>41</xdr:col>
                    <xdr:colOff>25400</xdr:colOff>
                    <xdr:row>5</xdr:row>
                    <xdr:rowOff>342900</xdr:rowOff>
                  </to>
                </anchor>
              </controlPr>
            </control>
          </mc:Choice>
        </mc:AlternateContent>
        <mc:AlternateContent xmlns:mc="http://schemas.openxmlformats.org/markup-compatibility/2006">
          <mc:Choice Requires="x14">
            <control shapeId="73812" r:id="rId59" name="Check Box 84">
              <controlPr defaultSize="0" autoFill="0" autoLine="0" autoPict="0">
                <anchor moveWithCells="1">
                  <from>
                    <xdr:col>34</xdr:col>
                    <xdr:colOff>12700</xdr:colOff>
                    <xdr:row>4</xdr:row>
                    <xdr:rowOff>38100</xdr:rowOff>
                  </from>
                  <to>
                    <xdr:col>35</xdr:col>
                    <xdr:colOff>31750</xdr:colOff>
                    <xdr:row>4</xdr:row>
                    <xdr:rowOff>342900</xdr:rowOff>
                  </to>
                </anchor>
              </controlPr>
            </control>
          </mc:Choice>
        </mc:AlternateContent>
        <mc:AlternateContent xmlns:mc="http://schemas.openxmlformats.org/markup-compatibility/2006">
          <mc:Choice Requires="x14">
            <control shapeId="73813" r:id="rId60" name="Check Box 85">
              <controlPr defaultSize="0" autoFill="0" autoLine="0" autoPict="0">
                <anchor moveWithCells="1">
                  <from>
                    <xdr:col>37</xdr:col>
                    <xdr:colOff>12700</xdr:colOff>
                    <xdr:row>4</xdr:row>
                    <xdr:rowOff>50800</xdr:rowOff>
                  </from>
                  <to>
                    <xdr:col>38</xdr:col>
                    <xdr:colOff>31750</xdr:colOff>
                    <xdr:row>4</xdr:row>
                    <xdr:rowOff>355600</xdr:rowOff>
                  </to>
                </anchor>
              </controlPr>
            </control>
          </mc:Choice>
        </mc:AlternateContent>
        <mc:AlternateContent xmlns:mc="http://schemas.openxmlformats.org/markup-compatibility/2006">
          <mc:Choice Requires="x14">
            <control shapeId="73814" r:id="rId61" name="Check Box 86">
              <controlPr defaultSize="0" autoFill="0" autoLine="0" autoPict="0">
                <anchor moveWithCells="1">
                  <from>
                    <xdr:col>40</xdr:col>
                    <xdr:colOff>6350</xdr:colOff>
                    <xdr:row>4</xdr:row>
                    <xdr:rowOff>44450</xdr:rowOff>
                  </from>
                  <to>
                    <xdr:col>41</xdr:col>
                    <xdr:colOff>25400</xdr:colOff>
                    <xdr:row>4</xdr:row>
                    <xdr:rowOff>349250</xdr:rowOff>
                  </to>
                </anchor>
              </controlPr>
            </control>
          </mc:Choice>
        </mc:AlternateContent>
        <mc:AlternateContent xmlns:mc="http://schemas.openxmlformats.org/markup-compatibility/2006">
          <mc:Choice Requires="x14">
            <control shapeId="73818" r:id="rId62" name="Check Box 90">
              <controlPr defaultSize="0" autoFill="0" autoLine="0" autoPict="0">
                <anchor moveWithCells="1">
                  <from>
                    <xdr:col>20</xdr:col>
                    <xdr:colOff>260350</xdr:colOff>
                    <xdr:row>4</xdr:row>
                    <xdr:rowOff>88900</xdr:rowOff>
                  </from>
                  <to>
                    <xdr:col>21</xdr:col>
                    <xdr:colOff>241300</xdr:colOff>
                    <xdr:row>4</xdr:row>
                    <xdr:rowOff>311150</xdr:rowOff>
                  </to>
                </anchor>
              </controlPr>
            </control>
          </mc:Choice>
        </mc:AlternateContent>
        <mc:AlternateContent xmlns:mc="http://schemas.openxmlformats.org/markup-compatibility/2006">
          <mc:Choice Requires="x14">
            <control shapeId="73819" r:id="rId63" name="Check Box 91">
              <controlPr defaultSize="0" autoFill="0" autoLine="0" autoPict="0">
                <anchor moveWithCells="1">
                  <from>
                    <xdr:col>20</xdr:col>
                    <xdr:colOff>260350</xdr:colOff>
                    <xdr:row>5</xdr:row>
                    <xdr:rowOff>88900</xdr:rowOff>
                  </from>
                  <to>
                    <xdr:col>21</xdr:col>
                    <xdr:colOff>241300</xdr:colOff>
                    <xdr:row>5</xdr:row>
                    <xdr:rowOff>311150</xdr:rowOff>
                  </to>
                </anchor>
              </controlPr>
            </control>
          </mc:Choice>
        </mc:AlternateContent>
        <mc:AlternateContent xmlns:mc="http://schemas.openxmlformats.org/markup-compatibility/2006">
          <mc:Choice Requires="x14">
            <control shapeId="73820" r:id="rId64" name="Check Box 92">
              <controlPr defaultSize="0" autoFill="0" autoLine="0" autoPict="0">
                <anchor moveWithCells="1">
                  <from>
                    <xdr:col>20</xdr:col>
                    <xdr:colOff>260350</xdr:colOff>
                    <xdr:row>6</xdr:row>
                    <xdr:rowOff>88900</xdr:rowOff>
                  </from>
                  <to>
                    <xdr:col>21</xdr:col>
                    <xdr:colOff>241300</xdr:colOff>
                    <xdr:row>6</xdr:row>
                    <xdr:rowOff>311150</xdr:rowOff>
                  </to>
                </anchor>
              </controlPr>
            </control>
          </mc:Choice>
        </mc:AlternateContent>
        <mc:AlternateContent xmlns:mc="http://schemas.openxmlformats.org/markup-compatibility/2006">
          <mc:Choice Requires="x14">
            <control shapeId="73821" r:id="rId65" name="Check Box 93">
              <controlPr defaultSize="0" autoFill="0" autoLine="0" autoPict="0">
                <anchor moveWithCells="1">
                  <from>
                    <xdr:col>20</xdr:col>
                    <xdr:colOff>260350</xdr:colOff>
                    <xdr:row>7</xdr:row>
                    <xdr:rowOff>88900</xdr:rowOff>
                  </from>
                  <to>
                    <xdr:col>21</xdr:col>
                    <xdr:colOff>241300</xdr:colOff>
                    <xdr:row>7</xdr:row>
                    <xdr:rowOff>311150</xdr:rowOff>
                  </to>
                </anchor>
              </controlPr>
            </control>
          </mc:Choice>
        </mc:AlternateContent>
        <mc:AlternateContent xmlns:mc="http://schemas.openxmlformats.org/markup-compatibility/2006">
          <mc:Choice Requires="x14">
            <control shapeId="73822" r:id="rId66" name="Check Box 94">
              <controlPr defaultSize="0" autoFill="0" autoLine="0" autoPict="0">
                <anchor moveWithCells="1">
                  <from>
                    <xdr:col>20</xdr:col>
                    <xdr:colOff>260350</xdr:colOff>
                    <xdr:row>8</xdr:row>
                    <xdr:rowOff>88900</xdr:rowOff>
                  </from>
                  <to>
                    <xdr:col>21</xdr:col>
                    <xdr:colOff>241300</xdr:colOff>
                    <xdr:row>8</xdr:row>
                    <xdr:rowOff>311150</xdr:rowOff>
                  </to>
                </anchor>
              </controlPr>
            </control>
          </mc:Choice>
        </mc:AlternateContent>
        <mc:AlternateContent xmlns:mc="http://schemas.openxmlformats.org/markup-compatibility/2006">
          <mc:Choice Requires="x14">
            <control shapeId="73823" r:id="rId67" name="Check Box 95">
              <controlPr defaultSize="0" autoFill="0" autoLine="0" autoPict="0">
                <anchor moveWithCells="1">
                  <from>
                    <xdr:col>20</xdr:col>
                    <xdr:colOff>260350</xdr:colOff>
                    <xdr:row>9</xdr:row>
                    <xdr:rowOff>88900</xdr:rowOff>
                  </from>
                  <to>
                    <xdr:col>21</xdr:col>
                    <xdr:colOff>241300</xdr:colOff>
                    <xdr:row>9</xdr:row>
                    <xdr:rowOff>311150</xdr:rowOff>
                  </to>
                </anchor>
              </controlPr>
            </control>
          </mc:Choice>
        </mc:AlternateContent>
        <mc:AlternateContent xmlns:mc="http://schemas.openxmlformats.org/markup-compatibility/2006">
          <mc:Choice Requires="x14">
            <control shapeId="73824" r:id="rId68" name="Check Box 96">
              <controlPr defaultSize="0" autoFill="0" autoLine="0" autoPict="0">
                <anchor moveWithCells="1">
                  <from>
                    <xdr:col>20</xdr:col>
                    <xdr:colOff>260350</xdr:colOff>
                    <xdr:row>10</xdr:row>
                    <xdr:rowOff>88900</xdr:rowOff>
                  </from>
                  <to>
                    <xdr:col>21</xdr:col>
                    <xdr:colOff>241300</xdr:colOff>
                    <xdr:row>10</xdr:row>
                    <xdr:rowOff>311150</xdr:rowOff>
                  </to>
                </anchor>
              </controlPr>
            </control>
          </mc:Choice>
        </mc:AlternateContent>
        <mc:AlternateContent xmlns:mc="http://schemas.openxmlformats.org/markup-compatibility/2006">
          <mc:Choice Requires="x14">
            <control shapeId="73825" r:id="rId69" name="Check Box 97">
              <controlPr defaultSize="0" autoFill="0" autoLine="0" autoPict="0">
                <anchor moveWithCells="1">
                  <from>
                    <xdr:col>20</xdr:col>
                    <xdr:colOff>260350</xdr:colOff>
                    <xdr:row>11</xdr:row>
                    <xdr:rowOff>88900</xdr:rowOff>
                  </from>
                  <to>
                    <xdr:col>21</xdr:col>
                    <xdr:colOff>241300</xdr:colOff>
                    <xdr:row>11</xdr:row>
                    <xdr:rowOff>311150</xdr:rowOff>
                  </to>
                </anchor>
              </controlPr>
            </control>
          </mc:Choice>
        </mc:AlternateContent>
        <mc:AlternateContent xmlns:mc="http://schemas.openxmlformats.org/markup-compatibility/2006">
          <mc:Choice Requires="x14">
            <control shapeId="73826" r:id="rId70" name="Check Box 98">
              <controlPr defaultSize="0" autoFill="0" autoLine="0" autoPict="0">
                <anchor moveWithCells="1">
                  <from>
                    <xdr:col>20</xdr:col>
                    <xdr:colOff>260350</xdr:colOff>
                    <xdr:row>12</xdr:row>
                    <xdr:rowOff>88900</xdr:rowOff>
                  </from>
                  <to>
                    <xdr:col>21</xdr:col>
                    <xdr:colOff>241300</xdr:colOff>
                    <xdr:row>12</xdr:row>
                    <xdr:rowOff>311150</xdr:rowOff>
                  </to>
                </anchor>
              </controlPr>
            </control>
          </mc:Choice>
        </mc:AlternateContent>
        <mc:AlternateContent xmlns:mc="http://schemas.openxmlformats.org/markup-compatibility/2006">
          <mc:Choice Requires="x14">
            <control shapeId="73827" r:id="rId71" name="Check Box 99">
              <controlPr defaultSize="0" autoFill="0" autoLine="0" autoPict="0">
                <anchor moveWithCells="1">
                  <from>
                    <xdr:col>20</xdr:col>
                    <xdr:colOff>260350</xdr:colOff>
                    <xdr:row>13</xdr:row>
                    <xdr:rowOff>88900</xdr:rowOff>
                  </from>
                  <to>
                    <xdr:col>21</xdr:col>
                    <xdr:colOff>241300</xdr:colOff>
                    <xdr:row>13</xdr:row>
                    <xdr:rowOff>311150</xdr:rowOff>
                  </to>
                </anchor>
              </controlPr>
            </control>
          </mc:Choice>
        </mc:AlternateContent>
        <mc:AlternateContent xmlns:mc="http://schemas.openxmlformats.org/markup-compatibility/2006">
          <mc:Choice Requires="x14">
            <control shapeId="73828" r:id="rId72" name="Check Box 100">
              <controlPr defaultSize="0" autoFill="0" autoLine="0" autoPict="0">
                <anchor moveWithCells="1">
                  <from>
                    <xdr:col>20</xdr:col>
                    <xdr:colOff>260350</xdr:colOff>
                    <xdr:row>14</xdr:row>
                    <xdr:rowOff>88900</xdr:rowOff>
                  </from>
                  <to>
                    <xdr:col>21</xdr:col>
                    <xdr:colOff>241300</xdr:colOff>
                    <xdr:row>14</xdr:row>
                    <xdr:rowOff>311150</xdr:rowOff>
                  </to>
                </anchor>
              </controlPr>
            </control>
          </mc:Choice>
        </mc:AlternateContent>
        <mc:AlternateContent xmlns:mc="http://schemas.openxmlformats.org/markup-compatibility/2006">
          <mc:Choice Requires="x14">
            <control shapeId="73829" r:id="rId73" name="Check Box 101">
              <controlPr defaultSize="0" autoFill="0" autoLine="0" autoPict="0">
                <anchor moveWithCells="1">
                  <from>
                    <xdr:col>20</xdr:col>
                    <xdr:colOff>260350</xdr:colOff>
                    <xdr:row>15</xdr:row>
                    <xdr:rowOff>88900</xdr:rowOff>
                  </from>
                  <to>
                    <xdr:col>21</xdr:col>
                    <xdr:colOff>241300</xdr:colOff>
                    <xdr:row>15</xdr:row>
                    <xdr:rowOff>311150</xdr:rowOff>
                  </to>
                </anchor>
              </controlPr>
            </control>
          </mc:Choice>
        </mc:AlternateContent>
        <mc:AlternateContent xmlns:mc="http://schemas.openxmlformats.org/markup-compatibility/2006">
          <mc:Choice Requires="x14">
            <control shapeId="73830" r:id="rId74" name="Check Box 102">
              <controlPr defaultSize="0" autoFill="0" autoLine="0" autoPict="0">
                <anchor moveWithCells="1">
                  <from>
                    <xdr:col>20</xdr:col>
                    <xdr:colOff>260350</xdr:colOff>
                    <xdr:row>16</xdr:row>
                    <xdr:rowOff>88900</xdr:rowOff>
                  </from>
                  <to>
                    <xdr:col>21</xdr:col>
                    <xdr:colOff>241300</xdr:colOff>
                    <xdr:row>16</xdr:row>
                    <xdr:rowOff>311150</xdr:rowOff>
                  </to>
                </anchor>
              </controlPr>
            </control>
          </mc:Choice>
        </mc:AlternateContent>
        <mc:AlternateContent xmlns:mc="http://schemas.openxmlformats.org/markup-compatibility/2006">
          <mc:Choice Requires="x14">
            <control shapeId="73831" r:id="rId75" name="Check Box 103">
              <controlPr defaultSize="0" autoFill="0" autoLine="0" autoPict="0">
                <anchor moveWithCells="1">
                  <from>
                    <xdr:col>20</xdr:col>
                    <xdr:colOff>260350</xdr:colOff>
                    <xdr:row>17</xdr:row>
                    <xdr:rowOff>88900</xdr:rowOff>
                  </from>
                  <to>
                    <xdr:col>21</xdr:col>
                    <xdr:colOff>241300</xdr:colOff>
                    <xdr:row>17</xdr:row>
                    <xdr:rowOff>311150</xdr:rowOff>
                  </to>
                </anchor>
              </controlPr>
            </control>
          </mc:Choice>
        </mc:AlternateContent>
        <mc:AlternateContent xmlns:mc="http://schemas.openxmlformats.org/markup-compatibility/2006">
          <mc:Choice Requires="x14">
            <control shapeId="73832" r:id="rId76" name="Check Box 104">
              <controlPr defaultSize="0" autoFill="0" autoLine="0" autoPict="0">
                <anchor moveWithCells="1">
                  <from>
                    <xdr:col>20</xdr:col>
                    <xdr:colOff>260350</xdr:colOff>
                    <xdr:row>18</xdr:row>
                    <xdr:rowOff>88900</xdr:rowOff>
                  </from>
                  <to>
                    <xdr:col>21</xdr:col>
                    <xdr:colOff>241300</xdr:colOff>
                    <xdr:row>18</xdr:row>
                    <xdr:rowOff>311150</xdr:rowOff>
                  </to>
                </anchor>
              </controlPr>
            </control>
          </mc:Choice>
        </mc:AlternateContent>
        <mc:AlternateContent xmlns:mc="http://schemas.openxmlformats.org/markup-compatibility/2006">
          <mc:Choice Requires="x14">
            <control shapeId="73833" r:id="rId77" name="Check Box 105">
              <controlPr defaultSize="0" autoFill="0" autoLine="0" autoPict="0">
                <anchor moveWithCells="1">
                  <from>
                    <xdr:col>17</xdr:col>
                    <xdr:colOff>260350</xdr:colOff>
                    <xdr:row>5</xdr:row>
                    <xdr:rowOff>88900</xdr:rowOff>
                  </from>
                  <to>
                    <xdr:col>18</xdr:col>
                    <xdr:colOff>241300</xdr:colOff>
                    <xdr:row>5</xdr:row>
                    <xdr:rowOff>311150</xdr:rowOff>
                  </to>
                </anchor>
              </controlPr>
            </control>
          </mc:Choice>
        </mc:AlternateContent>
        <mc:AlternateContent xmlns:mc="http://schemas.openxmlformats.org/markup-compatibility/2006">
          <mc:Choice Requires="x14">
            <control shapeId="73834" r:id="rId78" name="Check Box 106">
              <controlPr defaultSize="0" autoFill="0" autoLine="0" autoPict="0">
                <anchor moveWithCells="1">
                  <from>
                    <xdr:col>17</xdr:col>
                    <xdr:colOff>260350</xdr:colOff>
                    <xdr:row>6</xdr:row>
                    <xdr:rowOff>88900</xdr:rowOff>
                  </from>
                  <to>
                    <xdr:col>18</xdr:col>
                    <xdr:colOff>241300</xdr:colOff>
                    <xdr:row>6</xdr:row>
                    <xdr:rowOff>311150</xdr:rowOff>
                  </to>
                </anchor>
              </controlPr>
            </control>
          </mc:Choice>
        </mc:AlternateContent>
        <mc:AlternateContent xmlns:mc="http://schemas.openxmlformats.org/markup-compatibility/2006">
          <mc:Choice Requires="x14">
            <control shapeId="73835" r:id="rId79" name="Check Box 107">
              <controlPr defaultSize="0" autoFill="0" autoLine="0" autoPict="0">
                <anchor moveWithCells="1">
                  <from>
                    <xdr:col>17</xdr:col>
                    <xdr:colOff>260350</xdr:colOff>
                    <xdr:row>7</xdr:row>
                    <xdr:rowOff>88900</xdr:rowOff>
                  </from>
                  <to>
                    <xdr:col>18</xdr:col>
                    <xdr:colOff>241300</xdr:colOff>
                    <xdr:row>7</xdr:row>
                    <xdr:rowOff>311150</xdr:rowOff>
                  </to>
                </anchor>
              </controlPr>
            </control>
          </mc:Choice>
        </mc:AlternateContent>
        <mc:AlternateContent xmlns:mc="http://schemas.openxmlformats.org/markup-compatibility/2006">
          <mc:Choice Requires="x14">
            <control shapeId="73836" r:id="rId80" name="Check Box 108">
              <controlPr defaultSize="0" autoFill="0" autoLine="0" autoPict="0">
                <anchor moveWithCells="1">
                  <from>
                    <xdr:col>17</xdr:col>
                    <xdr:colOff>260350</xdr:colOff>
                    <xdr:row>8</xdr:row>
                    <xdr:rowOff>88900</xdr:rowOff>
                  </from>
                  <to>
                    <xdr:col>18</xdr:col>
                    <xdr:colOff>241300</xdr:colOff>
                    <xdr:row>8</xdr:row>
                    <xdr:rowOff>311150</xdr:rowOff>
                  </to>
                </anchor>
              </controlPr>
            </control>
          </mc:Choice>
        </mc:AlternateContent>
        <mc:AlternateContent xmlns:mc="http://schemas.openxmlformats.org/markup-compatibility/2006">
          <mc:Choice Requires="x14">
            <control shapeId="73837" r:id="rId81" name="Check Box 109">
              <controlPr defaultSize="0" autoFill="0" autoLine="0" autoPict="0">
                <anchor moveWithCells="1">
                  <from>
                    <xdr:col>17</xdr:col>
                    <xdr:colOff>260350</xdr:colOff>
                    <xdr:row>9</xdr:row>
                    <xdr:rowOff>88900</xdr:rowOff>
                  </from>
                  <to>
                    <xdr:col>18</xdr:col>
                    <xdr:colOff>241300</xdr:colOff>
                    <xdr:row>9</xdr:row>
                    <xdr:rowOff>311150</xdr:rowOff>
                  </to>
                </anchor>
              </controlPr>
            </control>
          </mc:Choice>
        </mc:AlternateContent>
        <mc:AlternateContent xmlns:mc="http://schemas.openxmlformats.org/markup-compatibility/2006">
          <mc:Choice Requires="x14">
            <control shapeId="73838" r:id="rId82" name="Check Box 110">
              <controlPr defaultSize="0" autoFill="0" autoLine="0" autoPict="0">
                <anchor moveWithCells="1">
                  <from>
                    <xdr:col>17</xdr:col>
                    <xdr:colOff>260350</xdr:colOff>
                    <xdr:row>10</xdr:row>
                    <xdr:rowOff>88900</xdr:rowOff>
                  </from>
                  <to>
                    <xdr:col>18</xdr:col>
                    <xdr:colOff>241300</xdr:colOff>
                    <xdr:row>10</xdr:row>
                    <xdr:rowOff>311150</xdr:rowOff>
                  </to>
                </anchor>
              </controlPr>
            </control>
          </mc:Choice>
        </mc:AlternateContent>
        <mc:AlternateContent xmlns:mc="http://schemas.openxmlformats.org/markup-compatibility/2006">
          <mc:Choice Requires="x14">
            <control shapeId="73839" r:id="rId83" name="Check Box 111">
              <controlPr defaultSize="0" autoFill="0" autoLine="0" autoPict="0">
                <anchor moveWithCells="1">
                  <from>
                    <xdr:col>17</xdr:col>
                    <xdr:colOff>260350</xdr:colOff>
                    <xdr:row>11</xdr:row>
                    <xdr:rowOff>88900</xdr:rowOff>
                  </from>
                  <to>
                    <xdr:col>18</xdr:col>
                    <xdr:colOff>241300</xdr:colOff>
                    <xdr:row>11</xdr:row>
                    <xdr:rowOff>311150</xdr:rowOff>
                  </to>
                </anchor>
              </controlPr>
            </control>
          </mc:Choice>
        </mc:AlternateContent>
        <mc:AlternateContent xmlns:mc="http://schemas.openxmlformats.org/markup-compatibility/2006">
          <mc:Choice Requires="x14">
            <control shapeId="73840" r:id="rId84" name="Check Box 112">
              <controlPr defaultSize="0" autoFill="0" autoLine="0" autoPict="0">
                <anchor moveWithCells="1">
                  <from>
                    <xdr:col>17</xdr:col>
                    <xdr:colOff>260350</xdr:colOff>
                    <xdr:row>12</xdr:row>
                    <xdr:rowOff>88900</xdr:rowOff>
                  </from>
                  <to>
                    <xdr:col>18</xdr:col>
                    <xdr:colOff>241300</xdr:colOff>
                    <xdr:row>12</xdr:row>
                    <xdr:rowOff>311150</xdr:rowOff>
                  </to>
                </anchor>
              </controlPr>
            </control>
          </mc:Choice>
        </mc:AlternateContent>
        <mc:AlternateContent xmlns:mc="http://schemas.openxmlformats.org/markup-compatibility/2006">
          <mc:Choice Requires="x14">
            <control shapeId="73841" r:id="rId85" name="Check Box 113">
              <controlPr defaultSize="0" autoFill="0" autoLine="0" autoPict="0">
                <anchor moveWithCells="1">
                  <from>
                    <xdr:col>17</xdr:col>
                    <xdr:colOff>260350</xdr:colOff>
                    <xdr:row>13</xdr:row>
                    <xdr:rowOff>88900</xdr:rowOff>
                  </from>
                  <to>
                    <xdr:col>18</xdr:col>
                    <xdr:colOff>241300</xdr:colOff>
                    <xdr:row>13</xdr:row>
                    <xdr:rowOff>311150</xdr:rowOff>
                  </to>
                </anchor>
              </controlPr>
            </control>
          </mc:Choice>
        </mc:AlternateContent>
        <mc:AlternateContent xmlns:mc="http://schemas.openxmlformats.org/markup-compatibility/2006">
          <mc:Choice Requires="x14">
            <control shapeId="73842" r:id="rId86" name="Check Box 114">
              <controlPr defaultSize="0" autoFill="0" autoLine="0" autoPict="0">
                <anchor moveWithCells="1">
                  <from>
                    <xdr:col>17</xdr:col>
                    <xdr:colOff>260350</xdr:colOff>
                    <xdr:row>14</xdr:row>
                    <xdr:rowOff>88900</xdr:rowOff>
                  </from>
                  <to>
                    <xdr:col>18</xdr:col>
                    <xdr:colOff>241300</xdr:colOff>
                    <xdr:row>14</xdr:row>
                    <xdr:rowOff>311150</xdr:rowOff>
                  </to>
                </anchor>
              </controlPr>
            </control>
          </mc:Choice>
        </mc:AlternateContent>
        <mc:AlternateContent xmlns:mc="http://schemas.openxmlformats.org/markup-compatibility/2006">
          <mc:Choice Requires="x14">
            <control shapeId="73843" r:id="rId87" name="Check Box 115">
              <controlPr defaultSize="0" autoFill="0" autoLine="0" autoPict="0">
                <anchor moveWithCells="1">
                  <from>
                    <xdr:col>17</xdr:col>
                    <xdr:colOff>260350</xdr:colOff>
                    <xdr:row>15</xdr:row>
                    <xdr:rowOff>88900</xdr:rowOff>
                  </from>
                  <to>
                    <xdr:col>18</xdr:col>
                    <xdr:colOff>241300</xdr:colOff>
                    <xdr:row>15</xdr:row>
                    <xdr:rowOff>311150</xdr:rowOff>
                  </to>
                </anchor>
              </controlPr>
            </control>
          </mc:Choice>
        </mc:AlternateContent>
        <mc:AlternateContent xmlns:mc="http://schemas.openxmlformats.org/markup-compatibility/2006">
          <mc:Choice Requires="x14">
            <control shapeId="73844" r:id="rId88" name="Check Box 116">
              <controlPr defaultSize="0" autoFill="0" autoLine="0" autoPict="0">
                <anchor moveWithCells="1">
                  <from>
                    <xdr:col>17</xdr:col>
                    <xdr:colOff>260350</xdr:colOff>
                    <xdr:row>16</xdr:row>
                    <xdr:rowOff>88900</xdr:rowOff>
                  </from>
                  <to>
                    <xdr:col>18</xdr:col>
                    <xdr:colOff>241300</xdr:colOff>
                    <xdr:row>16</xdr:row>
                    <xdr:rowOff>311150</xdr:rowOff>
                  </to>
                </anchor>
              </controlPr>
            </control>
          </mc:Choice>
        </mc:AlternateContent>
        <mc:AlternateContent xmlns:mc="http://schemas.openxmlformats.org/markup-compatibility/2006">
          <mc:Choice Requires="x14">
            <control shapeId="73845" r:id="rId89" name="Check Box 117">
              <controlPr defaultSize="0" autoFill="0" autoLine="0" autoPict="0">
                <anchor moveWithCells="1">
                  <from>
                    <xdr:col>17</xdr:col>
                    <xdr:colOff>260350</xdr:colOff>
                    <xdr:row>17</xdr:row>
                    <xdr:rowOff>88900</xdr:rowOff>
                  </from>
                  <to>
                    <xdr:col>18</xdr:col>
                    <xdr:colOff>241300</xdr:colOff>
                    <xdr:row>17</xdr:row>
                    <xdr:rowOff>311150</xdr:rowOff>
                  </to>
                </anchor>
              </controlPr>
            </control>
          </mc:Choice>
        </mc:AlternateContent>
        <mc:AlternateContent xmlns:mc="http://schemas.openxmlformats.org/markup-compatibility/2006">
          <mc:Choice Requires="x14">
            <control shapeId="73846" r:id="rId90" name="Check Box 118">
              <controlPr defaultSize="0" autoFill="0" autoLine="0" autoPict="0">
                <anchor moveWithCells="1">
                  <from>
                    <xdr:col>17</xdr:col>
                    <xdr:colOff>260350</xdr:colOff>
                    <xdr:row>18</xdr:row>
                    <xdr:rowOff>88900</xdr:rowOff>
                  </from>
                  <to>
                    <xdr:col>18</xdr:col>
                    <xdr:colOff>241300</xdr:colOff>
                    <xdr:row>18</xdr:row>
                    <xdr:rowOff>311150</xdr:rowOff>
                  </to>
                </anchor>
              </controlPr>
            </control>
          </mc:Choice>
        </mc:AlternateContent>
      </controls>
    </mc:Choice>
  </mc:AlternateConten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9">
    <pageSetUpPr fitToPage="1"/>
  </sheetPr>
  <dimension ref="B1:AV50"/>
  <sheetViews>
    <sheetView showGridLines="0" topLeftCell="A30" zoomScaleNormal="100" workbookViewId="0">
      <selection activeCell="X31" sqref="X31:AB31"/>
    </sheetView>
  </sheetViews>
  <sheetFormatPr defaultColWidth="9" defaultRowHeight="15.5" x14ac:dyDescent="0.35"/>
  <cols>
    <col min="1" max="1" width="2.08203125" style="547" customWidth="1"/>
    <col min="2" max="39" width="3.58203125" style="547" customWidth="1"/>
    <col min="40" max="40" width="2.08203125" style="547" customWidth="1"/>
    <col min="41" max="41" width="3.58203125" style="547" customWidth="1"/>
    <col min="42" max="42" width="2.08203125" style="547" customWidth="1"/>
    <col min="43" max="53" width="3.58203125" style="547" customWidth="1"/>
    <col min="54" max="54" width="2.08203125" style="547" customWidth="1"/>
    <col min="55" max="16384" width="9" style="547"/>
  </cols>
  <sheetData>
    <row r="1" spans="3:38" ht="12" customHeight="1" x14ac:dyDescent="0.35"/>
    <row r="2" spans="3:38" s="977" customFormat="1" ht="16.5" x14ac:dyDescent="0.35">
      <c r="C2" s="976" t="s">
        <v>12743</v>
      </c>
      <c r="H2" s="978"/>
    </row>
    <row r="3" spans="3:38" s="977" customFormat="1" ht="17" thickBot="1" x14ac:dyDescent="0.4">
      <c r="C3" s="979" t="s">
        <v>1098</v>
      </c>
      <c r="H3" s="980"/>
      <c r="I3" s="980"/>
      <c r="J3" s="980"/>
      <c r="K3" s="980"/>
      <c r="L3" s="980"/>
      <c r="M3" s="980"/>
      <c r="N3" s="980"/>
    </row>
    <row r="4" spans="3:38" s="981" customFormat="1" ht="87.75" customHeight="1" thickTop="1" thickBot="1" x14ac:dyDescent="0.4">
      <c r="C4" s="3392" t="s">
        <v>694</v>
      </c>
      <c r="D4" s="3393"/>
      <c r="E4" s="3393"/>
      <c r="F4" s="3393"/>
      <c r="G4" s="3393"/>
      <c r="H4" s="3393"/>
      <c r="I4" s="3393"/>
      <c r="J4" s="3393"/>
      <c r="K4" s="3393"/>
      <c r="L4" s="3393"/>
      <c r="M4" s="3394"/>
      <c r="N4" s="3395" t="s">
        <v>707</v>
      </c>
      <c r="O4" s="3393"/>
      <c r="P4" s="3393"/>
      <c r="Q4" s="3393"/>
      <c r="R4" s="3396"/>
      <c r="S4" s="3397" t="s">
        <v>591</v>
      </c>
      <c r="T4" s="3393"/>
      <c r="U4" s="3393"/>
      <c r="V4" s="3393"/>
      <c r="W4" s="3393"/>
      <c r="X4" s="3397" t="s">
        <v>708</v>
      </c>
      <c r="Y4" s="3393"/>
      <c r="Z4" s="3393"/>
      <c r="AA4" s="3393"/>
      <c r="AB4" s="3396"/>
      <c r="AC4" s="3393" t="s">
        <v>709</v>
      </c>
      <c r="AD4" s="3393"/>
      <c r="AE4" s="3393"/>
      <c r="AF4" s="3393"/>
      <c r="AG4" s="3396"/>
      <c r="AH4" s="3397" t="s">
        <v>710</v>
      </c>
      <c r="AI4" s="3393"/>
      <c r="AJ4" s="3393"/>
      <c r="AK4" s="3393"/>
      <c r="AL4" s="3398"/>
    </row>
    <row r="5" spans="3:38" s="399" customFormat="1" ht="30" customHeight="1" thickTop="1" x14ac:dyDescent="0.3">
      <c r="C5" s="982" t="s">
        <v>150</v>
      </c>
      <c r="D5" s="983" t="s">
        <v>689</v>
      </c>
      <c r="E5" s="983"/>
      <c r="F5" s="983"/>
      <c r="G5" s="983"/>
      <c r="H5" s="983"/>
      <c r="I5" s="983"/>
      <c r="J5" s="983"/>
      <c r="K5" s="983"/>
      <c r="L5" s="983"/>
      <c r="M5" s="984"/>
      <c r="N5" s="3399">
        <v>0</v>
      </c>
      <c r="O5" s="3400"/>
      <c r="P5" s="3400"/>
      <c r="Q5" s="3400"/>
      <c r="R5" s="3401"/>
      <c r="S5" s="3402">
        <v>0</v>
      </c>
      <c r="T5" s="3400"/>
      <c r="U5" s="3400"/>
      <c r="V5" s="3400"/>
      <c r="W5" s="3401"/>
      <c r="X5" s="3402">
        <v>0</v>
      </c>
      <c r="Y5" s="3400"/>
      <c r="Z5" s="3400"/>
      <c r="AA5" s="3400"/>
      <c r="AB5" s="3401"/>
      <c r="AC5" s="3402">
        <v>0</v>
      </c>
      <c r="AD5" s="3400"/>
      <c r="AE5" s="3400"/>
      <c r="AF5" s="3400"/>
      <c r="AG5" s="3401"/>
      <c r="AH5" s="3402">
        <v>0</v>
      </c>
      <c r="AI5" s="3400"/>
      <c r="AJ5" s="3400"/>
      <c r="AK5" s="3400"/>
      <c r="AL5" s="3403"/>
    </row>
    <row r="6" spans="3:38" s="399" customFormat="1" ht="30" customHeight="1" x14ac:dyDescent="0.3">
      <c r="C6" s="985" t="s">
        <v>151</v>
      </c>
      <c r="D6" s="986" t="s">
        <v>568</v>
      </c>
      <c r="E6" s="986"/>
      <c r="F6" s="986"/>
      <c r="G6" s="986"/>
      <c r="H6" s="986"/>
      <c r="I6" s="986"/>
      <c r="J6" s="986"/>
      <c r="K6" s="986"/>
      <c r="L6" s="986"/>
      <c r="M6" s="987"/>
      <c r="N6" s="3387">
        <v>2</v>
      </c>
      <c r="O6" s="3388"/>
      <c r="P6" s="3388"/>
      <c r="Q6" s="3388"/>
      <c r="R6" s="3389"/>
      <c r="S6" s="3390">
        <v>0</v>
      </c>
      <c r="T6" s="3388"/>
      <c r="U6" s="3388"/>
      <c r="V6" s="3388"/>
      <c r="W6" s="3389"/>
      <c r="X6" s="3390">
        <v>2</v>
      </c>
      <c r="Y6" s="3388"/>
      <c r="Z6" s="3388"/>
      <c r="AA6" s="3388"/>
      <c r="AB6" s="3389"/>
      <c r="AC6" s="3390">
        <v>0</v>
      </c>
      <c r="AD6" s="3388"/>
      <c r="AE6" s="3388"/>
      <c r="AF6" s="3388"/>
      <c r="AG6" s="3389"/>
      <c r="AH6" s="3390">
        <v>0</v>
      </c>
      <c r="AI6" s="3388"/>
      <c r="AJ6" s="3388"/>
      <c r="AK6" s="3388"/>
      <c r="AL6" s="3391"/>
    </row>
    <row r="7" spans="3:38" s="399" customFormat="1" ht="30" customHeight="1" x14ac:dyDescent="0.3">
      <c r="C7" s="985" t="s">
        <v>152</v>
      </c>
      <c r="D7" s="986" t="s">
        <v>569</v>
      </c>
      <c r="E7" s="986"/>
      <c r="F7" s="986"/>
      <c r="G7" s="986"/>
      <c r="H7" s="986"/>
      <c r="I7" s="986"/>
      <c r="J7" s="986"/>
      <c r="K7" s="986"/>
      <c r="L7" s="986"/>
      <c r="M7" s="988"/>
      <c r="N7" s="3387">
        <v>0</v>
      </c>
      <c r="O7" s="3388"/>
      <c r="P7" s="3388"/>
      <c r="Q7" s="3388"/>
      <c r="R7" s="3389"/>
      <c r="S7" s="3390">
        <v>0</v>
      </c>
      <c r="T7" s="3388"/>
      <c r="U7" s="3388"/>
      <c r="V7" s="3388"/>
      <c r="W7" s="3389"/>
      <c r="X7" s="3390">
        <v>0</v>
      </c>
      <c r="Y7" s="3388"/>
      <c r="Z7" s="3388"/>
      <c r="AA7" s="3388"/>
      <c r="AB7" s="3389"/>
      <c r="AC7" s="3390">
        <v>0</v>
      </c>
      <c r="AD7" s="3388"/>
      <c r="AE7" s="3388"/>
      <c r="AF7" s="3388"/>
      <c r="AG7" s="3389"/>
      <c r="AH7" s="3390">
        <v>0</v>
      </c>
      <c r="AI7" s="3388"/>
      <c r="AJ7" s="3388"/>
      <c r="AK7" s="3388"/>
      <c r="AL7" s="3391"/>
    </row>
    <row r="8" spans="3:38" s="399" customFormat="1" ht="30" customHeight="1" x14ac:dyDescent="0.3">
      <c r="C8" s="985" t="s">
        <v>155</v>
      </c>
      <c r="D8" s="986" t="s">
        <v>570</v>
      </c>
      <c r="E8" s="986"/>
      <c r="F8" s="986"/>
      <c r="G8" s="986"/>
      <c r="H8" s="986"/>
      <c r="I8" s="986"/>
      <c r="J8" s="986"/>
      <c r="K8" s="986"/>
      <c r="L8" s="986"/>
      <c r="M8" s="988"/>
      <c r="N8" s="3387">
        <v>0</v>
      </c>
      <c r="O8" s="3388"/>
      <c r="P8" s="3388"/>
      <c r="Q8" s="3388"/>
      <c r="R8" s="3389"/>
      <c r="S8" s="3390">
        <v>0</v>
      </c>
      <c r="T8" s="3388"/>
      <c r="U8" s="3388"/>
      <c r="V8" s="3388"/>
      <c r="W8" s="3389"/>
      <c r="X8" s="3390">
        <v>0</v>
      </c>
      <c r="Y8" s="3388"/>
      <c r="Z8" s="3388"/>
      <c r="AA8" s="3388"/>
      <c r="AB8" s="3389"/>
      <c r="AC8" s="3390">
        <v>0</v>
      </c>
      <c r="AD8" s="3388"/>
      <c r="AE8" s="3388"/>
      <c r="AF8" s="3388"/>
      <c r="AG8" s="3389"/>
      <c r="AH8" s="3390">
        <v>0</v>
      </c>
      <c r="AI8" s="3388"/>
      <c r="AJ8" s="3388"/>
      <c r="AK8" s="3388"/>
      <c r="AL8" s="3391"/>
    </row>
    <row r="9" spans="3:38" s="399" customFormat="1" ht="30" customHeight="1" x14ac:dyDescent="0.3">
      <c r="C9" s="985" t="s">
        <v>156</v>
      </c>
      <c r="D9" s="986" t="s">
        <v>571</v>
      </c>
      <c r="E9" s="986"/>
      <c r="F9" s="986"/>
      <c r="G9" s="986"/>
      <c r="H9" s="986"/>
      <c r="I9" s="986"/>
      <c r="J9" s="986"/>
      <c r="K9" s="986"/>
      <c r="L9" s="986"/>
      <c r="M9" s="988"/>
      <c r="N9" s="3387">
        <v>0</v>
      </c>
      <c r="O9" s="3388"/>
      <c r="P9" s="3388"/>
      <c r="Q9" s="3388"/>
      <c r="R9" s="3389"/>
      <c r="S9" s="3390">
        <v>0</v>
      </c>
      <c r="T9" s="3388"/>
      <c r="U9" s="3388"/>
      <c r="V9" s="3388"/>
      <c r="W9" s="3389"/>
      <c r="X9" s="3390">
        <v>0</v>
      </c>
      <c r="Y9" s="3388"/>
      <c r="Z9" s="3388"/>
      <c r="AA9" s="3388"/>
      <c r="AB9" s="3389"/>
      <c r="AC9" s="3390">
        <v>0</v>
      </c>
      <c r="AD9" s="3388"/>
      <c r="AE9" s="3388"/>
      <c r="AF9" s="3388"/>
      <c r="AG9" s="3389"/>
      <c r="AH9" s="3390">
        <v>0</v>
      </c>
      <c r="AI9" s="3388"/>
      <c r="AJ9" s="3388"/>
      <c r="AK9" s="3388"/>
      <c r="AL9" s="3391"/>
    </row>
    <row r="10" spans="3:38" s="97" customFormat="1" ht="30" customHeight="1" x14ac:dyDescent="0.3">
      <c r="C10" s="985" t="s">
        <v>157</v>
      </c>
      <c r="D10" s="986" t="s">
        <v>572</v>
      </c>
      <c r="E10" s="986"/>
      <c r="F10" s="986"/>
      <c r="G10" s="986"/>
      <c r="H10" s="986"/>
      <c r="I10" s="986"/>
      <c r="J10" s="986"/>
      <c r="K10" s="986"/>
      <c r="L10" s="986"/>
      <c r="M10" s="988"/>
      <c r="N10" s="3387">
        <v>0</v>
      </c>
      <c r="O10" s="3388"/>
      <c r="P10" s="3388"/>
      <c r="Q10" s="3388"/>
      <c r="R10" s="3389"/>
      <c r="S10" s="3390">
        <v>0</v>
      </c>
      <c r="T10" s="3388"/>
      <c r="U10" s="3388"/>
      <c r="V10" s="3388"/>
      <c r="W10" s="3389"/>
      <c r="X10" s="3390">
        <v>0</v>
      </c>
      <c r="Y10" s="3388"/>
      <c r="Z10" s="3388"/>
      <c r="AA10" s="3388"/>
      <c r="AB10" s="3389"/>
      <c r="AC10" s="3390">
        <v>0</v>
      </c>
      <c r="AD10" s="3388"/>
      <c r="AE10" s="3388"/>
      <c r="AF10" s="3388"/>
      <c r="AG10" s="3389"/>
      <c r="AH10" s="3390">
        <v>0</v>
      </c>
      <c r="AI10" s="3388"/>
      <c r="AJ10" s="3388"/>
      <c r="AK10" s="3388"/>
      <c r="AL10" s="3391"/>
    </row>
    <row r="11" spans="3:38" s="399" customFormat="1" ht="30" customHeight="1" x14ac:dyDescent="0.3">
      <c r="C11" s="985" t="s">
        <v>159</v>
      </c>
      <c r="D11" s="986" t="s">
        <v>573</v>
      </c>
      <c r="E11" s="986"/>
      <c r="F11" s="986"/>
      <c r="G11" s="986"/>
      <c r="H11" s="986"/>
      <c r="I11" s="986"/>
      <c r="J11" s="986"/>
      <c r="K11" s="986"/>
      <c r="L11" s="986"/>
      <c r="M11" s="988"/>
      <c r="N11" s="3387">
        <v>0</v>
      </c>
      <c r="O11" s="3388"/>
      <c r="P11" s="3388"/>
      <c r="Q11" s="3388"/>
      <c r="R11" s="3389"/>
      <c r="S11" s="3390">
        <v>0</v>
      </c>
      <c r="T11" s="3388"/>
      <c r="U11" s="3388"/>
      <c r="V11" s="3388"/>
      <c r="W11" s="3389"/>
      <c r="X11" s="3390">
        <v>0</v>
      </c>
      <c r="Y11" s="3388"/>
      <c r="Z11" s="3388"/>
      <c r="AA11" s="3388"/>
      <c r="AB11" s="3389"/>
      <c r="AC11" s="3390">
        <v>0</v>
      </c>
      <c r="AD11" s="3388"/>
      <c r="AE11" s="3388"/>
      <c r="AF11" s="3388"/>
      <c r="AG11" s="3389"/>
      <c r="AH11" s="3390">
        <v>0</v>
      </c>
      <c r="AI11" s="3388"/>
      <c r="AJ11" s="3388"/>
      <c r="AK11" s="3388"/>
      <c r="AL11" s="3391"/>
    </row>
    <row r="12" spans="3:38" s="399" customFormat="1" ht="30" customHeight="1" x14ac:dyDescent="0.3">
      <c r="C12" s="985" t="s">
        <v>153</v>
      </c>
      <c r="D12" s="986" t="s">
        <v>574</v>
      </c>
      <c r="E12" s="986"/>
      <c r="F12" s="986"/>
      <c r="G12" s="986"/>
      <c r="H12" s="986"/>
      <c r="I12" s="986"/>
      <c r="J12" s="986"/>
      <c r="K12" s="986"/>
      <c r="L12" s="986"/>
      <c r="M12" s="988"/>
      <c r="N12" s="3387">
        <v>0</v>
      </c>
      <c r="O12" s="3388"/>
      <c r="P12" s="3388"/>
      <c r="Q12" s="3388"/>
      <c r="R12" s="3389"/>
      <c r="S12" s="3390">
        <v>0</v>
      </c>
      <c r="T12" s="3388"/>
      <c r="U12" s="3388"/>
      <c r="V12" s="3388"/>
      <c r="W12" s="3389"/>
      <c r="X12" s="3390">
        <v>0</v>
      </c>
      <c r="Y12" s="3388"/>
      <c r="Z12" s="3388"/>
      <c r="AA12" s="3388"/>
      <c r="AB12" s="3389"/>
      <c r="AC12" s="3390">
        <v>0</v>
      </c>
      <c r="AD12" s="3388"/>
      <c r="AE12" s="3388"/>
      <c r="AF12" s="3388"/>
      <c r="AG12" s="3389"/>
      <c r="AH12" s="3390">
        <v>0</v>
      </c>
      <c r="AI12" s="3388"/>
      <c r="AJ12" s="3388"/>
      <c r="AK12" s="3388"/>
      <c r="AL12" s="3391"/>
    </row>
    <row r="13" spans="3:38" s="399" customFormat="1" ht="30" customHeight="1" x14ac:dyDescent="0.3">
      <c r="C13" s="985" t="s">
        <v>154</v>
      </c>
      <c r="D13" s="986" t="s">
        <v>575</v>
      </c>
      <c r="E13" s="986"/>
      <c r="F13" s="986"/>
      <c r="G13" s="986"/>
      <c r="H13" s="986"/>
      <c r="I13" s="986"/>
      <c r="J13" s="986"/>
      <c r="K13" s="986"/>
      <c r="L13" s="986"/>
      <c r="M13" s="988"/>
      <c r="N13" s="3387">
        <v>0</v>
      </c>
      <c r="O13" s="3388"/>
      <c r="P13" s="3388"/>
      <c r="Q13" s="3388"/>
      <c r="R13" s="3389"/>
      <c r="S13" s="3390">
        <v>0</v>
      </c>
      <c r="T13" s="3388"/>
      <c r="U13" s="3388"/>
      <c r="V13" s="3388"/>
      <c r="W13" s="3389"/>
      <c r="X13" s="3390">
        <v>0</v>
      </c>
      <c r="Y13" s="3388"/>
      <c r="Z13" s="3388"/>
      <c r="AA13" s="3388"/>
      <c r="AB13" s="3389"/>
      <c r="AC13" s="3390">
        <v>0</v>
      </c>
      <c r="AD13" s="3388"/>
      <c r="AE13" s="3388"/>
      <c r="AF13" s="3388"/>
      <c r="AG13" s="3389"/>
      <c r="AH13" s="3390">
        <v>0</v>
      </c>
      <c r="AI13" s="3388"/>
      <c r="AJ13" s="3388"/>
      <c r="AK13" s="3388"/>
      <c r="AL13" s="3391"/>
    </row>
    <row r="14" spans="3:38" s="399" customFormat="1" ht="30" customHeight="1" x14ac:dyDescent="0.3">
      <c r="C14" s="985" t="s">
        <v>160</v>
      </c>
      <c r="D14" s="986" t="s">
        <v>576</v>
      </c>
      <c r="E14" s="986"/>
      <c r="F14" s="986"/>
      <c r="G14" s="986"/>
      <c r="H14" s="986"/>
      <c r="I14" s="986"/>
      <c r="J14" s="986"/>
      <c r="K14" s="986"/>
      <c r="L14" s="986"/>
      <c r="M14" s="988"/>
      <c r="N14" s="3387">
        <v>0</v>
      </c>
      <c r="O14" s="3388"/>
      <c r="P14" s="3388"/>
      <c r="Q14" s="3388"/>
      <c r="R14" s="3389"/>
      <c r="S14" s="3390">
        <v>0</v>
      </c>
      <c r="T14" s="3388"/>
      <c r="U14" s="3388"/>
      <c r="V14" s="3388"/>
      <c r="W14" s="3389"/>
      <c r="X14" s="3390">
        <v>0</v>
      </c>
      <c r="Y14" s="3388"/>
      <c r="Z14" s="3388"/>
      <c r="AA14" s="3388"/>
      <c r="AB14" s="3389"/>
      <c r="AC14" s="3390">
        <v>0</v>
      </c>
      <c r="AD14" s="3388"/>
      <c r="AE14" s="3388"/>
      <c r="AF14" s="3388"/>
      <c r="AG14" s="3389"/>
      <c r="AH14" s="3390">
        <v>0</v>
      </c>
      <c r="AI14" s="3388"/>
      <c r="AJ14" s="3388"/>
      <c r="AK14" s="3388"/>
      <c r="AL14" s="3391"/>
    </row>
    <row r="15" spans="3:38" s="399" customFormat="1" ht="30" customHeight="1" x14ac:dyDescent="0.3">
      <c r="C15" s="985" t="s">
        <v>158</v>
      </c>
      <c r="D15" s="986" t="s">
        <v>577</v>
      </c>
      <c r="E15" s="986"/>
      <c r="F15" s="986"/>
      <c r="G15" s="986"/>
      <c r="H15" s="986"/>
      <c r="I15" s="986"/>
      <c r="J15" s="986"/>
      <c r="K15" s="986"/>
      <c r="L15" s="986"/>
      <c r="M15" s="988"/>
      <c r="N15" s="3387">
        <v>0</v>
      </c>
      <c r="O15" s="3388"/>
      <c r="P15" s="3388"/>
      <c r="Q15" s="3388"/>
      <c r="R15" s="3389"/>
      <c r="S15" s="3390">
        <v>0</v>
      </c>
      <c r="T15" s="3388"/>
      <c r="U15" s="3388"/>
      <c r="V15" s="3388"/>
      <c r="W15" s="3389"/>
      <c r="X15" s="3390">
        <v>2</v>
      </c>
      <c r="Y15" s="3388"/>
      <c r="Z15" s="3388"/>
      <c r="AA15" s="3388"/>
      <c r="AB15" s="3389"/>
      <c r="AC15" s="3390">
        <v>0</v>
      </c>
      <c r="AD15" s="3388"/>
      <c r="AE15" s="3388"/>
      <c r="AF15" s="3388"/>
      <c r="AG15" s="3389"/>
      <c r="AH15" s="3390">
        <v>0</v>
      </c>
      <c r="AI15" s="3388"/>
      <c r="AJ15" s="3388"/>
      <c r="AK15" s="3388"/>
      <c r="AL15" s="3391"/>
    </row>
    <row r="16" spans="3:38" s="399" customFormat="1" ht="30" customHeight="1" x14ac:dyDescent="0.3">
      <c r="C16" s="985" t="s">
        <v>660</v>
      </c>
      <c r="D16" s="986" t="s">
        <v>578</v>
      </c>
      <c r="E16" s="986"/>
      <c r="F16" s="986"/>
      <c r="G16" s="986"/>
      <c r="H16" s="986"/>
      <c r="I16" s="986"/>
      <c r="J16" s="986"/>
      <c r="K16" s="986"/>
      <c r="L16" s="986"/>
      <c r="M16" s="988"/>
      <c r="N16" s="3387">
        <v>0</v>
      </c>
      <c r="O16" s="3388"/>
      <c r="P16" s="3388"/>
      <c r="Q16" s="3388"/>
      <c r="R16" s="3389"/>
      <c r="S16" s="3390">
        <v>0</v>
      </c>
      <c r="T16" s="3388"/>
      <c r="U16" s="3388"/>
      <c r="V16" s="3388"/>
      <c r="W16" s="3389"/>
      <c r="X16" s="3390">
        <v>0</v>
      </c>
      <c r="Y16" s="3388"/>
      <c r="Z16" s="3388"/>
      <c r="AA16" s="3388"/>
      <c r="AB16" s="3389"/>
      <c r="AC16" s="3390">
        <v>0</v>
      </c>
      <c r="AD16" s="3388"/>
      <c r="AE16" s="3388"/>
      <c r="AF16" s="3388"/>
      <c r="AG16" s="3389"/>
      <c r="AH16" s="3390">
        <v>0</v>
      </c>
      <c r="AI16" s="3388"/>
      <c r="AJ16" s="3388"/>
      <c r="AK16" s="3388"/>
      <c r="AL16" s="3391"/>
    </row>
    <row r="17" spans="3:38" s="399" customFormat="1" ht="30" customHeight="1" x14ac:dyDescent="0.3">
      <c r="C17" s="985" t="s">
        <v>671</v>
      </c>
      <c r="D17" s="986" t="s">
        <v>690</v>
      </c>
      <c r="E17" s="986"/>
      <c r="F17" s="986"/>
      <c r="G17" s="986"/>
      <c r="H17" s="986"/>
      <c r="I17" s="986"/>
      <c r="J17" s="986"/>
      <c r="K17" s="986"/>
      <c r="L17" s="986"/>
      <c r="M17" s="988"/>
      <c r="N17" s="3387">
        <v>0</v>
      </c>
      <c r="O17" s="3388"/>
      <c r="P17" s="3388"/>
      <c r="Q17" s="3388"/>
      <c r="R17" s="3389"/>
      <c r="S17" s="3390">
        <v>0</v>
      </c>
      <c r="T17" s="3388"/>
      <c r="U17" s="3388"/>
      <c r="V17" s="3388"/>
      <c r="W17" s="3389"/>
      <c r="X17" s="3390">
        <v>0</v>
      </c>
      <c r="Y17" s="3388"/>
      <c r="Z17" s="3388"/>
      <c r="AA17" s="3388"/>
      <c r="AB17" s="3389"/>
      <c r="AC17" s="3390">
        <v>0</v>
      </c>
      <c r="AD17" s="3388"/>
      <c r="AE17" s="3388"/>
      <c r="AF17" s="3388"/>
      <c r="AG17" s="3389"/>
      <c r="AH17" s="3390">
        <v>0</v>
      </c>
      <c r="AI17" s="3388"/>
      <c r="AJ17" s="3388"/>
      <c r="AK17" s="3388"/>
      <c r="AL17" s="3391"/>
    </row>
    <row r="18" spans="3:38" s="399" customFormat="1" ht="30" customHeight="1" x14ac:dyDescent="0.3">
      <c r="C18" s="985" t="s">
        <v>672</v>
      </c>
      <c r="D18" s="986" t="s">
        <v>579</v>
      </c>
      <c r="E18" s="986"/>
      <c r="F18" s="986"/>
      <c r="G18" s="986"/>
      <c r="H18" s="986"/>
      <c r="I18" s="986"/>
      <c r="J18" s="986"/>
      <c r="K18" s="986"/>
      <c r="L18" s="986"/>
      <c r="M18" s="988"/>
      <c r="N18" s="3387">
        <v>0</v>
      </c>
      <c r="O18" s="3388"/>
      <c r="P18" s="3388"/>
      <c r="Q18" s="3388"/>
      <c r="R18" s="3389"/>
      <c r="S18" s="3390">
        <v>0</v>
      </c>
      <c r="T18" s="3388"/>
      <c r="U18" s="3388"/>
      <c r="V18" s="3388"/>
      <c r="W18" s="3389"/>
      <c r="X18" s="3390">
        <v>0</v>
      </c>
      <c r="Y18" s="3388"/>
      <c r="Z18" s="3388"/>
      <c r="AA18" s="3388"/>
      <c r="AB18" s="3389"/>
      <c r="AC18" s="3390">
        <v>0</v>
      </c>
      <c r="AD18" s="3388"/>
      <c r="AE18" s="3388"/>
      <c r="AF18" s="3388"/>
      <c r="AG18" s="3389"/>
      <c r="AH18" s="3390">
        <v>0</v>
      </c>
      <c r="AI18" s="3388"/>
      <c r="AJ18" s="3388"/>
      <c r="AK18" s="3388"/>
      <c r="AL18" s="3391"/>
    </row>
    <row r="19" spans="3:38" s="399" customFormat="1" ht="30" customHeight="1" x14ac:dyDescent="0.3">
      <c r="C19" s="985" t="s">
        <v>673</v>
      </c>
      <c r="D19" s="986" t="s">
        <v>691</v>
      </c>
      <c r="E19" s="986"/>
      <c r="F19" s="986"/>
      <c r="G19" s="986"/>
      <c r="H19" s="986"/>
      <c r="I19" s="986"/>
      <c r="J19" s="986"/>
      <c r="K19" s="986"/>
      <c r="L19" s="986"/>
      <c r="M19" s="988"/>
      <c r="N19" s="3387">
        <v>0</v>
      </c>
      <c r="O19" s="3388"/>
      <c r="P19" s="3388"/>
      <c r="Q19" s="3388"/>
      <c r="R19" s="3389"/>
      <c r="S19" s="3390">
        <v>0</v>
      </c>
      <c r="T19" s="3388"/>
      <c r="U19" s="3388"/>
      <c r="V19" s="3388"/>
      <c r="W19" s="3389"/>
      <c r="X19" s="3390">
        <v>0</v>
      </c>
      <c r="Y19" s="3388"/>
      <c r="Z19" s="3388"/>
      <c r="AA19" s="3388"/>
      <c r="AB19" s="3389"/>
      <c r="AC19" s="3390">
        <v>0</v>
      </c>
      <c r="AD19" s="3388"/>
      <c r="AE19" s="3388"/>
      <c r="AF19" s="3388"/>
      <c r="AG19" s="3389"/>
      <c r="AH19" s="3390">
        <v>0</v>
      </c>
      <c r="AI19" s="3388"/>
      <c r="AJ19" s="3388"/>
      <c r="AK19" s="3388"/>
      <c r="AL19" s="3391"/>
    </row>
    <row r="20" spans="3:38" s="399" customFormat="1" ht="30" customHeight="1" x14ac:dyDescent="0.3">
      <c r="C20" s="985" t="s">
        <v>674</v>
      </c>
      <c r="D20" s="986" t="s">
        <v>1280</v>
      </c>
      <c r="E20" s="986"/>
      <c r="F20" s="986"/>
      <c r="G20" s="986"/>
      <c r="H20" s="986"/>
      <c r="I20" s="986"/>
      <c r="J20" s="986"/>
      <c r="K20" s="986"/>
      <c r="L20" s="986"/>
      <c r="M20" s="987"/>
      <c r="N20" s="3387">
        <v>0</v>
      </c>
      <c r="O20" s="3388"/>
      <c r="P20" s="3388"/>
      <c r="Q20" s="3388"/>
      <c r="R20" s="3389"/>
      <c r="S20" s="3390">
        <v>0</v>
      </c>
      <c r="T20" s="3388"/>
      <c r="U20" s="3388"/>
      <c r="V20" s="3388"/>
      <c r="W20" s="3389"/>
      <c r="X20" s="3390">
        <v>0</v>
      </c>
      <c r="Y20" s="3388"/>
      <c r="Z20" s="3388"/>
      <c r="AA20" s="3388"/>
      <c r="AB20" s="3389"/>
      <c r="AC20" s="3390">
        <v>0</v>
      </c>
      <c r="AD20" s="3388"/>
      <c r="AE20" s="3388"/>
      <c r="AF20" s="3388"/>
      <c r="AG20" s="3389"/>
      <c r="AH20" s="3390">
        <v>0</v>
      </c>
      <c r="AI20" s="3388"/>
      <c r="AJ20" s="3388"/>
      <c r="AK20" s="3388"/>
      <c r="AL20" s="3391"/>
    </row>
    <row r="21" spans="3:38" s="399" customFormat="1" ht="30" customHeight="1" x14ac:dyDescent="0.3">
      <c r="C21" s="985" t="s">
        <v>675</v>
      </c>
      <c r="D21" s="986" t="s">
        <v>692</v>
      </c>
      <c r="E21" s="986"/>
      <c r="F21" s="986"/>
      <c r="G21" s="986"/>
      <c r="H21" s="986"/>
      <c r="I21" s="986"/>
      <c r="J21" s="986"/>
      <c r="K21" s="986"/>
      <c r="L21" s="986"/>
      <c r="M21" s="987"/>
      <c r="N21" s="3387">
        <v>0</v>
      </c>
      <c r="O21" s="3388"/>
      <c r="P21" s="3388"/>
      <c r="Q21" s="3388"/>
      <c r="R21" s="3389"/>
      <c r="S21" s="3390">
        <v>0</v>
      </c>
      <c r="T21" s="3388"/>
      <c r="U21" s="3388"/>
      <c r="V21" s="3388"/>
      <c r="W21" s="3389"/>
      <c r="X21" s="3390">
        <v>0</v>
      </c>
      <c r="Y21" s="3388"/>
      <c r="Z21" s="3388"/>
      <c r="AA21" s="3388"/>
      <c r="AB21" s="3389"/>
      <c r="AC21" s="3390">
        <v>0</v>
      </c>
      <c r="AD21" s="3388"/>
      <c r="AE21" s="3388"/>
      <c r="AF21" s="3388"/>
      <c r="AG21" s="3389"/>
      <c r="AH21" s="3390">
        <v>0</v>
      </c>
      <c r="AI21" s="3388"/>
      <c r="AJ21" s="3388"/>
      <c r="AK21" s="3388"/>
      <c r="AL21" s="3391"/>
    </row>
    <row r="22" spans="3:38" s="399" customFormat="1" ht="30" customHeight="1" x14ac:dyDescent="0.3">
      <c r="C22" s="985" t="s">
        <v>676</v>
      </c>
      <c r="D22" s="986" t="s">
        <v>693</v>
      </c>
      <c r="E22" s="986"/>
      <c r="F22" s="986"/>
      <c r="G22" s="986"/>
      <c r="H22" s="986"/>
      <c r="I22" s="986"/>
      <c r="J22" s="986"/>
      <c r="K22" s="986"/>
      <c r="L22" s="986"/>
      <c r="M22" s="988"/>
      <c r="N22" s="3387">
        <v>0</v>
      </c>
      <c r="O22" s="3388"/>
      <c r="P22" s="3388"/>
      <c r="Q22" s="3388"/>
      <c r="R22" s="3389"/>
      <c r="S22" s="3390">
        <v>0</v>
      </c>
      <c r="T22" s="3388"/>
      <c r="U22" s="3388"/>
      <c r="V22" s="3388"/>
      <c r="W22" s="3389"/>
      <c r="X22" s="3390">
        <v>0</v>
      </c>
      <c r="Y22" s="3388"/>
      <c r="Z22" s="3388"/>
      <c r="AA22" s="3388"/>
      <c r="AB22" s="3389"/>
      <c r="AC22" s="3390">
        <v>0</v>
      </c>
      <c r="AD22" s="3388"/>
      <c r="AE22" s="3388"/>
      <c r="AF22" s="3388"/>
      <c r="AG22" s="3389"/>
      <c r="AH22" s="3390">
        <v>0</v>
      </c>
      <c r="AI22" s="3388"/>
      <c r="AJ22" s="3388"/>
      <c r="AK22" s="3388"/>
      <c r="AL22" s="3391"/>
    </row>
    <row r="23" spans="3:38" s="399" customFormat="1" ht="30" customHeight="1" x14ac:dyDescent="0.3">
      <c r="C23" s="985" t="s">
        <v>677</v>
      </c>
      <c r="D23" s="986" t="s">
        <v>580</v>
      </c>
      <c r="E23" s="986"/>
      <c r="F23" s="986"/>
      <c r="G23" s="986"/>
      <c r="H23" s="986"/>
      <c r="I23" s="986"/>
      <c r="J23" s="986"/>
      <c r="K23" s="986"/>
      <c r="L23" s="986"/>
      <c r="M23" s="988"/>
      <c r="N23" s="3387">
        <v>0</v>
      </c>
      <c r="O23" s="3388"/>
      <c r="P23" s="3388"/>
      <c r="Q23" s="3388"/>
      <c r="R23" s="3389"/>
      <c r="S23" s="3390">
        <v>0</v>
      </c>
      <c r="T23" s="3388"/>
      <c r="U23" s="3388"/>
      <c r="V23" s="3388"/>
      <c r="W23" s="3389"/>
      <c r="X23" s="3390">
        <v>2</v>
      </c>
      <c r="Y23" s="3388"/>
      <c r="Z23" s="3388"/>
      <c r="AA23" s="3388"/>
      <c r="AB23" s="3389"/>
      <c r="AC23" s="3390">
        <v>0</v>
      </c>
      <c r="AD23" s="3388"/>
      <c r="AE23" s="3388"/>
      <c r="AF23" s="3388"/>
      <c r="AG23" s="3389"/>
      <c r="AH23" s="3390">
        <v>0</v>
      </c>
      <c r="AI23" s="3388"/>
      <c r="AJ23" s="3388"/>
      <c r="AK23" s="3388"/>
      <c r="AL23" s="3391"/>
    </row>
    <row r="24" spans="3:38" s="399" customFormat="1" ht="30" customHeight="1" x14ac:dyDescent="0.3">
      <c r="C24" s="985" t="s">
        <v>678</v>
      </c>
      <c r="D24" s="986" t="s">
        <v>581</v>
      </c>
      <c r="E24" s="986"/>
      <c r="F24" s="986"/>
      <c r="G24" s="986"/>
      <c r="H24" s="986"/>
      <c r="I24" s="986"/>
      <c r="J24" s="986"/>
      <c r="K24" s="986"/>
      <c r="L24" s="986"/>
      <c r="M24" s="988"/>
      <c r="N24" s="3387">
        <v>0</v>
      </c>
      <c r="O24" s="3388"/>
      <c r="P24" s="3388"/>
      <c r="Q24" s="3388"/>
      <c r="R24" s="3389"/>
      <c r="S24" s="3390">
        <v>0</v>
      </c>
      <c r="T24" s="3388"/>
      <c r="U24" s="3388"/>
      <c r="V24" s="3388"/>
      <c r="W24" s="3389"/>
      <c r="X24" s="3390">
        <v>0</v>
      </c>
      <c r="Y24" s="3388"/>
      <c r="Z24" s="3388"/>
      <c r="AA24" s="3388"/>
      <c r="AB24" s="3389"/>
      <c r="AC24" s="3390">
        <v>0</v>
      </c>
      <c r="AD24" s="3388"/>
      <c r="AE24" s="3388"/>
      <c r="AF24" s="3388"/>
      <c r="AG24" s="3389"/>
      <c r="AH24" s="3390">
        <v>0</v>
      </c>
      <c r="AI24" s="3388"/>
      <c r="AJ24" s="3388"/>
      <c r="AK24" s="3388"/>
      <c r="AL24" s="3391"/>
    </row>
    <row r="25" spans="3:38" s="97" customFormat="1" ht="30" customHeight="1" x14ac:dyDescent="0.3">
      <c r="C25" s="985" t="s">
        <v>679</v>
      </c>
      <c r="D25" s="986" t="s">
        <v>582</v>
      </c>
      <c r="E25" s="986"/>
      <c r="F25" s="986"/>
      <c r="G25" s="986"/>
      <c r="H25" s="986"/>
      <c r="I25" s="986"/>
      <c r="J25" s="986"/>
      <c r="K25" s="986"/>
      <c r="L25" s="986"/>
      <c r="M25" s="988"/>
      <c r="N25" s="3387">
        <v>0</v>
      </c>
      <c r="O25" s="3388"/>
      <c r="P25" s="3388"/>
      <c r="Q25" s="3388"/>
      <c r="R25" s="3389"/>
      <c r="S25" s="3390">
        <v>0</v>
      </c>
      <c r="T25" s="3388"/>
      <c r="U25" s="3388"/>
      <c r="V25" s="3388"/>
      <c r="W25" s="3389"/>
      <c r="X25" s="3390">
        <v>0</v>
      </c>
      <c r="Y25" s="3388"/>
      <c r="Z25" s="3388"/>
      <c r="AA25" s="3388"/>
      <c r="AB25" s="3389"/>
      <c r="AC25" s="3390">
        <v>0</v>
      </c>
      <c r="AD25" s="3388"/>
      <c r="AE25" s="3388"/>
      <c r="AF25" s="3388"/>
      <c r="AG25" s="3389"/>
      <c r="AH25" s="3390">
        <v>0</v>
      </c>
      <c r="AI25" s="3388"/>
      <c r="AJ25" s="3388"/>
      <c r="AK25" s="3388"/>
      <c r="AL25" s="3391"/>
    </row>
    <row r="26" spans="3:38" s="399" customFormat="1" ht="30" customHeight="1" x14ac:dyDescent="0.3">
      <c r="C26" s="985" t="s">
        <v>680</v>
      </c>
      <c r="D26" s="986" t="s">
        <v>583</v>
      </c>
      <c r="E26" s="986"/>
      <c r="F26" s="986"/>
      <c r="G26" s="986"/>
      <c r="H26" s="986"/>
      <c r="I26" s="986"/>
      <c r="J26" s="986"/>
      <c r="K26" s="986"/>
      <c r="L26" s="986"/>
      <c r="M26" s="988"/>
      <c r="N26" s="3387">
        <v>0</v>
      </c>
      <c r="O26" s="3388"/>
      <c r="P26" s="3388"/>
      <c r="Q26" s="3388"/>
      <c r="R26" s="3389"/>
      <c r="S26" s="3390">
        <v>0</v>
      </c>
      <c r="T26" s="3388"/>
      <c r="U26" s="3388"/>
      <c r="V26" s="3388"/>
      <c r="W26" s="3389"/>
      <c r="X26" s="3390">
        <v>0</v>
      </c>
      <c r="Y26" s="3388"/>
      <c r="Z26" s="3388"/>
      <c r="AA26" s="3388"/>
      <c r="AB26" s="3389"/>
      <c r="AC26" s="3390">
        <v>0</v>
      </c>
      <c r="AD26" s="3388"/>
      <c r="AE26" s="3388"/>
      <c r="AF26" s="3388"/>
      <c r="AG26" s="3389"/>
      <c r="AH26" s="3390">
        <v>0</v>
      </c>
      <c r="AI26" s="3388"/>
      <c r="AJ26" s="3388"/>
      <c r="AK26" s="3388"/>
      <c r="AL26" s="3391"/>
    </row>
    <row r="27" spans="3:38" s="399" customFormat="1" ht="30" customHeight="1" x14ac:dyDescent="0.3">
      <c r="C27" s="985" t="s">
        <v>681</v>
      </c>
      <c r="D27" s="986" t="s">
        <v>584</v>
      </c>
      <c r="E27" s="986"/>
      <c r="F27" s="986"/>
      <c r="G27" s="986"/>
      <c r="H27" s="986"/>
      <c r="I27" s="986"/>
      <c r="J27" s="986"/>
      <c r="K27" s="986"/>
      <c r="L27" s="986"/>
      <c r="M27" s="988"/>
      <c r="N27" s="3387">
        <v>0</v>
      </c>
      <c r="O27" s="3388"/>
      <c r="P27" s="3388"/>
      <c r="Q27" s="3388"/>
      <c r="R27" s="3389"/>
      <c r="S27" s="3390">
        <v>0</v>
      </c>
      <c r="T27" s="3388"/>
      <c r="U27" s="3388"/>
      <c r="V27" s="3388"/>
      <c r="W27" s="3389"/>
      <c r="X27" s="3390">
        <v>0</v>
      </c>
      <c r="Y27" s="3388"/>
      <c r="Z27" s="3388"/>
      <c r="AA27" s="3388"/>
      <c r="AB27" s="3389"/>
      <c r="AC27" s="3390">
        <v>0</v>
      </c>
      <c r="AD27" s="3388"/>
      <c r="AE27" s="3388"/>
      <c r="AF27" s="3388"/>
      <c r="AG27" s="3389"/>
      <c r="AH27" s="3390">
        <v>0</v>
      </c>
      <c r="AI27" s="3388"/>
      <c r="AJ27" s="3388"/>
      <c r="AK27" s="3388"/>
      <c r="AL27" s="3391"/>
    </row>
    <row r="28" spans="3:38" s="399" customFormat="1" ht="30" customHeight="1" x14ac:dyDescent="0.3">
      <c r="C28" s="985" t="s">
        <v>682</v>
      </c>
      <c r="D28" s="986" t="s">
        <v>585</v>
      </c>
      <c r="E28" s="986"/>
      <c r="F28" s="986"/>
      <c r="G28" s="986"/>
      <c r="H28" s="986"/>
      <c r="I28" s="986"/>
      <c r="J28" s="986"/>
      <c r="K28" s="986"/>
      <c r="L28" s="986"/>
      <c r="M28" s="988"/>
      <c r="N28" s="3387">
        <v>0</v>
      </c>
      <c r="O28" s="3388"/>
      <c r="P28" s="3388"/>
      <c r="Q28" s="3388"/>
      <c r="R28" s="3389"/>
      <c r="S28" s="3390">
        <v>0</v>
      </c>
      <c r="T28" s="3388"/>
      <c r="U28" s="3388"/>
      <c r="V28" s="3388"/>
      <c r="W28" s="3389"/>
      <c r="X28" s="3390">
        <v>0</v>
      </c>
      <c r="Y28" s="3388"/>
      <c r="Z28" s="3388"/>
      <c r="AA28" s="3388"/>
      <c r="AB28" s="3389"/>
      <c r="AC28" s="3390">
        <v>0</v>
      </c>
      <c r="AD28" s="3388"/>
      <c r="AE28" s="3388"/>
      <c r="AF28" s="3388"/>
      <c r="AG28" s="3389"/>
      <c r="AH28" s="3390">
        <v>0</v>
      </c>
      <c r="AI28" s="3388"/>
      <c r="AJ28" s="3388"/>
      <c r="AK28" s="3388"/>
      <c r="AL28" s="3391"/>
    </row>
    <row r="29" spans="3:38" s="399" customFormat="1" ht="30" customHeight="1" x14ac:dyDescent="0.3">
      <c r="C29" s="985" t="s">
        <v>683</v>
      </c>
      <c r="D29" s="986" t="s">
        <v>586</v>
      </c>
      <c r="E29" s="986"/>
      <c r="F29" s="986"/>
      <c r="G29" s="986"/>
      <c r="H29" s="986"/>
      <c r="I29" s="986"/>
      <c r="J29" s="986"/>
      <c r="K29" s="986"/>
      <c r="L29" s="986"/>
      <c r="M29" s="988"/>
      <c r="N29" s="3387">
        <v>0</v>
      </c>
      <c r="O29" s="3388"/>
      <c r="P29" s="3388"/>
      <c r="Q29" s="3388"/>
      <c r="R29" s="3389"/>
      <c r="S29" s="3390">
        <v>0</v>
      </c>
      <c r="T29" s="3388"/>
      <c r="U29" s="3388"/>
      <c r="V29" s="3388"/>
      <c r="W29" s="3389"/>
      <c r="X29" s="3390">
        <v>0</v>
      </c>
      <c r="Y29" s="3388"/>
      <c r="Z29" s="3388"/>
      <c r="AA29" s="3388"/>
      <c r="AB29" s="3389"/>
      <c r="AC29" s="3390">
        <v>0</v>
      </c>
      <c r="AD29" s="3388"/>
      <c r="AE29" s="3388"/>
      <c r="AF29" s="3388"/>
      <c r="AG29" s="3389"/>
      <c r="AH29" s="3390">
        <v>0</v>
      </c>
      <c r="AI29" s="3388"/>
      <c r="AJ29" s="3388"/>
      <c r="AK29" s="3388"/>
      <c r="AL29" s="3391"/>
    </row>
    <row r="30" spans="3:38" s="399" customFormat="1" ht="30" customHeight="1" x14ac:dyDescent="0.3">
      <c r="C30" s="985" t="s">
        <v>684</v>
      </c>
      <c r="D30" s="986" t="s">
        <v>587</v>
      </c>
      <c r="E30" s="986"/>
      <c r="F30" s="986"/>
      <c r="G30" s="986"/>
      <c r="H30" s="986"/>
      <c r="I30" s="986"/>
      <c r="J30" s="986"/>
      <c r="K30" s="986"/>
      <c r="L30" s="986"/>
      <c r="M30" s="988"/>
      <c r="N30" s="3387">
        <v>0</v>
      </c>
      <c r="O30" s="3388"/>
      <c r="P30" s="3388"/>
      <c r="Q30" s="3388"/>
      <c r="R30" s="3389"/>
      <c r="S30" s="3390">
        <v>0</v>
      </c>
      <c r="T30" s="3388"/>
      <c r="U30" s="3388"/>
      <c r="V30" s="3388"/>
      <c r="W30" s="3389"/>
      <c r="X30" s="3390">
        <v>0</v>
      </c>
      <c r="Y30" s="3388"/>
      <c r="Z30" s="3388"/>
      <c r="AA30" s="3388"/>
      <c r="AB30" s="3389"/>
      <c r="AC30" s="3390">
        <v>0</v>
      </c>
      <c r="AD30" s="3388"/>
      <c r="AE30" s="3388"/>
      <c r="AF30" s="3388"/>
      <c r="AG30" s="3389"/>
      <c r="AH30" s="3390">
        <v>0</v>
      </c>
      <c r="AI30" s="3388"/>
      <c r="AJ30" s="3388"/>
      <c r="AK30" s="3388"/>
      <c r="AL30" s="3391"/>
    </row>
    <row r="31" spans="3:38" s="399" customFormat="1" ht="30" customHeight="1" x14ac:dyDescent="0.3">
      <c r="C31" s="985" t="s">
        <v>685</v>
      </c>
      <c r="D31" s="986" t="s">
        <v>588</v>
      </c>
      <c r="E31" s="986"/>
      <c r="F31" s="986"/>
      <c r="G31" s="986"/>
      <c r="H31" s="986"/>
      <c r="I31" s="986"/>
      <c r="J31" s="986"/>
      <c r="K31" s="986"/>
      <c r="L31" s="986"/>
      <c r="M31" s="988"/>
      <c r="N31" s="3387">
        <v>0</v>
      </c>
      <c r="O31" s="3388"/>
      <c r="P31" s="3388"/>
      <c r="Q31" s="3388"/>
      <c r="R31" s="3389"/>
      <c r="S31" s="3390">
        <v>0</v>
      </c>
      <c r="T31" s="3388"/>
      <c r="U31" s="3388"/>
      <c r="V31" s="3388"/>
      <c r="W31" s="3389"/>
      <c r="X31" s="3390">
        <v>0</v>
      </c>
      <c r="Y31" s="3388"/>
      <c r="Z31" s="3388"/>
      <c r="AA31" s="3388"/>
      <c r="AB31" s="3389"/>
      <c r="AC31" s="3390">
        <v>0</v>
      </c>
      <c r="AD31" s="3388"/>
      <c r="AE31" s="3388"/>
      <c r="AF31" s="3388"/>
      <c r="AG31" s="3389"/>
      <c r="AH31" s="3390">
        <v>0</v>
      </c>
      <c r="AI31" s="3388"/>
      <c r="AJ31" s="3388"/>
      <c r="AK31" s="3388"/>
      <c r="AL31" s="3391"/>
    </row>
    <row r="32" spans="3:38" s="399" customFormat="1" ht="30" customHeight="1" x14ac:dyDescent="0.3">
      <c r="C32" s="985" t="s">
        <v>686</v>
      </c>
      <c r="D32" s="986" t="s">
        <v>589</v>
      </c>
      <c r="E32" s="986"/>
      <c r="F32" s="986"/>
      <c r="G32" s="986"/>
      <c r="H32" s="986"/>
      <c r="I32" s="986"/>
      <c r="J32" s="986"/>
      <c r="K32" s="986"/>
      <c r="L32" s="986"/>
      <c r="M32" s="988"/>
      <c r="N32" s="3387">
        <v>0</v>
      </c>
      <c r="O32" s="3388"/>
      <c r="P32" s="3388"/>
      <c r="Q32" s="3388"/>
      <c r="R32" s="3389"/>
      <c r="S32" s="3390">
        <v>0</v>
      </c>
      <c r="T32" s="3388"/>
      <c r="U32" s="3388"/>
      <c r="V32" s="3388"/>
      <c r="W32" s="3389"/>
      <c r="X32" s="3390">
        <v>0</v>
      </c>
      <c r="Y32" s="3388"/>
      <c r="Z32" s="3388"/>
      <c r="AA32" s="3388"/>
      <c r="AB32" s="3389"/>
      <c r="AC32" s="3390">
        <v>0</v>
      </c>
      <c r="AD32" s="3388"/>
      <c r="AE32" s="3388"/>
      <c r="AF32" s="3388"/>
      <c r="AG32" s="3389"/>
      <c r="AH32" s="3390">
        <v>0</v>
      </c>
      <c r="AI32" s="3388"/>
      <c r="AJ32" s="3388"/>
      <c r="AK32" s="3388"/>
      <c r="AL32" s="3391"/>
    </row>
    <row r="33" spans="2:48" s="399" customFormat="1" ht="30" customHeight="1" thickBot="1" x14ac:dyDescent="0.35">
      <c r="C33" s="989" t="s">
        <v>687</v>
      </c>
      <c r="D33" s="990" t="s">
        <v>590</v>
      </c>
      <c r="E33" s="990"/>
      <c r="F33" s="990"/>
      <c r="G33" s="990"/>
      <c r="H33" s="990"/>
      <c r="I33" s="990"/>
      <c r="J33" s="990"/>
      <c r="K33" s="990"/>
      <c r="L33" s="990"/>
      <c r="M33" s="991"/>
      <c r="N33" s="3407">
        <v>0</v>
      </c>
      <c r="O33" s="3405"/>
      <c r="P33" s="3405"/>
      <c r="Q33" s="3405"/>
      <c r="R33" s="3408"/>
      <c r="S33" s="3404">
        <v>0</v>
      </c>
      <c r="T33" s="3405"/>
      <c r="U33" s="3405"/>
      <c r="V33" s="3405"/>
      <c r="W33" s="3408"/>
      <c r="X33" s="3404">
        <v>0</v>
      </c>
      <c r="Y33" s="3405"/>
      <c r="Z33" s="3405"/>
      <c r="AA33" s="3405"/>
      <c r="AB33" s="3408"/>
      <c r="AC33" s="3404">
        <v>0</v>
      </c>
      <c r="AD33" s="3405"/>
      <c r="AE33" s="3405"/>
      <c r="AF33" s="3405"/>
      <c r="AG33" s="3408"/>
      <c r="AH33" s="3404">
        <v>0</v>
      </c>
      <c r="AI33" s="3405"/>
      <c r="AJ33" s="3405"/>
      <c r="AK33" s="3405"/>
      <c r="AL33" s="3406"/>
    </row>
    <row r="34" spans="2:48" ht="16" thickTop="1" x14ac:dyDescent="0.35">
      <c r="C34" s="992" t="s">
        <v>150</v>
      </c>
      <c r="D34" s="3386" t="s">
        <v>1281</v>
      </c>
      <c r="E34" s="3386"/>
      <c r="F34" s="3386"/>
      <c r="G34" s="3386"/>
      <c r="H34" s="3386"/>
      <c r="I34" s="3386"/>
      <c r="J34" s="3386"/>
      <c r="K34" s="3386"/>
      <c r="L34" s="3386"/>
      <c r="M34" s="3386"/>
      <c r="N34" s="3386"/>
      <c r="O34" s="3386"/>
      <c r="P34" s="3386"/>
      <c r="Q34" s="3386"/>
      <c r="R34" s="3386"/>
      <c r="S34" s="3386"/>
      <c r="T34" s="3386"/>
      <c r="U34" s="3386"/>
      <c r="V34" s="3386"/>
      <c r="W34" s="3386"/>
      <c r="X34" s="3386"/>
      <c r="Y34" s="3386"/>
      <c r="Z34" s="3386"/>
      <c r="AA34" s="3386"/>
      <c r="AB34" s="3386"/>
      <c r="AC34" s="3386"/>
      <c r="AD34" s="3386"/>
      <c r="AE34" s="3386"/>
      <c r="AF34" s="3386"/>
      <c r="AG34" s="3386"/>
      <c r="AH34" s="3386"/>
      <c r="AI34" s="3386"/>
      <c r="AJ34" s="3386"/>
      <c r="AK34" s="3386"/>
      <c r="AL34" s="3386"/>
      <c r="AM34" s="958"/>
      <c r="AN34" s="958"/>
      <c r="AO34" s="958"/>
      <c r="AP34" s="958"/>
      <c r="AQ34" s="958"/>
      <c r="AR34" s="958"/>
      <c r="AS34" s="958"/>
      <c r="AT34" s="958"/>
      <c r="AU34" s="958"/>
      <c r="AV34" s="958"/>
    </row>
    <row r="35" spans="2:48" x14ac:dyDescent="0.35">
      <c r="C35" s="992" t="s">
        <v>151</v>
      </c>
      <c r="D35" s="3386" t="s">
        <v>1282</v>
      </c>
      <c r="E35" s="3386"/>
      <c r="F35" s="3386"/>
      <c r="G35" s="3386"/>
      <c r="H35" s="3386"/>
      <c r="I35" s="3386"/>
      <c r="J35" s="3386"/>
      <c r="K35" s="3386"/>
      <c r="L35" s="3386"/>
      <c r="M35" s="3386"/>
      <c r="N35" s="3386"/>
      <c r="O35" s="3386"/>
      <c r="P35" s="3386"/>
      <c r="Q35" s="3386"/>
      <c r="R35" s="3386"/>
      <c r="S35" s="3386"/>
      <c r="T35" s="3386"/>
      <c r="U35" s="3386"/>
      <c r="V35" s="3386"/>
      <c r="W35" s="3386"/>
      <c r="X35" s="3386"/>
      <c r="Y35" s="3386"/>
      <c r="Z35" s="3386"/>
      <c r="AA35" s="3386"/>
      <c r="AB35" s="3386"/>
      <c r="AC35" s="3386"/>
      <c r="AD35" s="3386"/>
      <c r="AE35" s="3386"/>
      <c r="AF35" s="3386"/>
      <c r="AG35" s="3386"/>
      <c r="AH35" s="3386"/>
      <c r="AI35" s="3386"/>
      <c r="AJ35" s="3386"/>
      <c r="AK35" s="3386"/>
      <c r="AL35" s="3386"/>
      <c r="AM35" s="958"/>
      <c r="AN35" s="958"/>
      <c r="AO35" s="958"/>
      <c r="AP35" s="958"/>
      <c r="AQ35" s="958"/>
      <c r="AR35" s="958"/>
      <c r="AS35" s="958"/>
      <c r="AT35" s="958"/>
      <c r="AU35" s="958"/>
      <c r="AV35" s="958"/>
    </row>
    <row r="36" spans="2:48" x14ac:dyDescent="0.35">
      <c r="C36" s="992" t="s">
        <v>152</v>
      </c>
      <c r="D36" s="3386" t="s">
        <v>1283</v>
      </c>
      <c r="E36" s="3386"/>
      <c r="F36" s="3386"/>
      <c r="G36" s="3386"/>
      <c r="H36" s="3386"/>
      <c r="I36" s="3386"/>
      <c r="J36" s="3386"/>
      <c r="K36" s="3386"/>
      <c r="L36" s="3386"/>
      <c r="M36" s="3386"/>
      <c r="N36" s="3386"/>
      <c r="O36" s="3386"/>
      <c r="P36" s="3386"/>
      <c r="Q36" s="3386"/>
      <c r="R36" s="3386"/>
      <c r="S36" s="3386"/>
      <c r="T36" s="3386"/>
      <c r="U36" s="3386"/>
      <c r="V36" s="3386"/>
      <c r="W36" s="3386"/>
      <c r="X36" s="3386"/>
      <c r="Y36" s="3386"/>
      <c r="Z36" s="3386"/>
      <c r="AA36" s="3386"/>
      <c r="AB36" s="3386"/>
      <c r="AC36" s="3386"/>
      <c r="AD36" s="3386"/>
      <c r="AE36" s="3386"/>
      <c r="AF36" s="3386"/>
      <c r="AG36" s="3386"/>
      <c r="AH36" s="3386"/>
      <c r="AI36" s="3386"/>
      <c r="AJ36" s="3386"/>
      <c r="AK36" s="3386"/>
      <c r="AL36" s="3386"/>
      <c r="AM36" s="958"/>
      <c r="AN36" s="958"/>
      <c r="AO36" s="958"/>
      <c r="AP36" s="958"/>
      <c r="AQ36" s="958"/>
      <c r="AR36" s="958"/>
      <c r="AS36" s="958"/>
      <c r="AT36" s="958"/>
      <c r="AU36" s="958"/>
      <c r="AV36" s="958"/>
    </row>
    <row r="37" spans="2:48" x14ac:dyDescent="0.35">
      <c r="C37" s="992" t="s">
        <v>155</v>
      </c>
      <c r="D37" s="3386" t="s">
        <v>1284</v>
      </c>
      <c r="E37" s="3386"/>
      <c r="F37" s="3386"/>
      <c r="G37" s="3386"/>
      <c r="H37" s="3386"/>
      <c r="I37" s="3386"/>
      <c r="J37" s="3386"/>
      <c r="K37" s="3386"/>
      <c r="L37" s="3386"/>
      <c r="M37" s="3386"/>
      <c r="N37" s="3386"/>
      <c r="O37" s="3386"/>
      <c r="P37" s="3386"/>
      <c r="Q37" s="3386"/>
      <c r="R37" s="3386"/>
      <c r="S37" s="3386"/>
      <c r="T37" s="3386"/>
      <c r="U37" s="3386"/>
      <c r="V37" s="3386"/>
      <c r="W37" s="3386"/>
      <c r="X37" s="3386"/>
      <c r="Y37" s="3386"/>
      <c r="Z37" s="3386"/>
      <c r="AA37" s="3386"/>
      <c r="AB37" s="3386"/>
      <c r="AC37" s="3386"/>
      <c r="AD37" s="3386"/>
      <c r="AE37" s="3386"/>
      <c r="AF37" s="3386"/>
      <c r="AG37" s="3386"/>
      <c r="AH37" s="3386"/>
      <c r="AI37" s="3386"/>
      <c r="AJ37" s="3386"/>
      <c r="AK37" s="3386"/>
      <c r="AL37" s="3386"/>
      <c r="AM37" s="958"/>
      <c r="AN37" s="958"/>
      <c r="AO37" s="958"/>
      <c r="AP37" s="958"/>
      <c r="AQ37" s="958"/>
      <c r="AR37" s="958"/>
      <c r="AS37" s="958"/>
      <c r="AT37" s="958"/>
      <c r="AU37" s="958"/>
      <c r="AV37" s="958"/>
    </row>
    <row r="38" spans="2:48" x14ac:dyDescent="0.35">
      <c r="C38" s="992" t="s">
        <v>156</v>
      </c>
      <c r="D38" s="3386" t="s">
        <v>1285</v>
      </c>
      <c r="E38" s="3386"/>
      <c r="F38" s="3386"/>
      <c r="G38" s="3386"/>
      <c r="H38" s="3386"/>
      <c r="I38" s="3386"/>
      <c r="J38" s="3386"/>
      <c r="K38" s="3386"/>
      <c r="L38" s="3386"/>
      <c r="M38" s="3386"/>
      <c r="N38" s="3386"/>
      <c r="O38" s="3386"/>
      <c r="P38" s="3386"/>
      <c r="Q38" s="3386"/>
      <c r="R38" s="3386"/>
      <c r="S38" s="3386"/>
      <c r="T38" s="3386"/>
      <c r="U38" s="3386"/>
      <c r="V38" s="3386"/>
      <c r="W38" s="3386"/>
      <c r="X38" s="3386"/>
      <c r="Y38" s="3386"/>
      <c r="Z38" s="3386"/>
      <c r="AA38" s="3386"/>
      <c r="AB38" s="3386"/>
      <c r="AC38" s="3386"/>
      <c r="AD38" s="3386"/>
      <c r="AE38" s="3386"/>
      <c r="AF38" s="3386"/>
      <c r="AG38" s="3386"/>
      <c r="AH38" s="3386"/>
      <c r="AI38" s="3386"/>
      <c r="AJ38" s="3386"/>
      <c r="AK38" s="3386"/>
      <c r="AL38" s="3386"/>
      <c r="AM38" s="958"/>
      <c r="AN38" s="958"/>
      <c r="AO38" s="958"/>
      <c r="AP38" s="958"/>
      <c r="AQ38" s="958"/>
      <c r="AR38" s="958"/>
      <c r="AS38" s="958"/>
      <c r="AT38" s="958"/>
      <c r="AU38" s="958"/>
      <c r="AV38" s="958"/>
    </row>
    <row r="39" spans="2:48" ht="12.75" customHeight="1" x14ac:dyDescent="0.35">
      <c r="C39" s="957"/>
      <c r="D39" s="957"/>
      <c r="E39" s="957"/>
      <c r="F39" s="957"/>
      <c r="G39" s="957"/>
      <c r="H39" s="957"/>
      <c r="I39" s="957"/>
      <c r="J39" s="957"/>
      <c r="K39" s="957"/>
      <c r="L39" s="957"/>
      <c r="M39" s="957"/>
      <c r="N39" s="957"/>
      <c r="O39" s="957"/>
      <c r="P39" s="957"/>
      <c r="Q39" s="957"/>
      <c r="R39" s="957"/>
      <c r="S39" s="957"/>
      <c r="T39" s="957"/>
      <c r="U39" s="957"/>
      <c r="V39" s="957"/>
      <c r="W39" s="957"/>
      <c r="X39" s="957"/>
      <c r="Y39" s="957"/>
      <c r="Z39" s="957"/>
      <c r="AA39" s="957"/>
      <c r="AB39" s="957"/>
      <c r="AC39" s="957"/>
      <c r="AD39" s="957"/>
      <c r="AE39" s="957"/>
      <c r="AF39" s="957"/>
      <c r="AG39" s="958"/>
      <c r="AH39" s="958"/>
      <c r="AI39" s="958"/>
      <c r="AJ39" s="958"/>
      <c r="AK39" s="958"/>
      <c r="AL39" s="958"/>
      <c r="AM39" s="958"/>
      <c r="AN39" s="958"/>
      <c r="AO39" s="958"/>
      <c r="AP39" s="958"/>
      <c r="AQ39" s="958"/>
      <c r="AR39" s="958"/>
      <c r="AS39" s="958"/>
      <c r="AT39" s="958"/>
      <c r="AU39" s="958"/>
      <c r="AV39" s="958"/>
    </row>
    <row r="40" spans="2:48" ht="16.5" x14ac:dyDescent="0.35">
      <c r="C40" s="993" t="s">
        <v>1086</v>
      </c>
      <c r="F40" s="994"/>
      <c r="AJ40" s="958"/>
      <c r="AK40" s="958"/>
      <c r="AL40" s="958"/>
      <c r="AM40" s="958"/>
      <c r="AN40" s="958"/>
      <c r="AO40" s="958"/>
      <c r="AP40" s="958"/>
      <c r="AQ40" s="958"/>
      <c r="AR40" s="958"/>
      <c r="AS40" s="958"/>
      <c r="AT40" s="958"/>
      <c r="AU40" s="958"/>
      <c r="AV40" s="958"/>
    </row>
    <row r="41" spans="2:48" s="501" customFormat="1" ht="30.75" customHeight="1" x14ac:dyDescent="0.35"/>
    <row r="42" spans="2:48" s="73" customFormat="1" ht="14" x14ac:dyDescent="0.3">
      <c r="B42" s="74" t="s">
        <v>913</v>
      </c>
      <c r="O42" s="74" t="s">
        <v>909</v>
      </c>
      <c r="AB42" s="74" t="s">
        <v>922</v>
      </c>
    </row>
    <row r="43" spans="2:48" s="73" customFormat="1" ht="21.75" customHeight="1" x14ac:dyDescent="0.3">
      <c r="B43" s="74" t="s">
        <v>811</v>
      </c>
      <c r="F43" s="1482" t="str">
        <f>SchInfo!F38</f>
        <v>MELCHESIEDICK Q. BOLANIO/ March 17, 2023</v>
      </c>
      <c r="G43" s="1482"/>
      <c r="H43" s="1482"/>
      <c r="I43" s="1482"/>
      <c r="J43" s="1482"/>
      <c r="K43" s="1482"/>
      <c r="L43" s="1482"/>
      <c r="O43" s="1482" t="str">
        <f>'Box27'!Q25</f>
        <v>PARA D. TALIP  /March 17, 2023</v>
      </c>
      <c r="P43" s="1482"/>
      <c r="Q43" s="1482"/>
      <c r="R43" s="1482"/>
      <c r="S43" s="1482"/>
      <c r="T43" s="1482"/>
      <c r="U43" s="1482"/>
      <c r="V43" s="1482"/>
      <c r="W43" s="1482"/>
      <c r="X43" s="1482"/>
      <c r="Y43" s="1482"/>
      <c r="AB43" s="1484" t="str">
        <f>SchInfo!R38</f>
        <v>MICHAEL T. JAMIS   /  March 17, 2023</v>
      </c>
      <c r="AC43" s="1484"/>
      <c r="AD43" s="1484"/>
      <c r="AE43" s="1484"/>
      <c r="AF43" s="1484"/>
      <c r="AG43" s="1484"/>
      <c r="AH43" s="1484"/>
      <c r="AI43" s="1484"/>
      <c r="AJ43" s="1484"/>
      <c r="AK43" s="1484"/>
      <c r="AL43" s="1484"/>
    </row>
    <row r="44" spans="2:48" s="68" customFormat="1" ht="14" customHeight="1" x14ac:dyDescent="0.3">
      <c r="B44" s="210"/>
      <c r="F44" s="1451" t="s">
        <v>779</v>
      </c>
      <c r="G44" s="1451"/>
      <c r="H44" s="1451"/>
      <c r="I44" s="1451"/>
      <c r="J44" s="1451"/>
      <c r="K44" s="1451"/>
      <c r="L44" s="1451"/>
      <c r="M44" s="172"/>
      <c r="N44" s="64"/>
      <c r="O44" s="1451" t="s">
        <v>779</v>
      </c>
      <c r="P44" s="1451"/>
      <c r="Q44" s="1451"/>
      <c r="R44" s="1451"/>
      <c r="S44" s="1451"/>
      <c r="T44" s="1451"/>
      <c r="U44" s="1451"/>
      <c r="V44" s="1451"/>
      <c r="W44" s="1451"/>
      <c r="X44" s="1451"/>
      <c r="Y44" s="1451"/>
      <c r="AB44" s="1485"/>
      <c r="AC44" s="1485"/>
      <c r="AD44" s="1485"/>
      <c r="AE44" s="1485"/>
      <c r="AF44" s="1485"/>
      <c r="AG44" s="1485"/>
      <c r="AH44" s="1485"/>
      <c r="AI44" s="1485"/>
      <c r="AJ44" s="1485"/>
      <c r="AK44" s="1485"/>
      <c r="AL44" s="1485"/>
    </row>
    <row r="45" spans="2:48" s="73" customFormat="1" ht="21.75" customHeight="1" x14ac:dyDescent="0.3">
      <c r="B45" s="74" t="s">
        <v>784</v>
      </c>
      <c r="F45" s="1482" t="str">
        <f>SchInfo!F40</f>
        <v>Principal IV</v>
      </c>
      <c r="G45" s="1482"/>
      <c r="H45" s="1482"/>
      <c r="I45" s="1482"/>
      <c r="J45" s="1482"/>
      <c r="K45" s="1482"/>
      <c r="L45" s="1482"/>
      <c r="O45" s="74" t="s">
        <v>784</v>
      </c>
      <c r="S45" s="1482" t="str">
        <f>'Box27'!$U27</f>
        <v>Education Program Supervisor</v>
      </c>
      <c r="T45" s="1482"/>
      <c r="U45" s="1482"/>
      <c r="V45" s="1482"/>
      <c r="W45" s="1482"/>
      <c r="X45" s="1482"/>
      <c r="Y45" s="1482"/>
      <c r="AB45" s="1451" t="s">
        <v>779</v>
      </c>
      <c r="AC45" s="1451"/>
      <c r="AD45" s="1451"/>
      <c r="AE45" s="1451"/>
      <c r="AF45" s="1451"/>
      <c r="AG45" s="1451"/>
      <c r="AH45" s="1451"/>
      <c r="AI45" s="1451"/>
      <c r="AJ45" s="1451"/>
      <c r="AK45" s="1451"/>
      <c r="AL45" s="1451"/>
    </row>
    <row r="46" spans="2:48" ht="15.5" customHeight="1" x14ac:dyDescent="0.35">
      <c r="C46" s="3409"/>
      <c r="D46" s="3409"/>
      <c r="E46" s="3409"/>
      <c r="F46" s="3409"/>
      <c r="G46" s="3409"/>
      <c r="H46" s="3409"/>
      <c r="I46" s="3409"/>
      <c r="J46" s="3409"/>
      <c r="K46" s="3409"/>
      <c r="L46" s="3409"/>
      <c r="M46" s="3409"/>
      <c r="N46" s="3409"/>
      <c r="O46" s="3409"/>
      <c r="P46" s="3409"/>
      <c r="Q46" s="3409"/>
      <c r="R46" s="3409"/>
      <c r="S46" s="3409"/>
      <c r="T46" s="3409"/>
      <c r="U46" s="3409"/>
      <c r="V46" s="3409"/>
      <c r="W46" s="3409"/>
      <c r="X46" s="3409"/>
      <c r="Y46" s="3409"/>
      <c r="Z46" s="3409"/>
      <c r="AA46" s="3409"/>
      <c r="AB46" s="958"/>
      <c r="AC46" s="958"/>
      <c r="AD46" s="958"/>
      <c r="AE46" s="958"/>
      <c r="AF46" s="958"/>
      <c r="AG46" s="958"/>
      <c r="AH46" s="958"/>
      <c r="AI46" s="958"/>
      <c r="AJ46" s="958"/>
      <c r="AK46" s="958"/>
      <c r="AL46" s="958"/>
      <c r="AM46" s="958"/>
      <c r="AN46" s="958"/>
      <c r="AO46" s="958"/>
      <c r="AP46" s="958"/>
      <c r="AQ46" s="958"/>
    </row>
    <row r="47" spans="2:48" ht="14" customHeight="1" x14ac:dyDescent="0.35">
      <c r="AG47" s="958"/>
      <c r="AH47" s="958"/>
      <c r="AI47" s="958"/>
      <c r="AJ47" s="958"/>
      <c r="AK47" s="958"/>
      <c r="AL47" s="958"/>
      <c r="AM47" s="958"/>
      <c r="AN47" s="958"/>
      <c r="AO47" s="958"/>
      <c r="AP47" s="958"/>
      <c r="AQ47" s="958"/>
      <c r="AR47" s="958"/>
      <c r="AS47" s="958"/>
    </row>
    <row r="48" spans="2:48" ht="14" customHeight="1" x14ac:dyDescent="0.35"/>
    <row r="49" ht="14" customHeight="1" x14ac:dyDescent="0.35"/>
    <row r="50" ht="14" customHeight="1" x14ac:dyDescent="0.35"/>
  </sheetData>
  <sheetProtection algorithmName="SHA-512" hashValue="yk1buA8nMRfExh08MjjwKHv+ho1XDnYtxzPiL2fJIUEx9fTyU7q9ujfULfHJ8d6xj7e8hiCiy4PxLCV3XE3y0g==" saltValue="7us80o0PnkaPMFukRKAGcQ==" spinCount="100000" sheet="1" objects="1" scenarios="1"/>
  <mergeCells count="165">
    <mergeCell ref="C46:AA46"/>
    <mergeCell ref="N8:R8"/>
    <mergeCell ref="S8:W8"/>
    <mergeCell ref="X8:AB8"/>
    <mergeCell ref="AC8:AG8"/>
    <mergeCell ref="AH8:AL8"/>
    <mergeCell ref="N9:R9"/>
    <mergeCell ref="S9:W9"/>
    <mergeCell ref="X9:AB9"/>
    <mergeCell ref="AC9:AG9"/>
    <mergeCell ref="AH9:AL9"/>
    <mergeCell ref="N10:R10"/>
    <mergeCell ref="S10:W10"/>
    <mergeCell ref="X10:AB10"/>
    <mergeCell ref="AC10:AG10"/>
    <mergeCell ref="AH10:AL10"/>
    <mergeCell ref="N11:R11"/>
    <mergeCell ref="S11:W11"/>
    <mergeCell ref="X11:AB11"/>
    <mergeCell ref="AC11:AG11"/>
    <mergeCell ref="AH11:AL11"/>
    <mergeCell ref="N12:R12"/>
    <mergeCell ref="S12:W12"/>
    <mergeCell ref="X12:AB12"/>
    <mergeCell ref="AC12:AG12"/>
    <mergeCell ref="AH12:AL12"/>
    <mergeCell ref="N13:R13"/>
    <mergeCell ref="S13:W13"/>
    <mergeCell ref="X13:AB13"/>
    <mergeCell ref="AC13:AG13"/>
    <mergeCell ref="AH13:AL13"/>
    <mergeCell ref="N14:R14"/>
    <mergeCell ref="S14:W14"/>
    <mergeCell ref="X14:AB14"/>
    <mergeCell ref="AC14:AG14"/>
    <mergeCell ref="AH14:AL14"/>
    <mergeCell ref="N15:R15"/>
    <mergeCell ref="S15:W15"/>
    <mergeCell ref="X15:AB15"/>
    <mergeCell ref="AC15:AG15"/>
    <mergeCell ref="AH15:AL15"/>
    <mergeCell ref="N16:R16"/>
    <mergeCell ref="S16:W16"/>
    <mergeCell ref="X16:AB16"/>
    <mergeCell ref="AC16:AG16"/>
    <mergeCell ref="AH16:AL16"/>
    <mergeCell ref="N17:R17"/>
    <mergeCell ref="S17:W17"/>
    <mergeCell ref="X17:AB17"/>
    <mergeCell ref="AC17:AG17"/>
    <mergeCell ref="AH17:AL17"/>
    <mergeCell ref="N18:R18"/>
    <mergeCell ref="S18:W18"/>
    <mergeCell ref="X18:AB18"/>
    <mergeCell ref="AC18:AG18"/>
    <mergeCell ref="AH18:AL18"/>
    <mergeCell ref="N19:R19"/>
    <mergeCell ref="S19:W19"/>
    <mergeCell ref="X19:AB19"/>
    <mergeCell ref="AC19:AG19"/>
    <mergeCell ref="AH19:AL19"/>
    <mergeCell ref="N20:R20"/>
    <mergeCell ref="S20:W20"/>
    <mergeCell ref="X20:AB20"/>
    <mergeCell ref="AC20:AG20"/>
    <mergeCell ref="AH20:AL20"/>
    <mergeCell ref="N21:R21"/>
    <mergeCell ref="S21:W21"/>
    <mergeCell ref="X21:AB21"/>
    <mergeCell ref="AC21:AG21"/>
    <mergeCell ref="AH21:AL21"/>
    <mergeCell ref="N22:R22"/>
    <mergeCell ref="S22:W22"/>
    <mergeCell ref="X22:AB22"/>
    <mergeCell ref="AC22:AG22"/>
    <mergeCell ref="AH22:AL22"/>
    <mergeCell ref="N23:R23"/>
    <mergeCell ref="S23:W23"/>
    <mergeCell ref="X23:AB23"/>
    <mergeCell ref="AC23:AG23"/>
    <mergeCell ref="AH23:AL23"/>
    <mergeCell ref="N24:R24"/>
    <mergeCell ref="S24:W24"/>
    <mergeCell ref="X24:AB24"/>
    <mergeCell ref="AC24:AG24"/>
    <mergeCell ref="AH24:AL24"/>
    <mergeCell ref="N25:R25"/>
    <mergeCell ref="S25:W25"/>
    <mergeCell ref="X25:AB25"/>
    <mergeCell ref="AC25:AG25"/>
    <mergeCell ref="AH25:AL25"/>
    <mergeCell ref="N26:R26"/>
    <mergeCell ref="S26:W26"/>
    <mergeCell ref="X26:AB26"/>
    <mergeCell ref="AC26:AG26"/>
    <mergeCell ref="AH26:AL26"/>
    <mergeCell ref="N29:R29"/>
    <mergeCell ref="N27:R27"/>
    <mergeCell ref="S27:W27"/>
    <mergeCell ref="X27:AB27"/>
    <mergeCell ref="AC27:AG27"/>
    <mergeCell ref="AH27:AL27"/>
    <mergeCell ref="N28:R28"/>
    <mergeCell ref="S28:W28"/>
    <mergeCell ref="X28:AB28"/>
    <mergeCell ref="AC28:AG28"/>
    <mergeCell ref="AH28:AL28"/>
    <mergeCell ref="S29:W29"/>
    <mergeCell ref="X29:AB29"/>
    <mergeCell ref="AC29:AG29"/>
    <mergeCell ref="AH29:AL29"/>
    <mergeCell ref="AC30:AG30"/>
    <mergeCell ref="AH30:AL30"/>
    <mergeCell ref="AH33:AL33"/>
    <mergeCell ref="N31:R31"/>
    <mergeCell ref="S31:W31"/>
    <mergeCell ref="X31:AB31"/>
    <mergeCell ref="AC31:AG31"/>
    <mergeCell ref="AH31:AL31"/>
    <mergeCell ref="N32:R32"/>
    <mergeCell ref="S32:W32"/>
    <mergeCell ref="X32:AB32"/>
    <mergeCell ref="AC32:AG32"/>
    <mergeCell ref="AH32:AL32"/>
    <mergeCell ref="N33:R33"/>
    <mergeCell ref="S33:W33"/>
    <mergeCell ref="X33:AB33"/>
    <mergeCell ref="AC33:AG33"/>
    <mergeCell ref="N30:R30"/>
    <mergeCell ref="S30:W30"/>
    <mergeCell ref="X30:AB30"/>
    <mergeCell ref="C4:M4"/>
    <mergeCell ref="N4:R4"/>
    <mergeCell ref="S4:W4"/>
    <mergeCell ref="X4:AB4"/>
    <mergeCell ref="AC4:AG4"/>
    <mergeCell ref="AH4:AL4"/>
    <mergeCell ref="N5:R5"/>
    <mergeCell ref="S5:W5"/>
    <mergeCell ref="X5:AB5"/>
    <mergeCell ref="AC5:AG5"/>
    <mergeCell ref="AH5:AL5"/>
    <mergeCell ref="N6:R6"/>
    <mergeCell ref="S6:W6"/>
    <mergeCell ref="X6:AB6"/>
    <mergeCell ref="AC6:AG6"/>
    <mergeCell ref="AH6:AL6"/>
    <mergeCell ref="N7:R7"/>
    <mergeCell ref="S7:W7"/>
    <mergeCell ref="X7:AB7"/>
    <mergeCell ref="AC7:AG7"/>
    <mergeCell ref="AH7:AL7"/>
    <mergeCell ref="F45:L45"/>
    <mergeCell ref="S45:Y45"/>
    <mergeCell ref="AB45:AL45"/>
    <mergeCell ref="D34:AL34"/>
    <mergeCell ref="D35:AL35"/>
    <mergeCell ref="D36:AL36"/>
    <mergeCell ref="D37:AL37"/>
    <mergeCell ref="D38:AL38"/>
    <mergeCell ref="F43:L43"/>
    <mergeCell ref="O43:Y43"/>
    <mergeCell ref="AB43:AL44"/>
    <mergeCell ref="F44:L44"/>
    <mergeCell ref="O44:Y44"/>
  </mergeCells>
  <dataValidations count="1">
    <dataValidation type="whole" allowBlank="1" showInputMessage="1" showErrorMessage="1" errorTitle="GJHSP SY 2022-2023" error="Please enter valid number between 0-999." sqref="N5:AL33" xr:uid="{1B2BC821-A446-4B7B-8179-0BACFC893399}">
      <formula1>0</formula1>
      <formula2>999</formula2>
    </dataValidation>
  </dataValidations>
  <printOptions horizontalCentered="1" verticalCentered="1"/>
  <pageMargins left="0.25" right="0.25" top="0.2" bottom="0.2" header="0" footer="0.1"/>
  <pageSetup paperSize="9" scale="55" orientation="portrait" r:id="rId1"/>
  <headerFooter alignWithMargins="0">
    <oddFooter>&amp;L&amp;10&amp;F &amp;A&amp;R&amp;10Page 43 of 63</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5">
    <pageSetUpPr fitToPage="1"/>
  </sheetPr>
  <dimension ref="B1:AT47"/>
  <sheetViews>
    <sheetView showGridLines="0" topLeftCell="F1" zoomScaleNormal="100" workbookViewId="0">
      <selection activeCell="AQ35" sqref="AQ35"/>
    </sheetView>
  </sheetViews>
  <sheetFormatPr defaultColWidth="9" defaultRowHeight="15.5" x14ac:dyDescent="0.35"/>
  <cols>
    <col min="1" max="1" width="2.08203125" style="748" customWidth="1"/>
    <col min="2" max="44" width="3.58203125" style="748" customWidth="1"/>
    <col min="45" max="45" width="2.08203125" style="748" customWidth="1"/>
    <col min="46" max="47" width="3.58203125" style="748" customWidth="1"/>
    <col min="48" max="48" width="2.08203125" style="748" customWidth="1"/>
    <col min="49" max="262" width="3.58203125" style="748" customWidth="1"/>
    <col min="263" max="16384" width="9" style="748"/>
  </cols>
  <sheetData>
    <row r="1" spans="2:44" ht="12" customHeight="1" x14ac:dyDescent="0.35"/>
    <row r="2" spans="2:44" s="399" customFormat="1" ht="16.5" customHeight="1" x14ac:dyDescent="0.35">
      <c r="B2" s="1006" t="s">
        <v>12744</v>
      </c>
      <c r="C2" s="459"/>
      <c r="D2" s="459"/>
      <c r="E2" s="459"/>
      <c r="F2" s="459"/>
      <c r="G2" s="459"/>
      <c r="H2" s="459"/>
      <c r="I2" s="459"/>
      <c r="J2" s="459"/>
      <c r="K2" s="459"/>
      <c r="L2" s="459"/>
      <c r="M2" s="459"/>
      <c r="N2" s="459"/>
      <c r="O2" s="459"/>
      <c r="P2" s="459"/>
      <c r="Q2" s="459"/>
      <c r="R2" s="459"/>
      <c r="S2" s="460"/>
      <c r="T2" s="460"/>
      <c r="U2" s="460"/>
      <c r="V2" s="460"/>
      <c r="W2" s="460"/>
      <c r="X2" s="460"/>
      <c r="Y2" s="460"/>
      <c r="Z2" s="460"/>
      <c r="AA2" s="460"/>
      <c r="AB2" s="460"/>
      <c r="AC2" s="460"/>
      <c r="AD2" s="460"/>
      <c r="AE2" s="460"/>
      <c r="AF2" s="460"/>
      <c r="AG2" s="460"/>
      <c r="AH2" s="460"/>
      <c r="AI2" s="460"/>
      <c r="AJ2" s="460"/>
      <c r="AK2" s="460"/>
      <c r="AL2" s="460"/>
    </row>
    <row r="3" spans="2:44" s="403" customFormat="1" ht="17" thickBot="1" x14ac:dyDescent="0.4">
      <c r="B3" s="1001" t="s">
        <v>1100</v>
      </c>
    </row>
    <row r="4" spans="2:44" s="402" customFormat="1" ht="17.5" thickTop="1" thickBot="1" x14ac:dyDescent="0.4">
      <c r="B4" s="3430" t="s">
        <v>1523</v>
      </c>
      <c r="C4" s="3431"/>
      <c r="D4" s="3431"/>
      <c r="E4" s="3431"/>
      <c r="F4" s="3431"/>
      <c r="G4" s="3431"/>
      <c r="H4" s="3431"/>
      <c r="I4" s="3431"/>
      <c r="J4" s="3431"/>
      <c r="K4" s="3431"/>
      <c r="L4" s="3431"/>
      <c r="M4" s="3431"/>
      <c r="N4" s="3431"/>
      <c r="O4" s="3431"/>
      <c r="P4" s="3431"/>
      <c r="Q4" s="3431"/>
      <c r="R4" s="3431"/>
      <c r="S4" s="3431"/>
      <c r="T4" s="3432"/>
      <c r="U4" s="3428">
        <v>2021</v>
      </c>
      <c r="V4" s="3426"/>
      <c r="W4" s="3426"/>
      <c r="X4" s="3426"/>
      <c r="Y4" s="3426"/>
      <c r="Z4" s="3426"/>
      <c r="AA4" s="3426"/>
      <c r="AB4" s="3426"/>
      <c r="AC4" s="3426"/>
      <c r="AD4" s="3426"/>
      <c r="AE4" s="3426"/>
      <c r="AF4" s="3426"/>
      <c r="AG4" s="3426"/>
      <c r="AH4" s="3429"/>
      <c r="AI4" s="3426">
        <v>2022</v>
      </c>
      <c r="AJ4" s="3426"/>
      <c r="AK4" s="3426"/>
      <c r="AL4" s="3426"/>
      <c r="AM4" s="3426"/>
      <c r="AN4" s="3426"/>
      <c r="AO4" s="3426"/>
      <c r="AP4" s="3426"/>
      <c r="AQ4" s="3426"/>
      <c r="AR4" s="3427"/>
    </row>
    <row r="5" spans="2:44" s="402" customFormat="1" ht="17" thickBot="1" x14ac:dyDescent="0.4">
      <c r="B5" s="3433"/>
      <c r="C5" s="3434"/>
      <c r="D5" s="3434"/>
      <c r="E5" s="3434"/>
      <c r="F5" s="3434"/>
      <c r="G5" s="3434"/>
      <c r="H5" s="3434"/>
      <c r="I5" s="3434"/>
      <c r="J5" s="3434"/>
      <c r="K5" s="3434"/>
      <c r="L5" s="3434"/>
      <c r="M5" s="3434"/>
      <c r="N5" s="3434"/>
      <c r="O5" s="3434"/>
      <c r="P5" s="3434"/>
      <c r="Q5" s="3434"/>
      <c r="R5" s="3434"/>
      <c r="S5" s="3434"/>
      <c r="T5" s="3435"/>
      <c r="U5" s="3436" t="s">
        <v>241</v>
      </c>
      <c r="V5" s="3437"/>
      <c r="W5" s="3437" t="s">
        <v>242</v>
      </c>
      <c r="X5" s="3437"/>
      <c r="Y5" s="3437" t="s">
        <v>243</v>
      </c>
      <c r="Z5" s="3437"/>
      <c r="AA5" s="3437" t="s">
        <v>244</v>
      </c>
      <c r="AB5" s="3437"/>
      <c r="AC5" s="3437" t="s">
        <v>245</v>
      </c>
      <c r="AD5" s="3437"/>
      <c r="AE5" s="3437" t="s">
        <v>246</v>
      </c>
      <c r="AF5" s="3437"/>
      <c r="AG5" s="3437" t="s">
        <v>247</v>
      </c>
      <c r="AH5" s="3441"/>
      <c r="AI5" s="3439" t="s">
        <v>248</v>
      </c>
      <c r="AJ5" s="3437"/>
      <c r="AK5" s="3437" t="s">
        <v>249</v>
      </c>
      <c r="AL5" s="3437"/>
      <c r="AM5" s="3437" t="s">
        <v>250</v>
      </c>
      <c r="AN5" s="3437"/>
      <c r="AO5" s="3437" t="s">
        <v>449</v>
      </c>
      <c r="AP5" s="3437"/>
      <c r="AQ5" s="3437" t="s">
        <v>129</v>
      </c>
      <c r="AR5" s="3440"/>
    </row>
    <row r="6" spans="2:44" s="403" customFormat="1" ht="17" thickTop="1" x14ac:dyDescent="0.35">
      <c r="B6" s="16" t="s">
        <v>98</v>
      </c>
      <c r="C6" s="17"/>
      <c r="D6" s="17"/>
      <c r="E6" s="18"/>
      <c r="F6" s="18"/>
      <c r="G6" s="18"/>
      <c r="H6" s="18"/>
      <c r="I6" s="18"/>
      <c r="J6" s="18"/>
      <c r="K6" s="18"/>
      <c r="L6" s="18"/>
      <c r="M6" s="18"/>
      <c r="N6" s="18"/>
      <c r="O6" s="18"/>
      <c r="P6" s="18"/>
      <c r="Q6" s="18"/>
      <c r="R6" s="18"/>
      <c r="S6" s="18"/>
      <c r="T6" s="19"/>
      <c r="U6" s="3447"/>
      <c r="V6" s="3448"/>
      <c r="W6" s="3448"/>
      <c r="X6" s="3448"/>
      <c r="Y6" s="3448"/>
      <c r="Z6" s="3448"/>
      <c r="AA6" s="3448"/>
      <c r="AB6" s="3448"/>
      <c r="AC6" s="3448"/>
      <c r="AD6" s="3448"/>
      <c r="AE6" s="3448"/>
      <c r="AF6" s="3448"/>
      <c r="AG6" s="3448"/>
      <c r="AH6" s="3448"/>
      <c r="AI6" s="3448"/>
      <c r="AJ6" s="3448"/>
      <c r="AK6" s="3448"/>
      <c r="AL6" s="3448"/>
      <c r="AM6" s="3448"/>
      <c r="AN6" s="3448"/>
      <c r="AO6" s="3448"/>
      <c r="AP6" s="3448"/>
      <c r="AQ6" s="3448"/>
      <c r="AR6" s="3449"/>
    </row>
    <row r="7" spans="2:44" s="403" customFormat="1" ht="25" customHeight="1" x14ac:dyDescent="0.35">
      <c r="B7" s="1379"/>
      <c r="C7" s="3438" t="s">
        <v>94</v>
      </c>
      <c r="D7" s="3438"/>
      <c r="E7" s="3438"/>
      <c r="F7" s="3438"/>
      <c r="G7" s="3438"/>
      <c r="H7" s="3438"/>
      <c r="I7" s="3438"/>
      <c r="J7" s="3438"/>
      <c r="K7" s="3438"/>
      <c r="L7" s="3438"/>
      <c r="M7" s="3438"/>
      <c r="N7" s="3438"/>
      <c r="O7" s="3438"/>
      <c r="P7" s="3438"/>
      <c r="Q7" s="3438"/>
      <c r="R7" s="3438"/>
      <c r="S7" s="3438"/>
      <c r="T7" s="1381"/>
      <c r="U7" s="3416">
        <v>0</v>
      </c>
      <c r="V7" s="3414"/>
      <c r="W7" s="3410">
        <v>0</v>
      </c>
      <c r="X7" s="3411"/>
      <c r="Y7" s="3410">
        <v>0</v>
      </c>
      <c r="Z7" s="3411"/>
      <c r="AA7" s="3410">
        <v>0</v>
      </c>
      <c r="AB7" s="3411"/>
      <c r="AC7" s="3410">
        <v>0</v>
      </c>
      <c r="AD7" s="3411"/>
      <c r="AE7" s="3410">
        <v>0</v>
      </c>
      <c r="AF7" s="3411"/>
      <c r="AG7" s="3410">
        <v>0</v>
      </c>
      <c r="AH7" s="3417"/>
      <c r="AI7" s="3414">
        <v>0</v>
      </c>
      <c r="AJ7" s="3411"/>
      <c r="AK7" s="3410">
        <v>0</v>
      </c>
      <c r="AL7" s="3411"/>
      <c r="AM7" s="3410">
        <v>0</v>
      </c>
      <c r="AN7" s="3411"/>
      <c r="AO7" s="3410">
        <v>0</v>
      </c>
      <c r="AP7" s="3411"/>
      <c r="AQ7" s="3410">
        <v>0</v>
      </c>
      <c r="AR7" s="3415"/>
    </row>
    <row r="8" spans="2:44" s="403" customFormat="1" ht="25" customHeight="1" x14ac:dyDescent="0.35">
      <c r="B8" s="1379"/>
      <c r="C8" s="3438" t="s">
        <v>95</v>
      </c>
      <c r="D8" s="3438"/>
      <c r="E8" s="3438"/>
      <c r="F8" s="3438"/>
      <c r="G8" s="3438"/>
      <c r="H8" s="3438"/>
      <c r="I8" s="3438"/>
      <c r="J8" s="3438"/>
      <c r="K8" s="3438"/>
      <c r="L8" s="3438"/>
      <c r="M8" s="3438"/>
      <c r="N8" s="3438"/>
      <c r="O8" s="3438"/>
      <c r="P8" s="3438"/>
      <c r="Q8" s="3438"/>
      <c r="R8" s="3438"/>
      <c r="S8" s="3438"/>
      <c r="T8" s="1381"/>
      <c r="U8" s="3416">
        <v>0</v>
      </c>
      <c r="V8" s="3414"/>
      <c r="W8" s="3410">
        <v>0</v>
      </c>
      <c r="X8" s="3411"/>
      <c r="Y8" s="3410">
        <v>0</v>
      </c>
      <c r="Z8" s="3411"/>
      <c r="AA8" s="3410">
        <v>0</v>
      </c>
      <c r="AB8" s="3411"/>
      <c r="AC8" s="3410">
        <v>0</v>
      </c>
      <c r="AD8" s="3411"/>
      <c r="AE8" s="3410">
        <v>0</v>
      </c>
      <c r="AF8" s="3411"/>
      <c r="AG8" s="3410">
        <v>0</v>
      </c>
      <c r="AH8" s="3417"/>
      <c r="AI8" s="3414">
        <v>0</v>
      </c>
      <c r="AJ8" s="3411"/>
      <c r="AK8" s="3410">
        <v>0</v>
      </c>
      <c r="AL8" s="3411"/>
      <c r="AM8" s="3410">
        <v>0</v>
      </c>
      <c r="AN8" s="3411"/>
      <c r="AO8" s="3410">
        <v>0</v>
      </c>
      <c r="AP8" s="3411"/>
      <c r="AQ8" s="3410">
        <v>0</v>
      </c>
      <c r="AR8" s="3415"/>
    </row>
    <row r="9" spans="2:44" s="403" customFormat="1" ht="25" customHeight="1" x14ac:dyDescent="0.35">
      <c r="B9" s="1379"/>
      <c r="C9" s="3438" t="s">
        <v>1522</v>
      </c>
      <c r="D9" s="3438"/>
      <c r="E9" s="3438"/>
      <c r="F9" s="3438"/>
      <c r="G9" s="3438"/>
      <c r="H9" s="3438"/>
      <c r="I9" s="3438"/>
      <c r="J9" s="3438"/>
      <c r="K9" s="3438"/>
      <c r="L9" s="3438"/>
      <c r="M9" s="3438"/>
      <c r="N9" s="3438"/>
      <c r="O9" s="3438"/>
      <c r="P9" s="3438"/>
      <c r="Q9" s="3438"/>
      <c r="R9" s="3438"/>
      <c r="S9" s="3438"/>
      <c r="T9" s="1380"/>
      <c r="U9" s="3416">
        <v>0</v>
      </c>
      <c r="V9" s="3414"/>
      <c r="W9" s="3410">
        <v>0</v>
      </c>
      <c r="X9" s="3411"/>
      <c r="Y9" s="3410">
        <v>0</v>
      </c>
      <c r="Z9" s="3411"/>
      <c r="AA9" s="3410">
        <v>0</v>
      </c>
      <c r="AB9" s="3411"/>
      <c r="AC9" s="3410">
        <v>0</v>
      </c>
      <c r="AD9" s="3411"/>
      <c r="AE9" s="3410">
        <v>0</v>
      </c>
      <c r="AF9" s="3411"/>
      <c r="AG9" s="3410">
        <v>0</v>
      </c>
      <c r="AH9" s="3417"/>
      <c r="AI9" s="3414">
        <v>0</v>
      </c>
      <c r="AJ9" s="3411"/>
      <c r="AK9" s="3410">
        <v>0</v>
      </c>
      <c r="AL9" s="3411"/>
      <c r="AM9" s="3410">
        <v>0</v>
      </c>
      <c r="AN9" s="3411"/>
      <c r="AO9" s="3410">
        <v>0</v>
      </c>
      <c r="AP9" s="3411"/>
      <c r="AQ9" s="3410">
        <v>0</v>
      </c>
      <c r="AR9" s="3415"/>
    </row>
    <row r="10" spans="2:44" s="403" customFormat="1" ht="25" customHeight="1" x14ac:dyDescent="0.35">
      <c r="B10" s="1379"/>
      <c r="C10" s="3438" t="s">
        <v>93</v>
      </c>
      <c r="D10" s="3438"/>
      <c r="E10" s="3438"/>
      <c r="F10" s="3438"/>
      <c r="G10" s="3438"/>
      <c r="H10" s="3438"/>
      <c r="I10" s="3438"/>
      <c r="J10" s="3438"/>
      <c r="K10" s="3438"/>
      <c r="L10" s="3438"/>
      <c r="M10" s="3438"/>
      <c r="N10" s="3438"/>
      <c r="O10" s="3438"/>
      <c r="P10" s="3438"/>
      <c r="Q10" s="3438"/>
      <c r="R10" s="3438"/>
      <c r="S10" s="3438"/>
      <c r="T10" s="1381"/>
      <c r="U10" s="3416">
        <v>0</v>
      </c>
      <c r="V10" s="3414"/>
      <c r="W10" s="3410">
        <v>0</v>
      </c>
      <c r="X10" s="3411"/>
      <c r="Y10" s="3410">
        <v>0</v>
      </c>
      <c r="Z10" s="3411"/>
      <c r="AA10" s="3410">
        <v>0</v>
      </c>
      <c r="AB10" s="3411"/>
      <c r="AC10" s="3410">
        <v>1</v>
      </c>
      <c r="AD10" s="3411"/>
      <c r="AE10" s="3410">
        <v>0</v>
      </c>
      <c r="AF10" s="3411"/>
      <c r="AG10" s="3410">
        <v>1</v>
      </c>
      <c r="AH10" s="3417"/>
      <c r="AI10" s="3414">
        <v>0</v>
      </c>
      <c r="AJ10" s="3411"/>
      <c r="AK10" s="3410">
        <v>0</v>
      </c>
      <c r="AL10" s="3411"/>
      <c r="AM10" s="3410">
        <v>1</v>
      </c>
      <c r="AN10" s="3411"/>
      <c r="AO10" s="3410">
        <v>0</v>
      </c>
      <c r="AP10" s="3411"/>
      <c r="AQ10" s="3410">
        <v>0</v>
      </c>
      <c r="AR10" s="3415"/>
    </row>
    <row r="11" spans="2:44" s="89" customFormat="1" ht="25" customHeight="1" x14ac:dyDescent="0.35">
      <c r="B11" s="1382"/>
      <c r="C11" s="3438" t="s">
        <v>97</v>
      </c>
      <c r="D11" s="3438"/>
      <c r="E11" s="3438"/>
      <c r="F11" s="3438"/>
      <c r="G11" s="3438"/>
      <c r="H11" s="3438"/>
      <c r="I11" s="3438"/>
      <c r="J11" s="3438"/>
      <c r="K11" s="3438"/>
      <c r="L11" s="3438"/>
      <c r="M11" s="3438"/>
      <c r="N11" s="3438"/>
      <c r="O11" s="3438"/>
      <c r="P11" s="3438"/>
      <c r="Q11" s="3438"/>
      <c r="R11" s="3438"/>
      <c r="S11" s="3438"/>
      <c r="T11" s="1381"/>
      <c r="U11" s="3416">
        <v>0</v>
      </c>
      <c r="V11" s="3414"/>
      <c r="W11" s="3410">
        <v>0</v>
      </c>
      <c r="X11" s="3411"/>
      <c r="Y11" s="3410">
        <v>0</v>
      </c>
      <c r="Z11" s="3411"/>
      <c r="AA11" s="3410">
        <v>0</v>
      </c>
      <c r="AB11" s="3411"/>
      <c r="AC11" s="3410">
        <v>0</v>
      </c>
      <c r="AD11" s="3411"/>
      <c r="AE11" s="3410">
        <v>0</v>
      </c>
      <c r="AF11" s="3411"/>
      <c r="AG11" s="3410">
        <v>0</v>
      </c>
      <c r="AH11" s="3417"/>
      <c r="AI11" s="3414">
        <v>0</v>
      </c>
      <c r="AJ11" s="3411"/>
      <c r="AK11" s="3410">
        <v>0</v>
      </c>
      <c r="AL11" s="3411"/>
      <c r="AM11" s="3410">
        <v>0</v>
      </c>
      <c r="AN11" s="3411"/>
      <c r="AO11" s="3410">
        <v>0</v>
      </c>
      <c r="AP11" s="3411"/>
      <c r="AQ11" s="3410">
        <v>0</v>
      </c>
      <c r="AR11" s="3415"/>
    </row>
    <row r="12" spans="2:44" s="403" customFormat="1" ht="24.75" customHeight="1" x14ac:dyDescent="0.35">
      <c r="B12" s="1379"/>
      <c r="C12" s="3438" t="s">
        <v>92</v>
      </c>
      <c r="D12" s="3438"/>
      <c r="E12" s="3438"/>
      <c r="F12" s="3438"/>
      <c r="G12" s="3438"/>
      <c r="H12" s="3438"/>
      <c r="I12" s="3438"/>
      <c r="J12" s="3438"/>
      <c r="K12" s="3438"/>
      <c r="L12" s="3438"/>
      <c r="M12" s="3438"/>
      <c r="N12" s="3438"/>
      <c r="O12" s="3438"/>
      <c r="P12" s="3438"/>
      <c r="Q12" s="3438"/>
      <c r="R12" s="3438"/>
      <c r="S12" s="3438"/>
      <c r="T12" s="1380"/>
      <c r="U12" s="3416">
        <v>0</v>
      </c>
      <c r="V12" s="3414"/>
      <c r="W12" s="3410">
        <v>0</v>
      </c>
      <c r="X12" s="3411"/>
      <c r="Y12" s="3410">
        <v>0</v>
      </c>
      <c r="Z12" s="3411"/>
      <c r="AA12" s="3410">
        <v>0</v>
      </c>
      <c r="AB12" s="3411"/>
      <c r="AC12" s="3410">
        <v>0</v>
      </c>
      <c r="AD12" s="3411"/>
      <c r="AE12" s="3410">
        <v>0</v>
      </c>
      <c r="AF12" s="3411"/>
      <c r="AG12" s="3410">
        <v>0</v>
      </c>
      <c r="AH12" s="3417"/>
      <c r="AI12" s="3414">
        <v>0</v>
      </c>
      <c r="AJ12" s="3411"/>
      <c r="AK12" s="3410">
        <v>0</v>
      </c>
      <c r="AL12" s="3411"/>
      <c r="AM12" s="3410">
        <v>0</v>
      </c>
      <c r="AN12" s="3411"/>
      <c r="AO12" s="3410">
        <v>0</v>
      </c>
      <c r="AP12" s="3411"/>
      <c r="AQ12" s="3410">
        <v>0</v>
      </c>
      <c r="AR12" s="3415"/>
    </row>
    <row r="13" spans="2:44" s="403" customFormat="1" ht="25" customHeight="1" x14ac:dyDescent="0.35">
      <c r="B13" s="1379"/>
      <c r="C13" s="3438" t="s">
        <v>1521</v>
      </c>
      <c r="D13" s="3438"/>
      <c r="E13" s="3438"/>
      <c r="F13" s="3438"/>
      <c r="G13" s="3438"/>
      <c r="H13" s="3438"/>
      <c r="I13" s="3438"/>
      <c r="J13" s="3438"/>
      <c r="K13" s="3438"/>
      <c r="L13" s="3438"/>
      <c r="M13" s="3438"/>
      <c r="N13" s="3438"/>
      <c r="O13" s="3438"/>
      <c r="P13" s="3438"/>
      <c r="Q13" s="3438"/>
      <c r="R13" s="3438"/>
      <c r="S13" s="3438"/>
      <c r="T13" s="1380"/>
      <c r="U13" s="3416">
        <v>0</v>
      </c>
      <c r="V13" s="3414"/>
      <c r="W13" s="3410">
        <v>0</v>
      </c>
      <c r="X13" s="3411"/>
      <c r="Y13" s="3410">
        <v>0</v>
      </c>
      <c r="Z13" s="3411"/>
      <c r="AA13" s="3410">
        <v>0</v>
      </c>
      <c r="AB13" s="3411"/>
      <c r="AC13" s="3410">
        <v>0</v>
      </c>
      <c r="AD13" s="3411"/>
      <c r="AE13" s="3410">
        <v>0</v>
      </c>
      <c r="AF13" s="3411"/>
      <c r="AG13" s="3410">
        <v>0</v>
      </c>
      <c r="AH13" s="3417"/>
      <c r="AI13" s="3414">
        <v>0</v>
      </c>
      <c r="AJ13" s="3411"/>
      <c r="AK13" s="3410">
        <v>0</v>
      </c>
      <c r="AL13" s="3411"/>
      <c r="AM13" s="3410">
        <v>0</v>
      </c>
      <c r="AN13" s="3411"/>
      <c r="AO13" s="3410">
        <v>0</v>
      </c>
      <c r="AP13" s="3411"/>
      <c r="AQ13" s="3410">
        <v>0</v>
      </c>
      <c r="AR13" s="3415"/>
    </row>
    <row r="14" spans="2:44" s="403" customFormat="1" ht="25" customHeight="1" x14ac:dyDescent="0.35">
      <c r="B14" s="1379"/>
      <c r="C14" s="3438" t="s">
        <v>91</v>
      </c>
      <c r="D14" s="3438"/>
      <c r="E14" s="3438"/>
      <c r="F14" s="3438"/>
      <c r="G14" s="3438"/>
      <c r="H14" s="3438"/>
      <c r="I14" s="3438"/>
      <c r="J14" s="3438"/>
      <c r="K14" s="3438"/>
      <c r="L14" s="3438"/>
      <c r="M14" s="3438"/>
      <c r="N14" s="3438"/>
      <c r="O14" s="3438"/>
      <c r="P14" s="3438"/>
      <c r="Q14" s="3438"/>
      <c r="R14" s="3438"/>
      <c r="S14" s="3438"/>
      <c r="T14" s="1381"/>
      <c r="U14" s="3416">
        <v>0</v>
      </c>
      <c r="V14" s="3414"/>
      <c r="W14" s="3410">
        <v>0</v>
      </c>
      <c r="X14" s="3411"/>
      <c r="Y14" s="3410">
        <v>0</v>
      </c>
      <c r="Z14" s="3411"/>
      <c r="AA14" s="3410">
        <v>0</v>
      </c>
      <c r="AB14" s="3411"/>
      <c r="AC14" s="3410">
        <v>0</v>
      </c>
      <c r="AD14" s="3411"/>
      <c r="AE14" s="3410">
        <v>0</v>
      </c>
      <c r="AF14" s="3411"/>
      <c r="AG14" s="3410">
        <v>0</v>
      </c>
      <c r="AH14" s="3417"/>
      <c r="AI14" s="3414">
        <v>0</v>
      </c>
      <c r="AJ14" s="3411"/>
      <c r="AK14" s="3410">
        <v>0</v>
      </c>
      <c r="AL14" s="3411"/>
      <c r="AM14" s="3410">
        <v>0</v>
      </c>
      <c r="AN14" s="3411"/>
      <c r="AO14" s="3410">
        <v>0</v>
      </c>
      <c r="AP14" s="3411"/>
      <c r="AQ14" s="3410">
        <v>0</v>
      </c>
      <c r="AR14" s="3415"/>
    </row>
    <row r="15" spans="2:44" s="403" customFormat="1" ht="25" customHeight="1" x14ac:dyDescent="0.35">
      <c r="B15" s="1379"/>
      <c r="C15" s="3438" t="s">
        <v>96</v>
      </c>
      <c r="D15" s="3438"/>
      <c r="E15" s="3438"/>
      <c r="F15" s="3438"/>
      <c r="G15" s="3438"/>
      <c r="H15" s="3438"/>
      <c r="I15" s="3438"/>
      <c r="J15" s="3438"/>
      <c r="K15" s="3438"/>
      <c r="L15" s="3438"/>
      <c r="M15" s="3438"/>
      <c r="N15" s="3438"/>
      <c r="O15" s="3438"/>
      <c r="P15" s="3438"/>
      <c r="Q15" s="3438"/>
      <c r="R15" s="3438"/>
      <c r="S15" s="3438"/>
      <c r="T15" s="1381"/>
      <c r="U15" s="3416">
        <v>0</v>
      </c>
      <c r="V15" s="3414"/>
      <c r="W15" s="3410">
        <v>0</v>
      </c>
      <c r="X15" s="3411"/>
      <c r="Y15" s="3410">
        <v>0</v>
      </c>
      <c r="Z15" s="3411"/>
      <c r="AA15" s="3410">
        <v>0</v>
      </c>
      <c r="AB15" s="3411"/>
      <c r="AC15" s="3410">
        <v>0</v>
      </c>
      <c r="AD15" s="3411"/>
      <c r="AE15" s="3410">
        <v>0</v>
      </c>
      <c r="AF15" s="3411"/>
      <c r="AG15" s="3410">
        <v>0</v>
      </c>
      <c r="AH15" s="3417"/>
      <c r="AI15" s="3414">
        <v>0</v>
      </c>
      <c r="AJ15" s="3411"/>
      <c r="AK15" s="3410">
        <v>0</v>
      </c>
      <c r="AL15" s="3411"/>
      <c r="AM15" s="3410">
        <v>0</v>
      </c>
      <c r="AN15" s="3411"/>
      <c r="AO15" s="3410">
        <v>0</v>
      </c>
      <c r="AP15" s="3411"/>
      <c r="AQ15" s="3410">
        <v>0</v>
      </c>
      <c r="AR15" s="3415"/>
    </row>
    <row r="16" spans="2:44" s="403" customFormat="1" ht="16.5" x14ac:dyDescent="0.35">
      <c r="B16" s="15" t="s">
        <v>99</v>
      </c>
      <c r="C16" s="3"/>
      <c r="D16" s="3"/>
      <c r="E16" s="4"/>
      <c r="F16" s="4"/>
      <c r="G16" s="4"/>
      <c r="H16" s="4"/>
      <c r="I16" s="4"/>
      <c r="J16" s="4"/>
      <c r="K16" s="4"/>
      <c r="L16" s="4"/>
      <c r="M16" s="4"/>
      <c r="N16" s="4"/>
      <c r="O16" s="4"/>
      <c r="P16" s="4"/>
      <c r="Q16" s="4"/>
      <c r="R16" s="4"/>
      <c r="S16" s="4"/>
      <c r="T16" s="5"/>
      <c r="U16" s="3450"/>
      <c r="V16" s="3451"/>
      <c r="W16" s="3451"/>
      <c r="X16" s="3451"/>
      <c r="Y16" s="3451"/>
      <c r="Z16" s="3451"/>
      <c r="AA16" s="3451"/>
      <c r="AB16" s="3451"/>
      <c r="AC16" s="3451"/>
      <c r="AD16" s="3451"/>
      <c r="AE16" s="3451"/>
      <c r="AF16" s="3451"/>
      <c r="AG16" s="3451"/>
      <c r="AH16" s="3451"/>
      <c r="AI16" s="3451"/>
      <c r="AJ16" s="3451"/>
      <c r="AK16" s="3451"/>
      <c r="AL16" s="3451"/>
      <c r="AM16" s="3451"/>
      <c r="AN16" s="3451"/>
      <c r="AO16" s="3451"/>
      <c r="AP16" s="3451"/>
      <c r="AQ16" s="3451"/>
      <c r="AR16" s="3452"/>
    </row>
    <row r="17" spans="2:44" s="403" customFormat="1" ht="24.75" customHeight="1" x14ac:dyDescent="0.35">
      <c r="B17" s="1379"/>
      <c r="C17" s="3438" t="s">
        <v>802</v>
      </c>
      <c r="D17" s="3438"/>
      <c r="E17" s="3438"/>
      <c r="F17" s="3438"/>
      <c r="G17" s="3438"/>
      <c r="H17" s="3438"/>
      <c r="I17" s="3438"/>
      <c r="J17" s="3438"/>
      <c r="K17" s="3438"/>
      <c r="L17" s="3438"/>
      <c r="M17" s="3438"/>
      <c r="N17" s="3438"/>
      <c r="O17" s="3438"/>
      <c r="P17" s="3438"/>
      <c r="Q17" s="3438"/>
      <c r="R17" s="3438"/>
      <c r="S17" s="3438"/>
      <c r="T17" s="1380"/>
      <c r="U17" s="3416">
        <v>0</v>
      </c>
      <c r="V17" s="3414"/>
      <c r="W17" s="3410">
        <v>0</v>
      </c>
      <c r="X17" s="3411"/>
      <c r="Y17" s="3410">
        <v>0</v>
      </c>
      <c r="Z17" s="3411"/>
      <c r="AA17" s="3410">
        <v>0</v>
      </c>
      <c r="AB17" s="3411"/>
      <c r="AC17" s="3410">
        <v>0</v>
      </c>
      <c r="AD17" s="3411"/>
      <c r="AE17" s="3410">
        <v>0</v>
      </c>
      <c r="AF17" s="3411"/>
      <c r="AG17" s="3410">
        <v>0</v>
      </c>
      <c r="AH17" s="3417"/>
      <c r="AI17" s="3414">
        <v>0</v>
      </c>
      <c r="AJ17" s="3411"/>
      <c r="AK17" s="3410">
        <v>0</v>
      </c>
      <c r="AL17" s="3411"/>
      <c r="AM17" s="3410">
        <v>0</v>
      </c>
      <c r="AN17" s="3411"/>
      <c r="AO17" s="3410">
        <v>0</v>
      </c>
      <c r="AP17" s="3411"/>
      <c r="AQ17" s="3410">
        <v>0</v>
      </c>
      <c r="AR17" s="3415"/>
    </row>
    <row r="18" spans="2:44" s="403" customFormat="1" ht="24.75" customHeight="1" x14ac:dyDescent="0.35">
      <c r="B18" s="1379"/>
      <c r="C18" s="3438" t="s">
        <v>803</v>
      </c>
      <c r="D18" s="3438"/>
      <c r="E18" s="3438"/>
      <c r="F18" s="3438"/>
      <c r="G18" s="3438"/>
      <c r="H18" s="3438"/>
      <c r="I18" s="3438"/>
      <c r="J18" s="3438"/>
      <c r="K18" s="3438"/>
      <c r="L18" s="3438"/>
      <c r="M18" s="3438"/>
      <c r="N18" s="3438"/>
      <c r="O18" s="3438"/>
      <c r="P18" s="3438"/>
      <c r="Q18" s="3438"/>
      <c r="R18" s="3438"/>
      <c r="S18" s="3438"/>
      <c r="T18" s="1380"/>
      <c r="U18" s="3416">
        <v>0</v>
      </c>
      <c r="V18" s="3414"/>
      <c r="W18" s="3410">
        <v>0</v>
      </c>
      <c r="X18" s="3411"/>
      <c r="Y18" s="3410">
        <v>0</v>
      </c>
      <c r="Z18" s="3411"/>
      <c r="AA18" s="3410">
        <v>0</v>
      </c>
      <c r="AB18" s="3411"/>
      <c r="AC18" s="3410">
        <v>0</v>
      </c>
      <c r="AD18" s="3411"/>
      <c r="AE18" s="3410">
        <v>0</v>
      </c>
      <c r="AF18" s="3411"/>
      <c r="AG18" s="3410">
        <v>0</v>
      </c>
      <c r="AH18" s="3417"/>
      <c r="AI18" s="3414">
        <v>0</v>
      </c>
      <c r="AJ18" s="3411"/>
      <c r="AK18" s="3410">
        <v>0</v>
      </c>
      <c r="AL18" s="3411"/>
      <c r="AM18" s="3410">
        <v>0</v>
      </c>
      <c r="AN18" s="3411"/>
      <c r="AO18" s="3410">
        <v>0</v>
      </c>
      <c r="AP18" s="3411"/>
      <c r="AQ18" s="3410">
        <v>0</v>
      </c>
      <c r="AR18" s="3415"/>
    </row>
    <row r="19" spans="2:44" s="403" customFormat="1" ht="24.75" customHeight="1" x14ac:dyDescent="0.35">
      <c r="B19" s="1379"/>
      <c r="C19" s="3438" t="s">
        <v>804</v>
      </c>
      <c r="D19" s="3438"/>
      <c r="E19" s="3438"/>
      <c r="F19" s="3438"/>
      <c r="G19" s="3438"/>
      <c r="H19" s="3438"/>
      <c r="I19" s="3438"/>
      <c r="J19" s="3438"/>
      <c r="K19" s="3438"/>
      <c r="L19" s="3438"/>
      <c r="M19" s="3438"/>
      <c r="N19" s="3438"/>
      <c r="O19" s="3438"/>
      <c r="P19" s="3438"/>
      <c r="Q19" s="3438"/>
      <c r="R19" s="3438"/>
      <c r="S19" s="3438"/>
      <c r="T19" s="1381"/>
      <c r="U19" s="3416">
        <v>0</v>
      </c>
      <c r="V19" s="3414"/>
      <c r="W19" s="3410">
        <v>0</v>
      </c>
      <c r="X19" s="3411"/>
      <c r="Y19" s="3410">
        <v>0</v>
      </c>
      <c r="Z19" s="3411"/>
      <c r="AA19" s="3410">
        <v>0</v>
      </c>
      <c r="AB19" s="3411"/>
      <c r="AC19" s="3410">
        <v>0</v>
      </c>
      <c r="AD19" s="3411"/>
      <c r="AE19" s="3410">
        <v>0</v>
      </c>
      <c r="AF19" s="3411"/>
      <c r="AG19" s="3410">
        <v>0</v>
      </c>
      <c r="AH19" s="3417"/>
      <c r="AI19" s="3414">
        <v>0</v>
      </c>
      <c r="AJ19" s="3411"/>
      <c r="AK19" s="3410">
        <v>0</v>
      </c>
      <c r="AL19" s="3411"/>
      <c r="AM19" s="3410">
        <v>0</v>
      </c>
      <c r="AN19" s="3411"/>
      <c r="AO19" s="3410">
        <v>0</v>
      </c>
      <c r="AP19" s="3411"/>
      <c r="AQ19" s="3410">
        <v>0</v>
      </c>
      <c r="AR19" s="3415"/>
    </row>
    <row r="20" spans="2:44" s="403" customFormat="1" ht="24.75" customHeight="1" x14ac:dyDescent="0.35">
      <c r="B20" s="1379"/>
      <c r="C20" s="3438" t="s">
        <v>805</v>
      </c>
      <c r="D20" s="3438"/>
      <c r="E20" s="3438"/>
      <c r="F20" s="3438"/>
      <c r="G20" s="3438"/>
      <c r="H20" s="3438"/>
      <c r="I20" s="3438"/>
      <c r="J20" s="3438"/>
      <c r="K20" s="3438"/>
      <c r="L20" s="3438"/>
      <c r="M20" s="3438"/>
      <c r="N20" s="3438"/>
      <c r="O20" s="3438"/>
      <c r="P20" s="3438"/>
      <c r="Q20" s="3438"/>
      <c r="R20" s="3438"/>
      <c r="S20" s="3438"/>
      <c r="T20" s="1381"/>
      <c r="U20" s="3416">
        <v>0</v>
      </c>
      <c r="V20" s="3414"/>
      <c r="W20" s="3410">
        <v>0</v>
      </c>
      <c r="X20" s="3411"/>
      <c r="Y20" s="3410">
        <v>0</v>
      </c>
      <c r="Z20" s="3411"/>
      <c r="AA20" s="3410">
        <v>0</v>
      </c>
      <c r="AB20" s="3411"/>
      <c r="AC20" s="3410">
        <v>0</v>
      </c>
      <c r="AD20" s="3411"/>
      <c r="AE20" s="3410">
        <v>0</v>
      </c>
      <c r="AF20" s="3411"/>
      <c r="AG20" s="3410">
        <v>0</v>
      </c>
      <c r="AH20" s="3417"/>
      <c r="AI20" s="3414">
        <v>0</v>
      </c>
      <c r="AJ20" s="3411"/>
      <c r="AK20" s="3410">
        <v>0</v>
      </c>
      <c r="AL20" s="3411"/>
      <c r="AM20" s="3410">
        <v>0</v>
      </c>
      <c r="AN20" s="3411"/>
      <c r="AO20" s="3410">
        <v>0</v>
      </c>
      <c r="AP20" s="3411"/>
      <c r="AQ20" s="3410">
        <v>0</v>
      </c>
      <c r="AR20" s="3415"/>
    </row>
    <row r="21" spans="2:44" s="403" customFormat="1" ht="24.75" customHeight="1" x14ac:dyDescent="0.35">
      <c r="B21" s="1379"/>
      <c r="C21" s="3438" t="s">
        <v>806</v>
      </c>
      <c r="D21" s="3438"/>
      <c r="E21" s="3438"/>
      <c r="F21" s="3438"/>
      <c r="G21" s="3438"/>
      <c r="H21" s="3438"/>
      <c r="I21" s="3438"/>
      <c r="J21" s="3438"/>
      <c r="K21" s="3438"/>
      <c r="L21" s="3438"/>
      <c r="M21" s="3438"/>
      <c r="N21" s="3438"/>
      <c r="O21" s="3438"/>
      <c r="P21" s="3438"/>
      <c r="Q21" s="3438"/>
      <c r="R21" s="3438"/>
      <c r="S21" s="3438"/>
      <c r="T21" s="1381"/>
      <c r="U21" s="3416">
        <v>0</v>
      </c>
      <c r="V21" s="3414"/>
      <c r="W21" s="3410">
        <v>0</v>
      </c>
      <c r="X21" s="3411"/>
      <c r="Y21" s="3410">
        <v>0</v>
      </c>
      <c r="Z21" s="3411"/>
      <c r="AA21" s="3410">
        <v>0</v>
      </c>
      <c r="AB21" s="3411"/>
      <c r="AC21" s="3410">
        <v>0</v>
      </c>
      <c r="AD21" s="3411"/>
      <c r="AE21" s="3410">
        <v>0</v>
      </c>
      <c r="AF21" s="3411"/>
      <c r="AG21" s="3410">
        <v>0</v>
      </c>
      <c r="AH21" s="3417"/>
      <c r="AI21" s="3414">
        <v>0</v>
      </c>
      <c r="AJ21" s="3411"/>
      <c r="AK21" s="3410">
        <v>0</v>
      </c>
      <c r="AL21" s="3411"/>
      <c r="AM21" s="3410">
        <v>0</v>
      </c>
      <c r="AN21" s="3411"/>
      <c r="AO21" s="3410">
        <v>0</v>
      </c>
      <c r="AP21" s="3411"/>
      <c r="AQ21" s="3410">
        <v>0</v>
      </c>
      <c r="AR21" s="3415"/>
    </row>
    <row r="22" spans="2:44" s="403" customFormat="1" ht="24.75" customHeight="1" x14ac:dyDescent="0.35">
      <c r="B22" s="1379"/>
      <c r="C22" s="3438" t="s">
        <v>807</v>
      </c>
      <c r="D22" s="3438"/>
      <c r="E22" s="3438"/>
      <c r="F22" s="3438"/>
      <c r="G22" s="3438"/>
      <c r="H22" s="3438"/>
      <c r="I22" s="3438"/>
      <c r="J22" s="3438"/>
      <c r="K22" s="3438"/>
      <c r="L22" s="3438"/>
      <c r="M22" s="3438"/>
      <c r="N22" s="3438"/>
      <c r="O22" s="3438"/>
      <c r="P22" s="3438"/>
      <c r="Q22" s="3438"/>
      <c r="R22" s="3438"/>
      <c r="S22" s="3438"/>
      <c r="T22" s="1381"/>
      <c r="U22" s="3416">
        <v>0</v>
      </c>
      <c r="V22" s="3414"/>
      <c r="W22" s="3410">
        <v>0</v>
      </c>
      <c r="X22" s="3411"/>
      <c r="Y22" s="3410">
        <v>0</v>
      </c>
      <c r="Z22" s="3411"/>
      <c r="AA22" s="3410">
        <v>0</v>
      </c>
      <c r="AB22" s="3411"/>
      <c r="AC22" s="3410">
        <v>0</v>
      </c>
      <c r="AD22" s="3411"/>
      <c r="AE22" s="3410">
        <v>0</v>
      </c>
      <c r="AF22" s="3411"/>
      <c r="AG22" s="3410">
        <v>0</v>
      </c>
      <c r="AH22" s="3417"/>
      <c r="AI22" s="3414">
        <v>0</v>
      </c>
      <c r="AJ22" s="3411"/>
      <c r="AK22" s="3410">
        <v>0</v>
      </c>
      <c r="AL22" s="3411"/>
      <c r="AM22" s="3410">
        <v>0</v>
      </c>
      <c r="AN22" s="3411"/>
      <c r="AO22" s="3410">
        <v>0</v>
      </c>
      <c r="AP22" s="3411"/>
      <c r="AQ22" s="3410">
        <v>0</v>
      </c>
      <c r="AR22" s="3415"/>
    </row>
    <row r="23" spans="2:44" s="403" customFormat="1" ht="24.75" customHeight="1" x14ac:dyDescent="0.35">
      <c r="B23" s="1382"/>
      <c r="C23" s="3438" t="s">
        <v>808</v>
      </c>
      <c r="D23" s="3438"/>
      <c r="E23" s="3438"/>
      <c r="F23" s="3438"/>
      <c r="G23" s="3438"/>
      <c r="H23" s="3438"/>
      <c r="I23" s="3438"/>
      <c r="J23" s="3438"/>
      <c r="K23" s="3438"/>
      <c r="L23" s="3438"/>
      <c r="M23" s="3438"/>
      <c r="N23" s="3438"/>
      <c r="O23" s="3438"/>
      <c r="P23" s="3438"/>
      <c r="Q23" s="3438"/>
      <c r="R23" s="3438"/>
      <c r="S23" s="3438"/>
      <c r="T23" s="1381"/>
      <c r="U23" s="3416">
        <v>0</v>
      </c>
      <c r="V23" s="3414"/>
      <c r="W23" s="3410">
        <v>0</v>
      </c>
      <c r="X23" s="3411"/>
      <c r="Y23" s="3410">
        <v>0</v>
      </c>
      <c r="Z23" s="3411"/>
      <c r="AA23" s="3410">
        <v>0</v>
      </c>
      <c r="AB23" s="3411"/>
      <c r="AC23" s="3410">
        <v>0</v>
      </c>
      <c r="AD23" s="3411"/>
      <c r="AE23" s="3410">
        <v>0</v>
      </c>
      <c r="AF23" s="3411"/>
      <c r="AG23" s="3410">
        <v>0</v>
      </c>
      <c r="AH23" s="3417"/>
      <c r="AI23" s="3414">
        <v>0</v>
      </c>
      <c r="AJ23" s="3411"/>
      <c r="AK23" s="3410">
        <v>0</v>
      </c>
      <c r="AL23" s="3411"/>
      <c r="AM23" s="3410">
        <v>0</v>
      </c>
      <c r="AN23" s="3411"/>
      <c r="AO23" s="3410">
        <v>0</v>
      </c>
      <c r="AP23" s="3411"/>
      <c r="AQ23" s="3410">
        <v>0</v>
      </c>
      <c r="AR23" s="3415"/>
    </row>
    <row r="24" spans="2:44" s="403" customFormat="1" ht="24.75" customHeight="1" x14ac:dyDescent="0.35">
      <c r="B24" s="1382"/>
      <c r="C24" s="3438" t="s">
        <v>809</v>
      </c>
      <c r="D24" s="3438"/>
      <c r="E24" s="3438"/>
      <c r="F24" s="3438"/>
      <c r="G24" s="3438"/>
      <c r="H24" s="3438"/>
      <c r="I24" s="3438"/>
      <c r="J24" s="3438"/>
      <c r="K24" s="3438"/>
      <c r="L24" s="3438"/>
      <c r="M24" s="3438"/>
      <c r="N24" s="3438"/>
      <c r="O24" s="3438"/>
      <c r="P24" s="3438"/>
      <c r="Q24" s="3438"/>
      <c r="R24" s="3438"/>
      <c r="S24" s="3438"/>
      <c r="T24" s="363"/>
      <c r="U24" s="3416">
        <v>0</v>
      </c>
      <c r="V24" s="3414"/>
      <c r="W24" s="3410">
        <v>0</v>
      </c>
      <c r="X24" s="3411"/>
      <c r="Y24" s="3410">
        <v>0</v>
      </c>
      <c r="Z24" s="3411"/>
      <c r="AA24" s="3410">
        <v>0</v>
      </c>
      <c r="AB24" s="3411"/>
      <c r="AC24" s="3410">
        <v>0</v>
      </c>
      <c r="AD24" s="3411"/>
      <c r="AE24" s="3410">
        <v>0</v>
      </c>
      <c r="AF24" s="3411"/>
      <c r="AG24" s="3410">
        <v>0</v>
      </c>
      <c r="AH24" s="3417"/>
      <c r="AI24" s="3414">
        <v>0</v>
      </c>
      <c r="AJ24" s="3411"/>
      <c r="AK24" s="3410">
        <v>0</v>
      </c>
      <c r="AL24" s="3411"/>
      <c r="AM24" s="3410">
        <v>0</v>
      </c>
      <c r="AN24" s="3411"/>
      <c r="AO24" s="3410">
        <v>0</v>
      </c>
      <c r="AP24" s="3411"/>
      <c r="AQ24" s="3410">
        <v>0</v>
      </c>
      <c r="AR24" s="3415"/>
    </row>
    <row r="25" spans="2:44" s="403" customFormat="1" ht="51" customHeight="1" x14ac:dyDescent="0.35">
      <c r="B25" s="1382"/>
      <c r="C25" s="3438" t="s">
        <v>1524</v>
      </c>
      <c r="D25" s="3438"/>
      <c r="E25" s="3438"/>
      <c r="F25" s="3438"/>
      <c r="G25" s="3438"/>
      <c r="H25" s="3438"/>
      <c r="I25" s="3438"/>
      <c r="J25" s="3438"/>
      <c r="K25" s="3438"/>
      <c r="L25" s="3438"/>
      <c r="M25" s="3438"/>
      <c r="N25" s="3438"/>
      <c r="O25" s="3438"/>
      <c r="P25" s="3438"/>
      <c r="Q25" s="3438"/>
      <c r="R25" s="3438"/>
      <c r="S25" s="3438"/>
      <c r="T25" s="1381"/>
      <c r="U25" s="3416">
        <v>0</v>
      </c>
      <c r="V25" s="3414"/>
      <c r="W25" s="3410">
        <v>0</v>
      </c>
      <c r="X25" s="3411"/>
      <c r="Y25" s="3410">
        <v>0</v>
      </c>
      <c r="Z25" s="3411"/>
      <c r="AA25" s="3410">
        <v>0</v>
      </c>
      <c r="AB25" s="3411"/>
      <c r="AC25" s="3410">
        <v>0</v>
      </c>
      <c r="AD25" s="3411"/>
      <c r="AE25" s="3410">
        <v>0</v>
      </c>
      <c r="AF25" s="3411"/>
      <c r="AG25" s="3410">
        <v>0</v>
      </c>
      <c r="AH25" s="3417"/>
      <c r="AI25" s="3414">
        <v>0</v>
      </c>
      <c r="AJ25" s="3411"/>
      <c r="AK25" s="3410">
        <v>0</v>
      </c>
      <c r="AL25" s="3411"/>
      <c r="AM25" s="3410">
        <v>0</v>
      </c>
      <c r="AN25" s="3411"/>
      <c r="AO25" s="3410">
        <v>0</v>
      </c>
      <c r="AP25" s="3411"/>
      <c r="AQ25" s="3410">
        <v>0</v>
      </c>
      <c r="AR25" s="3415"/>
    </row>
    <row r="26" spans="2:44" s="403" customFormat="1" ht="36.75" customHeight="1" x14ac:dyDescent="0.35">
      <c r="B26" s="1379"/>
      <c r="C26" s="3438" t="s">
        <v>562</v>
      </c>
      <c r="D26" s="3438"/>
      <c r="E26" s="3438"/>
      <c r="F26" s="3438"/>
      <c r="G26" s="3438"/>
      <c r="H26" s="3438"/>
      <c r="I26" s="3438"/>
      <c r="J26" s="3438"/>
      <c r="K26" s="3438"/>
      <c r="L26" s="3438"/>
      <c r="M26" s="3438"/>
      <c r="N26" s="3438"/>
      <c r="O26" s="3438"/>
      <c r="P26" s="3438"/>
      <c r="Q26" s="3438"/>
      <c r="R26" s="3438"/>
      <c r="S26" s="3438"/>
      <c r="T26" s="1381"/>
      <c r="U26" s="3416">
        <v>0</v>
      </c>
      <c r="V26" s="3414"/>
      <c r="W26" s="3410">
        <v>0</v>
      </c>
      <c r="X26" s="3411"/>
      <c r="Y26" s="3410">
        <v>0</v>
      </c>
      <c r="Z26" s="3411"/>
      <c r="AA26" s="3410">
        <v>0</v>
      </c>
      <c r="AB26" s="3411"/>
      <c r="AC26" s="3410">
        <v>0</v>
      </c>
      <c r="AD26" s="3411"/>
      <c r="AE26" s="3410">
        <v>0</v>
      </c>
      <c r="AF26" s="3411"/>
      <c r="AG26" s="3410">
        <v>0</v>
      </c>
      <c r="AH26" s="3417"/>
      <c r="AI26" s="3414">
        <v>0</v>
      </c>
      <c r="AJ26" s="3411"/>
      <c r="AK26" s="3410">
        <v>0</v>
      </c>
      <c r="AL26" s="3411"/>
      <c r="AM26" s="3410">
        <v>0</v>
      </c>
      <c r="AN26" s="3411"/>
      <c r="AO26" s="3410">
        <v>0</v>
      </c>
      <c r="AP26" s="3411"/>
      <c r="AQ26" s="3410">
        <v>0</v>
      </c>
      <c r="AR26" s="3415"/>
    </row>
    <row r="27" spans="2:44" s="403" customFormat="1" ht="24.75" customHeight="1" x14ac:dyDescent="0.35">
      <c r="B27" s="1379"/>
      <c r="C27" s="3438" t="s">
        <v>381</v>
      </c>
      <c r="D27" s="3438"/>
      <c r="E27" s="3438"/>
      <c r="F27" s="3438"/>
      <c r="G27" s="3438"/>
      <c r="H27" s="3438"/>
      <c r="I27" s="3438"/>
      <c r="J27" s="3438"/>
      <c r="K27" s="3438"/>
      <c r="L27" s="3438"/>
      <c r="M27" s="3438"/>
      <c r="N27" s="3438"/>
      <c r="O27" s="3438"/>
      <c r="P27" s="3438"/>
      <c r="Q27" s="3438"/>
      <c r="R27" s="3438"/>
      <c r="S27" s="3438"/>
      <c r="T27" s="1380"/>
      <c r="U27" s="3416">
        <v>0</v>
      </c>
      <c r="V27" s="3414"/>
      <c r="W27" s="3410">
        <v>0</v>
      </c>
      <c r="X27" s="3411"/>
      <c r="Y27" s="3410">
        <v>0</v>
      </c>
      <c r="Z27" s="3411"/>
      <c r="AA27" s="3410">
        <v>0</v>
      </c>
      <c r="AB27" s="3411"/>
      <c r="AC27" s="3410">
        <v>0</v>
      </c>
      <c r="AD27" s="3411"/>
      <c r="AE27" s="3410">
        <v>0</v>
      </c>
      <c r="AF27" s="3411"/>
      <c r="AG27" s="3410">
        <v>0</v>
      </c>
      <c r="AH27" s="3417"/>
      <c r="AI27" s="3414">
        <v>0</v>
      </c>
      <c r="AJ27" s="3411"/>
      <c r="AK27" s="3410">
        <v>0</v>
      </c>
      <c r="AL27" s="3411"/>
      <c r="AM27" s="3410">
        <v>0</v>
      </c>
      <c r="AN27" s="3411"/>
      <c r="AO27" s="3410">
        <v>0</v>
      </c>
      <c r="AP27" s="3411"/>
      <c r="AQ27" s="3410">
        <v>0</v>
      </c>
      <c r="AR27" s="3415"/>
    </row>
    <row r="28" spans="2:44" s="403" customFormat="1" ht="24.75" customHeight="1" x14ac:dyDescent="0.35">
      <c r="B28" s="1382"/>
      <c r="C28" s="3438" t="s">
        <v>810</v>
      </c>
      <c r="D28" s="3438"/>
      <c r="E28" s="3438"/>
      <c r="F28" s="3438"/>
      <c r="G28" s="3438"/>
      <c r="H28" s="3438"/>
      <c r="I28" s="3438"/>
      <c r="J28" s="3438"/>
      <c r="K28" s="3438"/>
      <c r="L28" s="3438"/>
      <c r="M28" s="3438"/>
      <c r="N28" s="3438"/>
      <c r="O28" s="3438"/>
      <c r="P28" s="3438"/>
      <c r="Q28" s="3438"/>
      <c r="R28" s="3438"/>
      <c r="S28" s="3438"/>
      <c r="T28" s="1381"/>
      <c r="U28" s="3416">
        <v>0</v>
      </c>
      <c r="V28" s="3414"/>
      <c r="W28" s="3410">
        <v>0</v>
      </c>
      <c r="X28" s="3411"/>
      <c r="Y28" s="3410">
        <v>0</v>
      </c>
      <c r="Z28" s="3411"/>
      <c r="AA28" s="3410">
        <v>0</v>
      </c>
      <c r="AB28" s="3411"/>
      <c r="AC28" s="3410">
        <v>0</v>
      </c>
      <c r="AD28" s="3411"/>
      <c r="AE28" s="3410">
        <v>0</v>
      </c>
      <c r="AF28" s="3411"/>
      <c r="AG28" s="3410">
        <v>0</v>
      </c>
      <c r="AH28" s="3417"/>
      <c r="AI28" s="3414">
        <v>0</v>
      </c>
      <c r="AJ28" s="3411"/>
      <c r="AK28" s="3410">
        <v>0</v>
      </c>
      <c r="AL28" s="3411"/>
      <c r="AM28" s="3410">
        <v>0</v>
      </c>
      <c r="AN28" s="3411"/>
      <c r="AO28" s="3410">
        <v>0</v>
      </c>
      <c r="AP28" s="3411"/>
      <c r="AQ28" s="3410">
        <v>0</v>
      </c>
      <c r="AR28" s="3415"/>
    </row>
    <row r="29" spans="2:44" s="403" customFormat="1" ht="24.75" customHeight="1" x14ac:dyDescent="0.35">
      <c r="B29" s="1383"/>
      <c r="C29" s="3418" t="s">
        <v>450</v>
      </c>
      <c r="D29" s="3418"/>
      <c r="E29" s="3418"/>
      <c r="F29" s="3418"/>
      <c r="G29" s="3418"/>
      <c r="H29" s="3418"/>
      <c r="I29" s="3418"/>
      <c r="J29" s="3418"/>
      <c r="K29" s="3418"/>
      <c r="L29" s="3418"/>
      <c r="M29" s="3418"/>
      <c r="N29" s="3418"/>
      <c r="O29" s="3418"/>
      <c r="P29" s="3418"/>
      <c r="Q29" s="3418"/>
      <c r="R29" s="3418"/>
      <c r="S29" s="3418"/>
      <c r="T29" s="1384"/>
      <c r="U29" s="3419">
        <v>0</v>
      </c>
      <c r="V29" s="3420"/>
      <c r="W29" s="3412">
        <v>0</v>
      </c>
      <c r="X29" s="3413"/>
      <c r="Y29" s="3412">
        <v>0</v>
      </c>
      <c r="Z29" s="3413"/>
      <c r="AA29" s="3412">
        <v>0</v>
      </c>
      <c r="AB29" s="3413"/>
      <c r="AC29" s="3412">
        <v>0</v>
      </c>
      <c r="AD29" s="3413"/>
      <c r="AE29" s="3412">
        <v>0</v>
      </c>
      <c r="AF29" s="3413"/>
      <c r="AG29" s="3412">
        <v>0</v>
      </c>
      <c r="AH29" s="3445"/>
      <c r="AI29" s="3420">
        <v>0</v>
      </c>
      <c r="AJ29" s="3413"/>
      <c r="AK29" s="3412">
        <v>0</v>
      </c>
      <c r="AL29" s="3413"/>
      <c r="AM29" s="3412">
        <v>0</v>
      </c>
      <c r="AN29" s="3413"/>
      <c r="AO29" s="3412">
        <v>0</v>
      </c>
      <c r="AP29" s="3413"/>
      <c r="AQ29" s="3412">
        <v>0</v>
      </c>
      <c r="AR29" s="3425"/>
    </row>
    <row r="30" spans="2:44" s="403" customFormat="1" ht="20" customHeight="1" x14ac:dyDescent="0.35">
      <c r="B30" s="1003"/>
      <c r="C30" s="3458" t="s">
        <v>1093</v>
      </c>
      <c r="D30" s="3458"/>
      <c r="E30" s="3458"/>
      <c r="F30" s="3458"/>
      <c r="G30" s="3458"/>
      <c r="H30" s="3458"/>
      <c r="I30" s="3458"/>
      <c r="J30" s="3458"/>
      <c r="K30" s="3458"/>
      <c r="L30" s="3458"/>
      <c r="M30" s="3458"/>
      <c r="N30" s="3458"/>
      <c r="O30" s="3458"/>
      <c r="P30" s="3458"/>
      <c r="Q30" s="3458"/>
      <c r="R30" s="3458"/>
      <c r="S30" s="3458"/>
      <c r="T30" s="1002"/>
      <c r="U30" s="3419">
        <v>0</v>
      </c>
      <c r="V30" s="3413"/>
      <c r="W30" s="3412">
        <v>0</v>
      </c>
      <c r="X30" s="3413"/>
      <c r="Y30" s="3412">
        <v>0</v>
      </c>
      <c r="Z30" s="3413"/>
      <c r="AA30" s="3412">
        <v>0</v>
      </c>
      <c r="AB30" s="3413"/>
      <c r="AC30" s="3412">
        <v>0</v>
      </c>
      <c r="AD30" s="3413"/>
      <c r="AE30" s="3412">
        <v>0</v>
      </c>
      <c r="AF30" s="3413"/>
      <c r="AG30" s="3412">
        <v>0</v>
      </c>
      <c r="AH30" s="3445"/>
      <c r="AI30" s="3419">
        <v>0</v>
      </c>
      <c r="AJ30" s="3413"/>
      <c r="AK30" s="3412">
        <v>0</v>
      </c>
      <c r="AL30" s="3413"/>
      <c r="AM30" s="3412">
        <v>0</v>
      </c>
      <c r="AN30" s="3413"/>
      <c r="AO30" s="3412">
        <v>0</v>
      </c>
      <c r="AP30" s="3413"/>
      <c r="AQ30" s="3412">
        <v>0</v>
      </c>
      <c r="AR30" s="3425"/>
    </row>
    <row r="31" spans="2:44" s="403" customFormat="1" ht="20" customHeight="1" x14ac:dyDescent="0.35">
      <c r="B31" s="1003"/>
      <c r="C31" s="3454"/>
      <c r="D31" s="3454"/>
      <c r="E31" s="3454"/>
      <c r="F31" s="3454"/>
      <c r="G31" s="3454"/>
      <c r="H31" s="3454"/>
      <c r="I31" s="3454"/>
      <c r="J31" s="3454"/>
      <c r="K31" s="3454"/>
      <c r="L31" s="3454"/>
      <c r="M31" s="3454"/>
      <c r="N31" s="3454"/>
      <c r="O31" s="3454"/>
      <c r="P31" s="3454"/>
      <c r="Q31" s="3454"/>
      <c r="R31" s="3454"/>
      <c r="S31" s="3454"/>
      <c r="T31" s="1002"/>
      <c r="U31" s="3455"/>
      <c r="V31" s="3424"/>
      <c r="W31" s="3423"/>
      <c r="X31" s="3424"/>
      <c r="Y31" s="3423"/>
      <c r="Z31" s="3424"/>
      <c r="AA31" s="3423"/>
      <c r="AB31" s="3424"/>
      <c r="AC31" s="3423"/>
      <c r="AD31" s="3424"/>
      <c r="AE31" s="3423"/>
      <c r="AF31" s="3424"/>
      <c r="AG31" s="3423"/>
      <c r="AH31" s="3456"/>
      <c r="AI31" s="3455"/>
      <c r="AJ31" s="3424"/>
      <c r="AK31" s="3423"/>
      <c r="AL31" s="3424"/>
      <c r="AM31" s="3423"/>
      <c r="AN31" s="3424"/>
      <c r="AO31" s="3423"/>
      <c r="AP31" s="3424"/>
      <c r="AQ31" s="3423"/>
      <c r="AR31" s="3457"/>
    </row>
    <row r="32" spans="2:44" s="403" customFormat="1" ht="5.15" customHeight="1" thickBot="1" x14ac:dyDescent="0.4">
      <c r="B32" s="995"/>
      <c r="C32" s="3442"/>
      <c r="D32" s="3442"/>
      <c r="E32" s="3442"/>
      <c r="F32" s="3442"/>
      <c r="G32" s="3442"/>
      <c r="H32" s="3442"/>
      <c r="I32" s="3442"/>
      <c r="J32" s="3442"/>
      <c r="K32" s="3442"/>
      <c r="L32" s="3442"/>
      <c r="M32" s="3442"/>
      <c r="N32" s="3442"/>
      <c r="O32" s="3442"/>
      <c r="P32" s="3442"/>
      <c r="Q32" s="3442"/>
      <c r="R32" s="3442"/>
      <c r="S32" s="3442"/>
      <c r="T32" s="996"/>
      <c r="U32" s="3443"/>
      <c r="V32" s="3444"/>
      <c r="W32" s="3421"/>
      <c r="X32" s="3422"/>
      <c r="Y32" s="3421"/>
      <c r="Z32" s="3422"/>
      <c r="AA32" s="3421"/>
      <c r="AB32" s="3422"/>
      <c r="AC32" s="3421"/>
      <c r="AD32" s="3422"/>
      <c r="AE32" s="3421"/>
      <c r="AF32" s="3422"/>
      <c r="AG32" s="3421"/>
      <c r="AH32" s="3446"/>
      <c r="AI32" s="3444"/>
      <c r="AJ32" s="3422"/>
      <c r="AK32" s="3421"/>
      <c r="AL32" s="3422"/>
      <c r="AM32" s="3421"/>
      <c r="AN32" s="3422"/>
      <c r="AO32" s="3421"/>
      <c r="AP32" s="3422"/>
      <c r="AQ32" s="3421"/>
      <c r="AR32" s="3453"/>
    </row>
    <row r="33" spans="2:46" s="403" customFormat="1" ht="17.399999999999999" customHeight="1" thickTop="1" x14ac:dyDescent="0.35">
      <c r="B33" s="997"/>
      <c r="C33" s="1008" t="str">
        <f>IF(AND(ISBLANK(disastercalamities_human_induced_others_specify),SUM(U30:AR31)&gt;0), "Please specify.",  IF(AND(NOT(ISBLANK(disastercalamities_human_induced_others_specify)),SUM(U30:AR31)=0),"Please provide details.",""))</f>
        <v/>
      </c>
      <c r="D33" s="998"/>
      <c r="E33" s="998"/>
      <c r="F33" s="998"/>
      <c r="G33" s="998"/>
      <c r="H33" s="998"/>
      <c r="I33" s="998"/>
      <c r="J33" s="998"/>
      <c r="K33" s="998"/>
      <c r="L33" s="998"/>
      <c r="M33" s="998"/>
      <c r="N33" s="998"/>
      <c r="O33" s="998"/>
      <c r="P33" s="998"/>
      <c r="Q33" s="998"/>
      <c r="R33" s="998"/>
      <c r="S33" s="998"/>
      <c r="T33" s="999"/>
      <c r="U33" s="1000"/>
      <c r="V33" s="1000"/>
      <c r="W33" s="1000"/>
      <c r="X33" s="1000"/>
      <c r="Y33" s="1000"/>
      <c r="Z33" s="1000"/>
      <c r="AA33" s="1000"/>
      <c r="AB33" s="1000"/>
      <c r="AC33" s="1000"/>
      <c r="AD33" s="1000"/>
      <c r="AE33" s="1000"/>
      <c r="AF33" s="1000"/>
      <c r="AG33" s="1000"/>
      <c r="AH33" s="1000"/>
      <c r="AI33" s="1000"/>
      <c r="AJ33" s="1000"/>
      <c r="AK33" s="1000"/>
      <c r="AL33" s="1000"/>
      <c r="AM33" s="1000"/>
      <c r="AN33" s="1000"/>
      <c r="AO33" s="1000"/>
      <c r="AP33" s="1000"/>
      <c r="AQ33" s="1000"/>
      <c r="AR33" s="1000"/>
    </row>
    <row r="34" spans="2:46" s="399" customFormat="1" ht="16.5" x14ac:dyDescent="0.35">
      <c r="B34" s="85" t="s">
        <v>1286</v>
      </c>
      <c r="C34" s="1001"/>
      <c r="D34" s="997"/>
      <c r="E34" s="997"/>
      <c r="F34" s="997"/>
      <c r="G34" s="997"/>
      <c r="H34" s="997"/>
      <c r="I34" s="997"/>
      <c r="J34" s="997"/>
      <c r="K34" s="997"/>
      <c r="L34" s="997"/>
      <c r="M34" s="997"/>
      <c r="N34" s="997"/>
      <c r="O34" s="997"/>
      <c r="P34" s="997"/>
      <c r="Q34" s="997"/>
      <c r="R34" s="997"/>
      <c r="S34" s="997"/>
      <c r="T34" s="997"/>
    </row>
    <row r="35" spans="2:46" s="124" customFormat="1" ht="33.75" customHeight="1" x14ac:dyDescent="0.3">
      <c r="C35" s="123"/>
      <c r="E35" s="123"/>
      <c r="G35" s="123"/>
      <c r="I35" s="123"/>
      <c r="K35" s="123"/>
      <c r="M35" s="123"/>
      <c r="R35" s="123"/>
      <c r="T35" s="123"/>
      <c r="V35" s="123"/>
      <c r="X35" s="123"/>
      <c r="Z35" s="123"/>
      <c r="AB35" s="123"/>
      <c r="AE35" s="123"/>
      <c r="AG35" s="123"/>
      <c r="AI35" s="123"/>
      <c r="AK35" s="123"/>
      <c r="AM35" s="123"/>
      <c r="AO35" s="123"/>
      <c r="AQ35" s="123"/>
    </row>
    <row r="36" spans="2:46" s="73" customFormat="1" ht="14" x14ac:dyDescent="0.3">
      <c r="B36" s="74" t="s">
        <v>913</v>
      </c>
      <c r="Q36" s="74" t="s">
        <v>846</v>
      </c>
      <c r="AF36" s="74" t="s">
        <v>922</v>
      </c>
    </row>
    <row r="37" spans="2:46" s="73" customFormat="1" ht="21.75" customHeight="1" x14ac:dyDescent="0.3">
      <c r="B37" s="74" t="s">
        <v>780</v>
      </c>
      <c r="F37" s="1482" t="str">
        <f>SchInfo!F38</f>
        <v>MELCHESIEDICK Q. BOLANIO/ March 17, 2023</v>
      </c>
      <c r="G37" s="1482"/>
      <c r="H37" s="1482"/>
      <c r="I37" s="1482"/>
      <c r="J37" s="1482"/>
      <c r="K37" s="1482"/>
      <c r="L37" s="1482"/>
      <c r="M37" s="1482"/>
      <c r="N37" s="1482"/>
      <c r="Q37" s="1453" t="s">
        <v>12827</v>
      </c>
      <c r="R37" s="1453"/>
      <c r="S37" s="1453"/>
      <c r="T37" s="1453"/>
      <c r="U37" s="1453"/>
      <c r="V37" s="1453"/>
      <c r="W37" s="1453"/>
      <c r="X37" s="1453"/>
      <c r="Y37" s="1453"/>
      <c r="Z37" s="1453"/>
      <c r="AA37" s="1453"/>
      <c r="AB37" s="1453"/>
      <c r="AC37" s="1453"/>
      <c r="AF37" s="1484" t="str">
        <f>SchInfo!R38</f>
        <v>MICHAEL T. JAMIS   /  March 17, 2023</v>
      </c>
      <c r="AG37" s="1484"/>
      <c r="AH37" s="1484"/>
      <c r="AI37" s="1484"/>
      <c r="AJ37" s="1484"/>
      <c r="AK37" s="1484"/>
      <c r="AL37" s="1484"/>
      <c r="AM37" s="1484"/>
      <c r="AN37" s="1484"/>
      <c r="AO37" s="1484"/>
      <c r="AP37" s="1484"/>
      <c r="AQ37" s="1484"/>
      <c r="AR37" s="1484"/>
    </row>
    <row r="38" spans="2:46" s="68" customFormat="1" ht="15" customHeight="1" x14ac:dyDescent="0.3">
      <c r="B38" s="210"/>
      <c r="F38" s="1452" t="s">
        <v>779</v>
      </c>
      <c r="G38" s="1452"/>
      <c r="H38" s="1452"/>
      <c r="I38" s="1452"/>
      <c r="J38" s="1452"/>
      <c r="K38" s="1452"/>
      <c r="L38" s="1452"/>
      <c r="M38" s="1452"/>
      <c r="N38" s="1452"/>
      <c r="O38" s="210"/>
      <c r="P38" s="210"/>
      <c r="Q38" s="1452" t="s">
        <v>779</v>
      </c>
      <c r="R38" s="1452"/>
      <c r="S38" s="1452"/>
      <c r="T38" s="1452"/>
      <c r="U38" s="1452"/>
      <c r="V38" s="1452"/>
      <c r="W38" s="1452"/>
      <c r="X38" s="1452"/>
      <c r="Y38" s="1452"/>
      <c r="Z38" s="1452"/>
      <c r="AA38" s="1452"/>
      <c r="AB38" s="1452"/>
      <c r="AC38" s="1452"/>
      <c r="AD38" s="64"/>
      <c r="AE38" s="64"/>
      <c r="AF38" s="1485"/>
      <c r="AG38" s="1485"/>
      <c r="AH38" s="1485"/>
      <c r="AI38" s="1485"/>
      <c r="AJ38" s="1485"/>
      <c r="AK38" s="1485"/>
      <c r="AL38" s="1485"/>
      <c r="AM38" s="1485"/>
      <c r="AN38" s="1485"/>
      <c r="AO38" s="1485"/>
      <c r="AP38" s="1485"/>
      <c r="AQ38" s="1485"/>
      <c r="AR38" s="1485"/>
    </row>
    <row r="39" spans="2:46" s="73" customFormat="1" ht="21.75" customHeight="1" x14ac:dyDescent="0.35">
      <c r="B39" s="74" t="s">
        <v>784</v>
      </c>
      <c r="F39" s="1482" t="str">
        <f>SchInfo!F40</f>
        <v>Principal IV</v>
      </c>
      <c r="G39" s="1482"/>
      <c r="H39" s="1482"/>
      <c r="I39" s="1482"/>
      <c r="J39" s="1482"/>
      <c r="K39" s="1482"/>
      <c r="L39" s="1482"/>
      <c r="M39" s="1482"/>
      <c r="N39" s="1482"/>
      <c r="P39" s="44"/>
      <c r="Q39" s="74" t="s">
        <v>784</v>
      </c>
      <c r="U39" s="1453" t="s">
        <v>12828</v>
      </c>
      <c r="V39" s="1453"/>
      <c r="W39" s="1453"/>
      <c r="X39" s="1453"/>
      <c r="Y39" s="1453"/>
      <c r="Z39" s="1453"/>
      <c r="AA39" s="1453"/>
      <c r="AB39" s="1453"/>
      <c r="AC39" s="1453"/>
      <c r="AF39" s="1452" t="s">
        <v>779</v>
      </c>
      <c r="AG39" s="1452"/>
      <c r="AH39" s="1452"/>
      <c r="AI39" s="1452"/>
      <c r="AJ39" s="1452"/>
      <c r="AK39" s="1452"/>
      <c r="AL39" s="1452"/>
      <c r="AM39" s="1452"/>
      <c r="AN39" s="1452"/>
      <c r="AO39" s="1452"/>
      <c r="AP39" s="1452"/>
      <c r="AQ39" s="1452"/>
      <c r="AR39" s="1452"/>
    </row>
    <row r="40" spans="2:46" x14ac:dyDescent="0.35">
      <c r="P40" s="87"/>
      <c r="Q40" s="87"/>
      <c r="R40" s="87"/>
      <c r="S40" s="87"/>
      <c r="T40" s="87"/>
      <c r="U40" s="87"/>
      <c r="V40" s="87"/>
      <c r="W40" s="87"/>
      <c r="X40" s="87"/>
      <c r="AF40" s="73"/>
      <c r="AG40" s="73"/>
      <c r="AH40" s="73"/>
      <c r="AI40" s="73"/>
      <c r="AJ40" s="73"/>
      <c r="AK40" s="73"/>
      <c r="AL40" s="73"/>
      <c r="AM40" s="73"/>
      <c r="AN40" s="73"/>
      <c r="AO40" s="73"/>
      <c r="AP40" s="73"/>
      <c r="AQ40" s="73"/>
      <c r="AR40" s="73"/>
    </row>
    <row r="41" spans="2:46" s="765" customFormat="1" x14ac:dyDescent="0.35">
      <c r="AE41" s="748"/>
      <c r="AF41" s="748"/>
      <c r="AG41" s="748"/>
      <c r="AH41" s="87"/>
      <c r="AI41" s="87"/>
      <c r="AJ41" s="87"/>
      <c r="AK41" s="87"/>
      <c r="AL41" s="87"/>
      <c r="AM41" s="748"/>
      <c r="AN41" s="748"/>
      <c r="AO41" s="748"/>
      <c r="AP41" s="748"/>
      <c r="AQ41" s="748"/>
      <c r="AR41" s="748"/>
    </row>
    <row r="42" spans="2:46" s="765" customFormat="1" ht="19.5" customHeight="1" x14ac:dyDescent="0.35"/>
    <row r="43" spans="2:46" s="765" customFormat="1" x14ac:dyDescent="0.35"/>
    <row r="44" spans="2:46" s="765" customFormat="1" x14ac:dyDescent="0.35"/>
    <row r="45" spans="2:46" ht="18" customHeight="1" x14ac:dyDescent="0.35">
      <c r="AE45" s="765"/>
      <c r="AF45" s="765"/>
      <c r="AG45" s="765"/>
      <c r="AH45" s="765"/>
      <c r="AI45" s="765"/>
      <c r="AJ45" s="765"/>
      <c r="AK45" s="765"/>
      <c r="AL45" s="765"/>
      <c r="AM45" s="765"/>
      <c r="AN45" s="765"/>
      <c r="AO45" s="765"/>
      <c r="AP45" s="765"/>
      <c r="AQ45" s="765"/>
      <c r="AR45" s="765"/>
    </row>
    <row r="47" spans="2:46" x14ac:dyDescent="0.35">
      <c r="AT47" s="210"/>
    </row>
  </sheetData>
  <sheetProtection algorithmName="SHA-512" hashValue="cfxA6LuWMwPKtEaPey3d98JODvhCE8I8OOD9Ttat7WuC2W9ZGA5Ikg4DmOH0cyMfNLX8z0Af/WNM1dQNAP56PQ==" saltValue="JTkbbh1rKRkz48DQsSoHIw==" spinCount="100000" sheet="1" objects="1" scenarios="1"/>
  <mergeCells count="338">
    <mergeCell ref="C7:S7"/>
    <mergeCell ref="F37:N37"/>
    <mergeCell ref="U6:AR6"/>
    <mergeCell ref="U16:AR16"/>
    <mergeCell ref="AO32:AP32"/>
    <mergeCell ref="AQ32:AR32"/>
    <mergeCell ref="C31:S31"/>
    <mergeCell ref="U30:V31"/>
    <mergeCell ref="W30:X31"/>
    <mergeCell ref="Y30:Z31"/>
    <mergeCell ref="AA30:AB31"/>
    <mergeCell ref="AC30:AD31"/>
    <mergeCell ref="AE30:AF31"/>
    <mergeCell ref="AG30:AH31"/>
    <mergeCell ref="AI30:AJ31"/>
    <mergeCell ref="AQ30:AR31"/>
    <mergeCell ref="C30:S30"/>
    <mergeCell ref="C26:S26"/>
    <mergeCell ref="AC32:AD32"/>
    <mergeCell ref="AM14:AN14"/>
    <mergeCell ref="AM15:AN15"/>
    <mergeCell ref="AM21:AN21"/>
    <mergeCell ref="AM20:AN20"/>
    <mergeCell ref="AM23:AN23"/>
    <mergeCell ref="F38:N38"/>
    <mergeCell ref="AK32:AL32"/>
    <mergeCell ref="U28:V28"/>
    <mergeCell ref="W28:X28"/>
    <mergeCell ref="U27:V27"/>
    <mergeCell ref="C27:S27"/>
    <mergeCell ref="C32:S32"/>
    <mergeCell ref="U32:V32"/>
    <mergeCell ref="W32:X32"/>
    <mergeCell ref="Y32:Z32"/>
    <mergeCell ref="AA32:AB32"/>
    <mergeCell ref="AK30:AL31"/>
    <mergeCell ref="AG29:AH29"/>
    <mergeCell ref="AG28:AH28"/>
    <mergeCell ref="AI28:AJ28"/>
    <mergeCell ref="AE32:AF32"/>
    <mergeCell ref="AG32:AH32"/>
    <mergeCell ref="AI32:AJ32"/>
    <mergeCell ref="AG27:AH27"/>
    <mergeCell ref="AI27:AJ27"/>
    <mergeCell ref="AC28:AD28"/>
    <mergeCell ref="Y27:Z27"/>
    <mergeCell ref="Q38:AC38"/>
    <mergeCell ref="AF37:AR38"/>
    <mergeCell ref="AM17:AN17"/>
    <mergeCell ref="AM28:AN28"/>
    <mergeCell ref="AM18:AN18"/>
    <mergeCell ref="AM26:AN26"/>
    <mergeCell ref="AM27:AN27"/>
    <mergeCell ref="AK14:AL14"/>
    <mergeCell ref="Y15:Z15"/>
    <mergeCell ref="AC14:AD14"/>
    <mergeCell ref="AC15:AD15"/>
    <mergeCell ref="AE14:AF14"/>
    <mergeCell ref="AE15:AF15"/>
    <mergeCell ref="AG15:AH15"/>
    <mergeCell ref="AK26:AL26"/>
    <mergeCell ref="AE27:AF27"/>
    <mergeCell ref="AE28:AF28"/>
    <mergeCell ref="AE25:AF25"/>
    <mergeCell ref="AE26:AF26"/>
    <mergeCell ref="AA19:AB19"/>
    <mergeCell ref="AC19:AD19"/>
    <mergeCell ref="AA15:AB15"/>
    <mergeCell ref="AA21:AB21"/>
    <mergeCell ref="AA20:AB20"/>
    <mergeCell ref="AA23:AB23"/>
    <mergeCell ref="AA22:AB22"/>
    <mergeCell ref="C10:S10"/>
    <mergeCell ref="C12:S12"/>
    <mergeCell ref="C9:S9"/>
    <mergeCell ref="C11:S11"/>
    <mergeCell ref="C8:S8"/>
    <mergeCell ref="C13:S13"/>
    <mergeCell ref="C14:S14"/>
    <mergeCell ref="AC13:AD13"/>
    <mergeCell ref="Y13:Z13"/>
    <mergeCell ref="Y14:Z14"/>
    <mergeCell ref="AC12:AD12"/>
    <mergeCell ref="AC9:AD9"/>
    <mergeCell ref="AC11:AD11"/>
    <mergeCell ref="AC8:AD8"/>
    <mergeCell ref="AC5:AD5"/>
    <mergeCell ref="AC7:AD7"/>
    <mergeCell ref="AC10:AD10"/>
    <mergeCell ref="AE10:AF10"/>
    <mergeCell ref="AG5:AH5"/>
    <mergeCell ref="AG7:AH7"/>
    <mergeCell ref="AG10:AH10"/>
    <mergeCell ref="AG12:AH12"/>
    <mergeCell ref="AG9:AH9"/>
    <mergeCell ref="AG11:AH11"/>
    <mergeCell ref="AG8:AH8"/>
    <mergeCell ref="AE12:AF12"/>
    <mergeCell ref="AE9:AF9"/>
    <mergeCell ref="AE11:AF11"/>
    <mergeCell ref="AE8:AF8"/>
    <mergeCell ref="AM13:AN13"/>
    <mergeCell ref="AK5:AL5"/>
    <mergeCell ref="AK7:AL7"/>
    <mergeCell ref="AK10:AL10"/>
    <mergeCell ref="AK12:AL12"/>
    <mergeCell ref="AK9:AL9"/>
    <mergeCell ref="AK11:AL11"/>
    <mergeCell ref="AK8:AL8"/>
    <mergeCell ref="AK13:AL13"/>
    <mergeCell ref="AM5:AN5"/>
    <mergeCell ref="AM7:AN7"/>
    <mergeCell ref="AM10:AN10"/>
    <mergeCell ref="AM12:AN12"/>
    <mergeCell ref="AM9:AN9"/>
    <mergeCell ref="AM11:AN11"/>
    <mergeCell ref="AM8:AN8"/>
    <mergeCell ref="AQ5:AR5"/>
    <mergeCell ref="AQ7:AR7"/>
    <mergeCell ref="AQ10:AR10"/>
    <mergeCell ref="AQ12:AR12"/>
    <mergeCell ref="AQ9:AR9"/>
    <mergeCell ref="AQ11:AR11"/>
    <mergeCell ref="AQ8:AR8"/>
    <mergeCell ref="AQ13:AR13"/>
    <mergeCell ref="AQ14:AR14"/>
    <mergeCell ref="AO5:AP5"/>
    <mergeCell ref="AO7:AP7"/>
    <mergeCell ref="AO10:AP10"/>
    <mergeCell ref="AO12:AP12"/>
    <mergeCell ref="AO9:AP9"/>
    <mergeCell ref="AO11:AP11"/>
    <mergeCell ref="AO8:AP8"/>
    <mergeCell ref="AO13:AP13"/>
    <mergeCell ref="AO14:AP14"/>
    <mergeCell ref="AQ15:AR15"/>
    <mergeCell ref="AQ21:AR21"/>
    <mergeCell ref="AQ20:AR20"/>
    <mergeCell ref="AQ23:AR23"/>
    <mergeCell ref="AQ22:AR22"/>
    <mergeCell ref="AQ19:AR19"/>
    <mergeCell ref="AK20:AL20"/>
    <mergeCell ref="AK23:AL23"/>
    <mergeCell ref="AK22:AL22"/>
    <mergeCell ref="AK17:AL17"/>
    <mergeCell ref="AQ18:AR18"/>
    <mergeCell ref="AQ17:AR17"/>
    <mergeCell ref="AO15:AP15"/>
    <mergeCell ref="AO18:AP18"/>
    <mergeCell ref="AO17:AP17"/>
    <mergeCell ref="AK15:AL15"/>
    <mergeCell ref="AK19:AL19"/>
    <mergeCell ref="AM19:AN19"/>
    <mergeCell ref="AO23:AP23"/>
    <mergeCell ref="AK18:AL18"/>
    <mergeCell ref="AK21:AL21"/>
    <mergeCell ref="AO21:AP21"/>
    <mergeCell ref="AO20:AP20"/>
    <mergeCell ref="AO19:AP19"/>
    <mergeCell ref="AE21:AF21"/>
    <mergeCell ref="AE20:AF20"/>
    <mergeCell ref="AE23:AF23"/>
    <mergeCell ref="AE22:AF22"/>
    <mergeCell ref="AE19:AF19"/>
    <mergeCell ref="AO22:AP22"/>
    <mergeCell ref="AG21:AH21"/>
    <mergeCell ref="AG20:AH20"/>
    <mergeCell ref="AG23:AH23"/>
    <mergeCell ref="AG22:AH22"/>
    <mergeCell ref="AG19:AH19"/>
    <mergeCell ref="AI19:AJ19"/>
    <mergeCell ref="AI21:AJ21"/>
    <mergeCell ref="AI20:AJ20"/>
    <mergeCell ref="AI23:AJ23"/>
    <mergeCell ref="AI22:AJ22"/>
    <mergeCell ref="AM22:AN22"/>
    <mergeCell ref="AE18:AF18"/>
    <mergeCell ref="AE17:AF17"/>
    <mergeCell ref="AE5:AF5"/>
    <mergeCell ref="AI5:AJ5"/>
    <mergeCell ref="AI7:AJ7"/>
    <mergeCell ref="AI10:AJ10"/>
    <mergeCell ref="AI12:AJ12"/>
    <mergeCell ref="AI9:AJ9"/>
    <mergeCell ref="AI11:AJ11"/>
    <mergeCell ref="AI8:AJ8"/>
    <mergeCell ref="AI13:AJ13"/>
    <mergeCell ref="AI14:AJ14"/>
    <mergeCell ref="AI15:AJ15"/>
    <mergeCell ref="AE7:AF7"/>
    <mergeCell ref="AG18:AH18"/>
    <mergeCell ref="AI18:AJ18"/>
    <mergeCell ref="AI17:AJ17"/>
    <mergeCell ref="AG17:AH17"/>
    <mergeCell ref="AG13:AH13"/>
    <mergeCell ref="AG14:AH14"/>
    <mergeCell ref="AE13:AF13"/>
    <mergeCell ref="AC21:AD21"/>
    <mergeCell ref="AC20:AD20"/>
    <mergeCell ref="AC18:AD18"/>
    <mergeCell ref="AC17:AD17"/>
    <mergeCell ref="AC26:AD26"/>
    <mergeCell ref="AC23:AD23"/>
    <mergeCell ref="AC22:AD22"/>
    <mergeCell ref="AC27:AD27"/>
    <mergeCell ref="AA17:AB17"/>
    <mergeCell ref="AA18:AB18"/>
    <mergeCell ref="W5:X5"/>
    <mergeCell ref="W7:X7"/>
    <mergeCell ref="W10:X10"/>
    <mergeCell ref="W12:X12"/>
    <mergeCell ref="W9:X9"/>
    <mergeCell ref="Y18:Z18"/>
    <mergeCell ref="Y17:Z17"/>
    <mergeCell ref="AA5:AB5"/>
    <mergeCell ref="AA7:AB7"/>
    <mergeCell ref="AA10:AB10"/>
    <mergeCell ref="AA12:AB12"/>
    <mergeCell ref="AA9:AB9"/>
    <mergeCell ref="AA11:AB11"/>
    <mergeCell ref="AA8:AB8"/>
    <mergeCell ref="AA13:AB13"/>
    <mergeCell ref="AA14:AB14"/>
    <mergeCell ref="W15:X15"/>
    <mergeCell ref="Y5:Z5"/>
    <mergeCell ref="Y7:Z7"/>
    <mergeCell ref="Y10:Z10"/>
    <mergeCell ref="Y12:Z12"/>
    <mergeCell ref="Y9:Z9"/>
    <mergeCell ref="Y11:Z11"/>
    <mergeCell ref="Y8:Z8"/>
    <mergeCell ref="Y21:Z21"/>
    <mergeCell ref="Y20:Z20"/>
    <mergeCell ref="Y23:Z23"/>
    <mergeCell ref="Y22:Z22"/>
    <mergeCell ref="Y26:Z26"/>
    <mergeCell ref="Y19:Z19"/>
    <mergeCell ref="U26:V26"/>
    <mergeCell ref="W11:X11"/>
    <mergeCell ref="W8:X8"/>
    <mergeCell ref="W13:X13"/>
    <mergeCell ref="W14:X14"/>
    <mergeCell ref="W21:X21"/>
    <mergeCell ref="W20:X20"/>
    <mergeCell ref="W23:X23"/>
    <mergeCell ref="W22:X22"/>
    <mergeCell ref="W19:X19"/>
    <mergeCell ref="U21:V21"/>
    <mergeCell ref="U20:V20"/>
    <mergeCell ref="U23:V23"/>
    <mergeCell ref="U22:V22"/>
    <mergeCell ref="U11:V11"/>
    <mergeCell ref="U8:V8"/>
    <mergeCell ref="U13:V13"/>
    <mergeCell ref="U14:V14"/>
    <mergeCell ref="U15:V15"/>
    <mergeCell ref="C25:S25"/>
    <mergeCell ref="C21:S21"/>
    <mergeCell ref="C20:S20"/>
    <mergeCell ref="C23:S23"/>
    <mergeCell ref="C22:S22"/>
    <mergeCell ref="C15:S15"/>
    <mergeCell ref="W26:X26"/>
    <mergeCell ref="W17:X17"/>
    <mergeCell ref="W18:X18"/>
    <mergeCell ref="C24:S24"/>
    <mergeCell ref="AQ29:AR29"/>
    <mergeCell ref="AI4:AR4"/>
    <mergeCell ref="U4:AH4"/>
    <mergeCell ref="B4:T5"/>
    <mergeCell ref="AK29:AL29"/>
    <mergeCell ref="U5:V5"/>
    <mergeCell ref="U7:V7"/>
    <mergeCell ref="U10:V10"/>
    <mergeCell ref="U12:V12"/>
    <mergeCell ref="U9:V9"/>
    <mergeCell ref="Y29:Z29"/>
    <mergeCell ref="AC29:AD29"/>
    <mergeCell ref="AA29:AB29"/>
    <mergeCell ref="AI29:AJ29"/>
    <mergeCell ref="U18:V18"/>
    <mergeCell ref="U17:V17"/>
    <mergeCell ref="C28:S28"/>
    <mergeCell ref="W27:X27"/>
    <mergeCell ref="C18:S18"/>
    <mergeCell ref="C17:S17"/>
    <mergeCell ref="AQ27:AR27"/>
    <mergeCell ref="C19:S19"/>
    <mergeCell ref="U19:V19"/>
    <mergeCell ref="AK27:AL27"/>
    <mergeCell ref="Q37:AC37"/>
    <mergeCell ref="U39:AC39"/>
    <mergeCell ref="AQ26:AR26"/>
    <mergeCell ref="AI24:AJ24"/>
    <mergeCell ref="AK24:AL24"/>
    <mergeCell ref="AM24:AN24"/>
    <mergeCell ref="AO24:AP24"/>
    <mergeCell ref="AQ24:AR24"/>
    <mergeCell ref="U25:V25"/>
    <mergeCell ref="W25:X25"/>
    <mergeCell ref="Y25:Z25"/>
    <mergeCell ref="AA25:AB25"/>
    <mergeCell ref="AC25:AD25"/>
    <mergeCell ref="AI25:AJ25"/>
    <mergeCell ref="AK25:AL25"/>
    <mergeCell ref="AM25:AN25"/>
    <mergeCell ref="AO25:AP25"/>
    <mergeCell ref="AQ25:AR25"/>
    <mergeCell ref="AG25:AH25"/>
    <mergeCell ref="AF39:AR39"/>
    <mergeCell ref="AM32:AN32"/>
    <mergeCell ref="AM30:AN31"/>
    <mergeCell ref="AO30:AP31"/>
    <mergeCell ref="AO26:AP26"/>
    <mergeCell ref="AO27:AP27"/>
    <mergeCell ref="AO28:AP28"/>
    <mergeCell ref="AO29:AP29"/>
    <mergeCell ref="AI26:AJ26"/>
    <mergeCell ref="AK28:AL28"/>
    <mergeCell ref="AQ28:AR28"/>
    <mergeCell ref="AM29:AN29"/>
    <mergeCell ref="F39:N39"/>
    <mergeCell ref="U24:V24"/>
    <mergeCell ref="W24:X24"/>
    <mergeCell ref="Y24:Z24"/>
    <mergeCell ref="AA24:AB24"/>
    <mergeCell ref="AC24:AD24"/>
    <mergeCell ref="AE24:AF24"/>
    <mergeCell ref="AG24:AH24"/>
    <mergeCell ref="AE29:AF29"/>
    <mergeCell ref="AG26:AH26"/>
    <mergeCell ref="C29:S29"/>
    <mergeCell ref="W29:X29"/>
    <mergeCell ref="U29:V29"/>
    <mergeCell ref="AA26:AB26"/>
    <mergeCell ref="AA28:AB28"/>
    <mergeCell ref="AA27:AB27"/>
    <mergeCell ref="Y28:Z28"/>
  </mergeCells>
  <dataValidations count="1">
    <dataValidation type="whole" allowBlank="1" showInputMessage="1" showErrorMessage="1" errorTitle="GJHSP SY 2022-2023" error="Please enter valid number between 0-99." sqref="U17:AR31 U7:AR15" xr:uid="{70737EAF-5663-4D70-8DE2-FD1254CF2A5A}">
      <formula1>0</formula1>
      <formula2>99</formula2>
    </dataValidation>
  </dataValidations>
  <printOptions horizontalCentered="1" verticalCentered="1"/>
  <pageMargins left="0.25" right="0.25" top="0.2" bottom="0.2" header="0" footer="0.1"/>
  <pageSetup paperSize="9" scale="57" orientation="landscape" r:id="rId1"/>
  <headerFooter alignWithMargins="0">
    <oddFooter>&amp;L&amp;10&amp;F &amp;A&amp;R&amp;10Page 44 of 63</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42">
    <pageSetUpPr fitToPage="1"/>
  </sheetPr>
  <dimension ref="A1:BX16"/>
  <sheetViews>
    <sheetView showGridLines="0" zoomScaleNormal="100" zoomScaleSheetLayoutView="100" workbookViewId="0">
      <selection activeCell="B2" sqref="B2"/>
    </sheetView>
  </sheetViews>
  <sheetFormatPr defaultColWidth="8" defaultRowHeight="15.5" x14ac:dyDescent="0.35"/>
  <cols>
    <col min="1" max="1" width="2.08203125" style="1009" customWidth="1"/>
    <col min="2" max="2" width="3.58203125" style="1010" customWidth="1"/>
    <col min="3" max="18" width="3.58203125" style="1009" customWidth="1"/>
    <col min="19" max="49" width="3.58203125" style="1011" customWidth="1"/>
    <col min="50" max="50" width="2.08203125" style="1011" customWidth="1"/>
    <col min="51" max="52" width="3.58203125" style="1011" customWidth="1"/>
    <col min="53" max="16384" width="8" style="1011"/>
  </cols>
  <sheetData>
    <row r="1" spans="2:76" ht="12" customHeight="1" x14ac:dyDescent="0.35"/>
    <row r="2" spans="2:76" s="87" customFormat="1" ht="15.75" customHeight="1" x14ac:dyDescent="0.3">
      <c r="B2" s="1012" t="s">
        <v>1883</v>
      </c>
      <c r="C2" s="688"/>
      <c r="D2" s="688"/>
      <c r="E2" s="688"/>
      <c r="F2" s="688"/>
      <c r="G2" s="688"/>
      <c r="H2" s="688"/>
      <c r="I2" s="688"/>
      <c r="J2" s="688"/>
      <c r="K2" s="688"/>
      <c r="L2" s="688"/>
      <c r="M2" s="688"/>
      <c r="N2" s="688"/>
      <c r="O2" s="688"/>
      <c r="P2" s="688"/>
      <c r="Q2" s="688"/>
      <c r="R2" s="688"/>
      <c r="S2" s="688"/>
      <c r="T2" s="688"/>
      <c r="U2" s="688"/>
      <c r="V2" s="688"/>
      <c r="W2" s="688"/>
      <c r="X2" s="688"/>
      <c r="Y2" s="688"/>
      <c r="Z2" s="688"/>
      <c r="AA2" s="688"/>
      <c r="AB2" s="688"/>
      <c r="AC2" s="688"/>
      <c r="AD2" s="688"/>
      <c r="AE2" s="688"/>
      <c r="AF2" s="688"/>
      <c r="AG2" s="688"/>
      <c r="AH2" s="688"/>
      <c r="AI2" s="688"/>
      <c r="AJ2" s="688"/>
      <c r="AK2" s="688"/>
      <c r="AL2" s="688"/>
      <c r="AM2" s="688"/>
      <c r="AN2" s="688"/>
      <c r="AO2" s="688"/>
      <c r="AP2" s="688"/>
      <c r="AQ2" s="688"/>
      <c r="AR2" s="688"/>
      <c r="AS2" s="688"/>
      <c r="AT2" s="688"/>
      <c r="AU2" s="688"/>
      <c r="AV2" s="688"/>
      <c r="AW2" s="688"/>
      <c r="AX2" s="694"/>
      <c r="AY2" s="694"/>
      <c r="AZ2" s="694"/>
      <c r="BA2" s="694"/>
      <c r="BB2" s="694"/>
      <c r="BC2" s="694"/>
      <c r="BD2" s="694"/>
      <c r="BE2" s="694"/>
      <c r="BF2" s="694"/>
      <c r="BG2" s="694"/>
      <c r="BH2" s="694"/>
      <c r="BX2" s="691"/>
    </row>
    <row r="3" spans="2:76" s="89" customFormat="1" ht="15.75" customHeight="1" x14ac:dyDescent="0.35">
      <c r="B3" s="1012"/>
      <c r="C3" s="417"/>
      <c r="D3" s="417"/>
      <c r="E3" s="417"/>
      <c r="F3" s="417"/>
      <c r="G3" s="417"/>
      <c r="H3" s="417"/>
      <c r="I3" s="417"/>
      <c r="J3" s="417"/>
      <c r="K3" s="417"/>
      <c r="L3" s="417"/>
      <c r="M3" s="417"/>
      <c r="N3" s="417"/>
      <c r="O3" s="417"/>
      <c r="P3" s="417"/>
      <c r="Q3" s="417"/>
      <c r="R3" s="417"/>
      <c r="S3" s="417"/>
      <c r="T3" s="417"/>
      <c r="U3" s="417"/>
      <c r="V3" s="417"/>
      <c r="W3" s="417"/>
      <c r="X3" s="417"/>
      <c r="Y3" s="417"/>
      <c r="Z3" s="417"/>
      <c r="AA3" s="417"/>
      <c r="AB3" s="417"/>
      <c r="AC3" s="417"/>
      <c r="AD3" s="417"/>
      <c r="AE3" s="417"/>
      <c r="AF3" s="417"/>
      <c r="AG3" s="417"/>
      <c r="AH3" s="417"/>
      <c r="AI3" s="417"/>
      <c r="AJ3" s="417"/>
      <c r="AK3" s="417"/>
      <c r="AL3" s="417"/>
      <c r="AM3" s="417"/>
      <c r="AN3" s="417"/>
      <c r="AO3" s="417"/>
      <c r="AP3" s="417"/>
      <c r="AQ3" s="417"/>
      <c r="AR3" s="417"/>
      <c r="AS3" s="417"/>
      <c r="AT3" s="417"/>
      <c r="AU3" s="417"/>
      <c r="AV3" s="417"/>
      <c r="AW3" s="417"/>
      <c r="AX3" s="1013"/>
      <c r="AY3" s="1013"/>
      <c r="AZ3" s="1013"/>
      <c r="BA3" s="1013"/>
      <c r="BB3" s="1013"/>
      <c r="BC3" s="1013"/>
      <c r="BD3" s="1013"/>
      <c r="BE3" s="1013"/>
      <c r="BF3" s="1013"/>
      <c r="BG3" s="1013"/>
      <c r="BH3" s="1013"/>
      <c r="BX3" s="277"/>
    </row>
    <row r="4" spans="2:76" s="1014" customFormat="1" ht="36.75" customHeight="1" x14ac:dyDescent="0.35">
      <c r="B4" s="1015" t="s">
        <v>150</v>
      </c>
      <c r="C4" s="3459" t="s">
        <v>1528</v>
      </c>
      <c r="D4" s="3459"/>
      <c r="E4" s="3459"/>
      <c r="F4" s="3459"/>
      <c r="G4" s="3459"/>
      <c r="H4" s="3459"/>
      <c r="I4" s="3459"/>
      <c r="J4" s="3459"/>
      <c r="K4" s="3459"/>
      <c r="L4" s="3459"/>
      <c r="M4" s="3459"/>
      <c r="N4" s="3459"/>
      <c r="O4" s="3459"/>
      <c r="P4" s="3459"/>
      <c r="Q4" s="3459"/>
      <c r="R4" s="3459"/>
      <c r="S4" s="3459"/>
      <c r="T4" s="3459"/>
      <c r="U4" s="3459"/>
      <c r="V4" s="3459"/>
      <c r="W4" s="3459"/>
      <c r="X4" s="3459"/>
      <c r="Y4" s="3459"/>
      <c r="Z4" s="3459"/>
      <c r="AA4" s="3459"/>
      <c r="AB4" s="3459"/>
      <c r="AC4" s="3459"/>
      <c r="AD4" s="3459"/>
      <c r="AE4" s="3459"/>
      <c r="AF4" s="3459"/>
      <c r="AG4" s="3459"/>
      <c r="AH4" s="3459"/>
      <c r="AI4" s="3459"/>
      <c r="AJ4" s="3459"/>
      <c r="AK4" s="3459"/>
      <c r="AL4" s="3459"/>
      <c r="AM4" s="3459"/>
      <c r="AN4" s="3459"/>
      <c r="AO4" s="3459"/>
      <c r="AP4" s="3459"/>
      <c r="AQ4" s="3459"/>
      <c r="AR4" s="3459"/>
      <c r="AS4" s="3459"/>
      <c r="AT4" s="3459"/>
      <c r="AU4" s="3459"/>
      <c r="AV4" s="3459"/>
      <c r="AW4" s="3459"/>
    </row>
    <row r="5" spans="2:76" s="1014" customFormat="1" ht="33" customHeight="1" x14ac:dyDescent="0.35">
      <c r="B5" s="1015" t="s">
        <v>151</v>
      </c>
      <c r="C5" s="3459" t="s">
        <v>1302</v>
      </c>
      <c r="D5" s="3459"/>
      <c r="E5" s="3459"/>
      <c r="F5" s="3459"/>
      <c r="G5" s="3459"/>
      <c r="H5" s="3459"/>
      <c r="I5" s="3459"/>
      <c r="J5" s="3459"/>
      <c r="K5" s="3459"/>
      <c r="L5" s="3459"/>
      <c r="M5" s="3459"/>
      <c r="N5" s="3459"/>
      <c r="O5" s="3459"/>
      <c r="P5" s="3459"/>
      <c r="Q5" s="3459"/>
      <c r="R5" s="3459"/>
      <c r="S5" s="3459"/>
      <c r="T5" s="3459"/>
      <c r="U5" s="3459"/>
      <c r="V5" s="3459"/>
      <c r="W5" s="3459"/>
      <c r="X5" s="3459"/>
      <c r="Y5" s="3459"/>
      <c r="Z5" s="3459"/>
      <c r="AA5" s="3459"/>
      <c r="AB5" s="3459"/>
      <c r="AC5" s="3459"/>
      <c r="AD5" s="3459"/>
      <c r="AE5" s="3459"/>
      <c r="AF5" s="3459"/>
      <c r="AG5" s="3459"/>
      <c r="AH5" s="3459"/>
      <c r="AI5" s="3459"/>
      <c r="AJ5" s="3459"/>
      <c r="AK5" s="3459"/>
      <c r="AL5" s="3459"/>
      <c r="AM5" s="3459"/>
      <c r="AN5" s="3459"/>
      <c r="AO5" s="3459"/>
      <c r="AP5" s="3459"/>
      <c r="AQ5" s="3459"/>
      <c r="AR5" s="3459"/>
      <c r="AS5" s="3459"/>
      <c r="AT5" s="3459"/>
      <c r="AU5" s="3459"/>
      <c r="AV5" s="3459"/>
      <c r="AW5" s="3459"/>
    </row>
    <row r="6" spans="2:76" s="1014" customFormat="1" ht="49.5" customHeight="1" x14ac:dyDescent="0.35">
      <c r="B6" s="1015" t="s">
        <v>152</v>
      </c>
      <c r="C6" s="3461" t="s">
        <v>1525</v>
      </c>
      <c r="D6" s="3461"/>
      <c r="E6" s="3461"/>
      <c r="F6" s="3461"/>
      <c r="G6" s="3461"/>
      <c r="H6" s="3461"/>
      <c r="I6" s="3461"/>
      <c r="J6" s="3461"/>
      <c r="K6" s="3461"/>
      <c r="L6" s="3461"/>
      <c r="M6" s="3461"/>
      <c r="N6" s="3461"/>
      <c r="O6" s="3461"/>
      <c r="P6" s="3461"/>
      <c r="Q6" s="3461"/>
      <c r="R6" s="3461"/>
      <c r="S6" s="3461"/>
      <c r="T6" s="3461"/>
      <c r="U6" s="3461"/>
      <c r="V6" s="3461"/>
      <c r="W6" s="3461"/>
      <c r="X6" s="3461"/>
      <c r="Y6" s="3461"/>
      <c r="Z6" s="3461"/>
      <c r="AA6" s="3461"/>
      <c r="AB6" s="3461"/>
      <c r="AC6" s="3461"/>
      <c r="AD6" s="3461"/>
      <c r="AE6" s="3461"/>
      <c r="AF6" s="3461"/>
      <c r="AG6" s="3461"/>
      <c r="AH6" s="3461"/>
      <c r="AI6" s="3461"/>
      <c r="AJ6" s="3461"/>
      <c r="AK6" s="3461"/>
      <c r="AL6" s="3461"/>
      <c r="AM6" s="3461"/>
      <c r="AN6" s="3461"/>
      <c r="AO6" s="3461"/>
      <c r="AP6" s="3461"/>
      <c r="AQ6" s="3461"/>
      <c r="AR6" s="3461"/>
      <c r="AS6" s="3461"/>
      <c r="AT6" s="3461"/>
      <c r="AU6" s="3461"/>
      <c r="AV6" s="3461"/>
      <c r="AW6" s="3461"/>
    </row>
    <row r="7" spans="2:76" s="1014" customFormat="1" ht="50.5" customHeight="1" x14ac:dyDescent="0.35">
      <c r="B7" s="1015" t="s">
        <v>155</v>
      </c>
      <c r="C7" s="3459" t="s">
        <v>1529</v>
      </c>
      <c r="D7" s="3459"/>
      <c r="E7" s="3459"/>
      <c r="F7" s="3459"/>
      <c r="G7" s="3459"/>
      <c r="H7" s="3459"/>
      <c r="I7" s="3459"/>
      <c r="J7" s="3459"/>
      <c r="K7" s="3459"/>
      <c r="L7" s="3459"/>
      <c r="M7" s="3459"/>
      <c r="N7" s="3459"/>
      <c r="O7" s="3459"/>
      <c r="P7" s="3459"/>
      <c r="Q7" s="3459"/>
      <c r="R7" s="3459"/>
      <c r="S7" s="3459"/>
      <c r="T7" s="3459"/>
      <c r="U7" s="3459"/>
      <c r="V7" s="3459"/>
      <c r="W7" s="3459"/>
      <c r="X7" s="3459"/>
      <c r="Y7" s="3459"/>
      <c r="Z7" s="3459"/>
      <c r="AA7" s="3459"/>
      <c r="AB7" s="3459"/>
      <c r="AC7" s="3459"/>
      <c r="AD7" s="3459"/>
      <c r="AE7" s="3459"/>
      <c r="AF7" s="3459"/>
      <c r="AG7" s="3459"/>
      <c r="AH7" s="3459"/>
      <c r="AI7" s="3459"/>
      <c r="AJ7" s="3459"/>
      <c r="AK7" s="3459"/>
      <c r="AL7" s="3459"/>
      <c r="AM7" s="3459"/>
      <c r="AN7" s="3459"/>
      <c r="AO7" s="3459"/>
      <c r="AP7" s="3459"/>
      <c r="AQ7" s="3459"/>
      <c r="AR7" s="3459"/>
      <c r="AS7" s="3459"/>
      <c r="AT7" s="3459"/>
      <c r="AU7" s="3459"/>
      <c r="AV7" s="3459"/>
      <c r="AW7" s="3459"/>
    </row>
    <row r="8" spans="2:76" s="1014" customFormat="1" ht="49.5" customHeight="1" x14ac:dyDescent="0.35">
      <c r="B8" s="1015" t="s">
        <v>156</v>
      </c>
      <c r="C8" s="3459" t="s">
        <v>1530</v>
      </c>
      <c r="D8" s="3459"/>
      <c r="E8" s="3459"/>
      <c r="F8" s="3459"/>
      <c r="G8" s="3459"/>
      <c r="H8" s="3459"/>
      <c r="I8" s="3459"/>
      <c r="J8" s="3459"/>
      <c r="K8" s="3459"/>
      <c r="L8" s="3459"/>
      <c r="M8" s="3459"/>
      <c r="N8" s="3459"/>
      <c r="O8" s="3459"/>
      <c r="P8" s="3459"/>
      <c r="Q8" s="3459"/>
      <c r="R8" s="3459"/>
      <c r="S8" s="3459"/>
      <c r="T8" s="3459"/>
      <c r="U8" s="3459"/>
      <c r="V8" s="3459"/>
      <c r="W8" s="3459"/>
      <c r="X8" s="3459"/>
      <c r="Y8" s="3459"/>
      <c r="Z8" s="3459"/>
      <c r="AA8" s="3459"/>
      <c r="AB8" s="3459"/>
      <c r="AC8" s="3459"/>
      <c r="AD8" s="3459"/>
      <c r="AE8" s="3459"/>
      <c r="AF8" s="3459"/>
      <c r="AG8" s="3459"/>
      <c r="AH8" s="3459"/>
      <c r="AI8" s="3459"/>
      <c r="AJ8" s="3459"/>
      <c r="AK8" s="3459"/>
      <c r="AL8" s="3459"/>
      <c r="AM8" s="3459"/>
      <c r="AN8" s="3459"/>
      <c r="AO8" s="3459"/>
      <c r="AP8" s="3459"/>
      <c r="AQ8" s="3459"/>
      <c r="AR8" s="3459"/>
      <c r="AS8" s="3459"/>
      <c r="AT8" s="3459"/>
      <c r="AU8" s="3459"/>
      <c r="AV8" s="3459"/>
      <c r="AW8" s="3459"/>
    </row>
    <row r="9" spans="2:76" s="1014" customFormat="1" ht="79.5" customHeight="1" x14ac:dyDescent="0.35">
      <c r="B9" s="1015" t="s">
        <v>157</v>
      </c>
      <c r="C9" s="3459" t="s">
        <v>1526</v>
      </c>
      <c r="D9" s="3459"/>
      <c r="E9" s="3459"/>
      <c r="F9" s="3459"/>
      <c r="G9" s="3459"/>
      <c r="H9" s="3459"/>
      <c r="I9" s="3459"/>
      <c r="J9" s="3459"/>
      <c r="K9" s="3459"/>
      <c r="L9" s="3459"/>
      <c r="M9" s="3459"/>
      <c r="N9" s="3459"/>
      <c r="O9" s="3459"/>
      <c r="P9" s="3459"/>
      <c r="Q9" s="3459"/>
      <c r="R9" s="3459"/>
      <c r="S9" s="3459"/>
      <c r="T9" s="3459"/>
      <c r="U9" s="3459"/>
      <c r="V9" s="3459"/>
      <c r="W9" s="3459"/>
      <c r="X9" s="3459"/>
      <c r="Y9" s="3459"/>
      <c r="Z9" s="3459"/>
      <c r="AA9" s="3459"/>
      <c r="AB9" s="3459"/>
      <c r="AC9" s="3459"/>
      <c r="AD9" s="3459"/>
      <c r="AE9" s="3459"/>
      <c r="AF9" s="3459"/>
      <c r="AG9" s="3459"/>
      <c r="AH9" s="3459"/>
      <c r="AI9" s="3459"/>
      <c r="AJ9" s="3459"/>
      <c r="AK9" s="3459"/>
      <c r="AL9" s="3459"/>
      <c r="AM9" s="3459"/>
      <c r="AN9" s="3459"/>
      <c r="AO9" s="3459"/>
      <c r="AP9" s="3459"/>
      <c r="AQ9" s="3459"/>
      <c r="AR9" s="3459"/>
      <c r="AS9" s="3459"/>
      <c r="AT9" s="3459"/>
      <c r="AU9" s="3459"/>
      <c r="AV9" s="3459"/>
      <c r="AW9" s="3459"/>
    </row>
    <row r="10" spans="2:76" s="1014" customFormat="1" ht="48.75" customHeight="1" x14ac:dyDescent="0.35">
      <c r="B10" s="1015" t="s">
        <v>159</v>
      </c>
      <c r="C10" s="3459" t="s">
        <v>1527</v>
      </c>
      <c r="D10" s="3459"/>
      <c r="E10" s="3459"/>
      <c r="F10" s="3459"/>
      <c r="G10" s="3459"/>
      <c r="H10" s="3459"/>
      <c r="I10" s="3459"/>
      <c r="J10" s="3459"/>
      <c r="K10" s="3459"/>
      <c r="L10" s="3459"/>
      <c r="M10" s="3459"/>
      <c r="N10" s="3459"/>
      <c r="O10" s="3459"/>
      <c r="P10" s="3459"/>
      <c r="Q10" s="3459"/>
      <c r="R10" s="3459"/>
      <c r="S10" s="3459"/>
      <c r="T10" s="3459"/>
      <c r="U10" s="3459"/>
      <c r="V10" s="3459"/>
      <c r="W10" s="3459"/>
      <c r="X10" s="3459"/>
      <c r="Y10" s="3459"/>
      <c r="Z10" s="3459"/>
      <c r="AA10" s="3459"/>
      <c r="AB10" s="3459"/>
      <c r="AC10" s="3459"/>
      <c r="AD10" s="3459"/>
      <c r="AE10" s="3459"/>
      <c r="AF10" s="3459"/>
      <c r="AG10" s="3459"/>
      <c r="AH10" s="3459"/>
      <c r="AI10" s="3459"/>
      <c r="AJ10" s="3459"/>
      <c r="AK10" s="3459"/>
      <c r="AL10" s="3459"/>
      <c r="AM10" s="3459"/>
      <c r="AN10" s="3459"/>
      <c r="AO10" s="3459"/>
      <c r="AP10" s="3459"/>
      <c r="AQ10" s="3459"/>
      <c r="AR10" s="3459"/>
      <c r="AS10" s="3459"/>
      <c r="AT10" s="3459"/>
      <c r="AU10" s="3459"/>
      <c r="AV10" s="3459"/>
      <c r="AW10" s="3459"/>
    </row>
    <row r="11" spans="2:76" s="1014" customFormat="1" ht="113" customHeight="1" x14ac:dyDescent="0.35">
      <c r="B11" s="1015" t="s">
        <v>153</v>
      </c>
      <c r="C11" s="3459" t="s">
        <v>1531</v>
      </c>
      <c r="D11" s="3459"/>
      <c r="E11" s="3459"/>
      <c r="F11" s="3459"/>
      <c r="G11" s="3459"/>
      <c r="H11" s="3459"/>
      <c r="I11" s="3459"/>
      <c r="J11" s="3459"/>
      <c r="K11" s="3459"/>
      <c r="L11" s="3459"/>
      <c r="M11" s="3459"/>
      <c r="N11" s="3459"/>
      <c r="O11" s="3459"/>
      <c r="P11" s="3459"/>
      <c r="Q11" s="3459"/>
      <c r="R11" s="3459"/>
      <c r="S11" s="3459"/>
      <c r="T11" s="3459"/>
      <c r="U11" s="3459"/>
      <c r="V11" s="3459"/>
      <c r="W11" s="3459"/>
      <c r="X11" s="3459"/>
      <c r="Y11" s="3459"/>
      <c r="Z11" s="3459"/>
      <c r="AA11" s="3459"/>
      <c r="AB11" s="3459"/>
      <c r="AC11" s="3459"/>
      <c r="AD11" s="3459"/>
      <c r="AE11" s="3459"/>
      <c r="AF11" s="3459"/>
      <c r="AG11" s="3459"/>
      <c r="AH11" s="3459"/>
      <c r="AI11" s="3459"/>
      <c r="AJ11" s="3459"/>
      <c r="AK11" s="3459"/>
      <c r="AL11" s="3459"/>
      <c r="AM11" s="3459"/>
      <c r="AN11" s="3459"/>
      <c r="AO11" s="3459"/>
      <c r="AP11" s="3459"/>
      <c r="AQ11" s="3459"/>
      <c r="AR11" s="3459"/>
      <c r="AS11" s="3459"/>
      <c r="AT11" s="3459"/>
      <c r="AU11" s="3459"/>
      <c r="AV11" s="3459"/>
      <c r="AW11" s="3459"/>
    </row>
    <row r="12" spans="2:76" s="1014" customFormat="1" ht="50.25" customHeight="1" x14ac:dyDescent="0.35">
      <c r="B12" s="1015" t="s">
        <v>154</v>
      </c>
      <c r="C12" s="3459" t="s">
        <v>1303</v>
      </c>
      <c r="D12" s="3459"/>
      <c r="E12" s="3459"/>
      <c r="F12" s="3459"/>
      <c r="G12" s="3459"/>
      <c r="H12" s="3459"/>
      <c r="I12" s="3459"/>
      <c r="J12" s="3459"/>
      <c r="K12" s="3459"/>
      <c r="L12" s="3459"/>
      <c r="M12" s="3459"/>
      <c r="N12" s="3459"/>
      <c r="O12" s="3459"/>
      <c r="P12" s="3459"/>
      <c r="Q12" s="3459"/>
      <c r="R12" s="3459"/>
      <c r="S12" s="3459"/>
      <c r="T12" s="3459"/>
      <c r="U12" s="3459"/>
      <c r="V12" s="3459"/>
      <c r="W12" s="3459"/>
      <c r="X12" s="3459"/>
      <c r="Y12" s="3459"/>
      <c r="Z12" s="3459"/>
      <c r="AA12" s="3459"/>
      <c r="AB12" s="3459"/>
      <c r="AC12" s="3459"/>
      <c r="AD12" s="3459"/>
      <c r="AE12" s="3459"/>
      <c r="AF12" s="3459"/>
      <c r="AG12" s="3459"/>
      <c r="AH12" s="3459"/>
      <c r="AI12" s="3459"/>
      <c r="AJ12" s="3459"/>
      <c r="AK12" s="3459"/>
      <c r="AL12" s="3459"/>
      <c r="AM12" s="3459"/>
      <c r="AN12" s="3459"/>
      <c r="AO12" s="3459"/>
      <c r="AP12" s="3459"/>
      <c r="AQ12" s="3459"/>
      <c r="AR12" s="3459"/>
      <c r="AS12" s="3459"/>
      <c r="AT12" s="3459"/>
      <c r="AU12" s="3459"/>
      <c r="AV12" s="3459"/>
      <c r="AW12" s="3459"/>
    </row>
    <row r="13" spans="2:76" s="1014" customFormat="1" ht="35.25" customHeight="1" x14ac:dyDescent="0.35">
      <c r="B13" s="1015" t="s">
        <v>160</v>
      </c>
      <c r="C13" s="3459" t="s">
        <v>1304</v>
      </c>
      <c r="D13" s="3459"/>
      <c r="E13" s="3459"/>
      <c r="F13" s="3459"/>
      <c r="G13" s="3459"/>
      <c r="H13" s="3459"/>
      <c r="I13" s="3459"/>
      <c r="J13" s="3459"/>
      <c r="K13" s="3459"/>
      <c r="L13" s="3459"/>
      <c r="M13" s="3459"/>
      <c r="N13" s="3459"/>
      <c r="O13" s="3459"/>
      <c r="P13" s="3459"/>
      <c r="Q13" s="3459"/>
      <c r="R13" s="3459"/>
      <c r="S13" s="3459"/>
      <c r="T13" s="3459"/>
      <c r="U13" s="3459"/>
      <c r="V13" s="3459"/>
      <c r="W13" s="3459"/>
      <c r="X13" s="3459"/>
      <c r="Y13" s="3459"/>
      <c r="Z13" s="3459"/>
      <c r="AA13" s="3459"/>
      <c r="AB13" s="3459"/>
      <c r="AC13" s="3459"/>
      <c r="AD13" s="3459"/>
      <c r="AE13" s="3459"/>
      <c r="AF13" s="3459"/>
      <c r="AG13" s="3459"/>
      <c r="AH13" s="3459"/>
      <c r="AI13" s="3459"/>
      <c r="AJ13" s="3459"/>
      <c r="AK13" s="3459"/>
      <c r="AL13" s="3459"/>
      <c r="AM13" s="3459"/>
      <c r="AN13" s="3459"/>
      <c r="AO13" s="3459"/>
      <c r="AP13" s="3459"/>
      <c r="AQ13" s="3459"/>
      <c r="AR13" s="3459"/>
      <c r="AS13" s="3459"/>
      <c r="AT13" s="3459"/>
      <c r="AU13" s="3459"/>
      <c r="AV13" s="3459"/>
      <c r="AW13" s="3459"/>
    </row>
    <row r="14" spans="2:76" s="1014" customFormat="1" ht="50.5" customHeight="1" x14ac:dyDescent="0.35">
      <c r="B14" s="1015" t="s">
        <v>158</v>
      </c>
      <c r="C14" s="3459" t="s">
        <v>1532</v>
      </c>
      <c r="D14" s="3459"/>
      <c r="E14" s="3459"/>
      <c r="F14" s="3459"/>
      <c r="G14" s="3459"/>
      <c r="H14" s="3459"/>
      <c r="I14" s="3459"/>
      <c r="J14" s="3459"/>
      <c r="K14" s="3459"/>
      <c r="L14" s="3459"/>
      <c r="M14" s="3459"/>
      <c r="N14" s="3459"/>
      <c r="O14" s="3459"/>
      <c r="P14" s="3459"/>
      <c r="Q14" s="3459"/>
      <c r="R14" s="3459"/>
      <c r="S14" s="3459"/>
      <c r="T14" s="3459"/>
      <c r="U14" s="3459"/>
      <c r="V14" s="3459"/>
      <c r="W14" s="3459"/>
      <c r="X14" s="3459"/>
      <c r="Y14" s="3459"/>
      <c r="Z14" s="3459"/>
      <c r="AA14" s="3459"/>
      <c r="AB14" s="3459"/>
      <c r="AC14" s="3459"/>
      <c r="AD14" s="3459"/>
      <c r="AE14" s="3459"/>
      <c r="AF14" s="3459"/>
      <c r="AG14" s="3459"/>
      <c r="AH14" s="3459"/>
      <c r="AI14" s="3459"/>
      <c r="AJ14" s="3459"/>
      <c r="AK14" s="3459"/>
      <c r="AL14" s="3459"/>
      <c r="AM14" s="3459"/>
      <c r="AN14" s="3459"/>
      <c r="AO14" s="3459"/>
      <c r="AP14" s="3459"/>
      <c r="AQ14" s="3459"/>
      <c r="AR14" s="3459"/>
      <c r="AS14" s="3459"/>
      <c r="AT14" s="3459"/>
      <c r="AU14" s="3459"/>
      <c r="AV14" s="3459"/>
      <c r="AW14" s="3459"/>
    </row>
    <row r="15" spans="2:76" s="1014" customFormat="1" ht="35.25" customHeight="1" x14ac:dyDescent="0.35">
      <c r="B15" s="1015" t="s">
        <v>660</v>
      </c>
      <c r="C15" s="3460" t="s">
        <v>1305</v>
      </c>
      <c r="D15" s="3460"/>
      <c r="E15" s="3460"/>
      <c r="F15" s="3460"/>
      <c r="G15" s="3460"/>
      <c r="H15" s="3460"/>
      <c r="I15" s="3460"/>
      <c r="J15" s="3460"/>
      <c r="K15" s="3460"/>
      <c r="L15" s="3460"/>
      <c r="M15" s="3460"/>
      <c r="N15" s="3460"/>
      <c r="O15" s="3460"/>
      <c r="P15" s="3460"/>
      <c r="Q15" s="3460"/>
      <c r="R15" s="3460"/>
      <c r="S15" s="3460"/>
      <c r="T15" s="3460"/>
      <c r="U15" s="3460"/>
      <c r="V15" s="3460"/>
      <c r="W15" s="3460"/>
      <c r="X15" s="3460"/>
      <c r="Y15" s="3460"/>
      <c r="Z15" s="3460"/>
      <c r="AA15" s="3460"/>
      <c r="AB15" s="3460"/>
      <c r="AC15" s="3460"/>
      <c r="AD15" s="3460"/>
      <c r="AE15" s="3460"/>
      <c r="AF15" s="3460"/>
      <c r="AG15" s="3460"/>
      <c r="AH15" s="3460"/>
      <c r="AI15" s="3460"/>
      <c r="AJ15" s="3460"/>
      <c r="AK15" s="3460"/>
      <c r="AL15" s="3460"/>
      <c r="AM15" s="3460"/>
      <c r="AN15" s="3460"/>
      <c r="AO15" s="3460"/>
      <c r="AP15" s="3460"/>
      <c r="AQ15" s="3460"/>
      <c r="AR15" s="3460"/>
      <c r="AS15" s="3460"/>
      <c r="AT15" s="3460"/>
      <c r="AU15" s="3460"/>
      <c r="AV15" s="3460"/>
      <c r="AW15" s="3460"/>
    </row>
    <row r="16" spans="2:76" s="1014" customFormat="1" ht="49.5" customHeight="1" x14ac:dyDescent="0.35">
      <c r="B16" s="1015" t="s">
        <v>671</v>
      </c>
      <c r="C16" s="3460" t="s">
        <v>1306</v>
      </c>
      <c r="D16" s="3460"/>
      <c r="E16" s="3460"/>
      <c r="F16" s="3460"/>
      <c r="G16" s="3460"/>
      <c r="H16" s="3460"/>
      <c r="I16" s="3460"/>
      <c r="J16" s="3460"/>
      <c r="K16" s="3460"/>
      <c r="L16" s="3460"/>
      <c r="M16" s="3460"/>
      <c r="N16" s="3460"/>
      <c r="O16" s="3460"/>
      <c r="P16" s="3460"/>
      <c r="Q16" s="3460"/>
      <c r="R16" s="3460"/>
      <c r="S16" s="3460"/>
      <c r="T16" s="3460"/>
      <c r="U16" s="3460"/>
      <c r="V16" s="3460"/>
      <c r="W16" s="3460"/>
      <c r="X16" s="3460"/>
      <c r="Y16" s="3460"/>
      <c r="Z16" s="3460"/>
      <c r="AA16" s="3460"/>
      <c r="AB16" s="3460"/>
      <c r="AC16" s="3460"/>
      <c r="AD16" s="3460"/>
      <c r="AE16" s="3460"/>
      <c r="AF16" s="3460"/>
      <c r="AG16" s="3460"/>
      <c r="AH16" s="3460"/>
      <c r="AI16" s="3460"/>
      <c r="AJ16" s="3460"/>
      <c r="AK16" s="3460"/>
      <c r="AL16" s="3460"/>
      <c r="AM16" s="3460"/>
      <c r="AN16" s="3460"/>
      <c r="AO16" s="3460"/>
      <c r="AP16" s="3460"/>
      <c r="AQ16" s="3460"/>
      <c r="AR16" s="3460"/>
      <c r="AS16" s="3460"/>
      <c r="AT16" s="3460"/>
      <c r="AU16" s="3460"/>
      <c r="AV16" s="3460"/>
      <c r="AW16" s="3460"/>
    </row>
  </sheetData>
  <sheetProtection algorithmName="SHA-512" hashValue="Y4+ruZnDU0c0gAfORn6YytVysEFxmPl30Lms5LkFDekc5wc3jZw5+sQgjiTVREU95qY1McsO5+pIWQTVNS3t4g==" saltValue="gL72FXKMsAr0Ym6IYO7Etg==" spinCount="100000" sheet="1" objects="1" scenarios="1"/>
  <mergeCells count="13">
    <mergeCell ref="C6:AW6"/>
    <mergeCell ref="C11:AW11"/>
    <mergeCell ref="C4:AW4"/>
    <mergeCell ref="C5:AW5"/>
    <mergeCell ref="C7:AW7"/>
    <mergeCell ref="C14:AW14"/>
    <mergeCell ref="C15:AW15"/>
    <mergeCell ref="C16:AW16"/>
    <mergeCell ref="C8:AW8"/>
    <mergeCell ref="C9:AW9"/>
    <mergeCell ref="C10:AW10"/>
    <mergeCell ref="C12:AW12"/>
    <mergeCell ref="C13:AW13"/>
  </mergeCells>
  <printOptions horizontalCentered="1" verticalCentered="1"/>
  <pageMargins left="0.2" right="0.2" top="0.25" bottom="0.25" header="0" footer="0.1"/>
  <pageSetup paperSize="9" scale="35" firstPageNumber="0" orientation="landscape" r:id="rId1"/>
  <headerFooter scaleWithDoc="0" alignWithMargins="0">
    <oddFooter>&amp;L&amp;10&amp;F &amp;A&amp;R&amp;10Page 45 of 63</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3">
    <pageSetUpPr fitToPage="1"/>
  </sheetPr>
  <dimension ref="B1:AT47"/>
  <sheetViews>
    <sheetView showGridLines="0" topLeftCell="F1" zoomScaleNormal="100" workbookViewId="0">
      <selection activeCell="AF39" sqref="AF39:AR39"/>
    </sheetView>
  </sheetViews>
  <sheetFormatPr defaultColWidth="9" defaultRowHeight="15.5" x14ac:dyDescent="0.35"/>
  <cols>
    <col min="1" max="1" width="2.08203125" style="748" customWidth="1"/>
    <col min="2" max="44" width="3.58203125" style="748" customWidth="1"/>
    <col min="45" max="45" width="2.08203125" style="748" customWidth="1"/>
    <col min="46" max="262" width="3.58203125" style="748" customWidth="1"/>
    <col min="263" max="16384" width="9" style="748"/>
  </cols>
  <sheetData>
    <row r="1" spans="2:44" ht="12" customHeight="1" x14ac:dyDescent="0.35"/>
    <row r="2" spans="2:44" s="399" customFormat="1" ht="16.5" customHeight="1" x14ac:dyDescent="0.35">
      <c r="B2" s="1006" t="s">
        <v>12745</v>
      </c>
      <c r="C2" s="1006"/>
      <c r="D2" s="1006"/>
      <c r="E2" s="1006"/>
      <c r="F2" s="1006"/>
      <c r="G2" s="1006"/>
      <c r="H2" s="1006"/>
      <c r="I2" s="1006"/>
      <c r="J2" s="1006"/>
      <c r="K2" s="1006"/>
      <c r="L2" s="1006"/>
      <c r="M2" s="1006"/>
      <c r="N2" s="1006"/>
      <c r="O2" s="1006"/>
      <c r="P2" s="1006"/>
      <c r="Q2" s="1006"/>
      <c r="R2" s="1006"/>
      <c r="S2" s="1026"/>
      <c r="T2" s="1026"/>
      <c r="U2" s="460"/>
      <c r="V2" s="460"/>
      <c r="W2" s="460"/>
      <c r="X2" s="460"/>
      <c r="Y2" s="460"/>
      <c r="Z2" s="460"/>
      <c r="AA2" s="460"/>
      <c r="AB2" s="460"/>
      <c r="AC2" s="460"/>
      <c r="AD2" s="460"/>
      <c r="AE2" s="460"/>
      <c r="AF2" s="460"/>
      <c r="AG2" s="460"/>
      <c r="AH2" s="460"/>
      <c r="AI2" s="460"/>
      <c r="AJ2" s="460"/>
      <c r="AK2" s="460"/>
      <c r="AL2" s="460"/>
    </row>
    <row r="3" spans="2:44" s="403" customFormat="1" ht="17" thickBot="1" x14ac:dyDescent="0.4">
      <c r="B3" s="1001" t="s">
        <v>1098</v>
      </c>
    </row>
    <row r="4" spans="2:44" s="402" customFormat="1" ht="17.5" thickTop="1" thickBot="1" x14ac:dyDescent="0.4">
      <c r="B4" s="3430" t="s">
        <v>801</v>
      </c>
      <c r="C4" s="3431"/>
      <c r="D4" s="3431"/>
      <c r="E4" s="3431"/>
      <c r="F4" s="3431"/>
      <c r="G4" s="3431"/>
      <c r="H4" s="3431"/>
      <c r="I4" s="3431"/>
      <c r="J4" s="3431"/>
      <c r="K4" s="3431"/>
      <c r="L4" s="3431"/>
      <c r="M4" s="3431"/>
      <c r="N4" s="3431"/>
      <c r="O4" s="3431"/>
      <c r="P4" s="3431"/>
      <c r="Q4" s="3431"/>
      <c r="R4" s="3431"/>
      <c r="S4" s="3431"/>
      <c r="T4" s="3432"/>
      <c r="U4" s="3428">
        <v>2021</v>
      </c>
      <c r="V4" s="3426"/>
      <c r="W4" s="3426"/>
      <c r="X4" s="3426"/>
      <c r="Y4" s="3426"/>
      <c r="Z4" s="3426"/>
      <c r="AA4" s="3426"/>
      <c r="AB4" s="3426"/>
      <c r="AC4" s="3426"/>
      <c r="AD4" s="3426"/>
      <c r="AE4" s="3426"/>
      <c r="AF4" s="3426"/>
      <c r="AG4" s="3426"/>
      <c r="AH4" s="3429"/>
      <c r="AI4" s="3426">
        <v>2022</v>
      </c>
      <c r="AJ4" s="3426"/>
      <c r="AK4" s="3426"/>
      <c r="AL4" s="3426"/>
      <c r="AM4" s="3426"/>
      <c r="AN4" s="3426"/>
      <c r="AO4" s="3426"/>
      <c r="AP4" s="3426"/>
      <c r="AQ4" s="3426"/>
      <c r="AR4" s="3427"/>
    </row>
    <row r="5" spans="2:44" s="402" customFormat="1" ht="17" thickBot="1" x14ac:dyDescent="0.4">
      <c r="B5" s="3433"/>
      <c r="C5" s="3434"/>
      <c r="D5" s="3434"/>
      <c r="E5" s="3434"/>
      <c r="F5" s="3434"/>
      <c r="G5" s="3434"/>
      <c r="H5" s="3434"/>
      <c r="I5" s="3434"/>
      <c r="J5" s="3434"/>
      <c r="K5" s="3434"/>
      <c r="L5" s="3434"/>
      <c r="M5" s="3434"/>
      <c r="N5" s="3434"/>
      <c r="O5" s="3434"/>
      <c r="P5" s="3434"/>
      <c r="Q5" s="3434"/>
      <c r="R5" s="3434"/>
      <c r="S5" s="3434"/>
      <c r="T5" s="3435"/>
      <c r="U5" s="3436" t="s">
        <v>241</v>
      </c>
      <c r="V5" s="3437"/>
      <c r="W5" s="3437" t="s">
        <v>242</v>
      </c>
      <c r="X5" s="3437"/>
      <c r="Y5" s="3437" t="s">
        <v>243</v>
      </c>
      <c r="Z5" s="3437"/>
      <c r="AA5" s="3437" t="s">
        <v>244</v>
      </c>
      <c r="AB5" s="3437"/>
      <c r="AC5" s="3437" t="s">
        <v>245</v>
      </c>
      <c r="AD5" s="3437"/>
      <c r="AE5" s="3437" t="s">
        <v>246</v>
      </c>
      <c r="AF5" s="3437"/>
      <c r="AG5" s="3437" t="s">
        <v>247</v>
      </c>
      <c r="AH5" s="3441"/>
      <c r="AI5" s="3439" t="s">
        <v>248</v>
      </c>
      <c r="AJ5" s="3437"/>
      <c r="AK5" s="3437" t="s">
        <v>249</v>
      </c>
      <c r="AL5" s="3437"/>
      <c r="AM5" s="3437" t="s">
        <v>250</v>
      </c>
      <c r="AN5" s="3437"/>
      <c r="AO5" s="3437" t="s">
        <v>449</v>
      </c>
      <c r="AP5" s="3437"/>
      <c r="AQ5" s="3437" t="s">
        <v>129</v>
      </c>
      <c r="AR5" s="3440"/>
    </row>
    <row r="6" spans="2:44" s="402" customFormat="1" ht="24.75" customHeight="1" thickTop="1" x14ac:dyDescent="0.35">
      <c r="B6" s="1027" t="s">
        <v>150</v>
      </c>
      <c r="C6" s="3494" t="s">
        <v>814</v>
      </c>
      <c r="D6" s="3494"/>
      <c r="E6" s="3494"/>
      <c r="F6" s="3494"/>
      <c r="G6" s="3494"/>
      <c r="H6" s="3494"/>
      <c r="I6" s="3494"/>
      <c r="J6" s="3494"/>
      <c r="K6" s="3494"/>
      <c r="L6" s="3494"/>
      <c r="M6" s="3494"/>
      <c r="N6" s="3494"/>
      <c r="O6" s="3494"/>
      <c r="P6" s="3494"/>
      <c r="Q6" s="3494"/>
      <c r="R6" s="3494"/>
      <c r="S6" s="3494"/>
      <c r="T6" s="3494"/>
      <c r="U6" s="3494"/>
      <c r="V6" s="3494"/>
      <c r="W6" s="3494"/>
      <c r="X6" s="3494"/>
      <c r="Y6" s="3494"/>
      <c r="Z6" s="3494"/>
      <c r="AA6" s="3494"/>
      <c r="AB6" s="3494"/>
      <c r="AC6" s="3494"/>
      <c r="AD6" s="3494"/>
      <c r="AE6" s="3494"/>
      <c r="AF6" s="3494"/>
      <c r="AG6" s="3494"/>
      <c r="AH6" s="3494"/>
      <c r="AI6" s="3494"/>
      <c r="AJ6" s="3494"/>
      <c r="AK6" s="3494"/>
      <c r="AL6" s="3494"/>
      <c r="AM6" s="3494"/>
      <c r="AN6" s="3494"/>
      <c r="AO6" s="3494"/>
      <c r="AP6" s="3494"/>
      <c r="AQ6" s="3494"/>
      <c r="AR6" s="3495"/>
    </row>
    <row r="7" spans="2:44" s="402" customFormat="1" ht="24.75" customHeight="1" x14ac:dyDescent="0.35">
      <c r="B7" s="1028"/>
      <c r="C7" s="6" t="s">
        <v>815</v>
      </c>
      <c r="D7" s="3477" t="s">
        <v>1533</v>
      </c>
      <c r="E7" s="3477"/>
      <c r="F7" s="3477"/>
      <c r="G7" s="3477"/>
      <c r="H7" s="3477"/>
      <c r="I7" s="3477"/>
      <c r="J7" s="3477"/>
      <c r="K7" s="3477"/>
      <c r="L7" s="3477"/>
      <c r="M7" s="3477"/>
      <c r="N7" s="3477"/>
      <c r="O7" s="3477"/>
      <c r="P7" s="3477"/>
      <c r="Q7" s="3477"/>
      <c r="R7" s="3477"/>
      <c r="S7" s="3477"/>
      <c r="T7" s="3477"/>
      <c r="U7" s="3477"/>
      <c r="V7" s="3477"/>
      <c r="W7" s="3477"/>
      <c r="X7" s="3477"/>
      <c r="Y7" s="3477"/>
      <c r="Z7" s="3477"/>
      <c r="AA7" s="3477"/>
      <c r="AB7" s="3477"/>
      <c r="AC7" s="3477"/>
      <c r="AD7" s="3477"/>
      <c r="AE7" s="3477"/>
      <c r="AF7" s="3477"/>
      <c r="AG7" s="3477"/>
      <c r="AH7" s="3477"/>
      <c r="AI7" s="3477"/>
      <c r="AJ7" s="3477"/>
      <c r="AK7" s="3477"/>
      <c r="AL7" s="3477"/>
      <c r="AM7" s="3477"/>
      <c r="AN7" s="3477"/>
      <c r="AO7" s="3477"/>
      <c r="AP7" s="3477"/>
      <c r="AQ7" s="3477"/>
      <c r="AR7" s="3478"/>
    </row>
    <row r="8" spans="2:44" s="402" customFormat="1" ht="25" customHeight="1" x14ac:dyDescent="0.35">
      <c r="B8" s="1004"/>
      <c r="C8" s="986"/>
      <c r="D8" s="986" t="s">
        <v>812</v>
      </c>
      <c r="E8" s="986"/>
      <c r="F8" s="986"/>
      <c r="G8" s="986"/>
      <c r="H8" s="986"/>
      <c r="I8" s="986"/>
      <c r="J8" s="986"/>
      <c r="K8" s="986"/>
      <c r="L8" s="986"/>
      <c r="M8" s="986"/>
      <c r="N8" s="986"/>
      <c r="O8" s="986"/>
      <c r="P8" s="986"/>
      <c r="Q8" s="986"/>
      <c r="R8" s="986"/>
      <c r="S8" s="986"/>
      <c r="T8" s="1017"/>
      <c r="U8" s="3097">
        <v>0</v>
      </c>
      <c r="V8" s="3098"/>
      <c r="W8" s="3469">
        <v>0</v>
      </c>
      <c r="X8" s="3474"/>
      <c r="Y8" s="3469">
        <v>0</v>
      </c>
      <c r="Z8" s="3474"/>
      <c r="AA8" s="3469">
        <v>0</v>
      </c>
      <c r="AB8" s="3474"/>
      <c r="AC8" s="3469">
        <v>0</v>
      </c>
      <c r="AD8" s="3474"/>
      <c r="AE8" s="3469">
        <v>0</v>
      </c>
      <c r="AF8" s="3474"/>
      <c r="AG8" s="3469">
        <v>0</v>
      </c>
      <c r="AH8" s="3481"/>
      <c r="AI8" s="3098">
        <v>0</v>
      </c>
      <c r="AJ8" s="3474"/>
      <c r="AK8" s="3469">
        <v>0</v>
      </c>
      <c r="AL8" s="3474"/>
      <c r="AM8" s="3469">
        <v>0</v>
      </c>
      <c r="AN8" s="3474"/>
      <c r="AO8" s="3469">
        <v>0</v>
      </c>
      <c r="AP8" s="3474"/>
      <c r="AQ8" s="3469">
        <v>0</v>
      </c>
      <c r="AR8" s="3099"/>
    </row>
    <row r="9" spans="2:44" s="402" customFormat="1" ht="24.75" customHeight="1" x14ac:dyDescent="0.35">
      <c r="B9" s="1027"/>
      <c r="C9" s="11" t="s">
        <v>816</v>
      </c>
      <c r="D9" s="3475" t="s">
        <v>1534</v>
      </c>
      <c r="E9" s="3475"/>
      <c r="F9" s="3475"/>
      <c r="G9" s="3475"/>
      <c r="H9" s="3475"/>
      <c r="I9" s="3475"/>
      <c r="J9" s="3475"/>
      <c r="K9" s="3475"/>
      <c r="L9" s="3475"/>
      <c r="M9" s="3475"/>
      <c r="N9" s="3475"/>
      <c r="O9" s="3475"/>
      <c r="P9" s="3475"/>
      <c r="Q9" s="3475"/>
      <c r="R9" s="3475"/>
      <c r="S9" s="3475"/>
      <c r="T9" s="3475"/>
      <c r="U9" s="3475"/>
      <c r="V9" s="3475"/>
      <c r="W9" s="3475"/>
      <c r="X9" s="3475"/>
      <c r="Y9" s="3475"/>
      <c r="Z9" s="3475"/>
      <c r="AA9" s="3475"/>
      <c r="AB9" s="3475"/>
      <c r="AC9" s="3475"/>
      <c r="AD9" s="3475"/>
      <c r="AE9" s="3475"/>
      <c r="AF9" s="3475"/>
      <c r="AG9" s="3475"/>
      <c r="AH9" s="3475"/>
      <c r="AI9" s="3475"/>
      <c r="AJ9" s="3475"/>
      <c r="AK9" s="3475"/>
      <c r="AL9" s="3475"/>
      <c r="AM9" s="3475"/>
      <c r="AN9" s="3475"/>
      <c r="AO9" s="3475"/>
      <c r="AP9" s="3475"/>
      <c r="AQ9" s="3475"/>
      <c r="AR9" s="3476"/>
    </row>
    <row r="10" spans="2:44" s="402" customFormat="1" ht="24.75" customHeight="1" x14ac:dyDescent="0.35">
      <c r="B10" s="1027"/>
      <c r="C10" s="12"/>
      <c r="D10" s="12" t="s">
        <v>1233</v>
      </c>
      <c r="E10" s="13"/>
      <c r="F10" s="14"/>
      <c r="G10" s="43"/>
      <c r="H10" s="43"/>
      <c r="I10" s="43"/>
      <c r="J10" s="43"/>
      <c r="K10" s="43"/>
      <c r="L10" s="43"/>
      <c r="M10" s="43"/>
      <c r="N10" s="43"/>
      <c r="O10" s="43"/>
      <c r="P10" s="43"/>
      <c r="Q10" s="43"/>
      <c r="R10" s="43"/>
      <c r="S10" s="43"/>
      <c r="T10" s="43"/>
      <c r="U10" s="3462"/>
      <c r="V10" s="3462"/>
      <c r="W10" s="3462"/>
      <c r="X10" s="3462"/>
      <c r="Y10" s="3462"/>
      <c r="Z10" s="3462"/>
      <c r="AA10" s="3462"/>
      <c r="AB10" s="3462"/>
      <c r="AC10" s="3462"/>
      <c r="AD10" s="3462"/>
      <c r="AE10" s="3462"/>
      <c r="AF10" s="3462"/>
      <c r="AG10" s="3462"/>
      <c r="AH10" s="3462"/>
      <c r="AI10" s="3462"/>
      <c r="AJ10" s="3462"/>
      <c r="AK10" s="3462"/>
      <c r="AL10" s="3462"/>
      <c r="AM10" s="3462"/>
      <c r="AN10" s="3462"/>
      <c r="AO10" s="3462"/>
      <c r="AP10" s="3462"/>
      <c r="AQ10" s="3462"/>
      <c r="AR10" s="3463"/>
    </row>
    <row r="11" spans="2:44" s="403" customFormat="1" ht="25" customHeight="1" x14ac:dyDescent="0.35">
      <c r="B11" s="1004"/>
      <c r="C11" s="986"/>
      <c r="D11" s="986"/>
      <c r="E11" s="986"/>
      <c r="F11" s="986" t="s">
        <v>511</v>
      </c>
      <c r="G11" s="986"/>
      <c r="H11" s="986"/>
      <c r="I11" s="986"/>
      <c r="J11" s="986"/>
      <c r="K11" s="986"/>
      <c r="L11" s="986"/>
      <c r="M11" s="986"/>
      <c r="N11" s="986"/>
      <c r="O11" s="986"/>
      <c r="P11" s="986"/>
      <c r="Q11" s="986"/>
      <c r="R11" s="986"/>
      <c r="S11" s="986"/>
      <c r="T11" s="1017"/>
      <c r="U11" s="3097">
        <v>0</v>
      </c>
      <c r="V11" s="3098"/>
      <c r="W11" s="3469">
        <v>0</v>
      </c>
      <c r="X11" s="3474"/>
      <c r="Y11" s="3469">
        <v>0</v>
      </c>
      <c r="Z11" s="3474"/>
      <c r="AA11" s="3469">
        <v>0</v>
      </c>
      <c r="AB11" s="3474"/>
      <c r="AC11" s="3469">
        <v>0</v>
      </c>
      <c r="AD11" s="3474"/>
      <c r="AE11" s="3469">
        <v>0</v>
      </c>
      <c r="AF11" s="3474"/>
      <c r="AG11" s="3469">
        <v>0</v>
      </c>
      <c r="AH11" s="3481"/>
      <c r="AI11" s="3098">
        <v>0</v>
      </c>
      <c r="AJ11" s="3474"/>
      <c r="AK11" s="3469">
        <v>0</v>
      </c>
      <c r="AL11" s="3474"/>
      <c r="AM11" s="3469">
        <v>0</v>
      </c>
      <c r="AN11" s="3474"/>
      <c r="AO11" s="3469">
        <v>0</v>
      </c>
      <c r="AP11" s="3474"/>
      <c r="AQ11" s="3469">
        <v>0</v>
      </c>
      <c r="AR11" s="3099"/>
    </row>
    <row r="12" spans="2:44" s="403" customFormat="1" ht="25" customHeight="1" x14ac:dyDescent="0.35">
      <c r="B12" s="1004"/>
      <c r="C12" s="986"/>
      <c r="D12" s="986"/>
      <c r="E12" s="986"/>
      <c r="F12" s="3488" t="s">
        <v>417</v>
      </c>
      <c r="G12" s="3488"/>
      <c r="H12" s="3488"/>
      <c r="I12" s="3488"/>
      <c r="J12" s="3488"/>
      <c r="K12" s="3488"/>
      <c r="L12" s="3488"/>
      <c r="M12" s="3488"/>
      <c r="N12" s="3488"/>
      <c r="O12" s="3488"/>
      <c r="P12" s="3488"/>
      <c r="Q12" s="3488"/>
      <c r="R12" s="3488"/>
      <c r="S12" s="3488"/>
      <c r="T12" s="1017"/>
      <c r="U12" s="3097">
        <v>0</v>
      </c>
      <c r="V12" s="3098"/>
      <c r="W12" s="3469">
        <v>0</v>
      </c>
      <c r="X12" s="3474"/>
      <c r="Y12" s="3469">
        <v>0</v>
      </c>
      <c r="Z12" s="3474"/>
      <c r="AA12" s="3469">
        <v>0</v>
      </c>
      <c r="AB12" s="3474"/>
      <c r="AC12" s="3469">
        <v>0</v>
      </c>
      <c r="AD12" s="3474"/>
      <c r="AE12" s="3469">
        <v>0</v>
      </c>
      <c r="AF12" s="3474"/>
      <c r="AG12" s="3469">
        <v>0</v>
      </c>
      <c r="AH12" s="3481"/>
      <c r="AI12" s="3098">
        <v>0</v>
      </c>
      <c r="AJ12" s="3474"/>
      <c r="AK12" s="3469">
        <v>0</v>
      </c>
      <c r="AL12" s="3474"/>
      <c r="AM12" s="3469">
        <v>0</v>
      </c>
      <c r="AN12" s="3474"/>
      <c r="AO12" s="3469">
        <v>0</v>
      </c>
      <c r="AP12" s="3474"/>
      <c r="AQ12" s="3469">
        <v>0</v>
      </c>
      <c r="AR12" s="3099"/>
    </row>
    <row r="13" spans="2:44" s="403" customFormat="1" ht="21.75" customHeight="1" x14ac:dyDescent="0.35">
      <c r="B13" s="1023"/>
      <c r="C13" s="1024"/>
      <c r="D13" s="1024"/>
      <c r="E13" s="1024"/>
      <c r="F13" s="3480" t="s">
        <v>1093</v>
      </c>
      <c r="G13" s="3480"/>
      <c r="H13" s="3480"/>
      <c r="I13" s="3480"/>
      <c r="J13" s="3480"/>
      <c r="K13" s="3480"/>
      <c r="L13" s="3480"/>
      <c r="M13" s="3480"/>
      <c r="N13" s="3480"/>
      <c r="O13" s="3480"/>
      <c r="P13" s="3480"/>
      <c r="Q13" s="3480"/>
      <c r="R13" s="3480"/>
      <c r="S13" s="3480"/>
      <c r="T13" s="1025"/>
      <c r="U13" s="3094">
        <v>0</v>
      </c>
      <c r="V13" s="3483"/>
      <c r="W13" s="3482">
        <v>0</v>
      </c>
      <c r="X13" s="3483"/>
      <c r="Y13" s="3482">
        <v>0</v>
      </c>
      <c r="Z13" s="3483"/>
      <c r="AA13" s="3482">
        <v>0</v>
      </c>
      <c r="AB13" s="3483"/>
      <c r="AC13" s="3482">
        <v>0</v>
      </c>
      <c r="AD13" s="3483"/>
      <c r="AE13" s="3482">
        <v>0</v>
      </c>
      <c r="AF13" s="3483"/>
      <c r="AG13" s="3482">
        <v>0</v>
      </c>
      <c r="AH13" s="3496"/>
      <c r="AI13" s="3094">
        <v>0</v>
      </c>
      <c r="AJ13" s="3483"/>
      <c r="AK13" s="3482">
        <v>0</v>
      </c>
      <c r="AL13" s="3483"/>
      <c r="AM13" s="3482">
        <v>0</v>
      </c>
      <c r="AN13" s="3483"/>
      <c r="AO13" s="3482">
        <v>0</v>
      </c>
      <c r="AP13" s="3483"/>
      <c r="AQ13" s="3482">
        <v>0</v>
      </c>
      <c r="AR13" s="3096"/>
    </row>
    <row r="14" spans="2:44" s="403" customFormat="1" ht="25" customHeight="1" x14ac:dyDescent="0.35">
      <c r="B14" s="1005"/>
      <c r="C14" s="936"/>
      <c r="D14" s="936"/>
      <c r="E14" s="936"/>
      <c r="F14" s="3479"/>
      <c r="G14" s="3479"/>
      <c r="H14" s="3479"/>
      <c r="I14" s="3479"/>
      <c r="J14" s="3479"/>
      <c r="K14" s="3479"/>
      <c r="L14" s="3479"/>
      <c r="M14" s="3479"/>
      <c r="N14" s="3479"/>
      <c r="O14" s="3479"/>
      <c r="P14" s="3479"/>
      <c r="Q14" s="3479"/>
      <c r="R14" s="3479"/>
      <c r="S14" s="3479"/>
      <c r="T14" s="1016"/>
      <c r="U14" s="3455"/>
      <c r="V14" s="3424"/>
      <c r="W14" s="3423"/>
      <c r="X14" s="3424"/>
      <c r="Y14" s="3423"/>
      <c r="Z14" s="3424"/>
      <c r="AA14" s="3423"/>
      <c r="AB14" s="3424"/>
      <c r="AC14" s="3423"/>
      <c r="AD14" s="3424"/>
      <c r="AE14" s="3423"/>
      <c r="AF14" s="3424"/>
      <c r="AG14" s="3423"/>
      <c r="AH14" s="3456"/>
      <c r="AI14" s="3455"/>
      <c r="AJ14" s="3424"/>
      <c r="AK14" s="3423"/>
      <c r="AL14" s="3424"/>
      <c r="AM14" s="3423"/>
      <c r="AN14" s="3424"/>
      <c r="AO14" s="3423"/>
      <c r="AP14" s="3424"/>
      <c r="AQ14" s="3423"/>
      <c r="AR14" s="3457"/>
    </row>
    <row r="15" spans="2:44" s="403" customFormat="1" ht="15" customHeight="1" x14ac:dyDescent="0.35">
      <c r="B15" s="1020"/>
      <c r="C15" s="1021"/>
      <c r="D15" s="1021"/>
      <c r="E15" s="1021"/>
      <c r="F15" s="3492" t="str">
        <f>IF(AND(ISBLANK(disastercalamities_armedconfIct_stateactors_others_specify),SUM(U13:AR15)&gt;0), "Please specify.",  IF(AND(NOT(ISBLANK(disastercalamities_armedconfIct_stateactors_others_specify)),SUM(U13:AR15)=0),"Please provide details.",""))</f>
        <v/>
      </c>
      <c r="G15" s="3492"/>
      <c r="H15" s="3492"/>
      <c r="I15" s="3492"/>
      <c r="J15" s="3492"/>
      <c r="K15" s="3492"/>
      <c r="L15" s="3492"/>
      <c r="M15" s="3492"/>
      <c r="N15" s="3492"/>
      <c r="O15" s="3492"/>
      <c r="P15" s="3492"/>
      <c r="Q15" s="3492"/>
      <c r="R15" s="3492"/>
      <c r="S15" s="3492"/>
      <c r="T15" s="1022"/>
      <c r="U15" s="3487"/>
      <c r="V15" s="3485"/>
      <c r="W15" s="3484"/>
      <c r="X15" s="3485"/>
      <c r="Y15" s="3484"/>
      <c r="Z15" s="3485"/>
      <c r="AA15" s="3484"/>
      <c r="AB15" s="3485"/>
      <c r="AC15" s="3484"/>
      <c r="AD15" s="3485"/>
      <c r="AE15" s="3484"/>
      <c r="AF15" s="3485"/>
      <c r="AG15" s="3484"/>
      <c r="AH15" s="3497"/>
      <c r="AI15" s="3487"/>
      <c r="AJ15" s="3485"/>
      <c r="AK15" s="3484"/>
      <c r="AL15" s="3485"/>
      <c r="AM15" s="3484"/>
      <c r="AN15" s="3485"/>
      <c r="AO15" s="3484"/>
      <c r="AP15" s="3485"/>
      <c r="AQ15" s="3484"/>
      <c r="AR15" s="3486"/>
    </row>
    <row r="16" spans="2:44" s="402" customFormat="1" ht="24.75" customHeight="1" x14ac:dyDescent="0.35">
      <c r="B16" s="1027"/>
      <c r="C16" s="12"/>
      <c r="D16" s="12" t="s">
        <v>1234</v>
      </c>
      <c r="E16" s="14"/>
      <c r="F16" s="14"/>
      <c r="G16" s="43"/>
      <c r="H16" s="43"/>
      <c r="I16" s="43"/>
      <c r="J16" s="43"/>
      <c r="K16" s="43"/>
      <c r="L16" s="43"/>
      <c r="M16" s="43"/>
      <c r="N16" s="43"/>
      <c r="O16" s="43"/>
      <c r="P16" s="43"/>
      <c r="Q16" s="43"/>
      <c r="R16" s="43"/>
      <c r="S16" s="43"/>
      <c r="T16" s="43"/>
      <c r="U16" s="3462"/>
      <c r="V16" s="3462"/>
      <c r="W16" s="3462"/>
      <c r="X16" s="3462"/>
      <c r="Y16" s="3462"/>
      <c r="Z16" s="3462"/>
      <c r="AA16" s="3462"/>
      <c r="AB16" s="3462"/>
      <c r="AC16" s="3462"/>
      <c r="AD16" s="3462"/>
      <c r="AE16" s="3462"/>
      <c r="AF16" s="3462"/>
      <c r="AG16" s="3462"/>
      <c r="AH16" s="3462"/>
      <c r="AI16" s="3462"/>
      <c r="AJ16" s="3462"/>
      <c r="AK16" s="3462"/>
      <c r="AL16" s="3462"/>
      <c r="AM16" s="3462"/>
      <c r="AN16" s="3462"/>
      <c r="AO16" s="3462"/>
      <c r="AP16" s="3462"/>
      <c r="AQ16" s="3462"/>
      <c r="AR16" s="3463"/>
    </row>
    <row r="17" spans="2:44" s="403" customFormat="1" ht="25" customHeight="1" x14ac:dyDescent="0.35">
      <c r="B17" s="1004"/>
      <c r="C17" s="986"/>
      <c r="D17" s="986"/>
      <c r="E17" s="986"/>
      <c r="F17" s="3488" t="s">
        <v>421</v>
      </c>
      <c r="G17" s="3488"/>
      <c r="H17" s="3488"/>
      <c r="I17" s="3488"/>
      <c r="J17" s="3488"/>
      <c r="K17" s="3488"/>
      <c r="L17" s="3488"/>
      <c r="M17" s="3488"/>
      <c r="N17" s="3488"/>
      <c r="O17" s="3488"/>
      <c r="P17" s="3488"/>
      <c r="Q17" s="3488"/>
      <c r="R17" s="3488"/>
      <c r="S17" s="3488"/>
      <c r="T17" s="1017"/>
      <c r="U17" s="3097">
        <v>0</v>
      </c>
      <c r="V17" s="3098"/>
      <c r="W17" s="3469">
        <v>0</v>
      </c>
      <c r="X17" s="3474"/>
      <c r="Y17" s="3469">
        <v>0</v>
      </c>
      <c r="Z17" s="3474"/>
      <c r="AA17" s="3469">
        <v>0</v>
      </c>
      <c r="AB17" s="3474"/>
      <c r="AC17" s="3469">
        <v>0</v>
      </c>
      <c r="AD17" s="3474"/>
      <c r="AE17" s="3469">
        <v>0</v>
      </c>
      <c r="AF17" s="3474"/>
      <c r="AG17" s="3469">
        <v>0</v>
      </c>
      <c r="AH17" s="3481"/>
      <c r="AI17" s="3098">
        <v>0</v>
      </c>
      <c r="AJ17" s="3474"/>
      <c r="AK17" s="3469">
        <v>0</v>
      </c>
      <c r="AL17" s="3474"/>
      <c r="AM17" s="3469">
        <v>0</v>
      </c>
      <c r="AN17" s="3474"/>
      <c r="AO17" s="3469">
        <v>0</v>
      </c>
      <c r="AP17" s="3474"/>
      <c r="AQ17" s="3469">
        <v>0</v>
      </c>
      <c r="AR17" s="3099"/>
    </row>
    <row r="18" spans="2:44" s="403" customFormat="1" ht="25" customHeight="1" x14ac:dyDescent="0.35">
      <c r="B18" s="1004"/>
      <c r="C18" s="986"/>
      <c r="D18" s="986"/>
      <c r="E18" s="986"/>
      <c r="F18" s="3488" t="s">
        <v>419</v>
      </c>
      <c r="G18" s="3488"/>
      <c r="H18" s="3488"/>
      <c r="I18" s="3488"/>
      <c r="J18" s="3488"/>
      <c r="K18" s="3488"/>
      <c r="L18" s="3488"/>
      <c r="M18" s="3488"/>
      <c r="N18" s="3488"/>
      <c r="O18" s="3488"/>
      <c r="P18" s="3488"/>
      <c r="Q18" s="3488"/>
      <c r="R18" s="3488"/>
      <c r="S18" s="3488"/>
      <c r="T18" s="1017"/>
      <c r="U18" s="3097">
        <v>0</v>
      </c>
      <c r="V18" s="3098"/>
      <c r="W18" s="3469">
        <v>0</v>
      </c>
      <c r="X18" s="3474"/>
      <c r="Y18" s="3469">
        <v>0</v>
      </c>
      <c r="Z18" s="3474"/>
      <c r="AA18" s="3469">
        <v>0</v>
      </c>
      <c r="AB18" s="3474"/>
      <c r="AC18" s="3469">
        <v>0</v>
      </c>
      <c r="AD18" s="3474"/>
      <c r="AE18" s="3469">
        <v>0</v>
      </c>
      <c r="AF18" s="3474"/>
      <c r="AG18" s="3469">
        <v>0</v>
      </c>
      <c r="AH18" s="3481"/>
      <c r="AI18" s="3098">
        <v>0</v>
      </c>
      <c r="AJ18" s="3474"/>
      <c r="AK18" s="3469">
        <v>0</v>
      </c>
      <c r="AL18" s="3474"/>
      <c r="AM18" s="3469">
        <v>0</v>
      </c>
      <c r="AN18" s="3474"/>
      <c r="AO18" s="3469">
        <v>0</v>
      </c>
      <c r="AP18" s="3474"/>
      <c r="AQ18" s="3469">
        <v>0</v>
      </c>
      <c r="AR18" s="3099"/>
    </row>
    <row r="19" spans="2:44" s="403" customFormat="1" ht="55.5" customHeight="1" x14ac:dyDescent="0.35">
      <c r="B19" s="1004"/>
      <c r="C19" s="986"/>
      <c r="D19" s="986"/>
      <c r="E19" s="986"/>
      <c r="F19" s="3493" t="s">
        <v>813</v>
      </c>
      <c r="G19" s="3488"/>
      <c r="H19" s="3488"/>
      <c r="I19" s="3488"/>
      <c r="J19" s="3488"/>
      <c r="K19" s="3488"/>
      <c r="L19" s="3488"/>
      <c r="M19" s="3488"/>
      <c r="N19" s="3488"/>
      <c r="O19" s="3488"/>
      <c r="P19" s="3488"/>
      <c r="Q19" s="3488"/>
      <c r="R19" s="3488"/>
      <c r="S19" s="3488"/>
      <c r="T19" s="1017"/>
      <c r="U19" s="3097">
        <v>0</v>
      </c>
      <c r="V19" s="3098"/>
      <c r="W19" s="3469">
        <v>0</v>
      </c>
      <c r="X19" s="3474"/>
      <c r="Y19" s="3469">
        <v>0</v>
      </c>
      <c r="Z19" s="3474"/>
      <c r="AA19" s="3469">
        <v>0</v>
      </c>
      <c r="AB19" s="3474"/>
      <c r="AC19" s="3469">
        <v>0</v>
      </c>
      <c r="AD19" s="3474"/>
      <c r="AE19" s="3469">
        <v>0</v>
      </c>
      <c r="AF19" s="3474"/>
      <c r="AG19" s="3469">
        <v>0</v>
      </c>
      <c r="AH19" s="3481"/>
      <c r="AI19" s="3098">
        <v>0</v>
      </c>
      <c r="AJ19" s="3474"/>
      <c r="AK19" s="3469">
        <v>0</v>
      </c>
      <c r="AL19" s="3474"/>
      <c r="AM19" s="3469">
        <v>0</v>
      </c>
      <c r="AN19" s="3474"/>
      <c r="AO19" s="3469">
        <v>0</v>
      </c>
      <c r="AP19" s="3474"/>
      <c r="AQ19" s="3469">
        <v>0</v>
      </c>
      <c r="AR19" s="3099"/>
    </row>
    <row r="20" spans="2:44" s="403" customFormat="1" ht="25" customHeight="1" x14ac:dyDescent="0.35">
      <c r="B20" s="1004"/>
      <c r="C20" s="986"/>
      <c r="D20" s="986"/>
      <c r="E20" s="986"/>
      <c r="F20" s="3488" t="s">
        <v>420</v>
      </c>
      <c r="G20" s="3488"/>
      <c r="H20" s="3488"/>
      <c r="I20" s="3488"/>
      <c r="J20" s="3488"/>
      <c r="K20" s="3488"/>
      <c r="L20" s="3488"/>
      <c r="M20" s="3488"/>
      <c r="N20" s="3488"/>
      <c r="O20" s="3488"/>
      <c r="P20" s="3488"/>
      <c r="Q20" s="3488"/>
      <c r="R20" s="3488"/>
      <c r="S20" s="3488"/>
      <c r="T20" s="1017"/>
      <c r="U20" s="3097">
        <v>0</v>
      </c>
      <c r="V20" s="3098"/>
      <c r="W20" s="3469">
        <v>0</v>
      </c>
      <c r="X20" s="3474"/>
      <c r="Y20" s="3469">
        <v>0</v>
      </c>
      <c r="Z20" s="3474"/>
      <c r="AA20" s="3469">
        <v>0</v>
      </c>
      <c r="AB20" s="3474"/>
      <c r="AC20" s="3469">
        <v>0</v>
      </c>
      <c r="AD20" s="3474"/>
      <c r="AE20" s="3469">
        <v>0</v>
      </c>
      <c r="AF20" s="3474"/>
      <c r="AG20" s="3469">
        <v>0</v>
      </c>
      <c r="AH20" s="3481"/>
      <c r="AI20" s="3098">
        <v>0</v>
      </c>
      <c r="AJ20" s="3474"/>
      <c r="AK20" s="3469">
        <v>0</v>
      </c>
      <c r="AL20" s="3474"/>
      <c r="AM20" s="3469">
        <v>0</v>
      </c>
      <c r="AN20" s="3474"/>
      <c r="AO20" s="3469">
        <v>0</v>
      </c>
      <c r="AP20" s="3474"/>
      <c r="AQ20" s="3469">
        <v>0</v>
      </c>
      <c r="AR20" s="3099"/>
    </row>
    <row r="21" spans="2:44" s="403" customFormat="1" ht="25" customHeight="1" x14ac:dyDescent="0.35">
      <c r="B21" s="1004"/>
      <c r="C21" s="986"/>
      <c r="D21" s="986"/>
      <c r="E21" s="986"/>
      <c r="F21" s="3488" t="s">
        <v>418</v>
      </c>
      <c r="G21" s="3488"/>
      <c r="H21" s="3488"/>
      <c r="I21" s="3488"/>
      <c r="J21" s="3488"/>
      <c r="K21" s="3488"/>
      <c r="L21" s="3488"/>
      <c r="M21" s="3488"/>
      <c r="N21" s="3488"/>
      <c r="O21" s="3488"/>
      <c r="P21" s="3488"/>
      <c r="Q21" s="3488"/>
      <c r="R21" s="3488"/>
      <c r="S21" s="3488"/>
      <c r="T21" s="1017"/>
      <c r="U21" s="3097">
        <v>0</v>
      </c>
      <c r="V21" s="3098"/>
      <c r="W21" s="3469">
        <v>0</v>
      </c>
      <c r="X21" s="3474"/>
      <c r="Y21" s="3469">
        <v>0</v>
      </c>
      <c r="Z21" s="3474"/>
      <c r="AA21" s="3469">
        <v>0</v>
      </c>
      <c r="AB21" s="3474"/>
      <c r="AC21" s="3469">
        <v>0</v>
      </c>
      <c r="AD21" s="3474"/>
      <c r="AE21" s="3469">
        <v>0</v>
      </c>
      <c r="AF21" s="3474"/>
      <c r="AG21" s="3469">
        <v>0</v>
      </c>
      <c r="AH21" s="3481"/>
      <c r="AI21" s="3098">
        <v>0</v>
      </c>
      <c r="AJ21" s="3474"/>
      <c r="AK21" s="3469">
        <v>0</v>
      </c>
      <c r="AL21" s="3474"/>
      <c r="AM21" s="3469">
        <v>0</v>
      </c>
      <c r="AN21" s="3474"/>
      <c r="AO21" s="3469">
        <v>0</v>
      </c>
      <c r="AP21" s="3474"/>
      <c r="AQ21" s="3469">
        <v>0</v>
      </c>
      <c r="AR21" s="3099"/>
    </row>
    <row r="22" spans="2:44" s="403" customFormat="1" ht="21.75" customHeight="1" x14ac:dyDescent="0.35">
      <c r="B22" s="1023"/>
      <c r="C22" s="1024"/>
      <c r="D22" s="1024"/>
      <c r="E22" s="1024"/>
      <c r="F22" s="3480" t="s">
        <v>1093</v>
      </c>
      <c r="G22" s="3480"/>
      <c r="H22" s="3480"/>
      <c r="I22" s="3480"/>
      <c r="J22" s="3480"/>
      <c r="K22" s="3480"/>
      <c r="L22" s="3480"/>
      <c r="M22" s="3480"/>
      <c r="N22" s="3480"/>
      <c r="O22" s="3480"/>
      <c r="P22" s="3480"/>
      <c r="Q22" s="3480"/>
      <c r="R22" s="3480"/>
      <c r="S22" s="3480"/>
      <c r="T22" s="1025"/>
      <c r="U22" s="3094">
        <v>0</v>
      </c>
      <c r="V22" s="3483"/>
      <c r="W22" s="3482">
        <v>0</v>
      </c>
      <c r="X22" s="3483"/>
      <c r="Y22" s="3482">
        <v>0</v>
      </c>
      <c r="Z22" s="3483"/>
      <c r="AA22" s="3482">
        <v>0</v>
      </c>
      <c r="AB22" s="3483"/>
      <c r="AC22" s="3482">
        <v>0</v>
      </c>
      <c r="AD22" s="3483"/>
      <c r="AE22" s="3482">
        <v>0</v>
      </c>
      <c r="AF22" s="3483"/>
      <c r="AG22" s="3482">
        <v>0</v>
      </c>
      <c r="AH22" s="3496"/>
      <c r="AI22" s="3094">
        <v>0</v>
      </c>
      <c r="AJ22" s="3483"/>
      <c r="AK22" s="3482">
        <v>0</v>
      </c>
      <c r="AL22" s="3483"/>
      <c r="AM22" s="3482">
        <v>0</v>
      </c>
      <c r="AN22" s="3483"/>
      <c r="AO22" s="3482">
        <v>0</v>
      </c>
      <c r="AP22" s="3483"/>
      <c r="AQ22" s="3482">
        <v>0</v>
      </c>
      <c r="AR22" s="3096"/>
    </row>
    <row r="23" spans="2:44" s="403" customFormat="1" ht="25" customHeight="1" x14ac:dyDescent="0.35">
      <c r="B23" s="1005"/>
      <c r="C23" s="936"/>
      <c r="D23" s="936"/>
      <c r="E23" s="936"/>
      <c r="F23" s="3479"/>
      <c r="G23" s="3479"/>
      <c r="H23" s="3479"/>
      <c r="I23" s="3479"/>
      <c r="J23" s="3479"/>
      <c r="K23" s="3479"/>
      <c r="L23" s="3479"/>
      <c r="M23" s="3479"/>
      <c r="N23" s="3479"/>
      <c r="O23" s="3479"/>
      <c r="P23" s="3479"/>
      <c r="Q23" s="3479"/>
      <c r="R23" s="3479"/>
      <c r="S23" s="3479"/>
      <c r="T23" s="1016"/>
      <c r="U23" s="3455"/>
      <c r="V23" s="3424"/>
      <c r="W23" s="3423"/>
      <c r="X23" s="3424"/>
      <c r="Y23" s="3423"/>
      <c r="Z23" s="3424"/>
      <c r="AA23" s="3423"/>
      <c r="AB23" s="3424"/>
      <c r="AC23" s="3423"/>
      <c r="AD23" s="3424"/>
      <c r="AE23" s="3423"/>
      <c r="AF23" s="3424"/>
      <c r="AG23" s="3423"/>
      <c r="AH23" s="3456"/>
      <c r="AI23" s="3455"/>
      <c r="AJ23" s="3424"/>
      <c r="AK23" s="3423"/>
      <c r="AL23" s="3424"/>
      <c r="AM23" s="3423"/>
      <c r="AN23" s="3424"/>
      <c r="AO23" s="3423"/>
      <c r="AP23" s="3424"/>
      <c r="AQ23" s="3423"/>
      <c r="AR23" s="3457"/>
    </row>
    <row r="24" spans="2:44" s="403" customFormat="1" ht="15" customHeight="1" x14ac:dyDescent="0.35">
      <c r="B24" s="1020"/>
      <c r="C24" s="1021"/>
      <c r="D24" s="1021"/>
      <c r="E24" s="1021"/>
      <c r="F24" s="3492" t="str">
        <f>IF(AND(ISBLANK(disastercalamities_armedconfIct_nonstateactors_others_specify),SUM(U22:AR24)&gt;0), "Please specify.",  IF(AND(NOT(ISBLANK(disastercalamities_armedconfIct_nonstateactors_others_specify)),SUM(U22:AR24)=0),"Please provide details.",""))</f>
        <v/>
      </c>
      <c r="G24" s="3492"/>
      <c r="H24" s="3492"/>
      <c r="I24" s="3492"/>
      <c r="J24" s="3492"/>
      <c r="K24" s="3492"/>
      <c r="L24" s="3492"/>
      <c r="M24" s="3492"/>
      <c r="N24" s="3492"/>
      <c r="O24" s="3492"/>
      <c r="P24" s="3492"/>
      <c r="Q24" s="3492"/>
      <c r="R24" s="3492"/>
      <c r="S24" s="3492"/>
      <c r="T24" s="1022"/>
      <c r="U24" s="3487"/>
      <c r="V24" s="3485"/>
      <c r="W24" s="3484"/>
      <c r="X24" s="3485"/>
      <c r="Y24" s="3484"/>
      <c r="Z24" s="3485"/>
      <c r="AA24" s="3484"/>
      <c r="AB24" s="3485"/>
      <c r="AC24" s="3484"/>
      <c r="AD24" s="3485"/>
      <c r="AE24" s="3484"/>
      <c r="AF24" s="3485"/>
      <c r="AG24" s="3484"/>
      <c r="AH24" s="3497"/>
      <c r="AI24" s="3487"/>
      <c r="AJ24" s="3485"/>
      <c r="AK24" s="3484"/>
      <c r="AL24" s="3485"/>
      <c r="AM24" s="3484"/>
      <c r="AN24" s="3485"/>
      <c r="AO24" s="3484"/>
      <c r="AP24" s="3485"/>
      <c r="AQ24" s="3484"/>
      <c r="AR24" s="3486"/>
    </row>
    <row r="25" spans="2:44" s="402" customFormat="1" ht="24.75" customHeight="1" x14ac:dyDescent="0.35">
      <c r="B25" s="1029" t="s">
        <v>151</v>
      </c>
      <c r="C25" s="3489" t="s">
        <v>1535</v>
      </c>
      <c r="D25" s="3489"/>
      <c r="E25" s="3489"/>
      <c r="F25" s="3489"/>
      <c r="G25" s="3489"/>
      <c r="H25" s="3489"/>
      <c r="I25" s="3489"/>
      <c r="J25" s="3489"/>
      <c r="K25" s="3489"/>
      <c r="L25" s="3489"/>
      <c r="M25" s="3489"/>
      <c r="N25" s="3489"/>
      <c r="O25" s="3489"/>
      <c r="P25" s="3489"/>
      <c r="Q25" s="3489"/>
      <c r="R25" s="3489"/>
      <c r="S25" s="3489"/>
      <c r="T25" s="3489"/>
      <c r="U25" s="3489"/>
      <c r="V25" s="3489"/>
      <c r="W25" s="3489"/>
      <c r="X25" s="3489"/>
      <c r="Y25" s="3489"/>
      <c r="Z25" s="3489"/>
      <c r="AA25" s="3489"/>
      <c r="AB25" s="3489"/>
      <c r="AC25" s="3489"/>
      <c r="AD25" s="3489"/>
      <c r="AE25" s="3489"/>
      <c r="AF25" s="3489"/>
      <c r="AG25" s="3489"/>
      <c r="AH25" s="3489"/>
      <c r="AI25" s="3489"/>
      <c r="AJ25" s="3489"/>
      <c r="AK25" s="3489"/>
      <c r="AL25" s="3489"/>
      <c r="AM25" s="3489"/>
      <c r="AN25" s="3489"/>
      <c r="AO25" s="3489"/>
      <c r="AP25" s="3489"/>
      <c r="AQ25" s="3489"/>
      <c r="AR25" s="3490"/>
    </row>
    <row r="26" spans="2:44" s="402" customFormat="1" ht="24.5" customHeight="1" x14ac:dyDescent="0.35">
      <c r="B26" s="1030"/>
      <c r="C26" s="10" t="s">
        <v>817</v>
      </c>
      <c r="D26" s="3464" t="s">
        <v>1536</v>
      </c>
      <c r="E26" s="3464"/>
      <c r="F26" s="3464"/>
      <c r="G26" s="3464"/>
      <c r="H26" s="3464"/>
      <c r="I26" s="3464"/>
      <c r="J26" s="3464"/>
      <c r="K26" s="3464"/>
      <c r="L26" s="3464"/>
      <c r="M26" s="3464"/>
      <c r="N26" s="3464"/>
      <c r="O26" s="3464"/>
      <c r="P26" s="3464"/>
      <c r="Q26" s="3464"/>
      <c r="R26" s="3464"/>
      <c r="S26" s="3464"/>
      <c r="T26" s="3464"/>
      <c r="U26" s="3464"/>
      <c r="V26" s="3464"/>
      <c r="W26" s="3464"/>
      <c r="X26" s="3464"/>
      <c r="Y26" s="3464"/>
      <c r="Z26" s="3464"/>
      <c r="AA26" s="3464"/>
      <c r="AB26" s="3464"/>
      <c r="AC26" s="3464"/>
      <c r="AD26" s="3464"/>
      <c r="AE26" s="3464"/>
      <c r="AF26" s="3464"/>
      <c r="AG26" s="3464"/>
      <c r="AH26" s="3464"/>
      <c r="AI26" s="3464"/>
      <c r="AJ26" s="3464"/>
      <c r="AK26" s="3464"/>
      <c r="AL26" s="3464"/>
      <c r="AM26" s="3464"/>
      <c r="AN26" s="3464"/>
      <c r="AO26" s="3464"/>
      <c r="AP26" s="3464"/>
      <c r="AQ26" s="3464"/>
      <c r="AR26" s="3465"/>
    </row>
    <row r="27" spans="2:44" s="403" customFormat="1" ht="24.75" customHeight="1" x14ac:dyDescent="0.35">
      <c r="B27" s="1005"/>
      <c r="C27" s="936"/>
      <c r="D27" s="936"/>
      <c r="E27" s="936"/>
      <c r="F27" s="3491" t="s">
        <v>546</v>
      </c>
      <c r="G27" s="3491"/>
      <c r="H27" s="3491"/>
      <c r="I27" s="3491"/>
      <c r="J27" s="3491"/>
      <c r="K27" s="3491"/>
      <c r="L27" s="3491"/>
      <c r="M27" s="3491"/>
      <c r="N27" s="3491"/>
      <c r="O27" s="3491"/>
      <c r="P27" s="3491"/>
      <c r="Q27" s="3491"/>
      <c r="R27" s="3491"/>
      <c r="S27" s="3491"/>
      <c r="T27" s="1016"/>
      <c r="U27" s="3097">
        <v>0</v>
      </c>
      <c r="V27" s="3098"/>
      <c r="W27" s="3469">
        <v>0</v>
      </c>
      <c r="X27" s="3474"/>
      <c r="Y27" s="3469">
        <v>0</v>
      </c>
      <c r="Z27" s="3474"/>
      <c r="AA27" s="3469">
        <v>0</v>
      </c>
      <c r="AB27" s="3474"/>
      <c r="AC27" s="3469">
        <v>0</v>
      </c>
      <c r="AD27" s="3474"/>
      <c r="AE27" s="3469">
        <v>0</v>
      </c>
      <c r="AF27" s="3474"/>
      <c r="AG27" s="3469">
        <v>0</v>
      </c>
      <c r="AH27" s="3481"/>
      <c r="AI27" s="3098">
        <v>0</v>
      </c>
      <c r="AJ27" s="3474"/>
      <c r="AK27" s="3469">
        <v>0</v>
      </c>
      <c r="AL27" s="3474"/>
      <c r="AM27" s="3469">
        <v>0</v>
      </c>
      <c r="AN27" s="3474"/>
      <c r="AO27" s="3469">
        <v>0</v>
      </c>
      <c r="AP27" s="3474"/>
      <c r="AQ27" s="3469">
        <v>0</v>
      </c>
      <c r="AR27" s="3099"/>
    </row>
    <row r="28" spans="2:44" s="403" customFormat="1" ht="24.75" customHeight="1" x14ac:dyDescent="0.35">
      <c r="B28" s="1004"/>
      <c r="C28" s="986"/>
      <c r="D28" s="986"/>
      <c r="E28" s="986"/>
      <c r="F28" s="3488" t="s">
        <v>549</v>
      </c>
      <c r="G28" s="3488"/>
      <c r="H28" s="3488"/>
      <c r="I28" s="3488"/>
      <c r="J28" s="3488"/>
      <c r="K28" s="3488"/>
      <c r="L28" s="3488"/>
      <c r="M28" s="3488"/>
      <c r="N28" s="3488"/>
      <c r="O28" s="3488"/>
      <c r="P28" s="3488"/>
      <c r="Q28" s="3488"/>
      <c r="R28" s="3488"/>
      <c r="S28" s="3488"/>
      <c r="T28" s="1017"/>
      <c r="U28" s="3097">
        <v>0</v>
      </c>
      <c r="V28" s="3098"/>
      <c r="W28" s="3469">
        <v>0</v>
      </c>
      <c r="X28" s="3474"/>
      <c r="Y28" s="3469">
        <v>0</v>
      </c>
      <c r="Z28" s="3474"/>
      <c r="AA28" s="3469">
        <v>0</v>
      </c>
      <c r="AB28" s="3474"/>
      <c r="AC28" s="3469">
        <v>0</v>
      </c>
      <c r="AD28" s="3474"/>
      <c r="AE28" s="3469">
        <v>0</v>
      </c>
      <c r="AF28" s="3474"/>
      <c r="AG28" s="3469">
        <v>0</v>
      </c>
      <c r="AH28" s="3481"/>
      <c r="AI28" s="3098">
        <v>0</v>
      </c>
      <c r="AJ28" s="3474"/>
      <c r="AK28" s="3469">
        <v>0</v>
      </c>
      <c r="AL28" s="3474"/>
      <c r="AM28" s="3469">
        <v>0</v>
      </c>
      <c r="AN28" s="3474"/>
      <c r="AO28" s="3469">
        <v>0</v>
      </c>
      <c r="AP28" s="3474"/>
      <c r="AQ28" s="3469">
        <v>0</v>
      </c>
      <c r="AR28" s="3099"/>
    </row>
    <row r="29" spans="2:44" s="403" customFormat="1" ht="24.75" customHeight="1" x14ac:dyDescent="0.35">
      <c r="B29" s="1004"/>
      <c r="C29" s="986"/>
      <c r="D29" s="986"/>
      <c r="E29" s="986"/>
      <c r="F29" s="3488" t="s">
        <v>550</v>
      </c>
      <c r="G29" s="3488"/>
      <c r="H29" s="3488"/>
      <c r="I29" s="3488"/>
      <c r="J29" s="3488"/>
      <c r="K29" s="3488"/>
      <c r="L29" s="3488"/>
      <c r="M29" s="3488"/>
      <c r="N29" s="3488"/>
      <c r="O29" s="3488"/>
      <c r="P29" s="3488"/>
      <c r="Q29" s="3488"/>
      <c r="R29" s="3488"/>
      <c r="S29" s="3488"/>
      <c r="T29" s="1017"/>
      <c r="U29" s="3097">
        <v>0</v>
      </c>
      <c r="V29" s="3098"/>
      <c r="W29" s="3469">
        <v>0</v>
      </c>
      <c r="X29" s="3474"/>
      <c r="Y29" s="3469">
        <v>0</v>
      </c>
      <c r="Z29" s="3474"/>
      <c r="AA29" s="3469">
        <v>0</v>
      </c>
      <c r="AB29" s="3474"/>
      <c r="AC29" s="3469">
        <v>0</v>
      </c>
      <c r="AD29" s="3474"/>
      <c r="AE29" s="3469">
        <v>0</v>
      </c>
      <c r="AF29" s="3474"/>
      <c r="AG29" s="3469">
        <v>0</v>
      </c>
      <c r="AH29" s="3481"/>
      <c r="AI29" s="3098">
        <v>0</v>
      </c>
      <c r="AJ29" s="3474"/>
      <c r="AK29" s="3469">
        <v>0</v>
      </c>
      <c r="AL29" s="3474"/>
      <c r="AM29" s="3469">
        <v>0</v>
      </c>
      <c r="AN29" s="3474"/>
      <c r="AO29" s="3469">
        <v>0</v>
      </c>
      <c r="AP29" s="3474"/>
      <c r="AQ29" s="3469">
        <v>0</v>
      </c>
      <c r="AR29" s="3099"/>
    </row>
    <row r="30" spans="2:44" s="403" customFormat="1" ht="24.75" customHeight="1" x14ac:dyDescent="0.35">
      <c r="B30" s="1004"/>
      <c r="C30" s="986"/>
      <c r="D30" s="986"/>
      <c r="E30" s="986"/>
      <c r="F30" s="3488" t="s">
        <v>551</v>
      </c>
      <c r="G30" s="3488"/>
      <c r="H30" s="3488"/>
      <c r="I30" s="3488"/>
      <c r="J30" s="3488"/>
      <c r="K30" s="3488"/>
      <c r="L30" s="3488"/>
      <c r="M30" s="3488"/>
      <c r="N30" s="3488"/>
      <c r="O30" s="3488"/>
      <c r="P30" s="3488"/>
      <c r="Q30" s="3488"/>
      <c r="R30" s="3488"/>
      <c r="S30" s="3488"/>
      <c r="T30" s="1017"/>
      <c r="U30" s="3097">
        <v>0</v>
      </c>
      <c r="V30" s="3098"/>
      <c r="W30" s="3469">
        <v>0</v>
      </c>
      <c r="X30" s="3474"/>
      <c r="Y30" s="3469">
        <v>0</v>
      </c>
      <c r="Z30" s="3474"/>
      <c r="AA30" s="3469">
        <v>0</v>
      </c>
      <c r="AB30" s="3474"/>
      <c r="AC30" s="3469">
        <v>0</v>
      </c>
      <c r="AD30" s="3474"/>
      <c r="AE30" s="3469">
        <v>0</v>
      </c>
      <c r="AF30" s="3474"/>
      <c r="AG30" s="3469">
        <v>0</v>
      </c>
      <c r="AH30" s="3481"/>
      <c r="AI30" s="3098">
        <v>0</v>
      </c>
      <c r="AJ30" s="3474"/>
      <c r="AK30" s="3469">
        <v>0</v>
      </c>
      <c r="AL30" s="3474"/>
      <c r="AM30" s="3469">
        <v>0</v>
      </c>
      <c r="AN30" s="3474"/>
      <c r="AO30" s="3469">
        <v>0</v>
      </c>
      <c r="AP30" s="3474"/>
      <c r="AQ30" s="3469">
        <v>0</v>
      </c>
      <c r="AR30" s="3099"/>
    </row>
    <row r="31" spans="2:44" s="403" customFormat="1" ht="24.75" customHeight="1" x14ac:dyDescent="0.35">
      <c r="B31" s="1004"/>
      <c r="C31" s="986"/>
      <c r="D31" s="986"/>
      <c r="E31" s="986"/>
      <c r="F31" s="3488" t="s">
        <v>547</v>
      </c>
      <c r="G31" s="3488"/>
      <c r="H31" s="3488"/>
      <c r="I31" s="3488"/>
      <c r="J31" s="3488"/>
      <c r="K31" s="3488"/>
      <c r="L31" s="3488"/>
      <c r="M31" s="3488"/>
      <c r="N31" s="3488"/>
      <c r="O31" s="3488"/>
      <c r="P31" s="3488"/>
      <c r="Q31" s="3488"/>
      <c r="R31" s="3488"/>
      <c r="S31" s="3488"/>
      <c r="T31" s="1017"/>
      <c r="U31" s="3097">
        <v>0</v>
      </c>
      <c r="V31" s="3098"/>
      <c r="W31" s="3469">
        <v>0</v>
      </c>
      <c r="X31" s="3474"/>
      <c r="Y31" s="3469">
        <v>0</v>
      </c>
      <c r="Z31" s="3474"/>
      <c r="AA31" s="3469">
        <v>0</v>
      </c>
      <c r="AB31" s="3474"/>
      <c r="AC31" s="3469">
        <v>0</v>
      </c>
      <c r="AD31" s="3474"/>
      <c r="AE31" s="3469">
        <v>0</v>
      </c>
      <c r="AF31" s="3474"/>
      <c r="AG31" s="3469">
        <v>0</v>
      </c>
      <c r="AH31" s="3481"/>
      <c r="AI31" s="3098">
        <v>0</v>
      </c>
      <c r="AJ31" s="3474"/>
      <c r="AK31" s="3469">
        <v>0</v>
      </c>
      <c r="AL31" s="3474"/>
      <c r="AM31" s="3469">
        <v>0</v>
      </c>
      <c r="AN31" s="3474"/>
      <c r="AO31" s="3469">
        <v>0</v>
      </c>
      <c r="AP31" s="3474"/>
      <c r="AQ31" s="3469">
        <v>0</v>
      </c>
      <c r="AR31" s="3099"/>
    </row>
    <row r="32" spans="2:44" s="403" customFormat="1" ht="24.75" customHeight="1" thickBot="1" x14ac:dyDescent="0.4">
      <c r="B32" s="1018"/>
      <c r="C32" s="990"/>
      <c r="D32" s="990"/>
      <c r="E32" s="990"/>
      <c r="F32" s="3470" t="s">
        <v>548</v>
      </c>
      <c r="G32" s="3470"/>
      <c r="H32" s="3470"/>
      <c r="I32" s="3470"/>
      <c r="J32" s="3470"/>
      <c r="K32" s="3470"/>
      <c r="L32" s="3470"/>
      <c r="M32" s="3470"/>
      <c r="N32" s="3470"/>
      <c r="O32" s="3470"/>
      <c r="P32" s="3470"/>
      <c r="Q32" s="3470"/>
      <c r="R32" s="3470"/>
      <c r="S32" s="3470"/>
      <c r="T32" s="1019"/>
      <c r="U32" s="3471">
        <v>0</v>
      </c>
      <c r="V32" s="3472"/>
      <c r="W32" s="3466">
        <v>0</v>
      </c>
      <c r="X32" s="3467"/>
      <c r="Y32" s="3466">
        <v>0</v>
      </c>
      <c r="Z32" s="3467"/>
      <c r="AA32" s="3466">
        <v>0</v>
      </c>
      <c r="AB32" s="3467"/>
      <c r="AC32" s="3466">
        <v>0</v>
      </c>
      <c r="AD32" s="3467"/>
      <c r="AE32" s="3466">
        <v>0</v>
      </c>
      <c r="AF32" s="3467"/>
      <c r="AG32" s="3466">
        <v>0</v>
      </c>
      <c r="AH32" s="3473"/>
      <c r="AI32" s="3472">
        <v>0</v>
      </c>
      <c r="AJ32" s="3467"/>
      <c r="AK32" s="3466">
        <v>0</v>
      </c>
      <c r="AL32" s="3467"/>
      <c r="AM32" s="3466">
        <v>0</v>
      </c>
      <c r="AN32" s="3467"/>
      <c r="AO32" s="3466">
        <v>0</v>
      </c>
      <c r="AP32" s="3467"/>
      <c r="AQ32" s="3466">
        <v>0</v>
      </c>
      <c r="AR32" s="3468"/>
    </row>
    <row r="33" spans="2:46" s="403" customFormat="1" ht="12" customHeight="1" thickTop="1" x14ac:dyDescent="0.35">
      <c r="B33" s="936"/>
      <c r="C33" s="936"/>
      <c r="D33" s="936"/>
      <c r="E33" s="936"/>
      <c r="F33" s="1007"/>
      <c r="G33" s="1007"/>
      <c r="H33" s="1007"/>
      <c r="I33" s="1007"/>
      <c r="J33" s="1007"/>
      <c r="K33" s="1007"/>
      <c r="L33" s="1007"/>
      <c r="M33" s="1007"/>
      <c r="N33" s="1007"/>
      <c r="O33" s="1007"/>
      <c r="P33" s="1007"/>
      <c r="Q33" s="1007"/>
      <c r="R33" s="1007"/>
      <c r="S33" s="1007"/>
      <c r="T33" s="936"/>
      <c r="U33" s="1000"/>
      <c r="V33" s="1000"/>
      <c r="W33" s="1000"/>
      <c r="X33" s="1000"/>
      <c r="Y33" s="1000"/>
      <c r="Z33" s="1000"/>
      <c r="AA33" s="1000"/>
      <c r="AB33" s="1000"/>
      <c r="AC33" s="1000"/>
      <c r="AD33" s="1000"/>
      <c r="AE33" s="1000"/>
      <c r="AF33" s="1000"/>
      <c r="AG33" s="1000"/>
      <c r="AH33" s="1000"/>
      <c r="AI33" s="1000"/>
      <c r="AJ33" s="1000"/>
      <c r="AK33" s="1000"/>
      <c r="AL33" s="1000"/>
      <c r="AM33" s="1000"/>
      <c r="AN33" s="1000"/>
      <c r="AO33" s="1000"/>
      <c r="AP33" s="1000"/>
      <c r="AQ33" s="1000"/>
      <c r="AR33" s="1000"/>
    </row>
    <row r="34" spans="2:46" s="399" customFormat="1" ht="16.5" x14ac:dyDescent="0.35">
      <c r="B34" s="85" t="s">
        <v>1286</v>
      </c>
      <c r="F34" s="1001"/>
      <c r="G34" s="997"/>
      <c r="H34" s="997"/>
      <c r="I34" s="997"/>
      <c r="J34" s="997"/>
      <c r="K34" s="997"/>
      <c r="L34" s="997"/>
      <c r="M34" s="997"/>
      <c r="N34" s="997"/>
      <c r="O34" s="997"/>
      <c r="P34" s="997"/>
      <c r="Q34" s="997"/>
      <c r="R34" s="997"/>
      <c r="S34" s="997"/>
      <c r="T34" s="997"/>
      <c r="U34" s="997"/>
      <c r="V34" s="997"/>
      <c r="W34" s="997"/>
    </row>
    <row r="35" spans="2:46" s="124" customFormat="1" ht="33.75" customHeight="1" x14ac:dyDescent="0.3">
      <c r="C35" s="123"/>
      <c r="E35" s="123"/>
      <c r="G35" s="123"/>
      <c r="I35" s="123"/>
      <c r="K35" s="123"/>
      <c r="M35" s="123"/>
      <c r="R35" s="123"/>
      <c r="T35" s="123"/>
      <c r="V35" s="123"/>
      <c r="X35" s="123"/>
      <c r="Z35" s="123"/>
      <c r="AB35" s="123"/>
      <c r="AE35" s="123"/>
      <c r="AG35" s="123"/>
      <c r="AI35" s="123"/>
      <c r="AK35" s="123"/>
      <c r="AM35" s="123"/>
      <c r="AO35" s="123"/>
      <c r="AQ35" s="123"/>
    </row>
    <row r="36" spans="2:46" s="73" customFormat="1" ht="14" x14ac:dyDescent="0.3">
      <c r="B36" s="74" t="s">
        <v>913</v>
      </c>
      <c r="Q36" s="74" t="s">
        <v>846</v>
      </c>
      <c r="AF36" s="74" t="s">
        <v>922</v>
      </c>
    </row>
    <row r="37" spans="2:46" s="73" customFormat="1" ht="21.75" customHeight="1" x14ac:dyDescent="0.3">
      <c r="B37" s="74" t="s">
        <v>780</v>
      </c>
      <c r="F37" s="1482" t="str">
        <f>SchInfo!F38</f>
        <v>MELCHESIEDICK Q. BOLANIO/ March 17, 2023</v>
      </c>
      <c r="G37" s="1482"/>
      <c r="H37" s="1482"/>
      <c r="I37" s="1482"/>
      <c r="J37" s="1482"/>
      <c r="K37" s="1482"/>
      <c r="L37" s="1482"/>
      <c r="M37" s="1482"/>
      <c r="N37" s="1482"/>
      <c r="Q37" s="1482" t="str">
        <f>Table39!$Q37</f>
        <v>ELYN KENDRA D. DELA CRUZ  /  March 17, 2023</v>
      </c>
      <c r="R37" s="1482"/>
      <c r="S37" s="1482"/>
      <c r="T37" s="1482"/>
      <c r="U37" s="1482"/>
      <c r="V37" s="1482"/>
      <c r="W37" s="1482"/>
      <c r="X37" s="1482"/>
      <c r="Y37" s="1482"/>
      <c r="Z37" s="1482"/>
      <c r="AA37" s="1482"/>
      <c r="AB37" s="1482"/>
      <c r="AC37" s="1482"/>
      <c r="AF37" s="1484" t="str">
        <f>SchInfo!R38</f>
        <v>MICHAEL T. JAMIS   /  March 17, 2023</v>
      </c>
      <c r="AG37" s="1484"/>
      <c r="AH37" s="1484"/>
      <c r="AI37" s="1484"/>
      <c r="AJ37" s="1484"/>
      <c r="AK37" s="1484"/>
      <c r="AL37" s="1484"/>
      <c r="AM37" s="1484"/>
      <c r="AN37" s="1484"/>
      <c r="AO37" s="1484"/>
      <c r="AP37" s="1484"/>
      <c r="AQ37" s="1484"/>
      <c r="AR37" s="1484"/>
    </row>
    <row r="38" spans="2:46" s="68" customFormat="1" ht="15" customHeight="1" x14ac:dyDescent="0.3">
      <c r="B38" s="210"/>
      <c r="F38" s="1452" t="s">
        <v>779</v>
      </c>
      <c r="G38" s="1452"/>
      <c r="H38" s="1452"/>
      <c r="I38" s="1452"/>
      <c r="J38" s="1452"/>
      <c r="K38" s="1452"/>
      <c r="L38" s="1452"/>
      <c r="M38" s="1452"/>
      <c r="N38" s="1452"/>
      <c r="O38" s="210"/>
      <c r="P38" s="210"/>
      <c r="Q38" s="1452" t="s">
        <v>779</v>
      </c>
      <c r="R38" s="1452"/>
      <c r="S38" s="1452"/>
      <c r="T38" s="1452"/>
      <c r="U38" s="1452"/>
      <c r="V38" s="1452"/>
      <c r="W38" s="1452"/>
      <c r="X38" s="1452"/>
      <c r="Y38" s="1452"/>
      <c r="Z38" s="1452"/>
      <c r="AA38" s="1452"/>
      <c r="AB38" s="1452"/>
      <c r="AC38" s="1452"/>
      <c r="AD38" s="64"/>
      <c r="AE38" s="64"/>
      <c r="AF38" s="1485"/>
      <c r="AG38" s="1485"/>
      <c r="AH38" s="1485"/>
      <c r="AI38" s="1485"/>
      <c r="AJ38" s="1485"/>
      <c r="AK38" s="1485"/>
      <c r="AL38" s="1485"/>
      <c r="AM38" s="1485"/>
      <c r="AN38" s="1485"/>
      <c r="AO38" s="1485"/>
      <c r="AP38" s="1485"/>
      <c r="AQ38" s="1485"/>
      <c r="AR38" s="1485"/>
    </row>
    <row r="39" spans="2:46" s="73" customFormat="1" ht="21.75" customHeight="1" x14ac:dyDescent="0.35">
      <c r="B39" s="74" t="s">
        <v>784</v>
      </c>
      <c r="F39" s="1482" t="str">
        <f>SchInfo!F40</f>
        <v>Principal IV</v>
      </c>
      <c r="G39" s="1482"/>
      <c r="H39" s="1482"/>
      <c r="I39" s="1482"/>
      <c r="J39" s="1482"/>
      <c r="K39" s="1482"/>
      <c r="L39" s="1482"/>
      <c r="M39" s="1482"/>
      <c r="N39" s="1482"/>
      <c r="P39" s="44"/>
      <c r="Q39" s="74" t="s">
        <v>784</v>
      </c>
      <c r="U39" s="1482" t="str">
        <f>Table39!U39</f>
        <v>Project Development Officer III</v>
      </c>
      <c r="V39" s="1482"/>
      <c r="W39" s="1482"/>
      <c r="X39" s="1482"/>
      <c r="Y39" s="1482"/>
      <c r="Z39" s="1482"/>
      <c r="AA39" s="1482"/>
      <c r="AB39" s="1482"/>
      <c r="AC39" s="1482"/>
      <c r="AF39" s="1452" t="s">
        <v>779</v>
      </c>
      <c r="AG39" s="1452"/>
      <c r="AH39" s="1452"/>
      <c r="AI39" s="1452"/>
      <c r="AJ39" s="1452"/>
      <c r="AK39" s="1452"/>
      <c r="AL39" s="1452"/>
      <c r="AM39" s="1452"/>
      <c r="AN39" s="1452"/>
      <c r="AO39" s="1452"/>
      <c r="AP39" s="1452"/>
      <c r="AQ39" s="1452"/>
      <c r="AR39" s="1452"/>
    </row>
    <row r="40" spans="2:46" x14ac:dyDescent="0.35">
      <c r="Q40" s="87"/>
      <c r="R40" s="87"/>
      <c r="S40" s="87"/>
      <c r="T40" s="87"/>
      <c r="U40" s="87"/>
      <c r="V40" s="87"/>
      <c r="W40" s="87"/>
      <c r="X40" s="87"/>
      <c r="Y40" s="87"/>
      <c r="Z40" s="87"/>
      <c r="AA40" s="87"/>
      <c r="AL40" s="87"/>
      <c r="AM40" s="87"/>
      <c r="AN40" s="87"/>
      <c r="AO40" s="87"/>
      <c r="AP40" s="87"/>
    </row>
    <row r="41" spans="2:46" s="765" customFormat="1" x14ac:dyDescent="0.35"/>
    <row r="42" spans="2:46" s="765" customFormat="1" ht="19.5" customHeight="1" x14ac:dyDescent="0.35"/>
    <row r="43" spans="2:46" s="765" customFormat="1" x14ac:dyDescent="0.35"/>
    <row r="44" spans="2:46" s="765" customFormat="1" x14ac:dyDescent="0.35">
      <c r="B44" s="748"/>
    </row>
    <row r="45" spans="2:46" ht="18" customHeight="1" x14ac:dyDescent="0.35"/>
    <row r="47" spans="2:46" x14ac:dyDescent="0.35">
      <c r="AT47" s="210"/>
    </row>
  </sheetData>
  <sheetProtection algorithmName="SHA-512" hashValue="usI84vbZSLBSe2k4PVAk0wgZIUG875SUWNLQNfXFjp3sPSYfJg68AQLJ/MfYWZDRpWNcFusQQGpGYTcX3VAfaA==" saltValue="5j2OrbwOb11mda3Ap5Gfpw==" spinCount="100000" sheet="1" objects="1" scenarios="1"/>
  <mergeCells count="240">
    <mergeCell ref="AA13:AB15"/>
    <mergeCell ref="AC13:AD15"/>
    <mergeCell ref="AE13:AF15"/>
    <mergeCell ref="AG13:AH15"/>
    <mergeCell ref="AI13:AJ15"/>
    <mergeCell ref="AK13:AL15"/>
    <mergeCell ref="AK22:AL24"/>
    <mergeCell ref="AM22:AN24"/>
    <mergeCell ref="AO22:AP24"/>
    <mergeCell ref="AA22:AB24"/>
    <mergeCell ref="AC22:AD24"/>
    <mergeCell ref="AE22:AF24"/>
    <mergeCell ref="AG22:AH24"/>
    <mergeCell ref="AI22:AJ24"/>
    <mergeCell ref="AE19:AF19"/>
    <mergeCell ref="AG19:AH19"/>
    <mergeCell ref="AM17:AN17"/>
    <mergeCell ref="AO17:AP17"/>
    <mergeCell ref="AC20:AD20"/>
    <mergeCell ref="AE20:AF20"/>
    <mergeCell ref="AG20:AH20"/>
    <mergeCell ref="AI19:AJ19"/>
    <mergeCell ref="AK19:AL19"/>
    <mergeCell ref="AM19:AN19"/>
    <mergeCell ref="AI5:AJ5"/>
    <mergeCell ref="AK5:AL5"/>
    <mergeCell ref="AM5:AN5"/>
    <mergeCell ref="AO5:AP5"/>
    <mergeCell ref="AQ5:AR5"/>
    <mergeCell ref="C6:AR6"/>
    <mergeCell ref="B4:T5"/>
    <mergeCell ref="U4:AH4"/>
    <mergeCell ref="AI4:AR4"/>
    <mergeCell ref="U5:V5"/>
    <mergeCell ref="W5:X5"/>
    <mergeCell ref="Y5:Z5"/>
    <mergeCell ref="AA5:AB5"/>
    <mergeCell ref="AC5:AD5"/>
    <mergeCell ref="AE5:AF5"/>
    <mergeCell ref="AG5:AH5"/>
    <mergeCell ref="F15:S15"/>
    <mergeCell ref="Y8:Z8"/>
    <mergeCell ref="AA8:AB8"/>
    <mergeCell ref="AC8:AD8"/>
    <mergeCell ref="AE8:AF8"/>
    <mergeCell ref="AQ11:AR11"/>
    <mergeCell ref="F12:S12"/>
    <mergeCell ref="U12:V12"/>
    <mergeCell ref="W12:X12"/>
    <mergeCell ref="Y12:Z12"/>
    <mergeCell ref="AA12:AB12"/>
    <mergeCell ref="AC12:AD12"/>
    <mergeCell ref="AE12:AF12"/>
    <mergeCell ref="AG12:AH12"/>
    <mergeCell ref="AI12:AJ12"/>
    <mergeCell ref="AE11:AF11"/>
    <mergeCell ref="AG11:AH11"/>
    <mergeCell ref="AI11:AJ11"/>
    <mergeCell ref="AK11:AL11"/>
    <mergeCell ref="AM11:AN11"/>
    <mergeCell ref="AO11:AP11"/>
    <mergeCell ref="AK8:AL8"/>
    <mergeCell ref="AM8:AN8"/>
    <mergeCell ref="AO8:AP8"/>
    <mergeCell ref="AQ17:AR17"/>
    <mergeCell ref="F18:S18"/>
    <mergeCell ref="U18:V18"/>
    <mergeCell ref="W18:X18"/>
    <mergeCell ref="Y18:Z18"/>
    <mergeCell ref="AA18:AB18"/>
    <mergeCell ref="AO18:AP18"/>
    <mergeCell ref="AQ18:AR18"/>
    <mergeCell ref="AI18:AJ18"/>
    <mergeCell ref="AK18:AL18"/>
    <mergeCell ref="AM18:AN18"/>
    <mergeCell ref="F17:S17"/>
    <mergeCell ref="U17:V17"/>
    <mergeCell ref="W17:X17"/>
    <mergeCell ref="Y17:Z17"/>
    <mergeCell ref="AA17:AB17"/>
    <mergeCell ref="AC17:AD17"/>
    <mergeCell ref="AE17:AF17"/>
    <mergeCell ref="AG17:AH17"/>
    <mergeCell ref="AC18:AD18"/>
    <mergeCell ref="AE18:AF18"/>
    <mergeCell ref="AG18:AH18"/>
    <mergeCell ref="AI17:AJ17"/>
    <mergeCell ref="AK17:AL17"/>
    <mergeCell ref="AO19:AP19"/>
    <mergeCell ref="AQ19:AR19"/>
    <mergeCell ref="F20:S20"/>
    <mergeCell ref="U20:V20"/>
    <mergeCell ref="W20:X20"/>
    <mergeCell ref="Y20:Z20"/>
    <mergeCell ref="AA20:AB20"/>
    <mergeCell ref="AO20:AP20"/>
    <mergeCell ref="AQ20:AR20"/>
    <mergeCell ref="AI20:AJ20"/>
    <mergeCell ref="AK20:AL20"/>
    <mergeCell ref="AM20:AN20"/>
    <mergeCell ref="F19:S19"/>
    <mergeCell ref="U19:V19"/>
    <mergeCell ref="W19:X19"/>
    <mergeCell ref="Y19:Z19"/>
    <mergeCell ref="AA19:AB19"/>
    <mergeCell ref="AC19:AD19"/>
    <mergeCell ref="F21:S21"/>
    <mergeCell ref="U21:V21"/>
    <mergeCell ref="W21:X21"/>
    <mergeCell ref="Y21:Z21"/>
    <mergeCell ref="AA21:AB21"/>
    <mergeCell ref="AC21:AD21"/>
    <mergeCell ref="AE21:AF21"/>
    <mergeCell ref="AG21:AH21"/>
    <mergeCell ref="AQ22:AR24"/>
    <mergeCell ref="F23:S23"/>
    <mergeCell ref="F24:S24"/>
    <mergeCell ref="U22:V24"/>
    <mergeCell ref="W22:X24"/>
    <mergeCell ref="Y22:Z24"/>
    <mergeCell ref="F22:S22"/>
    <mergeCell ref="AQ27:AR27"/>
    <mergeCell ref="AE27:AF27"/>
    <mergeCell ref="AG27:AH27"/>
    <mergeCell ref="AI27:AJ27"/>
    <mergeCell ref="AK27:AL27"/>
    <mergeCell ref="AM27:AN27"/>
    <mergeCell ref="AI28:AJ28"/>
    <mergeCell ref="AI21:AJ21"/>
    <mergeCell ref="AK21:AL21"/>
    <mergeCell ref="AM21:AN21"/>
    <mergeCell ref="AO21:AP21"/>
    <mergeCell ref="AQ21:AR21"/>
    <mergeCell ref="C25:AR25"/>
    <mergeCell ref="AQ28:AR28"/>
    <mergeCell ref="F28:S28"/>
    <mergeCell ref="F27:S27"/>
    <mergeCell ref="U27:V27"/>
    <mergeCell ref="W27:X27"/>
    <mergeCell ref="Y27:Z27"/>
    <mergeCell ref="AA27:AB27"/>
    <mergeCell ref="AC27:AD27"/>
    <mergeCell ref="AK28:AL28"/>
    <mergeCell ref="AM28:AN28"/>
    <mergeCell ref="AO28:AP28"/>
    <mergeCell ref="AO27:AP27"/>
    <mergeCell ref="AG28:AH28"/>
    <mergeCell ref="U28:V28"/>
    <mergeCell ref="W28:X28"/>
    <mergeCell ref="Y28:Z28"/>
    <mergeCell ref="AA28:AB28"/>
    <mergeCell ref="AC28:AD28"/>
    <mergeCell ref="AE28:AF28"/>
    <mergeCell ref="AM31:AN31"/>
    <mergeCell ref="AO31:AP31"/>
    <mergeCell ref="F29:S29"/>
    <mergeCell ref="U29:V29"/>
    <mergeCell ref="W29:X29"/>
    <mergeCell ref="Y29:Z29"/>
    <mergeCell ref="AA29:AB29"/>
    <mergeCell ref="AC29:AD29"/>
    <mergeCell ref="AQ29:AR29"/>
    <mergeCell ref="AE29:AF29"/>
    <mergeCell ref="AG29:AH29"/>
    <mergeCell ref="AI29:AJ29"/>
    <mergeCell ref="AK29:AL29"/>
    <mergeCell ref="AM29:AN29"/>
    <mergeCell ref="AO29:AP29"/>
    <mergeCell ref="AQ13:AR15"/>
    <mergeCell ref="U13:V15"/>
    <mergeCell ref="W13:X15"/>
    <mergeCell ref="Y13:Z15"/>
    <mergeCell ref="AQ30:AR30"/>
    <mergeCell ref="F31:S31"/>
    <mergeCell ref="U31:V31"/>
    <mergeCell ref="W31:X31"/>
    <mergeCell ref="Y31:Z31"/>
    <mergeCell ref="AA31:AB31"/>
    <mergeCell ref="AC31:AD31"/>
    <mergeCell ref="F30:S30"/>
    <mergeCell ref="U30:V30"/>
    <mergeCell ref="W30:X30"/>
    <mergeCell ref="Y30:Z30"/>
    <mergeCell ref="AA30:AB30"/>
    <mergeCell ref="AC30:AD30"/>
    <mergeCell ref="AE30:AF30"/>
    <mergeCell ref="AG30:AH30"/>
    <mergeCell ref="AI30:AJ30"/>
    <mergeCell ref="AE31:AF31"/>
    <mergeCell ref="AG31:AH31"/>
    <mergeCell ref="AI31:AJ31"/>
    <mergeCell ref="AK31:AL31"/>
    <mergeCell ref="AI32:AJ32"/>
    <mergeCell ref="AK30:AL30"/>
    <mergeCell ref="AM30:AN30"/>
    <mergeCell ref="AO30:AP30"/>
    <mergeCell ref="D9:AR9"/>
    <mergeCell ref="D7:AR7"/>
    <mergeCell ref="F14:S14"/>
    <mergeCell ref="AC11:AD11"/>
    <mergeCell ref="AK12:AL12"/>
    <mergeCell ref="AM12:AN12"/>
    <mergeCell ref="AO12:AP12"/>
    <mergeCell ref="AQ12:AR12"/>
    <mergeCell ref="F13:S13"/>
    <mergeCell ref="U11:V11"/>
    <mergeCell ref="W11:X11"/>
    <mergeCell ref="Y11:Z11"/>
    <mergeCell ref="AA11:AB11"/>
    <mergeCell ref="AG8:AH8"/>
    <mergeCell ref="AI8:AJ8"/>
    <mergeCell ref="AQ8:AR8"/>
    <mergeCell ref="U8:V8"/>
    <mergeCell ref="W8:X8"/>
    <mergeCell ref="AM13:AN15"/>
    <mergeCell ref="AO13:AP15"/>
    <mergeCell ref="F37:N37"/>
    <mergeCell ref="Q37:AC37"/>
    <mergeCell ref="AF37:AR38"/>
    <mergeCell ref="F38:N38"/>
    <mergeCell ref="Q38:AC38"/>
    <mergeCell ref="F39:N39"/>
    <mergeCell ref="U39:AC39"/>
    <mergeCell ref="AF39:AR39"/>
    <mergeCell ref="U10:AR10"/>
    <mergeCell ref="U16:AR16"/>
    <mergeCell ref="D26:AR26"/>
    <mergeCell ref="AK32:AL32"/>
    <mergeCell ref="AM32:AN32"/>
    <mergeCell ref="AO32:AP32"/>
    <mergeCell ref="AQ32:AR32"/>
    <mergeCell ref="AQ31:AR31"/>
    <mergeCell ref="F32:S32"/>
    <mergeCell ref="U32:V32"/>
    <mergeCell ref="W32:X32"/>
    <mergeCell ref="Y32:Z32"/>
    <mergeCell ref="AA32:AB32"/>
    <mergeCell ref="AC32:AD32"/>
    <mergeCell ref="AE32:AF32"/>
    <mergeCell ref="AG32:AH32"/>
  </mergeCells>
  <dataValidations count="1">
    <dataValidation type="whole" allowBlank="1" showInputMessage="1" showErrorMessage="1" errorTitle="GJHSP SY 2022-2023" error="Please enter valid number between 0-99." sqref="U27:AR32 U8:AR8 U11:AR15 U17:AR24" xr:uid="{640E8267-290C-4E14-9E53-D5F7116B11A5}">
      <formula1>0</formula1>
      <formula2>99</formula2>
    </dataValidation>
  </dataValidations>
  <printOptions horizontalCentered="1" verticalCentered="1"/>
  <pageMargins left="0.25" right="0.25" top="0.2" bottom="0.2" header="0" footer="0.1"/>
  <pageSetup paperSize="9" scale="58" orientation="landscape" r:id="rId1"/>
  <headerFooter alignWithMargins="0">
    <oddFooter>&amp;L&amp;10&amp;F &amp;A&amp;R&amp;10Page 46 of 63</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4">
    <pageSetUpPr fitToPage="1"/>
  </sheetPr>
  <dimension ref="B1:BV30"/>
  <sheetViews>
    <sheetView showGridLines="0" topLeftCell="E1" zoomScaleNormal="100" workbookViewId="0">
      <selection activeCell="Y13" sqref="Y13:Z13"/>
    </sheetView>
  </sheetViews>
  <sheetFormatPr defaultColWidth="9" defaultRowHeight="15.5" x14ac:dyDescent="0.35"/>
  <cols>
    <col min="1" max="1" width="2.08203125" style="748" customWidth="1"/>
    <col min="2" max="44" width="3.58203125" style="748" customWidth="1"/>
    <col min="45" max="45" width="2.08203125" style="748" customWidth="1"/>
    <col min="46" max="262" width="3.58203125" style="748" customWidth="1"/>
    <col min="263" max="16384" width="9" style="748"/>
  </cols>
  <sheetData>
    <row r="1" spans="2:74" ht="12" customHeight="1" x14ac:dyDescent="0.35"/>
    <row r="2" spans="2:74" s="87" customFormat="1" ht="15.75" customHeight="1" x14ac:dyDescent="0.3">
      <c r="B2" s="1012" t="s">
        <v>1884</v>
      </c>
      <c r="C2" s="688"/>
      <c r="D2" s="688"/>
      <c r="E2" s="688"/>
      <c r="F2" s="688"/>
      <c r="G2" s="688"/>
      <c r="H2" s="688"/>
      <c r="I2" s="688"/>
      <c r="J2" s="688"/>
      <c r="K2" s="688"/>
      <c r="L2" s="688"/>
      <c r="M2" s="688"/>
      <c r="N2" s="688"/>
      <c r="O2" s="688"/>
      <c r="P2" s="688"/>
      <c r="Q2" s="688"/>
      <c r="R2" s="688"/>
      <c r="S2" s="688"/>
      <c r="T2" s="688"/>
      <c r="U2" s="688"/>
      <c r="V2" s="688"/>
      <c r="W2" s="688"/>
      <c r="X2" s="688"/>
      <c r="Y2" s="688"/>
      <c r="Z2" s="688"/>
      <c r="AA2" s="688"/>
      <c r="AB2" s="688"/>
      <c r="AC2" s="688"/>
      <c r="AD2" s="688"/>
      <c r="AE2" s="688"/>
      <c r="AF2" s="688"/>
      <c r="AG2" s="688"/>
      <c r="AH2" s="688"/>
      <c r="AI2" s="688"/>
      <c r="AJ2" s="688"/>
      <c r="AK2" s="688"/>
      <c r="AL2" s="688"/>
      <c r="AM2" s="688"/>
      <c r="AN2" s="688"/>
      <c r="AO2" s="688"/>
      <c r="AP2" s="688"/>
      <c r="AQ2" s="688"/>
      <c r="AR2" s="688"/>
      <c r="AS2" s="688"/>
      <c r="AT2" s="688"/>
      <c r="AU2" s="688"/>
      <c r="AV2" s="694"/>
      <c r="AW2" s="694"/>
      <c r="AX2" s="694"/>
      <c r="AY2" s="694"/>
      <c r="AZ2" s="694"/>
      <c r="BA2" s="694"/>
      <c r="BB2" s="694"/>
      <c r="BC2" s="694"/>
      <c r="BD2" s="694"/>
      <c r="BE2" s="694"/>
      <c r="BF2" s="694"/>
      <c r="BV2" s="691"/>
    </row>
    <row r="3" spans="2:74" s="87" customFormat="1" ht="15.75" customHeight="1" x14ac:dyDescent="0.3">
      <c r="B3" s="688"/>
      <c r="C3" s="688"/>
      <c r="D3" s="688"/>
      <c r="E3" s="688"/>
      <c r="F3" s="688"/>
      <c r="G3" s="688"/>
      <c r="H3" s="688"/>
      <c r="I3" s="688"/>
      <c r="J3" s="688"/>
      <c r="K3" s="688"/>
      <c r="L3" s="688"/>
      <c r="M3" s="688"/>
      <c r="N3" s="688"/>
      <c r="O3" s="688"/>
      <c r="P3" s="688"/>
      <c r="Q3" s="688"/>
      <c r="R3" s="688"/>
      <c r="S3" s="688"/>
      <c r="T3" s="688"/>
      <c r="U3" s="688"/>
      <c r="V3" s="688"/>
      <c r="W3" s="688"/>
      <c r="X3" s="688"/>
      <c r="Y3" s="688"/>
      <c r="Z3" s="688"/>
      <c r="AA3" s="688"/>
      <c r="AB3" s="688"/>
      <c r="AC3" s="688"/>
      <c r="AD3" s="688"/>
      <c r="AE3" s="688"/>
      <c r="AF3" s="688"/>
      <c r="AG3" s="688"/>
      <c r="AH3" s="688"/>
      <c r="AI3" s="688"/>
      <c r="AJ3" s="688"/>
      <c r="AK3" s="688"/>
      <c r="AL3" s="688"/>
      <c r="AM3" s="688"/>
      <c r="AN3" s="688"/>
      <c r="AO3" s="688"/>
      <c r="AP3" s="688"/>
      <c r="AQ3" s="688"/>
      <c r="AR3" s="688"/>
      <c r="AS3" s="688"/>
      <c r="AT3" s="688"/>
      <c r="AU3" s="688"/>
      <c r="AV3" s="694"/>
      <c r="AW3" s="694"/>
      <c r="AX3" s="694"/>
      <c r="AY3" s="694"/>
      <c r="AZ3" s="694"/>
      <c r="BA3" s="694"/>
      <c r="BB3" s="694"/>
      <c r="BC3" s="694"/>
      <c r="BD3" s="694"/>
      <c r="BE3" s="694"/>
      <c r="BF3" s="694"/>
      <c r="BV3" s="691"/>
    </row>
    <row r="4" spans="2:74" s="1033" customFormat="1" ht="65.5" customHeight="1" x14ac:dyDescent="0.35">
      <c r="B4" s="1034" t="s">
        <v>150</v>
      </c>
      <c r="C4" s="3460" t="s">
        <v>1537</v>
      </c>
      <c r="D4" s="3460"/>
      <c r="E4" s="3460"/>
      <c r="F4" s="3460"/>
      <c r="G4" s="3460"/>
      <c r="H4" s="3460"/>
      <c r="I4" s="3460"/>
      <c r="J4" s="3460"/>
      <c r="K4" s="3460"/>
      <c r="L4" s="3460"/>
      <c r="M4" s="3460"/>
      <c r="N4" s="3460"/>
      <c r="O4" s="3460"/>
      <c r="P4" s="3460"/>
      <c r="Q4" s="3460"/>
      <c r="R4" s="3460"/>
      <c r="S4" s="3460"/>
      <c r="T4" s="3460"/>
      <c r="U4" s="3460"/>
      <c r="V4" s="3460"/>
      <c r="W4" s="3460"/>
      <c r="X4" s="3460"/>
      <c r="Y4" s="3460"/>
      <c r="Z4" s="3460"/>
      <c r="AA4" s="3460"/>
      <c r="AB4" s="3460"/>
      <c r="AC4" s="3460"/>
      <c r="AD4" s="3460"/>
      <c r="AE4" s="3460"/>
      <c r="AF4" s="3460"/>
      <c r="AG4" s="3460"/>
      <c r="AH4" s="3460"/>
      <c r="AI4" s="3460"/>
      <c r="AJ4" s="3460"/>
      <c r="AK4" s="3460"/>
      <c r="AL4" s="3460"/>
      <c r="AM4" s="3460"/>
      <c r="AN4" s="3460"/>
      <c r="AO4" s="3460"/>
      <c r="AP4" s="3460"/>
      <c r="AQ4" s="3460"/>
      <c r="AR4" s="3460"/>
    </row>
    <row r="5" spans="2:74" s="1033" customFormat="1" ht="51.5" customHeight="1" x14ac:dyDescent="0.35">
      <c r="B5" s="1034" t="s">
        <v>151</v>
      </c>
      <c r="C5" s="3460" t="s">
        <v>1538</v>
      </c>
      <c r="D5" s="3460"/>
      <c r="E5" s="3460"/>
      <c r="F5" s="3460"/>
      <c r="G5" s="3460"/>
      <c r="H5" s="3460"/>
      <c r="I5" s="3460"/>
      <c r="J5" s="3460"/>
      <c r="K5" s="3460"/>
      <c r="L5" s="3460"/>
      <c r="M5" s="3460"/>
      <c r="N5" s="3460"/>
      <c r="O5" s="3460"/>
      <c r="P5" s="3460"/>
      <c r="Q5" s="3460"/>
      <c r="R5" s="3460"/>
      <c r="S5" s="3460"/>
      <c r="T5" s="3460"/>
      <c r="U5" s="3460"/>
      <c r="V5" s="3460"/>
      <c r="W5" s="3460"/>
      <c r="X5" s="3460"/>
      <c r="Y5" s="3460"/>
      <c r="Z5" s="3460"/>
      <c r="AA5" s="3460"/>
      <c r="AB5" s="3460"/>
      <c r="AC5" s="3460"/>
      <c r="AD5" s="3460"/>
      <c r="AE5" s="3460"/>
      <c r="AF5" s="3460"/>
      <c r="AG5" s="3460"/>
      <c r="AH5" s="3460"/>
      <c r="AI5" s="3460"/>
      <c r="AJ5" s="3460"/>
      <c r="AK5" s="3460"/>
      <c r="AL5" s="3460"/>
      <c r="AM5" s="3460"/>
      <c r="AN5" s="3460"/>
      <c r="AO5" s="3460"/>
      <c r="AP5" s="3460"/>
      <c r="AQ5" s="3460"/>
      <c r="AR5" s="3460"/>
    </row>
    <row r="6" spans="2:74" s="1033" customFormat="1" ht="83.25" customHeight="1" x14ac:dyDescent="0.35">
      <c r="B6" s="1034" t="s">
        <v>152</v>
      </c>
      <c r="C6" s="3460" t="s">
        <v>1539</v>
      </c>
      <c r="D6" s="3460"/>
      <c r="E6" s="3460"/>
      <c r="F6" s="3460"/>
      <c r="G6" s="3460"/>
      <c r="H6" s="3460"/>
      <c r="I6" s="3460"/>
      <c r="J6" s="3460"/>
      <c r="K6" s="3460"/>
      <c r="L6" s="3460"/>
      <c r="M6" s="3460"/>
      <c r="N6" s="3460"/>
      <c r="O6" s="3460"/>
      <c r="P6" s="3460"/>
      <c r="Q6" s="3460"/>
      <c r="R6" s="3460"/>
      <c r="S6" s="3460"/>
      <c r="T6" s="3460"/>
      <c r="U6" s="3460"/>
      <c r="V6" s="3460"/>
      <c r="W6" s="3460"/>
      <c r="X6" s="3460"/>
      <c r="Y6" s="3460"/>
      <c r="Z6" s="3460"/>
      <c r="AA6" s="3460"/>
      <c r="AB6" s="3460"/>
      <c r="AC6" s="3460"/>
      <c r="AD6" s="3460"/>
      <c r="AE6" s="3460"/>
      <c r="AF6" s="3460"/>
      <c r="AG6" s="3460"/>
      <c r="AH6" s="3460"/>
      <c r="AI6" s="3460"/>
      <c r="AJ6" s="3460"/>
      <c r="AK6" s="3460"/>
      <c r="AL6" s="3460"/>
      <c r="AM6" s="3460"/>
      <c r="AN6" s="3460"/>
      <c r="AO6" s="3460"/>
      <c r="AP6" s="3460"/>
      <c r="AQ6" s="3460"/>
      <c r="AR6" s="3460"/>
    </row>
    <row r="7" spans="2:74" ht="20.149999999999999" customHeight="1" x14ac:dyDescent="0.35"/>
    <row r="8" spans="2:74" s="399" customFormat="1" ht="16.5" customHeight="1" x14ac:dyDescent="0.35">
      <c r="B8" s="1006" t="s">
        <v>12746</v>
      </c>
      <c r="C8" s="1006"/>
      <c r="D8" s="1006"/>
      <c r="E8" s="1006"/>
      <c r="F8" s="1006"/>
      <c r="G8" s="1006"/>
      <c r="H8" s="1006"/>
      <c r="I8" s="1006"/>
      <c r="J8" s="1006"/>
      <c r="K8" s="1006"/>
      <c r="L8" s="1006"/>
      <c r="M8" s="1006"/>
      <c r="N8" s="1006"/>
      <c r="O8" s="1006"/>
      <c r="P8" s="1006"/>
      <c r="Q8" s="1006"/>
      <c r="R8" s="1006"/>
      <c r="S8" s="1026"/>
      <c r="T8" s="1026"/>
      <c r="U8" s="460"/>
      <c r="V8" s="460"/>
      <c r="W8" s="460"/>
      <c r="X8" s="460"/>
      <c r="Y8" s="460"/>
      <c r="Z8" s="460"/>
      <c r="AA8" s="460"/>
      <c r="AB8" s="460"/>
      <c r="AC8" s="460"/>
      <c r="AD8" s="460"/>
      <c r="AE8" s="460"/>
      <c r="AF8" s="460"/>
      <c r="AG8" s="460"/>
      <c r="AH8" s="460"/>
      <c r="AI8" s="460"/>
      <c r="AJ8" s="460"/>
      <c r="AK8" s="460"/>
      <c r="AL8" s="460"/>
    </row>
    <row r="9" spans="2:74" s="403" customFormat="1" ht="17" thickBot="1" x14ac:dyDescent="0.4">
      <c r="B9" s="1001" t="s">
        <v>1098</v>
      </c>
    </row>
    <row r="10" spans="2:74" s="402" customFormat="1" ht="17" thickTop="1" x14ac:dyDescent="0.35">
      <c r="B10" s="3430" t="s">
        <v>818</v>
      </c>
      <c r="C10" s="3431"/>
      <c r="D10" s="3431"/>
      <c r="E10" s="3431"/>
      <c r="F10" s="3431"/>
      <c r="G10" s="3431"/>
      <c r="H10" s="3431"/>
      <c r="I10" s="3431"/>
      <c r="J10" s="3431"/>
      <c r="K10" s="3431"/>
      <c r="L10" s="3431"/>
      <c r="M10" s="3431"/>
      <c r="N10" s="3431"/>
      <c r="O10" s="3431"/>
      <c r="P10" s="3431"/>
      <c r="Q10" s="3431"/>
      <c r="R10" s="3431"/>
      <c r="S10" s="3431"/>
      <c r="T10" s="3432"/>
      <c r="U10" s="3512">
        <v>2021</v>
      </c>
      <c r="V10" s="3503"/>
      <c r="W10" s="3503" t="s">
        <v>242</v>
      </c>
      <c r="X10" s="3503"/>
      <c r="Y10" s="3503" t="s">
        <v>243</v>
      </c>
      <c r="Z10" s="3503"/>
      <c r="AA10" s="3503" t="s">
        <v>244</v>
      </c>
      <c r="AB10" s="3503"/>
      <c r="AC10" s="3503" t="s">
        <v>245</v>
      </c>
      <c r="AD10" s="3503"/>
      <c r="AE10" s="3503" t="s">
        <v>246</v>
      </c>
      <c r="AF10" s="3503"/>
      <c r="AG10" s="3503" t="s">
        <v>247</v>
      </c>
      <c r="AH10" s="3513"/>
      <c r="AI10" s="3503">
        <v>2022</v>
      </c>
      <c r="AJ10" s="3503"/>
      <c r="AK10" s="3503" t="s">
        <v>249</v>
      </c>
      <c r="AL10" s="3503"/>
      <c r="AM10" s="3503" t="s">
        <v>250</v>
      </c>
      <c r="AN10" s="3503"/>
      <c r="AO10" s="3503" t="s">
        <v>449</v>
      </c>
      <c r="AP10" s="3503"/>
      <c r="AQ10" s="3503" t="s">
        <v>129</v>
      </c>
      <c r="AR10" s="3504"/>
    </row>
    <row r="11" spans="2:74" s="402" customFormat="1" ht="17" thickBot="1" x14ac:dyDescent="0.4">
      <c r="B11" s="3509" t="s">
        <v>563</v>
      </c>
      <c r="C11" s="3510"/>
      <c r="D11" s="3510"/>
      <c r="E11" s="3510"/>
      <c r="F11" s="3510"/>
      <c r="G11" s="3510"/>
      <c r="H11" s="3510"/>
      <c r="I11" s="3510"/>
      <c r="J11" s="3510"/>
      <c r="K11" s="3510"/>
      <c r="L11" s="3510"/>
      <c r="M11" s="3510"/>
      <c r="N11" s="3510"/>
      <c r="O11" s="3510"/>
      <c r="P11" s="3510"/>
      <c r="Q11" s="3510"/>
      <c r="R11" s="3510"/>
      <c r="S11" s="3510"/>
      <c r="T11" s="3511"/>
      <c r="U11" s="3505" t="s">
        <v>241</v>
      </c>
      <c r="V11" s="3498"/>
      <c r="W11" s="3498" t="s">
        <v>242</v>
      </c>
      <c r="X11" s="3498"/>
      <c r="Y11" s="3498" t="s">
        <v>243</v>
      </c>
      <c r="Z11" s="3498"/>
      <c r="AA11" s="3498" t="s">
        <v>244</v>
      </c>
      <c r="AB11" s="3498"/>
      <c r="AC11" s="3498" t="s">
        <v>245</v>
      </c>
      <c r="AD11" s="3498"/>
      <c r="AE11" s="3498" t="s">
        <v>246</v>
      </c>
      <c r="AF11" s="3498"/>
      <c r="AG11" s="3498" t="s">
        <v>247</v>
      </c>
      <c r="AH11" s="3507"/>
      <c r="AI11" s="3508" t="s">
        <v>248</v>
      </c>
      <c r="AJ11" s="3498"/>
      <c r="AK11" s="3498" t="s">
        <v>249</v>
      </c>
      <c r="AL11" s="3498"/>
      <c r="AM11" s="3498" t="s">
        <v>250</v>
      </c>
      <c r="AN11" s="3498"/>
      <c r="AO11" s="3498" t="s">
        <v>449</v>
      </c>
      <c r="AP11" s="3498"/>
      <c r="AQ11" s="3498" t="s">
        <v>129</v>
      </c>
      <c r="AR11" s="3501"/>
    </row>
    <row r="12" spans="2:74" s="403" customFormat="1" ht="24.75" customHeight="1" thickTop="1" x14ac:dyDescent="0.35">
      <c r="B12" s="1031"/>
      <c r="C12" s="3506" t="s">
        <v>552</v>
      </c>
      <c r="D12" s="3506"/>
      <c r="E12" s="3506"/>
      <c r="F12" s="3506"/>
      <c r="G12" s="3506"/>
      <c r="H12" s="3506"/>
      <c r="I12" s="3506"/>
      <c r="J12" s="3506"/>
      <c r="K12" s="3506"/>
      <c r="L12" s="3506"/>
      <c r="M12" s="3506"/>
      <c r="N12" s="3506"/>
      <c r="O12" s="3506"/>
      <c r="P12" s="3506"/>
      <c r="Q12" s="3506"/>
      <c r="R12" s="3506"/>
      <c r="S12" s="3506"/>
      <c r="T12" s="1032"/>
      <c r="U12" s="3100">
        <v>0</v>
      </c>
      <c r="V12" s="3101"/>
      <c r="W12" s="3499">
        <v>0</v>
      </c>
      <c r="X12" s="3500"/>
      <c r="Y12" s="3499">
        <v>0</v>
      </c>
      <c r="Z12" s="3500"/>
      <c r="AA12" s="3499">
        <v>0</v>
      </c>
      <c r="AB12" s="3500"/>
      <c r="AC12" s="3499">
        <v>0</v>
      </c>
      <c r="AD12" s="3500"/>
      <c r="AE12" s="3499">
        <v>0</v>
      </c>
      <c r="AF12" s="3500"/>
      <c r="AG12" s="3499">
        <v>0</v>
      </c>
      <c r="AH12" s="3502"/>
      <c r="AI12" s="3101">
        <v>0</v>
      </c>
      <c r="AJ12" s="3500"/>
      <c r="AK12" s="3499">
        <v>0</v>
      </c>
      <c r="AL12" s="3500"/>
      <c r="AM12" s="3499">
        <v>0</v>
      </c>
      <c r="AN12" s="3500"/>
      <c r="AO12" s="3499">
        <v>0</v>
      </c>
      <c r="AP12" s="3500"/>
      <c r="AQ12" s="3499">
        <v>0</v>
      </c>
      <c r="AR12" s="3102"/>
    </row>
    <row r="13" spans="2:74" s="403" customFormat="1" ht="24.75" customHeight="1" x14ac:dyDescent="0.35">
      <c r="B13" s="1004"/>
      <c r="C13" s="3493" t="s">
        <v>553</v>
      </c>
      <c r="D13" s="3493"/>
      <c r="E13" s="3493"/>
      <c r="F13" s="3493"/>
      <c r="G13" s="3493"/>
      <c r="H13" s="3493"/>
      <c r="I13" s="3493"/>
      <c r="J13" s="3493"/>
      <c r="K13" s="3493"/>
      <c r="L13" s="3493"/>
      <c r="M13" s="3493"/>
      <c r="N13" s="3493"/>
      <c r="O13" s="3493"/>
      <c r="P13" s="3493"/>
      <c r="Q13" s="3493"/>
      <c r="R13" s="3493"/>
      <c r="S13" s="3493"/>
      <c r="T13" s="1017"/>
      <c r="U13" s="3097">
        <v>0</v>
      </c>
      <c r="V13" s="3098"/>
      <c r="W13" s="3469">
        <v>0</v>
      </c>
      <c r="X13" s="3474"/>
      <c r="Y13" s="3469">
        <v>0</v>
      </c>
      <c r="Z13" s="3474"/>
      <c r="AA13" s="3469">
        <v>0</v>
      </c>
      <c r="AB13" s="3474"/>
      <c r="AC13" s="3469">
        <v>0</v>
      </c>
      <c r="AD13" s="3474"/>
      <c r="AE13" s="3469">
        <v>0</v>
      </c>
      <c r="AF13" s="3474"/>
      <c r="AG13" s="3469">
        <v>0</v>
      </c>
      <c r="AH13" s="3481"/>
      <c r="AI13" s="3098">
        <v>0</v>
      </c>
      <c r="AJ13" s="3474"/>
      <c r="AK13" s="3469">
        <v>0</v>
      </c>
      <c r="AL13" s="3474"/>
      <c r="AM13" s="3469">
        <v>0</v>
      </c>
      <c r="AN13" s="3474"/>
      <c r="AO13" s="3469">
        <v>0</v>
      </c>
      <c r="AP13" s="3474"/>
      <c r="AQ13" s="3469">
        <v>0</v>
      </c>
      <c r="AR13" s="3099"/>
    </row>
    <row r="14" spans="2:74" s="403" customFormat="1" ht="36" customHeight="1" x14ac:dyDescent="0.35">
      <c r="B14" s="1004"/>
      <c r="C14" s="3493" t="s">
        <v>819</v>
      </c>
      <c r="D14" s="3493"/>
      <c r="E14" s="3493"/>
      <c r="F14" s="3493"/>
      <c r="G14" s="3493"/>
      <c r="H14" s="3493"/>
      <c r="I14" s="3493"/>
      <c r="J14" s="3493"/>
      <c r="K14" s="3493"/>
      <c r="L14" s="3493"/>
      <c r="M14" s="3493"/>
      <c r="N14" s="3493"/>
      <c r="O14" s="3493"/>
      <c r="P14" s="3493"/>
      <c r="Q14" s="3493"/>
      <c r="R14" s="3493"/>
      <c r="S14" s="3493"/>
      <c r="T14" s="1017"/>
      <c r="U14" s="3097">
        <v>0</v>
      </c>
      <c r="V14" s="3098"/>
      <c r="W14" s="3469">
        <v>0</v>
      </c>
      <c r="X14" s="3474"/>
      <c r="Y14" s="3469"/>
      <c r="Z14" s="3474"/>
      <c r="AA14" s="3469">
        <v>0</v>
      </c>
      <c r="AB14" s="3474"/>
      <c r="AC14" s="3469">
        <v>0</v>
      </c>
      <c r="AD14" s="3474"/>
      <c r="AE14" s="3469">
        <v>0</v>
      </c>
      <c r="AF14" s="3474"/>
      <c r="AG14" s="3469">
        <v>1</v>
      </c>
      <c r="AH14" s="3481"/>
      <c r="AI14" s="3098">
        <v>0</v>
      </c>
      <c r="AJ14" s="3474"/>
      <c r="AK14" s="3469">
        <v>0</v>
      </c>
      <c r="AL14" s="3474"/>
      <c r="AM14" s="3469">
        <v>0</v>
      </c>
      <c r="AN14" s="3474"/>
      <c r="AO14" s="3469">
        <v>0</v>
      </c>
      <c r="AP14" s="3474"/>
      <c r="AQ14" s="3469">
        <v>0</v>
      </c>
      <c r="AR14" s="3099"/>
    </row>
    <row r="15" spans="2:74" s="403" customFormat="1" ht="36" customHeight="1" x14ac:dyDescent="0.35">
      <c r="B15" s="1004"/>
      <c r="C15" s="3493" t="s">
        <v>1540</v>
      </c>
      <c r="D15" s="3493"/>
      <c r="E15" s="3493"/>
      <c r="F15" s="3493"/>
      <c r="G15" s="3493"/>
      <c r="H15" s="3493"/>
      <c r="I15" s="3493"/>
      <c r="J15" s="3493"/>
      <c r="K15" s="3493"/>
      <c r="L15" s="3493"/>
      <c r="M15" s="3493"/>
      <c r="N15" s="3493"/>
      <c r="O15" s="3493"/>
      <c r="P15" s="3493"/>
      <c r="Q15" s="3493"/>
      <c r="R15" s="3493"/>
      <c r="S15" s="3493"/>
      <c r="T15" s="1017"/>
      <c r="U15" s="3097">
        <v>0</v>
      </c>
      <c r="V15" s="3098"/>
      <c r="W15" s="3469">
        <v>0</v>
      </c>
      <c r="X15" s="3474"/>
      <c r="Y15" s="3469">
        <v>0</v>
      </c>
      <c r="Z15" s="3474"/>
      <c r="AA15" s="3469">
        <v>0</v>
      </c>
      <c r="AB15" s="3474"/>
      <c r="AC15" s="3469">
        <v>0</v>
      </c>
      <c r="AD15" s="3474"/>
      <c r="AE15" s="3469">
        <v>0</v>
      </c>
      <c r="AF15" s="3474"/>
      <c r="AG15" s="3469">
        <v>0</v>
      </c>
      <c r="AH15" s="3481"/>
      <c r="AI15" s="3098">
        <v>0</v>
      </c>
      <c r="AJ15" s="3474"/>
      <c r="AK15" s="3469">
        <v>0</v>
      </c>
      <c r="AL15" s="3474"/>
      <c r="AM15" s="3469">
        <v>0</v>
      </c>
      <c r="AN15" s="3474"/>
      <c r="AO15" s="3469">
        <v>0</v>
      </c>
      <c r="AP15" s="3474"/>
      <c r="AQ15" s="3469">
        <v>0</v>
      </c>
      <c r="AR15" s="3099"/>
    </row>
    <row r="16" spans="2:74" s="403" customFormat="1" ht="36" customHeight="1" thickBot="1" x14ac:dyDescent="0.4">
      <c r="B16" s="1018"/>
      <c r="C16" s="3442" t="s">
        <v>820</v>
      </c>
      <c r="D16" s="3442"/>
      <c r="E16" s="3442"/>
      <c r="F16" s="3442"/>
      <c r="G16" s="3442"/>
      <c r="H16" s="3442"/>
      <c r="I16" s="3442"/>
      <c r="J16" s="3442"/>
      <c r="K16" s="3442"/>
      <c r="L16" s="3442"/>
      <c r="M16" s="3442"/>
      <c r="N16" s="3442"/>
      <c r="O16" s="3442"/>
      <c r="P16" s="3442"/>
      <c r="Q16" s="3442"/>
      <c r="R16" s="3442"/>
      <c r="S16" s="3442"/>
      <c r="T16" s="1019"/>
      <c r="U16" s="3471">
        <v>0</v>
      </c>
      <c r="V16" s="3472"/>
      <c r="W16" s="3466">
        <v>0</v>
      </c>
      <c r="X16" s="3467"/>
      <c r="Y16" s="3466">
        <v>0</v>
      </c>
      <c r="Z16" s="3467"/>
      <c r="AA16" s="3466">
        <v>0</v>
      </c>
      <c r="AB16" s="3467"/>
      <c r="AC16" s="3466">
        <v>0</v>
      </c>
      <c r="AD16" s="3467"/>
      <c r="AE16" s="3466">
        <v>0</v>
      </c>
      <c r="AF16" s="3467"/>
      <c r="AG16" s="3466">
        <v>0</v>
      </c>
      <c r="AH16" s="3473"/>
      <c r="AI16" s="3472">
        <v>0</v>
      </c>
      <c r="AJ16" s="3467"/>
      <c r="AK16" s="3466">
        <v>0</v>
      </c>
      <c r="AL16" s="3467"/>
      <c r="AM16" s="3466">
        <v>0</v>
      </c>
      <c r="AN16" s="3467"/>
      <c r="AO16" s="3466">
        <v>0</v>
      </c>
      <c r="AP16" s="3467"/>
      <c r="AQ16" s="3466">
        <v>0</v>
      </c>
      <c r="AR16" s="3468"/>
    </row>
    <row r="17" spans="2:46" s="403" customFormat="1" ht="36" customHeight="1" thickTop="1" x14ac:dyDescent="0.35">
      <c r="B17" s="936"/>
      <c r="C17" s="998"/>
      <c r="D17" s="998"/>
      <c r="E17" s="998"/>
      <c r="F17" s="998"/>
      <c r="G17" s="998"/>
      <c r="H17" s="998"/>
      <c r="I17" s="998"/>
      <c r="J17" s="998"/>
      <c r="K17" s="998"/>
      <c r="L17" s="998"/>
      <c r="M17" s="998"/>
      <c r="N17" s="998"/>
      <c r="O17" s="998"/>
      <c r="P17" s="998"/>
      <c r="Q17" s="998"/>
      <c r="R17" s="998"/>
      <c r="S17" s="998"/>
      <c r="T17" s="936"/>
      <c r="U17" s="1000"/>
      <c r="V17" s="1000"/>
      <c r="W17" s="1000"/>
      <c r="X17" s="1000"/>
      <c r="Y17" s="1000"/>
      <c r="Z17" s="1000"/>
      <c r="AA17" s="1000"/>
      <c r="AB17" s="1000"/>
      <c r="AC17" s="1000"/>
      <c r="AD17" s="1000"/>
      <c r="AE17" s="1000"/>
      <c r="AF17" s="1000"/>
      <c r="AG17" s="1000"/>
      <c r="AH17" s="1000"/>
      <c r="AI17" s="1000"/>
      <c r="AJ17" s="1000"/>
      <c r="AK17" s="1000"/>
      <c r="AL17" s="1000"/>
      <c r="AM17" s="1000"/>
      <c r="AN17" s="1000"/>
      <c r="AO17" s="1000"/>
      <c r="AP17" s="1000"/>
      <c r="AQ17" s="1000"/>
      <c r="AR17" s="1000"/>
    </row>
    <row r="18" spans="2:46" s="124" customFormat="1" ht="33.75" customHeight="1" x14ac:dyDescent="0.3"/>
    <row r="19" spans="2:46" s="73" customFormat="1" ht="14" x14ac:dyDescent="0.3">
      <c r="B19" s="74" t="s">
        <v>913</v>
      </c>
      <c r="Q19" s="74" t="s">
        <v>846</v>
      </c>
      <c r="AF19" s="74" t="s">
        <v>922</v>
      </c>
    </row>
    <row r="20" spans="2:46" s="73" customFormat="1" ht="21.75" customHeight="1" x14ac:dyDescent="0.3">
      <c r="B20" s="74" t="s">
        <v>780</v>
      </c>
      <c r="F20" s="1482" t="str">
        <f>SchInfo!F38</f>
        <v>MELCHESIEDICK Q. BOLANIO/ March 17, 2023</v>
      </c>
      <c r="G20" s="1482"/>
      <c r="H20" s="1482"/>
      <c r="I20" s="1482"/>
      <c r="J20" s="1482"/>
      <c r="K20" s="1482"/>
      <c r="L20" s="1482"/>
      <c r="M20" s="1482"/>
      <c r="N20" s="1482"/>
      <c r="Q20" s="1482" t="str">
        <f>Table39!Q37</f>
        <v>ELYN KENDRA D. DELA CRUZ  /  March 17, 2023</v>
      </c>
      <c r="R20" s="1482"/>
      <c r="S20" s="1482"/>
      <c r="T20" s="1482"/>
      <c r="U20" s="1482"/>
      <c r="V20" s="1482"/>
      <c r="W20" s="1482"/>
      <c r="X20" s="1482"/>
      <c r="Y20" s="1482"/>
      <c r="Z20" s="1482"/>
      <c r="AA20" s="1482"/>
      <c r="AB20" s="1482"/>
      <c r="AC20" s="1482"/>
      <c r="AF20" s="1484" t="str">
        <f>SchInfo!R38</f>
        <v>MICHAEL T. JAMIS   /  March 17, 2023</v>
      </c>
      <c r="AG20" s="1484"/>
      <c r="AH20" s="1484"/>
      <c r="AI20" s="1484"/>
      <c r="AJ20" s="1484"/>
      <c r="AK20" s="1484"/>
      <c r="AL20" s="1484"/>
      <c r="AM20" s="1484"/>
      <c r="AN20" s="1484"/>
      <c r="AO20" s="1484"/>
      <c r="AP20" s="1484"/>
      <c r="AQ20" s="1484"/>
      <c r="AR20" s="1484"/>
    </row>
    <row r="21" spans="2:46" s="68" customFormat="1" ht="15" customHeight="1" x14ac:dyDescent="0.3">
      <c r="B21" s="210"/>
      <c r="F21" s="1452" t="s">
        <v>779</v>
      </c>
      <c r="G21" s="1452"/>
      <c r="H21" s="1452"/>
      <c r="I21" s="1452"/>
      <c r="J21" s="1452"/>
      <c r="K21" s="1452"/>
      <c r="L21" s="1452"/>
      <c r="M21" s="1452"/>
      <c r="N21" s="1452"/>
      <c r="O21" s="210"/>
      <c r="P21" s="210"/>
      <c r="Q21" s="1452" t="s">
        <v>779</v>
      </c>
      <c r="R21" s="1452"/>
      <c r="S21" s="1452"/>
      <c r="T21" s="1452"/>
      <c r="U21" s="1452"/>
      <c r="V21" s="1452"/>
      <c r="W21" s="1452"/>
      <c r="X21" s="1452"/>
      <c r="Y21" s="1452"/>
      <c r="Z21" s="1452"/>
      <c r="AA21" s="1452"/>
      <c r="AB21" s="1452"/>
      <c r="AC21" s="1452"/>
      <c r="AD21" s="64"/>
      <c r="AE21" s="64"/>
      <c r="AF21" s="1485"/>
      <c r="AG21" s="1485"/>
      <c r="AH21" s="1485"/>
      <c r="AI21" s="1485"/>
      <c r="AJ21" s="1485"/>
      <c r="AK21" s="1485"/>
      <c r="AL21" s="1485"/>
      <c r="AM21" s="1485"/>
      <c r="AN21" s="1485"/>
      <c r="AO21" s="1485"/>
      <c r="AP21" s="1485"/>
      <c r="AQ21" s="1485"/>
      <c r="AR21" s="1485"/>
    </row>
    <row r="22" spans="2:46" s="73" customFormat="1" ht="21.75" customHeight="1" x14ac:dyDescent="0.35">
      <c r="B22" s="74" t="s">
        <v>784</v>
      </c>
      <c r="F22" s="1482" t="str">
        <f>SchInfo!F40</f>
        <v>Principal IV</v>
      </c>
      <c r="G22" s="1482"/>
      <c r="H22" s="1482"/>
      <c r="I22" s="1482"/>
      <c r="J22" s="1482"/>
      <c r="K22" s="1482"/>
      <c r="L22" s="1482"/>
      <c r="M22" s="1482"/>
      <c r="N22" s="1482"/>
      <c r="P22" s="44"/>
      <c r="Q22" s="74" t="s">
        <v>784</v>
      </c>
      <c r="U22" s="1482" t="str">
        <f>Table39!U39</f>
        <v>Project Development Officer III</v>
      </c>
      <c r="V22" s="1482"/>
      <c r="W22" s="1482"/>
      <c r="X22" s="1482"/>
      <c r="Y22" s="1482"/>
      <c r="Z22" s="1482"/>
      <c r="AA22" s="1482"/>
      <c r="AB22" s="1482"/>
      <c r="AC22" s="1482"/>
      <c r="AF22" s="1452" t="s">
        <v>779</v>
      </c>
      <c r="AG22" s="1452"/>
      <c r="AH22" s="1452"/>
      <c r="AI22" s="1452"/>
      <c r="AJ22" s="1452"/>
      <c r="AK22" s="1452"/>
      <c r="AL22" s="1452"/>
      <c r="AM22" s="1452"/>
      <c r="AN22" s="1452"/>
      <c r="AO22" s="1452"/>
      <c r="AP22" s="1452"/>
      <c r="AQ22" s="1452"/>
      <c r="AR22" s="1452"/>
    </row>
    <row r="23" spans="2:46" x14ac:dyDescent="0.35">
      <c r="P23" s="87"/>
      <c r="Q23" s="87"/>
      <c r="R23" s="87"/>
      <c r="S23" s="87"/>
      <c r="T23" s="87"/>
      <c r="U23" s="87"/>
      <c r="V23" s="87"/>
      <c r="W23" s="87"/>
      <c r="X23" s="87"/>
      <c r="Y23" s="87"/>
      <c r="Z23" s="87"/>
      <c r="AK23" s="87"/>
      <c r="AL23" s="87"/>
      <c r="AM23" s="87"/>
      <c r="AN23" s="87"/>
      <c r="AO23" s="87"/>
    </row>
    <row r="24" spans="2:46" s="765" customFormat="1" x14ac:dyDescent="0.35"/>
    <row r="25" spans="2:46" s="765" customFormat="1" ht="19.5" customHeight="1" x14ac:dyDescent="0.35"/>
    <row r="26" spans="2:46" s="765" customFormat="1" x14ac:dyDescent="0.35"/>
    <row r="27" spans="2:46" s="765" customFormat="1" x14ac:dyDescent="0.35"/>
    <row r="28" spans="2:46" ht="18" customHeight="1" x14ac:dyDescent="0.35"/>
    <row r="30" spans="2:46" x14ac:dyDescent="0.35">
      <c r="AT30" s="210"/>
    </row>
  </sheetData>
  <sheetProtection algorithmName="SHA-512" hashValue="PpjjkldMH2QUkLXD+rNl+NcsbyTpt68+r+LIsrcavThiPentJPa9V7lv9Fxv+sk68FnY0hHV8UMFw7NAKogHZQ==" saltValue="el1kHKqCbc8rr6ebQkNiNQ==" spinCount="100000" sheet="1" objects="1" scenarios="1"/>
  <mergeCells count="91">
    <mergeCell ref="Q21:AC21"/>
    <mergeCell ref="F22:N22"/>
    <mergeCell ref="U22:AC22"/>
    <mergeCell ref="AF22:AR22"/>
    <mergeCell ref="AM15:AN15"/>
    <mergeCell ref="AO15:AP15"/>
    <mergeCell ref="AQ15:AR15"/>
    <mergeCell ref="AO16:AP16"/>
    <mergeCell ref="AE16:AF16"/>
    <mergeCell ref="AG16:AH16"/>
    <mergeCell ref="AI16:AJ16"/>
    <mergeCell ref="AK16:AL16"/>
    <mergeCell ref="AM16:AN16"/>
    <mergeCell ref="F20:N20"/>
    <mergeCell ref="Q20:AC20"/>
    <mergeCell ref="AF20:AR21"/>
    <mergeCell ref="F21:N21"/>
    <mergeCell ref="C4:AR4"/>
    <mergeCell ref="C6:AR6"/>
    <mergeCell ref="C12:S12"/>
    <mergeCell ref="C13:S13"/>
    <mergeCell ref="C14:S14"/>
    <mergeCell ref="AK11:AL11"/>
    <mergeCell ref="C5:AR5"/>
    <mergeCell ref="AE11:AF11"/>
    <mergeCell ref="AG11:AH11"/>
    <mergeCell ref="AI11:AJ11"/>
    <mergeCell ref="U12:V12"/>
    <mergeCell ref="W12:X12"/>
    <mergeCell ref="Y12:Z12"/>
    <mergeCell ref="B10:T11"/>
    <mergeCell ref="U10:AH10"/>
    <mergeCell ref="AI10:AR10"/>
    <mergeCell ref="U11:V11"/>
    <mergeCell ref="W11:X11"/>
    <mergeCell ref="Y11:Z11"/>
    <mergeCell ref="C16:S16"/>
    <mergeCell ref="C15:S15"/>
    <mergeCell ref="U15:V15"/>
    <mergeCell ref="W15:X15"/>
    <mergeCell ref="Y15:Z15"/>
    <mergeCell ref="U13:V13"/>
    <mergeCell ref="W13:X13"/>
    <mergeCell ref="Y13:Z13"/>
    <mergeCell ref="U14:V14"/>
    <mergeCell ref="W14:X14"/>
    <mergeCell ref="Y14:Z14"/>
    <mergeCell ref="AA11:AB11"/>
    <mergeCell ref="AC11:AD11"/>
    <mergeCell ref="AA12:AB12"/>
    <mergeCell ref="AO12:AP12"/>
    <mergeCell ref="AQ12:AR12"/>
    <mergeCell ref="AM11:AN11"/>
    <mergeCell ref="AO11:AP11"/>
    <mergeCell ref="AQ11:AR11"/>
    <mergeCell ref="AG12:AH12"/>
    <mergeCell ref="AI12:AJ12"/>
    <mergeCell ref="AK12:AL12"/>
    <mergeCell ref="AM12:AN12"/>
    <mergeCell ref="AC12:AD12"/>
    <mergeCell ref="AE12:AF12"/>
    <mergeCell ref="AA13:AB13"/>
    <mergeCell ref="AQ13:AR13"/>
    <mergeCell ref="AK13:AL13"/>
    <mergeCell ref="AM13:AN13"/>
    <mergeCell ref="AO13:AP13"/>
    <mergeCell ref="AC13:AD13"/>
    <mergeCell ref="AE13:AF13"/>
    <mergeCell ref="AG13:AH13"/>
    <mergeCell ref="AI13:AJ13"/>
    <mergeCell ref="AA14:AB14"/>
    <mergeCell ref="AC14:AD14"/>
    <mergeCell ref="AE14:AF14"/>
    <mergeCell ref="AG14:AH14"/>
    <mergeCell ref="AI14:AJ14"/>
    <mergeCell ref="AK14:AL14"/>
    <mergeCell ref="AM14:AN14"/>
    <mergeCell ref="AO14:AP14"/>
    <mergeCell ref="AQ14:AR14"/>
    <mergeCell ref="U16:V16"/>
    <mergeCell ref="W16:X16"/>
    <mergeCell ref="Y16:Z16"/>
    <mergeCell ref="AA16:AB16"/>
    <mergeCell ref="AC16:AD16"/>
    <mergeCell ref="AA15:AB15"/>
    <mergeCell ref="AC15:AD15"/>
    <mergeCell ref="AE15:AF15"/>
    <mergeCell ref="AG15:AH15"/>
    <mergeCell ref="AI15:AJ15"/>
    <mergeCell ref="AK15:AL15"/>
    <mergeCell ref="AQ16:AR16"/>
  </mergeCells>
  <dataValidations count="2">
    <dataValidation type="whole" allowBlank="1" showInputMessage="1" showErrorMessage="1" errorTitle="GJHSP SY 2022-2023" error="Please enter valid number between 0-999." sqref="U12:AR12" xr:uid="{0ED12479-4C89-4144-9B91-D7B877198E55}">
      <formula1>0</formula1>
      <formula2>999</formula2>
    </dataValidation>
    <dataValidation type="whole" allowBlank="1" showInputMessage="1" showErrorMessage="1" errorTitle="GJHSP SY 2022-2023" error="Please enter valid number between 0-31." sqref="U13:AR13 U14:AR16" xr:uid="{54AD29FF-CD3D-4EE9-B610-1304A0FE2374}">
      <formula1>0</formula1>
      <formula2>31</formula2>
    </dataValidation>
  </dataValidations>
  <printOptions horizontalCentered="1" verticalCentered="1"/>
  <pageMargins left="0.25" right="0.25" top="0.2" bottom="0.2" header="0" footer="0.1"/>
  <pageSetup paperSize="9" scale="49" orientation="landscape" r:id="rId1"/>
  <headerFooter alignWithMargins="0">
    <oddFooter>&amp;L&amp;10&amp;F &amp;A&amp;R&amp;10Page 47 of 63</oddFooter>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7E597-702E-4979-AE5F-82F25728F8F0}">
  <sheetPr>
    <pageSetUpPr fitToPage="1"/>
  </sheetPr>
  <dimension ref="B1:AD51"/>
  <sheetViews>
    <sheetView showGridLines="0" zoomScaleNormal="100" zoomScaleSheetLayoutView="100" workbookViewId="0">
      <selection activeCell="P41" sqref="P41"/>
    </sheetView>
  </sheetViews>
  <sheetFormatPr defaultColWidth="8" defaultRowHeight="15.5" x14ac:dyDescent="0.35"/>
  <cols>
    <col min="1" max="1" width="2.08203125" style="1041" customWidth="1"/>
    <col min="2" max="30" width="3.58203125" style="1042" customWidth="1"/>
    <col min="31" max="31" width="2.08203125" style="1041" customWidth="1"/>
    <col min="32" max="165" width="3.58203125" style="1041" customWidth="1"/>
    <col min="166" max="16384" width="8" style="1041"/>
  </cols>
  <sheetData>
    <row r="1" spans="2:30" ht="12" customHeight="1" x14ac:dyDescent="0.35"/>
    <row r="2" spans="2:30" ht="16.5" x14ac:dyDescent="0.35">
      <c r="B2" s="1054" t="s">
        <v>12747</v>
      </c>
      <c r="C2" s="1041"/>
      <c r="D2" s="1041"/>
      <c r="E2" s="1041"/>
      <c r="F2" s="1041"/>
      <c r="G2" s="1041"/>
      <c r="H2" s="1041"/>
      <c r="I2" s="1041"/>
      <c r="J2" s="1041"/>
      <c r="K2" s="1041"/>
      <c r="L2" s="1041"/>
      <c r="M2" s="1041"/>
      <c r="N2" s="1041"/>
      <c r="O2" s="1041"/>
      <c r="P2" s="1041"/>
      <c r="Q2" s="1041"/>
      <c r="R2" s="1041"/>
      <c r="S2" s="1041"/>
      <c r="T2" s="1041"/>
      <c r="U2" s="1041"/>
      <c r="V2" s="1041"/>
      <c r="W2" s="1041"/>
      <c r="X2" s="1041"/>
      <c r="Y2" s="1041"/>
      <c r="Z2" s="1041"/>
      <c r="AA2" s="1041"/>
      <c r="AB2" s="1041"/>
      <c r="AC2" s="1041"/>
      <c r="AD2" s="1041"/>
    </row>
    <row r="3" spans="2:30" ht="16.5" x14ac:dyDescent="0.35">
      <c r="B3" s="1055" t="s">
        <v>1558</v>
      </c>
      <c r="C3" s="1041"/>
      <c r="D3" s="1041"/>
      <c r="E3" s="1041"/>
      <c r="F3" s="1041"/>
      <c r="G3" s="1041"/>
      <c r="H3" s="1041"/>
      <c r="I3" s="1041"/>
      <c r="J3" s="1041"/>
      <c r="K3" s="1041"/>
      <c r="L3" s="1041"/>
      <c r="M3" s="1041"/>
      <c r="N3" s="1041"/>
      <c r="O3" s="1041"/>
      <c r="P3" s="1041"/>
      <c r="Q3" s="1041"/>
      <c r="R3" s="1041"/>
      <c r="S3" s="1041"/>
      <c r="T3" s="1041"/>
      <c r="U3" s="1041"/>
      <c r="V3" s="1041"/>
      <c r="W3" s="1041"/>
      <c r="X3" s="1041"/>
      <c r="Y3" s="1041"/>
      <c r="Z3" s="1041"/>
      <c r="AA3" s="1041"/>
      <c r="AB3" s="1041"/>
      <c r="AC3" s="1041"/>
      <c r="AD3" s="1041"/>
    </row>
    <row r="4" spans="2:30" ht="16.5" x14ac:dyDescent="0.35">
      <c r="B4" s="1055"/>
      <c r="C4" s="1041"/>
      <c r="D4" s="1041"/>
      <c r="E4" s="1041"/>
      <c r="F4" s="1041"/>
      <c r="G4" s="1041"/>
      <c r="H4" s="1041"/>
      <c r="I4" s="1041"/>
      <c r="J4" s="1041"/>
      <c r="K4" s="1041"/>
      <c r="L4" s="1041"/>
      <c r="M4" s="1041"/>
      <c r="N4" s="1041"/>
      <c r="O4" s="1041"/>
      <c r="P4" s="1041"/>
      <c r="Q4" s="1041"/>
      <c r="R4" s="1041"/>
      <c r="S4" s="1041"/>
      <c r="T4" s="1041"/>
      <c r="U4" s="1041"/>
      <c r="V4" s="1041"/>
      <c r="W4" s="1041"/>
      <c r="X4" s="1041"/>
      <c r="Y4" s="1041"/>
      <c r="Z4" s="1041"/>
      <c r="AA4" s="1041"/>
      <c r="AB4" s="1041"/>
      <c r="AC4" s="1041"/>
      <c r="AD4" s="1041"/>
    </row>
    <row r="5" spans="2:30" ht="17" thickBot="1" x14ac:dyDescent="0.4">
      <c r="B5" s="1054" t="s">
        <v>1541</v>
      </c>
      <c r="C5" s="1041"/>
      <c r="D5" s="1041"/>
      <c r="E5" s="1041"/>
      <c r="F5" s="1041"/>
      <c r="G5" s="1041"/>
      <c r="H5" s="1041"/>
      <c r="I5" s="1041"/>
      <c r="J5" s="1041"/>
      <c r="K5" s="1041"/>
      <c r="L5" s="1041"/>
      <c r="M5" s="1041"/>
      <c r="N5" s="1041"/>
      <c r="O5" s="1041"/>
      <c r="P5" s="1041"/>
      <c r="Q5" s="1041"/>
      <c r="R5" s="1041"/>
      <c r="S5" s="1041"/>
      <c r="T5" s="1041"/>
      <c r="U5" s="1041"/>
      <c r="V5" s="1041"/>
      <c r="W5" s="1041"/>
      <c r="X5" s="1041"/>
      <c r="Y5" s="1041"/>
      <c r="Z5" s="1041"/>
      <c r="AA5" s="1041"/>
      <c r="AB5" s="1041"/>
      <c r="AC5" s="1041"/>
      <c r="AD5" s="1041"/>
    </row>
    <row r="6" spans="2:30" ht="5" customHeight="1" thickTop="1" x14ac:dyDescent="0.35">
      <c r="B6" s="1056"/>
      <c r="C6" s="1057"/>
      <c r="D6" s="1057"/>
      <c r="E6" s="1057"/>
      <c r="F6" s="1057"/>
      <c r="G6" s="1057"/>
      <c r="H6" s="1057"/>
      <c r="I6" s="1057"/>
      <c r="J6" s="1057"/>
      <c r="K6" s="1057"/>
      <c r="L6" s="1057"/>
      <c r="M6" s="1057"/>
      <c r="N6" s="1057"/>
      <c r="O6" s="1057"/>
      <c r="P6" s="1057"/>
      <c r="Q6" s="1057"/>
      <c r="R6" s="1057"/>
      <c r="S6" s="1057"/>
      <c r="T6" s="1057"/>
      <c r="U6" s="1057"/>
      <c r="V6" s="1057"/>
      <c r="W6" s="1057"/>
      <c r="X6" s="1057"/>
      <c r="Y6" s="1057"/>
      <c r="Z6" s="1057"/>
      <c r="AA6" s="1057"/>
      <c r="AB6" s="1057"/>
      <c r="AC6" s="1057"/>
      <c r="AD6" s="1058"/>
    </row>
    <row r="7" spans="2:30" ht="19.75" customHeight="1" thickBot="1" x14ac:dyDescent="0.4">
      <c r="B7" s="1049"/>
      <c r="C7" s="1059" t="s">
        <v>150</v>
      </c>
      <c r="D7" s="3525" t="s">
        <v>1542</v>
      </c>
      <c r="E7" s="3525"/>
      <c r="F7" s="3525"/>
      <c r="G7" s="3525"/>
      <c r="H7" s="3525"/>
      <c r="I7" s="3525"/>
      <c r="J7" s="3525"/>
      <c r="K7" s="3525"/>
      <c r="L7" s="3525"/>
      <c r="M7" s="3525"/>
      <c r="N7" s="3525"/>
      <c r="O7" s="3525"/>
      <c r="P7" s="3525"/>
      <c r="Q7" s="3525"/>
      <c r="R7" s="3525"/>
      <c r="S7" s="3525"/>
      <c r="T7" s="3525"/>
      <c r="U7" s="3525"/>
      <c r="V7" s="3525"/>
      <c r="W7" s="3525"/>
      <c r="X7" s="3525"/>
      <c r="Y7" s="3525"/>
      <c r="Z7" s="3525"/>
      <c r="AA7" s="3525"/>
      <c r="AB7" s="3525"/>
      <c r="AC7" s="1052"/>
      <c r="AD7" s="1053"/>
    </row>
    <row r="8" spans="2:30" ht="19.75" customHeight="1" thickTop="1" thickBot="1" x14ac:dyDescent="0.4">
      <c r="B8" s="1044"/>
      <c r="C8" s="1045"/>
      <c r="D8" s="1060"/>
      <c r="E8" s="3526" t="s">
        <v>1543</v>
      </c>
      <c r="F8" s="3526"/>
      <c r="G8" s="3526"/>
      <c r="H8" s="3526"/>
      <c r="I8" s="3526"/>
      <c r="J8" s="3527"/>
      <c r="K8" s="3528" t="s">
        <v>821</v>
      </c>
      <c r="L8" s="3528"/>
      <c r="M8" s="3528"/>
      <c r="N8" s="3528"/>
      <c r="O8" s="3528"/>
      <c r="P8" s="3528"/>
      <c r="Q8" s="3528"/>
      <c r="R8" s="3528"/>
      <c r="S8" s="3528"/>
      <c r="T8" s="3528"/>
      <c r="U8" s="3528"/>
      <c r="V8" s="3528"/>
      <c r="W8" s="3528"/>
      <c r="X8" s="3528"/>
      <c r="Y8" s="3528"/>
      <c r="Z8" s="3528"/>
      <c r="AA8" s="3528"/>
      <c r="AB8" s="3529"/>
      <c r="AC8" s="1061"/>
      <c r="AD8" s="1062"/>
    </row>
    <row r="9" spans="2:30" ht="19.75" customHeight="1" thickTop="1" thickBot="1" x14ac:dyDescent="0.4">
      <c r="B9" s="1044"/>
      <c r="C9" s="1045"/>
      <c r="D9" s="1063" t="s">
        <v>1544</v>
      </c>
      <c r="E9" s="1064"/>
      <c r="F9" s="1064"/>
      <c r="G9" s="1064"/>
      <c r="H9" s="1064"/>
      <c r="I9" s="1064"/>
      <c r="J9" s="1064"/>
      <c r="K9" s="1064"/>
      <c r="L9" s="1064"/>
      <c r="M9" s="1064"/>
      <c r="N9" s="1064"/>
      <c r="O9" s="1064"/>
      <c r="P9" s="1064"/>
      <c r="Q9" s="1064"/>
      <c r="R9" s="1064"/>
      <c r="S9" s="1064"/>
      <c r="T9" s="1064"/>
      <c r="U9" s="1064"/>
      <c r="V9" s="1064"/>
      <c r="W9" s="1064"/>
      <c r="X9" s="1064"/>
      <c r="Y9" s="1064"/>
      <c r="Z9" s="1064"/>
      <c r="AA9" s="1064"/>
      <c r="AB9" s="1065"/>
      <c r="AC9" s="1064"/>
      <c r="AD9" s="1065"/>
    </row>
    <row r="10" spans="2:30" ht="19.75" customHeight="1" x14ac:dyDescent="0.35">
      <c r="B10" s="1044"/>
      <c r="C10" s="1045"/>
      <c r="D10" s="1087" t="b">
        <v>0</v>
      </c>
      <c r="E10" s="1066" t="s">
        <v>822</v>
      </c>
      <c r="F10" s="1066"/>
      <c r="G10" s="1066"/>
      <c r="H10" s="1066"/>
      <c r="I10" s="1066"/>
      <c r="J10" s="1067"/>
      <c r="K10" s="1066"/>
      <c r="L10" s="1066" t="s">
        <v>823</v>
      </c>
      <c r="M10" s="1066"/>
      <c r="N10" s="1066"/>
      <c r="O10" s="1066"/>
      <c r="P10" s="1066"/>
      <c r="Q10" s="1066"/>
      <c r="R10" s="1066"/>
      <c r="S10" s="1066"/>
      <c r="T10" s="1066"/>
      <c r="U10" s="1066"/>
      <c r="V10" s="1066"/>
      <c r="W10" s="1066"/>
      <c r="X10" s="1066"/>
      <c r="Y10" s="1066"/>
      <c r="Z10" s="1066"/>
      <c r="AA10" s="1066"/>
      <c r="AB10" s="1068"/>
      <c r="AD10" s="1043"/>
    </row>
    <row r="11" spans="2:30" ht="19.75" customHeight="1" x14ac:dyDescent="0.35">
      <c r="B11" s="1044"/>
      <c r="C11" s="1045"/>
      <c r="D11" s="1088" t="b">
        <v>1</v>
      </c>
      <c r="E11" s="1069" t="s">
        <v>824</v>
      </c>
      <c r="F11" s="1069"/>
      <c r="G11" s="1069"/>
      <c r="H11" s="1069"/>
      <c r="I11" s="1069"/>
      <c r="J11" s="1070"/>
      <c r="K11" s="1069"/>
      <c r="L11" s="1069" t="s">
        <v>825</v>
      </c>
      <c r="M11" s="1069"/>
      <c r="N11" s="1069"/>
      <c r="O11" s="1069"/>
      <c r="P11" s="1069"/>
      <c r="Q11" s="1069"/>
      <c r="R11" s="1069"/>
      <c r="S11" s="1069"/>
      <c r="T11" s="1069"/>
      <c r="U11" s="1069"/>
      <c r="V11" s="1069"/>
      <c r="W11" s="1069"/>
      <c r="X11" s="1069"/>
      <c r="Y11" s="1069"/>
      <c r="Z11" s="1069"/>
      <c r="AA11" s="1069"/>
      <c r="AB11" s="1071"/>
      <c r="AD11" s="1043"/>
    </row>
    <row r="12" spans="2:30" ht="19.75" customHeight="1" x14ac:dyDescent="0.35">
      <c r="B12" s="1044"/>
      <c r="C12" s="1045"/>
      <c r="D12" s="1088" t="b">
        <v>1</v>
      </c>
      <c r="E12" s="1069" t="s">
        <v>826</v>
      </c>
      <c r="F12" s="1069"/>
      <c r="G12" s="1069"/>
      <c r="H12" s="1069"/>
      <c r="I12" s="1069"/>
      <c r="J12" s="1070"/>
      <c r="K12" s="1069"/>
      <c r="L12" s="1069" t="s">
        <v>827</v>
      </c>
      <c r="M12" s="1069"/>
      <c r="N12" s="1069"/>
      <c r="O12" s="1069"/>
      <c r="P12" s="1069"/>
      <c r="Q12" s="1069"/>
      <c r="R12" s="1069"/>
      <c r="S12" s="1069"/>
      <c r="T12" s="1069"/>
      <c r="U12" s="1069"/>
      <c r="V12" s="1069"/>
      <c r="W12" s="1069"/>
      <c r="X12" s="1069"/>
      <c r="Y12" s="1069"/>
      <c r="Z12" s="1069"/>
      <c r="AA12" s="1069"/>
      <c r="AB12" s="1071"/>
      <c r="AD12" s="1043"/>
    </row>
    <row r="13" spans="2:30" ht="19.75" customHeight="1" x14ac:dyDescent="0.35">
      <c r="B13" s="1044"/>
      <c r="C13" s="1045"/>
      <c r="D13" s="1088" t="b">
        <v>0</v>
      </c>
      <c r="E13" s="1069" t="s">
        <v>828</v>
      </c>
      <c r="F13" s="1069"/>
      <c r="G13" s="1069"/>
      <c r="H13" s="1069"/>
      <c r="I13" s="1069"/>
      <c r="J13" s="1070"/>
      <c r="K13" s="1069"/>
      <c r="L13" s="1069" t="s">
        <v>829</v>
      </c>
      <c r="M13" s="1069"/>
      <c r="N13" s="1069"/>
      <c r="O13" s="1069"/>
      <c r="P13" s="1069"/>
      <c r="Q13" s="1069"/>
      <c r="R13" s="1069"/>
      <c r="S13" s="1069"/>
      <c r="T13" s="1069"/>
      <c r="U13" s="1069"/>
      <c r="V13" s="1069"/>
      <c r="W13" s="1069"/>
      <c r="X13" s="1069"/>
      <c r="Y13" s="1069"/>
      <c r="Z13" s="1069"/>
      <c r="AA13" s="1069"/>
      <c r="AB13" s="1071"/>
      <c r="AD13" s="1043"/>
    </row>
    <row r="14" spans="2:30" ht="19.75" customHeight="1" x14ac:dyDescent="0.35">
      <c r="B14" s="1044"/>
      <c r="C14" s="80"/>
      <c r="D14" s="1088" t="b">
        <v>0</v>
      </c>
      <c r="E14" s="1069" t="s">
        <v>830</v>
      </c>
      <c r="F14" s="1069"/>
      <c r="G14" s="1069"/>
      <c r="H14" s="1069"/>
      <c r="I14" s="1069"/>
      <c r="J14" s="1070"/>
      <c r="K14" s="1069"/>
      <c r="L14" s="1069" t="s">
        <v>831</v>
      </c>
      <c r="M14" s="1069"/>
      <c r="N14" s="1069"/>
      <c r="O14" s="1069"/>
      <c r="P14" s="1069"/>
      <c r="Q14" s="1069"/>
      <c r="R14" s="1069"/>
      <c r="S14" s="1069"/>
      <c r="T14" s="1069"/>
      <c r="U14" s="1069"/>
      <c r="V14" s="1069"/>
      <c r="W14" s="1069"/>
      <c r="X14" s="1069"/>
      <c r="Y14" s="1069"/>
      <c r="Z14" s="1069"/>
      <c r="AA14" s="1069"/>
      <c r="AB14" s="1071"/>
      <c r="AD14" s="1043"/>
    </row>
    <row r="15" spans="2:30" ht="19.75" customHeight="1" x14ac:dyDescent="0.35">
      <c r="B15" s="1044"/>
      <c r="C15" s="1045"/>
      <c r="D15" s="1088" t="b">
        <v>0</v>
      </c>
      <c r="E15" s="1069" t="s">
        <v>832</v>
      </c>
      <c r="F15" s="1069"/>
      <c r="G15" s="1069"/>
      <c r="H15" s="1069"/>
      <c r="I15" s="1069"/>
      <c r="J15" s="1070"/>
      <c r="K15" s="1069"/>
      <c r="L15" s="1069" t="s">
        <v>833</v>
      </c>
      <c r="M15" s="1069"/>
      <c r="N15" s="1069"/>
      <c r="O15" s="1069"/>
      <c r="P15" s="1069"/>
      <c r="Q15" s="1069"/>
      <c r="R15" s="1069"/>
      <c r="S15" s="1069"/>
      <c r="T15" s="1069"/>
      <c r="U15" s="1069"/>
      <c r="V15" s="1069"/>
      <c r="W15" s="1069"/>
      <c r="X15" s="1069"/>
      <c r="Y15" s="1069"/>
      <c r="Z15" s="1069"/>
      <c r="AA15" s="1069"/>
      <c r="AB15" s="1071"/>
      <c r="AD15" s="1043"/>
    </row>
    <row r="16" spans="2:30" ht="19.75" customHeight="1" x14ac:dyDescent="0.35">
      <c r="B16" s="1044"/>
      <c r="C16" s="1045"/>
      <c r="D16" s="1088" t="b">
        <v>0</v>
      </c>
      <c r="E16" s="1069" t="s">
        <v>834</v>
      </c>
      <c r="F16" s="1069"/>
      <c r="G16" s="1069"/>
      <c r="H16" s="1069"/>
      <c r="I16" s="1069"/>
      <c r="J16" s="1070"/>
      <c r="K16" s="1069"/>
      <c r="L16" s="1069" t="s">
        <v>835</v>
      </c>
      <c r="M16" s="1069"/>
      <c r="N16" s="1069"/>
      <c r="O16" s="1069"/>
      <c r="P16" s="1069"/>
      <c r="Q16" s="1069"/>
      <c r="R16" s="1069"/>
      <c r="S16" s="1069"/>
      <c r="T16" s="1069"/>
      <c r="U16" s="1069"/>
      <c r="V16" s="1069"/>
      <c r="W16" s="1069"/>
      <c r="X16" s="1069"/>
      <c r="Y16" s="1069"/>
      <c r="Z16" s="1069"/>
      <c r="AA16" s="1069"/>
      <c r="AB16" s="1071"/>
      <c r="AD16" s="1043"/>
    </row>
    <row r="17" spans="2:30" ht="19.75" customHeight="1" x14ac:dyDescent="0.35">
      <c r="B17" s="1044"/>
      <c r="C17" s="1045"/>
      <c r="D17" s="1088" t="b">
        <v>0</v>
      </c>
      <c r="E17" s="1069" t="s">
        <v>836</v>
      </c>
      <c r="F17" s="1069"/>
      <c r="G17" s="1069"/>
      <c r="H17" s="1069"/>
      <c r="I17" s="1069"/>
      <c r="J17" s="1070"/>
      <c r="K17" s="1069"/>
      <c r="L17" s="1069" t="s">
        <v>837</v>
      </c>
      <c r="M17" s="1069"/>
      <c r="N17" s="1069"/>
      <c r="O17" s="1069"/>
      <c r="P17" s="1069"/>
      <c r="Q17" s="1069"/>
      <c r="R17" s="1069"/>
      <c r="S17" s="1069"/>
      <c r="T17" s="1069"/>
      <c r="U17" s="1069"/>
      <c r="V17" s="1069"/>
      <c r="W17" s="1069"/>
      <c r="X17" s="1069"/>
      <c r="Y17" s="1069"/>
      <c r="Z17" s="1069"/>
      <c r="AA17" s="1069"/>
      <c r="AB17" s="1071"/>
      <c r="AD17" s="1043"/>
    </row>
    <row r="18" spans="2:30" ht="34" customHeight="1" x14ac:dyDescent="0.35">
      <c r="B18" s="1044"/>
      <c r="C18" s="1045"/>
      <c r="D18" s="1088" t="b">
        <v>0</v>
      </c>
      <c r="E18" s="1072" t="s">
        <v>1545</v>
      </c>
      <c r="F18" s="1069"/>
      <c r="G18" s="1069"/>
      <c r="H18" s="1069"/>
      <c r="I18" s="1069"/>
      <c r="J18" s="1070"/>
      <c r="K18" s="1069"/>
      <c r="L18" s="3530" t="s">
        <v>1546</v>
      </c>
      <c r="M18" s="3530"/>
      <c r="N18" s="3530"/>
      <c r="O18" s="3530"/>
      <c r="P18" s="3530"/>
      <c r="Q18" s="3530"/>
      <c r="R18" s="3530"/>
      <c r="S18" s="3530"/>
      <c r="T18" s="3530"/>
      <c r="U18" s="3530"/>
      <c r="V18" s="3530"/>
      <c r="W18" s="3530"/>
      <c r="X18" s="3530"/>
      <c r="Y18" s="3530"/>
      <c r="Z18" s="3530"/>
      <c r="AA18" s="3530"/>
      <c r="AB18" s="1071"/>
      <c r="AD18" s="1043"/>
    </row>
    <row r="19" spans="2:30" ht="46" customHeight="1" x14ac:dyDescent="0.35">
      <c r="B19" s="1044"/>
      <c r="C19" s="1045"/>
      <c r="D19" s="1088" t="b">
        <v>0</v>
      </c>
      <c r="E19" s="1072" t="s">
        <v>1547</v>
      </c>
      <c r="F19" s="1069"/>
      <c r="G19" s="1069"/>
      <c r="H19" s="1069"/>
      <c r="I19" s="1069"/>
      <c r="J19" s="1070"/>
      <c r="K19" s="1069"/>
      <c r="L19" s="3530" t="s">
        <v>1548</v>
      </c>
      <c r="M19" s="3530"/>
      <c r="N19" s="3530"/>
      <c r="O19" s="3530"/>
      <c r="P19" s="3530"/>
      <c r="Q19" s="3530"/>
      <c r="R19" s="3530"/>
      <c r="S19" s="3530"/>
      <c r="T19" s="3530"/>
      <c r="U19" s="3530"/>
      <c r="V19" s="3530"/>
      <c r="W19" s="3530"/>
      <c r="X19" s="3530"/>
      <c r="Y19" s="3530"/>
      <c r="Z19" s="3530"/>
      <c r="AA19" s="3530"/>
      <c r="AB19" s="1071"/>
      <c r="AD19" s="1043"/>
    </row>
    <row r="20" spans="2:30" ht="19.75" customHeight="1" thickBot="1" x14ac:dyDescent="0.4">
      <c r="B20" s="1044"/>
      <c r="C20" s="1045"/>
      <c r="D20" s="1089" t="b">
        <v>1</v>
      </c>
      <c r="E20" s="1073" t="s">
        <v>1549</v>
      </c>
      <c r="F20" s="1074"/>
      <c r="G20" s="1074"/>
      <c r="H20" s="1074"/>
      <c r="I20" s="1074"/>
      <c r="J20" s="1075"/>
      <c r="K20" s="1074"/>
      <c r="L20" s="1073" t="s">
        <v>1550</v>
      </c>
      <c r="M20" s="1074"/>
      <c r="N20" s="1074"/>
      <c r="O20" s="1074"/>
      <c r="P20" s="1074"/>
      <c r="Q20" s="1074"/>
      <c r="R20" s="1074"/>
      <c r="S20" s="1074"/>
      <c r="T20" s="1074"/>
      <c r="U20" s="1074"/>
      <c r="V20" s="1074"/>
      <c r="W20" s="1074"/>
      <c r="X20" s="1074"/>
      <c r="Y20" s="1074"/>
      <c r="Z20" s="1074"/>
      <c r="AA20" s="1074"/>
      <c r="AB20" s="1076"/>
      <c r="AD20" s="1043"/>
    </row>
    <row r="21" spans="2:30" ht="19.75" customHeight="1" thickTop="1" thickBot="1" x14ac:dyDescent="0.4">
      <c r="B21" s="1044"/>
      <c r="C21" s="1045"/>
      <c r="D21" s="1063" t="s">
        <v>1551</v>
      </c>
      <c r="E21" s="1064"/>
      <c r="F21" s="1064"/>
      <c r="G21" s="1064"/>
      <c r="H21" s="1064"/>
      <c r="I21" s="1064"/>
      <c r="J21" s="1064"/>
      <c r="K21" s="1064"/>
      <c r="L21" s="1064"/>
      <c r="M21" s="1064"/>
      <c r="N21" s="1064"/>
      <c r="O21" s="1064"/>
      <c r="P21" s="1064"/>
      <c r="Q21" s="1064"/>
      <c r="R21" s="1064"/>
      <c r="S21" s="1064"/>
      <c r="T21" s="1064"/>
      <c r="U21" s="1064"/>
      <c r="V21" s="1064"/>
      <c r="W21" s="1064"/>
      <c r="X21" s="1064"/>
      <c r="Y21" s="1064"/>
      <c r="Z21" s="1064"/>
      <c r="AA21" s="1064"/>
      <c r="AB21" s="1065"/>
      <c r="AC21" s="1064"/>
      <c r="AD21" s="1077"/>
    </row>
    <row r="22" spans="2:30" ht="19.75" customHeight="1" x14ac:dyDescent="0.35">
      <c r="B22" s="1044"/>
      <c r="C22" s="1045"/>
      <c r="D22" s="1087" t="b">
        <v>1</v>
      </c>
      <c r="E22" s="1066" t="s">
        <v>840</v>
      </c>
      <c r="F22" s="1066"/>
      <c r="G22" s="1066"/>
      <c r="H22" s="1066"/>
      <c r="I22" s="1066"/>
      <c r="J22" s="1078"/>
      <c r="K22" s="1066"/>
      <c r="L22" s="1066" t="s">
        <v>841</v>
      </c>
      <c r="M22" s="1066"/>
      <c r="N22" s="1066"/>
      <c r="O22" s="1066"/>
      <c r="P22" s="1066"/>
      <c r="Q22" s="1066"/>
      <c r="R22" s="1066"/>
      <c r="S22" s="1066"/>
      <c r="T22" s="1066"/>
      <c r="U22" s="1066"/>
      <c r="V22" s="1066"/>
      <c r="W22" s="1066"/>
      <c r="X22" s="1066"/>
      <c r="Y22" s="1066"/>
      <c r="Z22" s="1066"/>
      <c r="AA22" s="1066"/>
      <c r="AB22" s="1068"/>
      <c r="AD22" s="1043"/>
    </row>
    <row r="23" spans="2:30" ht="19.75" customHeight="1" x14ac:dyDescent="0.35">
      <c r="B23" s="1044"/>
      <c r="C23" s="1045"/>
      <c r="D23" s="1088" t="b">
        <v>1</v>
      </c>
      <c r="E23" s="1072" t="s">
        <v>844</v>
      </c>
      <c r="F23" s="1069"/>
      <c r="G23" s="1069"/>
      <c r="H23" s="1069"/>
      <c r="I23" s="1069"/>
      <c r="J23" s="1079"/>
      <c r="K23" s="1069"/>
      <c r="L23" s="1072" t="s">
        <v>845</v>
      </c>
      <c r="M23" s="1069"/>
      <c r="N23" s="1069"/>
      <c r="O23" s="1069"/>
      <c r="P23" s="1069"/>
      <c r="Q23" s="1069"/>
      <c r="R23" s="1069"/>
      <c r="S23" s="1069"/>
      <c r="T23" s="1069"/>
      <c r="U23" s="1069"/>
      <c r="V23" s="1069"/>
      <c r="W23" s="1069"/>
      <c r="X23" s="1069"/>
      <c r="Y23" s="1069"/>
      <c r="Z23" s="1069"/>
      <c r="AA23" s="1069"/>
      <c r="AB23" s="1071"/>
      <c r="AD23" s="1043"/>
    </row>
    <row r="24" spans="2:30" ht="19.75" customHeight="1" x14ac:dyDescent="0.35">
      <c r="B24" s="1044"/>
      <c r="C24" s="1045"/>
      <c r="D24" s="1088" t="b">
        <v>0</v>
      </c>
      <c r="E24" s="1069" t="s">
        <v>842</v>
      </c>
      <c r="F24" s="1069"/>
      <c r="G24" s="1069"/>
      <c r="H24" s="1069"/>
      <c r="I24" s="1069"/>
      <c r="J24" s="1079"/>
      <c r="K24" s="1069"/>
      <c r="L24" s="1069" t="s">
        <v>843</v>
      </c>
      <c r="M24" s="1069"/>
      <c r="N24" s="1069"/>
      <c r="O24" s="1069"/>
      <c r="P24" s="1069"/>
      <c r="Q24" s="1069"/>
      <c r="R24" s="1069"/>
      <c r="S24" s="1069"/>
      <c r="T24" s="1069"/>
      <c r="U24" s="1069"/>
      <c r="V24" s="1069"/>
      <c r="W24" s="1069"/>
      <c r="X24" s="1069"/>
      <c r="Y24" s="1069"/>
      <c r="Z24" s="1069"/>
      <c r="AA24" s="1069"/>
      <c r="AB24" s="1071"/>
      <c r="AD24" s="1043"/>
    </row>
    <row r="25" spans="2:30" ht="19.75" customHeight="1" x14ac:dyDescent="0.35">
      <c r="B25" s="1044"/>
      <c r="C25" s="1045"/>
      <c r="D25" s="1088" t="b">
        <v>0</v>
      </c>
      <c r="E25" s="1072" t="s">
        <v>990</v>
      </c>
      <c r="F25" s="1069"/>
      <c r="G25" s="1069"/>
      <c r="H25" s="1069"/>
      <c r="I25" s="1069"/>
      <c r="J25" s="1079"/>
      <c r="K25" s="1069"/>
      <c r="L25" s="1072" t="s">
        <v>1552</v>
      </c>
      <c r="M25" s="1069"/>
      <c r="N25" s="1069"/>
      <c r="O25" s="1069"/>
      <c r="P25" s="1069"/>
      <c r="Q25" s="1069"/>
      <c r="R25" s="1069"/>
      <c r="S25" s="1069"/>
      <c r="T25" s="1069"/>
      <c r="U25" s="1069"/>
      <c r="V25" s="1069"/>
      <c r="W25" s="1069"/>
      <c r="X25" s="1069"/>
      <c r="Y25" s="1069"/>
      <c r="Z25" s="1069"/>
      <c r="AA25" s="1069"/>
      <c r="AB25" s="1071"/>
      <c r="AD25" s="1043"/>
    </row>
    <row r="26" spans="2:30" ht="19.75" customHeight="1" thickBot="1" x14ac:dyDescent="0.4">
      <c r="B26" s="1044"/>
      <c r="C26" s="1045"/>
      <c r="D26" s="1090" t="b">
        <v>0</v>
      </c>
      <c r="E26" s="1080" t="s">
        <v>838</v>
      </c>
      <c r="F26" s="1037"/>
      <c r="G26" s="1037"/>
      <c r="H26" s="1037"/>
      <c r="I26" s="1037"/>
      <c r="J26" s="1081"/>
      <c r="K26" s="1037"/>
      <c r="L26" s="1080" t="s">
        <v>839</v>
      </c>
      <c r="M26" s="1037"/>
      <c r="N26" s="1037"/>
      <c r="O26" s="1037"/>
      <c r="P26" s="1037"/>
      <c r="Q26" s="1037"/>
      <c r="R26" s="1037"/>
      <c r="S26" s="1037"/>
      <c r="T26" s="1037"/>
      <c r="U26" s="1037"/>
      <c r="V26" s="1037"/>
      <c r="W26" s="1037"/>
      <c r="X26" s="1037"/>
      <c r="Y26" s="1037"/>
      <c r="Z26" s="1037"/>
      <c r="AA26" s="1037"/>
      <c r="AB26" s="1082"/>
      <c r="AD26" s="1043"/>
    </row>
    <row r="27" spans="2:30" ht="10" customHeight="1" thickTop="1" x14ac:dyDescent="0.35">
      <c r="B27" s="1044"/>
      <c r="C27" s="1045"/>
      <c r="D27" s="1045"/>
      <c r="E27" s="810"/>
      <c r="AD27" s="1043"/>
    </row>
    <row r="28" spans="2:30" ht="32" customHeight="1" thickBot="1" x14ac:dyDescent="0.4">
      <c r="B28" s="1049"/>
      <c r="C28" s="1050" t="s">
        <v>151</v>
      </c>
      <c r="D28" s="3524" t="s">
        <v>1553</v>
      </c>
      <c r="E28" s="3524"/>
      <c r="F28" s="3524"/>
      <c r="G28" s="3524"/>
      <c r="H28" s="3524"/>
      <c r="I28" s="3524"/>
      <c r="J28" s="3524"/>
      <c r="K28" s="3524"/>
      <c r="L28" s="3524"/>
      <c r="M28" s="3524"/>
      <c r="N28" s="3524"/>
      <c r="O28" s="3524"/>
      <c r="P28" s="3524"/>
      <c r="Q28" s="3524"/>
      <c r="R28" s="3524"/>
      <c r="S28" s="3524"/>
      <c r="T28" s="3524"/>
      <c r="U28" s="3524"/>
      <c r="V28" s="3524"/>
      <c r="W28" s="3524"/>
      <c r="X28" s="3524"/>
      <c r="Y28" s="3524"/>
      <c r="Z28" s="3524"/>
      <c r="AA28" s="3524"/>
      <c r="AB28" s="3524"/>
      <c r="AC28" s="1052"/>
      <c r="AD28" s="1053"/>
    </row>
    <row r="29" spans="2:30" s="1042" customFormat="1" ht="59" customHeight="1" thickTop="1" thickBot="1" x14ac:dyDescent="0.4">
      <c r="B29" s="1084"/>
      <c r="C29" s="1085"/>
      <c r="D29" s="3543" t="s">
        <v>1748</v>
      </c>
      <c r="E29" s="3544"/>
      <c r="F29" s="3544"/>
      <c r="G29" s="3544"/>
      <c r="H29" s="3544"/>
      <c r="I29" s="3544"/>
      <c r="J29" s="3545" t="s">
        <v>1710</v>
      </c>
      <c r="K29" s="3544"/>
      <c r="L29" s="3544"/>
      <c r="M29" s="3544"/>
      <c r="N29" s="3544"/>
      <c r="O29" s="3546"/>
      <c r="P29" s="3545" t="s">
        <v>1711</v>
      </c>
      <c r="Q29" s="3544"/>
      <c r="R29" s="3544"/>
      <c r="S29" s="3544"/>
      <c r="T29" s="3544"/>
      <c r="U29" s="3546"/>
      <c r="V29" s="3544" t="s">
        <v>1712</v>
      </c>
      <c r="W29" s="3544"/>
      <c r="X29" s="3544"/>
      <c r="Y29" s="3544"/>
      <c r="Z29" s="3544"/>
      <c r="AA29" s="3547"/>
      <c r="AB29" s="1085"/>
      <c r="AC29" s="1085"/>
      <c r="AD29" s="1086"/>
    </row>
    <row r="30" spans="2:30" s="1042" customFormat="1" ht="19.5" customHeight="1" thickBot="1" x14ac:dyDescent="0.4">
      <c r="B30" s="1044"/>
      <c r="C30" s="1045"/>
      <c r="D30" s="3522" t="s">
        <v>14</v>
      </c>
      <c r="E30" s="3514"/>
      <c r="F30" s="3516"/>
      <c r="G30" s="3514" t="s">
        <v>15</v>
      </c>
      <c r="H30" s="3514"/>
      <c r="I30" s="3514"/>
      <c r="J30" s="3523" t="s">
        <v>14</v>
      </c>
      <c r="K30" s="3514" t="s">
        <v>15</v>
      </c>
      <c r="L30" s="3516"/>
      <c r="M30" s="3514" t="s">
        <v>15</v>
      </c>
      <c r="N30" s="3514"/>
      <c r="O30" s="3515"/>
      <c r="P30" s="3523" t="s">
        <v>14</v>
      </c>
      <c r="Q30" s="3514" t="s">
        <v>15</v>
      </c>
      <c r="R30" s="3516"/>
      <c r="S30" s="3514" t="s">
        <v>15</v>
      </c>
      <c r="T30" s="3514"/>
      <c r="U30" s="3515"/>
      <c r="V30" s="3514" t="s">
        <v>14</v>
      </c>
      <c r="W30" s="3514" t="s">
        <v>15</v>
      </c>
      <c r="X30" s="3516"/>
      <c r="Y30" s="3517" t="s">
        <v>15</v>
      </c>
      <c r="Z30" s="3514"/>
      <c r="AA30" s="3518"/>
      <c r="AD30" s="1043"/>
    </row>
    <row r="31" spans="2:30" s="1042" customFormat="1" ht="30" customHeight="1" thickTop="1" thickBot="1" x14ac:dyDescent="0.4">
      <c r="B31" s="1044"/>
      <c r="C31" s="1045"/>
      <c r="D31" s="3519">
        <v>0</v>
      </c>
      <c r="E31" s="3520"/>
      <c r="F31" s="3521"/>
      <c r="G31" s="3538">
        <v>0</v>
      </c>
      <c r="H31" s="3539"/>
      <c r="I31" s="3539"/>
      <c r="J31" s="3540">
        <v>0</v>
      </c>
      <c r="K31" s="3520"/>
      <c r="L31" s="3521"/>
      <c r="M31" s="3539">
        <v>0</v>
      </c>
      <c r="N31" s="3539"/>
      <c r="O31" s="3541"/>
      <c r="P31" s="3540">
        <v>0</v>
      </c>
      <c r="Q31" s="3520"/>
      <c r="R31" s="3521"/>
      <c r="S31" s="3539">
        <v>0</v>
      </c>
      <c r="T31" s="3539"/>
      <c r="U31" s="3541"/>
      <c r="V31" s="3520">
        <v>0</v>
      </c>
      <c r="W31" s="3520"/>
      <c r="X31" s="3521"/>
      <c r="Y31" s="3538">
        <v>0</v>
      </c>
      <c r="Z31" s="3539"/>
      <c r="AA31" s="3552"/>
      <c r="AD31" s="1043"/>
    </row>
    <row r="32" spans="2:30" s="1042" customFormat="1" ht="5" customHeight="1" thickTop="1" x14ac:dyDescent="0.35">
      <c r="B32" s="1044"/>
      <c r="C32" s="1045"/>
      <c r="D32" s="1046"/>
      <c r="E32" s="1046"/>
      <c r="F32" s="1046"/>
      <c r="G32" s="1047"/>
      <c r="H32" s="1047"/>
      <c r="I32" s="1047"/>
      <c r="J32" s="1048"/>
      <c r="K32" s="1048"/>
      <c r="L32" s="1048"/>
      <c r="M32" s="1047"/>
      <c r="N32" s="1047"/>
      <c r="O32" s="1047"/>
      <c r="P32" s="1048"/>
      <c r="Q32" s="1048"/>
      <c r="R32" s="1048"/>
      <c r="S32" s="1047"/>
      <c r="T32" s="1047"/>
      <c r="U32" s="1047"/>
      <c r="V32" s="1048"/>
      <c r="W32" s="1048"/>
      <c r="X32" s="1048"/>
      <c r="Y32" s="1047"/>
      <c r="Z32" s="1047"/>
      <c r="AA32" s="1047"/>
      <c r="AD32" s="1043"/>
    </row>
    <row r="33" spans="2:30" s="1042" customFormat="1" ht="34" customHeight="1" x14ac:dyDescent="0.35">
      <c r="B33" s="1044"/>
      <c r="C33" s="1045"/>
      <c r="D33" s="417" t="s">
        <v>171</v>
      </c>
      <c r="E33" s="1046"/>
      <c r="F33" s="1046"/>
      <c r="G33" s="3542" t="s">
        <v>1932</v>
      </c>
      <c r="H33" s="3542"/>
      <c r="I33" s="3542"/>
      <c r="J33" s="3542"/>
      <c r="K33" s="3542"/>
      <c r="L33" s="3542"/>
      <c r="M33" s="3542"/>
      <c r="N33" s="3542"/>
      <c r="O33" s="3542"/>
      <c r="P33" s="3542"/>
      <c r="Q33" s="3542"/>
      <c r="R33" s="3542"/>
      <c r="S33" s="3542"/>
      <c r="T33" s="3542"/>
      <c r="U33" s="3542"/>
      <c r="V33" s="3542"/>
      <c r="W33" s="3542"/>
      <c r="X33" s="3542"/>
      <c r="Y33" s="3542"/>
      <c r="Z33" s="3542"/>
      <c r="AA33" s="3542"/>
      <c r="AD33" s="1043"/>
    </row>
    <row r="34" spans="2:30" s="1042" customFormat="1" ht="10" customHeight="1" x14ac:dyDescent="0.35">
      <c r="B34" s="1044"/>
      <c r="C34" s="1045"/>
      <c r="D34" s="1045"/>
      <c r="E34" s="486"/>
      <c r="AD34" s="1043"/>
    </row>
    <row r="35" spans="2:30" ht="32" customHeight="1" thickBot="1" x14ac:dyDescent="0.4">
      <c r="B35" s="1049"/>
      <c r="C35" s="1050" t="s">
        <v>152</v>
      </c>
      <c r="D35" s="3554" t="s">
        <v>1556</v>
      </c>
      <c r="E35" s="3554"/>
      <c r="F35" s="3554"/>
      <c r="G35" s="3554"/>
      <c r="H35" s="3554"/>
      <c r="I35" s="3554"/>
      <c r="J35" s="3554"/>
      <c r="K35" s="3554"/>
      <c r="L35" s="3554"/>
      <c r="M35" s="3554"/>
      <c r="N35" s="3554"/>
      <c r="O35" s="3554"/>
      <c r="P35" s="3554"/>
      <c r="Q35" s="3554"/>
      <c r="R35" s="3554"/>
      <c r="S35" s="3554"/>
      <c r="T35" s="3554"/>
      <c r="U35" s="3554"/>
      <c r="V35" s="3554"/>
      <c r="W35" s="3554"/>
      <c r="X35" s="3554"/>
      <c r="Y35" s="3554"/>
      <c r="Z35" s="3554"/>
      <c r="AA35" s="3554"/>
      <c r="AB35" s="3554"/>
      <c r="AC35" s="1052"/>
      <c r="AD35" s="1053"/>
    </row>
    <row r="36" spans="2:30" s="1042" customFormat="1" ht="33.5" customHeight="1" thickTop="1" thickBot="1" x14ac:dyDescent="0.4">
      <c r="B36" s="1044"/>
      <c r="C36" s="1045"/>
      <c r="D36" s="3555" t="s">
        <v>448</v>
      </c>
      <c r="E36" s="3536"/>
      <c r="F36" s="3536"/>
      <c r="G36" s="3536"/>
      <c r="H36" s="3536"/>
      <c r="I36" s="3534" t="s">
        <v>1041</v>
      </c>
      <c r="J36" s="3532"/>
      <c r="K36" s="3532"/>
      <c r="L36" s="3532"/>
      <c r="M36" s="3535"/>
      <c r="N36" s="3531" t="s">
        <v>263</v>
      </c>
      <c r="O36" s="3532"/>
      <c r="P36" s="3532"/>
      <c r="Q36" s="3532"/>
      <c r="R36" s="3533"/>
      <c r="S36" s="3534" t="s">
        <v>1554</v>
      </c>
      <c r="T36" s="3532"/>
      <c r="U36" s="3532"/>
      <c r="V36" s="3532"/>
      <c r="W36" s="3535"/>
      <c r="X36" s="3536" t="s">
        <v>1555</v>
      </c>
      <c r="Y36" s="3536"/>
      <c r="Z36" s="3536"/>
      <c r="AA36" s="3536"/>
      <c r="AB36" s="3537"/>
      <c r="AD36" s="1043"/>
    </row>
    <row r="37" spans="2:30" s="1042" customFormat="1" ht="30" customHeight="1" thickTop="1" thickBot="1" x14ac:dyDescent="0.4">
      <c r="B37" s="1044"/>
      <c r="C37" s="1045"/>
      <c r="D37" s="3519">
        <v>0</v>
      </c>
      <c r="E37" s="3520"/>
      <c r="F37" s="3520"/>
      <c r="G37" s="3520"/>
      <c r="H37" s="3520"/>
      <c r="I37" s="3548">
        <v>0</v>
      </c>
      <c r="J37" s="3549"/>
      <c r="K37" s="3549"/>
      <c r="L37" s="3549"/>
      <c r="M37" s="3550"/>
      <c r="N37" s="3521">
        <v>0</v>
      </c>
      <c r="O37" s="3549"/>
      <c r="P37" s="3549"/>
      <c r="Q37" s="3549"/>
      <c r="R37" s="3551"/>
      <c r="S37" s="3548">
        <v>0</v>
      </c>
      <c r="T37" s="3549"/>
      <c r="U37" s="3549"/>
      <c r="V37" s="3549"/>
      <c r="W37" s="3550"/>
      <c r="X37" s="3520">
        <v>0</v>
      </c>
      <c r="Y37" s="3520"/>
      <c r="Z37" s="3520"/>
      <c r="AA37" s="3520"/>
      <c r="AB37" s="3553"/>
      <c r="AD37" s="1043"/>
    </row>
    <row r="38" spans="2:30" ht="10" customHeight="1" thickTop="1" thickBot="1" x14ac:dyDescent="0.4">
      <c r="B38" s="1035"/>
      <c r="C38" s="1036"/>
      <c r="D38" s="1037"/>
      <c r="E38" s="1038"/>
      <c r="F38" s="1038"/>
      <c r="G38" s="1038"/>
      <c r="H38" s="1038"/>
      <c r="I38" s="1038"/>
      <c r="J38" s="1038"/>
      <c r="K38" s="1039"/>
      <c r="L38" s="1039"/>
      <c r="M38" s="1039"/>
      <c r="N38" s="1039"/>
      <c r="O38" s="1039"/>
      <c r="P38" s="1039"/>
      <c r="Q38" s="1039"/>
      <c r="R38" s="1039"/>
      <c r="S38" s="1039"/>
      <c r="T38" s="1039"/>
      <c r="U38" s="1039"/>
      <c r="V38" s="1039"/>
      <c r="W38" s="1039"/>
      <c r="X38" s="1039"/>
      <c r="Y38" s="1039"/>
      <c r="Z38" s="1039"/>
      <c r="AA38" s="1039"/>
      <c r="AB38" s="1039"/>
      <c r="AC38" s="1039"/>
      <c r="AD38" s="1040"/>
    </row>
    <row r="39" spans="2:30" s="44" customFormat="1" ht="5.15" customHeight="1" thickTop="1" x14ac:dyDescent="0.35">
      <c r="B39" s="343"/>
      <c r="H39" s="132"/>
      <c r="I39" s="132"/>
      <c r="J39" s="132"/>
      <c r="K39" s="132"/>
      <c r="O39" s="132"/>
      <c r="P39" s="132"/>
      <c r="Q39" s="132"/>
      <c r="R39" s="132"/>
      <c r="S39" s="132"/>
      <c r="T39" s="132"/>
      <c r="U39" s="132"/>
      <c r="X39" s="132"/>
      <c r="Y39" s="132"/>
      <c r="Z39" s="132"/>
      <c r="AA39" s="132"/>
      <c r="AB39" s="132"/>
      <c r="AC39" s="132"/>
    </row>
    <row r="40" spans="2:30" s="84" customFormat="1" x14ac:dyDescent="0.35">
      <c r="B40" s="1986" t="s">
        <v>1887</v>
      </c>
      <c r="C40" s="1986"/>
      <c r="D40" s="1986"/>
      <c r="E40" s="1986"/>
      <c r="F40" s="1986"/>
      <c r="G40" s="1986"/>
      <c r="H40" s="1986"/>
      <c r="I40" s="1986"/>
      <c r="J40" s="1986"/>
      <c r="K40" s="1986"/>
      <c r="L40" s="1986"/>
      <c r="M40" s="1986"/>
      <c r="N40" s="1986"/>
      <c r="O40" s="1986"/>
      <c r="P40" s="1986"/>
      <c r="Q40" s="1986"/>
      <c r="R40" s="1986"/>
      <c r="S40" s="1986"/>
      <c r="T40" s="1986"/>
      <c r="U40" s="1986"/>
      <c r="V40" s="1986"/>
      <c r="W40" s="1986"/>
      <c r="X40" s="1986"/>
      <c r="Y40" s="1986"/>
      <c r="Z40" s="1986"/>
      <c r="AA40" s="1986"/>
      <c r="AB40" s="1986"/>
      <c r="AC40" s="1986"/>
      <c r="AD40" s="1986"/>
    </row>
    <row r="41" spans="2:30" s="501" customFormat="1" ht="30.75" customHeight="1" x14ac:dyDescent="0.35"/>
    <row r="42" spans="2:30" s="73" customFormat="1" ht="14" x14ac:dyDescent="0.3">
      <c r="B42" s="74" t="s">
        <v>913</v>
      </c>
      <c r="R42" s="74" t="s">
        <v>846</v>
      </c>
    </row>
    <row r="43" spans="2:30" s="73" customFormat="1" ht="21.75" customHeight="1" x14ac:dyDescent="0.3">
      <c r="B43" s="74" t="s">
        <v>811</v>
      </c>
      <c r="F43" s="1482" t="str">
        <f>SchInfo!F38</f>
        <v>MELCHESIEDICK Q. BOLANIO/ March 17, 2023</v>
      </c>
      <c r="G43" s="1482"/>
      <c r="H43" s="1482"/>
      <c r="I43" s="1482"/>
      <c r="J43" s="1482"/>
      <c r="K43" s="1482"/>
      <c r="L43" s="1482"/>
      <c r="M43" s="1482"/>
      <c r="N43" s="1482"/>
      <c r="O43" s="545"/>
      <c r="P43" s="545"/>
      <c r="Q43" s="545"/>
      <c r="R43" s="1482" t="str">
        <f>Table39!Q37</f>
        <v>ELYN KENDRA D. DELA CRUZ  /  March 17, 2023</v>
      </c>
      <c r="S43" s="1482"/>
      <c r="T43" s="1482"/>
      <c r="U43" s="1482"/>
      <c r="V43" s="1482"/>
      <c r="W43" s="1482"/>
      <c r="X43" s="1482"/>
      <c r="Y43" s="1482"/>
      <c r="Z43" s="1482"/>
      <c r="AA43" s="1482"/>
      <c r="AB43" s="1482"/>
      <c r="AC43" s="1482"/>
      <c r="AD43" s="1482"/>
    </row>
    <row r="44" spans="2:30" s="68" customFormat="1" ht="14" customHeight="1" x14ac:dyDescent="0.3">
      <c r="B44" s="210"/>
      <c r="F44" s="1451" t="s">
        <v>779</v>
      </c>
      <c r="G44" s="1451"/>
      <c r="H44" s="1451"/>
      <c r="I44" s="1451"/>
      <c r="J44" s="1451"/>
      <c r="K44" s="1451"/>
      <c r="L44" s="1451"/>
      <c r="M44" s="1451"/>
      <c r="N44" s="1451"/>
      <c r="O44" s="63"/>
      <c r="P44" s="63"/>
      <c r="Q44" s="63"/>
      <c r="R44" s="1451" t="s">
        <v>779</v>
      </c>
      <c r="S44" s="1451"/>
      <c r="T44" s="1451"/>
      <c r="U44" s="1451"/>
      <c r="V44" s="1451"/>
      <c r="W44" s="1451"/>
      <c r="X44" s="1451"/>
      <c r="Y44" s="1451"/>
      <c r="Z44" s="1451"/>
      <c r="AA44" s="1451"/>
      <c r="AB44" s="1451"/>
      <c r="AC44" s="1451"/>
      <c r="AD44" s="1451"/>
    </row>
    <row r="45" spans="2:30" s="73" customFormat="1" ht="21.75" customHeight="1" x14ac:dyDescent="0.3">
      <c r="B45" s="74" t="s">
        <v>784</v>
      </c>
      <c r="F45" s="1482" t="str">
        <f>SchInfo!F40</f>
        <v>Principal IV</v>
      </c>
      <c r="G45" s="1482"/>
      <c r="H45" s="1482"/>
      <c r="I45" s="1482"/>
      <c r="J45" s="1482"/>
      <c r="K45" s="1482"/>
      <c r="L45" s="1482"/>
      <c r="M45" s="1482"/>
      <c r="N45" s="1482"/>
      <c r="O45" s="545"/>
      <c r="P45" s="545"/>
      <c r="Q45" s="545"/>
      <c r="R45" s="74" t="s">
        <v>784</v>
      </c>
      <c r="V45" s="1482" t="str">
        <f>Table39!U39</f>
        <v>Project Development Officer III</v>
      </c>
      <c r="W45" s="1482"/>
      <c r="X45" s="1482"/>
      <c r="Y45" s="1482"/>
      <c r="Z45" s="1482"/>
      <c r="AA45" s="1482"/>
      <c r="AB45" s="1482"/>
      <c r="AC45" s="1482"/>
      <c r="AD45" s="1482"/>
    </row>
    <row r="46" spans="2:30" s="501" customFormat="1" ht="30.75" customHeight="1" x14ac:dyDescent="0.35"/>
    <row r="47" spans="2:30" s="73" customFormat="1" ht="14" x14ac:dyDescent="0.3">
      <c r="J47" s="74" t="s">
        <v>922</v>
      </c>
    </row>
    <row r="48" spans="2:30" s="73" customFormat="1" ht="21.75" customHeight="1" x14ac:dyDescent="0.3">
      <c r="J48" s="1484" t="str">
        <f>SchInfo!R38</f>
        <v>MICHAEL T. JAMIS   /  March 17, 2023</v>
      </c>
      <c r="K48" s="1484"/>
      <c r="L48" s="1484"/>
      <c r="M48" s="1484"/>
      <c r="N48" s="1484"/>
      <c r="O48" s="1484"/>
      <c r="P48" s="1484"/>
      <c r="Q48" s="1484"/>
      <c r="R48" s="1484"/>
      <c r="S48" s="1484"/>
      <c r="T48" s="1484"/>
      <c r="U48" s="1484"/>
      <c r="V48" s="1484"/>
    </row>
    <row r="49" spans="9:23" s="68" customFormat="1" ht="14" customHeight="1" x14ac:dyDescent="0.3">
      <c r="J49" s="1485"/>
      <c r="K49" s="1485"/>
      <c r="L49" s="1485"/>
      <c r="M49" s="1485"/>
      <c r="N49" s="1485"/>
      <c r="O49" s="1485"/>
      <c r="P49" s="1485"/>
      <c r="Q49" s="1485"/>
      <c r="R49" s="1485"/>
      <c r="S49" s="1485"/>
      <c r="T49" s="1485"/>
      <c r="U49" s="1485"/>
      <c r="V49" s="1485"/>
    </row>
    <row r="50" spans="9:23" s="73" customFormat="1" ht="21.75" customHeight="1" x14ac:dyDescent="0.3">
      <c r="J50" s="1451" t="s">
        <v>779</v>
      </c>
      <c r="K50" s="1451"/>
      <c r="L50" s="1451"/>
      <c r="M50" s="1451"/>
      <c r="N50" s="1451"/>
      <c r="O50" s="1451"/>
      <c r="P50" s="1451"/>
      <c r="Q50" s="1451"/>
      <c r="R50" s="1451"/>
      <c r="S50" s="1451"/>
      <c r="T50" s="1451"/>
      <c r="U50" s="1451"/>
      <c r="V50" s="1451"/>
    </row>
    <row r="51" spans="9:23" s="1041" customFormat="1" x14ac:dyDescent="0.35">
      <c r="I51" s="1042"/>
      <c r="J51" s="1042"/>
      <c r="V51" s="1042"/>
      <c r="W51" s="1042"/>
    </row>
  </sheetData>
  <sheetProtection algorithmName="SHA-512" hashValue="T6goM4EyrEn/tYTsgSB1QDsfOqaz72bho4xUx8iYnUMVDYOYQtIbnoY0Wbvdz2LS3rGJCnZuJ4hJVUTzyy04Fg==" saltValue="khUZWC3kTMXxFEtN6o6OAQ==" spinCount="100000" sheet="1" objects="1" scenarios="1"/>
  <mergeCells count="47">
    <mergeCell ref="B40:AD40"/>
    <mergeCell ref="G33:AA33"/>
    <mergeCell ref="D29:I29"/>
    <mergeCell ref="J29:O29"/>
    <mergeCell ref="P29:U29"/>
    <mergeCell ref="V29:AA29"/>
    <mergeCell ref="D37:H37"/>
    <mergeCell ref="I37:M37"/>
    <mergeCell ref="N37:R37"/>
    <mergeCell ref="S37:W37"/>
    <mergeCell ref="V31:X31"/>
    <mergeCell ref="Y31:AA31"/>
    <mergeCell ref="X37:AB37"/>
    <mergeCell ref="D35:AB35"/>
    <mergeCell ref="D36:H36"/>
    <mergeCell ref="I36:M36"/>
    <mergeCell ref="J50:V50"/>
    <mergeCell ref="F43:N43"/>
    <mergeCell ref="F44:N44"/>
    <mergeCell ref="F45:N45"/>
    <mergeCell ref="R43:AD43"/>
    <mergeCell ref="R44:AD44"/>
    <mergeCell ref="V45:AD45"/>
    <mergeCell ref="J48:V49"/>
    <mergeCell ref="N36:R36"/>
    <mergeCell ref="S36:W36"/>
    <mergeCell ref="X36:AB36"/>
    <mergeCell ref="G31:I31"/>
    <mergeCell ref="J31:L31"/>
    <mergeCell ref="M31:O31"/>
    <mergeCell ref="P31:R31"/>
    <mergeCell ref="S31:U31"/>
    <mergeCell ref="D28:AB28"/>
    <mergeCell ref="D7:AB7"/>
    <mergeCell ref="E8:J8"/>
    <mergeCell ref="K8:AB8"/>
    <mergeCell ref="L18:AA18"/>
    <mergeCell ref="L19:AA19"/>
    <mergeCell ref="S30:U30"/>
    <mergeCell ref="V30:X30"/>
    <mergeCell ref="Y30:AA30"/>
    <mergeCell ref="D31:F31"/>
    <mergeCell ref="D30:F30"/>
    <mergeCell ref="G30:I30"/>
    <mergeCell ref="J30:L30"/>
    <mergeCell ref="M30:O30"/>
    <mergeCell ref="P30:R30"/>
  </mergeCells>
  <dataValidations count="2">
    <dataValidation type="whole" allowBlank="1" showInputMessage="1" showErrorMessage="1" errorTitle="GJHSP SY 2022-2023" error="Please enter valid number between 0-20,000." sqref="D31:AA31" xr:uid="{DD679AFB-2DB1-4133-A424-4A2E48617BD5}">
      <formula1>0</formula1>
      <formula2>20000</formula2>
    </dataValidation>
    <dataValidation type="whole" allowBlank="1" showInputMessage="1" showErrorMessage="1" errorTitle="GJHSP SY 2022-2023" error="Please enter valid number between 0-999." sqref="D37:AB37" xr:uid="{333ECE8C-D9B7-41E9-9499-970A69076693}">
      <formula1>0</formula1>
      <formula2>999</formula2>
    </dataValidation>
  </dataValidations>
  <printOptions horizontalCentered="1" verticalCentered="1"/>
  <pageMargins left="0.25" right="0.25" top="0.2" bottom="0.2" header="0" footer="0.1"/>
  <pageSetup paperSize="9" scale="76" orientation="portrait" r:id="rId1"/>
  <headerFooter>
    <oddFooter>&amp;L&amp;10&amp;F &amp;A&amp;R&amp;10Page 48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9873" r:id="rId4" name="Check Box 1">
              <controlPr defaultSize="0" autoFill="0" autoLine="0" autoPict="0">
                <anchor moveWithCells="1">
                  <from>
                    <xdr:col>3</xdr:col>
                    <xdr:colOff>25400</xdr:colOff>
                    <xdr:row>9</xdr:row>
                    <xdr:rowOff>6350</xdr:rowOff>
                  </from>
                  <to>
                    <xdr:col>4</xdr:col>
                    <xdr:colOff>266700</xdr:colOff>
                    <xdr:row>9</xdr:row>
                    <xdr:rowOff>228600</xdr:rowOff>
                  </to>
                </anchor>
              </controlPr>
            </control>
          </mc:Choice>
        </mc:AlternateContent>
        <mc:AlternateContent xmlns:mc="http://schemas.openxmlformats.org/markup-compatibility/2006">
          <mc:Choice Requires="x14">
            <control shapeId="79874" r:id="rId5" name="Check Box 2">
              <controlPr defaultSize="0" autoFill="0" autoLine="0" autoPict="0">
                <anchor moveWithCells="1">
                  <from>
                    <xdr:col>3</xdr:col>
                    <xdr:colOff>25400</xdr:colOff>
                    <xdr:row>10</xdr:row>
                    <xdr:rowOff>6350</xdr:rowOff>
                  </from>
                  <to>
                    <xdr:col>4</xdr:col>
                    <xdr:colOff>266700</xdr:colOff>
                    <xdr:row>10</xdr:row>
                    <xdr:rowOff>228600</xdr:rowOff>
                  </to>
                </anchor>
              </controlPr>
            </control>
          </mc:Choice>
        </mc:AlternateContent>
        <mc:AlternateContent xmlns:mc="http://schemas.openxmlformats.org/markup-compatibility/2006">
          <mc:Choice Requires="x14">
            <control shapeId="79875" r:id="rId6" name="Check Box 3">
              <controlPr defaultSize="0" autoFill="0" autoLine="0" autoPict="0">
                <anchor moveWithCells="1">
                  <from>
                    <xdr:col>3</xdr:col>
                    <xdr:colOff>25400</xdr:colOff>
                    <xdr:row>11</xdr:row>
                    <xdr:rowOff>6350</xdr:rowOff>
                  </from>
                  <to>
                    <xdr:col>4</xdr:col>
                    <xdr:colOff>266700</xdr:colOff>
                    <xdr:row>11</xdr:row>
                    <xdr:rowOff>228600</xdr:rowOff>
                  </to>
                </anchor>
              </controlPr>
            </control>
          </mc:Choice>
        </mc:AlternateContent>
        <mc:AlternateContent xmlns:mc="http://schemas.openxmlformats.org/markup-compatibility/2006">
          <mc:Choice Requires="x14">
            <control shapeId="79876" r:id="rId7" name="Check Box 4">
              <controlPr defaultSize="0" autoFill="0" autoLine="0" autoPict="0">
                <anchor moveWithCells="1">
                  <from>
                    <xdr:col>3</xdr:col>
                    <xdr:colOff>25400</xdr:colOff>
                    <xdr:row>12</xdr:row>
                    <xdr:rowOff>6350</xdr:rowOff>
                  </from>
                  <to>
                    <xdr:col>4</xdr:col>
                    <xdr:colOff>266700</xdr:colOff>
                    <xdr:row>12</xdr:row>
                    <xdr:rowOff>228600</xdr:rowOff>
                  </to>
                </anchor>
              </controlPr>
            </control>
          </mc:Choice>
        </mc:AlternateContent>
        <mc:AlternateContent xmlns:mc="http://schemas.openxmlformats.org/markup-compatibility/2006">
          <mc:Choice Requires="x14">
            <control shapeId="79877" r:id="rId8" name="Check Box 5">
              <controlPr defaultSize="0" autoFill="0" autoLine="0" autoPict="0">
                <anchor moveWithCells="1">
                  <from>
                    <xdr:col>3</xdr:col>
                    <xdr:colOff>25400</xdr:colOff>
                    <xdr:row>13</xdr:row>
                    <xdr:rowOff>6350</xdr:rowOff>
                  </from>
                  <to>
                    <xdr:col>4</xdr:col>
                    <xdr:colOff>266700</xdr:colOff>
                    <xdr:row>13</xdr:row>
                    <xdr:rowOff>228600</xdr:rowOff>
                  </to>
                </anchor>
              </controlPr>
            </control>
          </mc:Choice>
        </mc:AlternateContent>
        <mc:AlternateContent xmlns:mc="http://schemas.openxmlformats.org/markup-compatibility/2006">
          <mc:Choice Requires="x14">
            <control shapeId="79878" r:id="rId9" name="Check Box 6">
              <controlPr defaultSize="0" autoFill="0" autoLine="0" autoPict="0">
                <anchor moveWithCells="1">
                  <from>
                    <xdr:col>3</xdr:col>
                    <xdr:colOff>25400</xdr:colOff>
                    <xdr:row>14</xdr:row>
                    <xdr:rowOff>6350</xdr:rowOff>
                  </from>
                  <to>
                    <xdr:col>4</xdr:col>
                    <xdr:colOff>266700</xdr:colOff>
                    <xdr:row>14</xdr:row>
                    <xdr:rowOff>228600</xdr:rowOff>
                  </to>
                </anchor>
              </controlPr>
            </control>
          </mc:Choice>
        </mc:AlternateContent>
        <mc:AlternateContent xmlns:mc="http://schemas.openxmlformats.org/markup-compatibility/2006">
          <mc:Choice Requires="x14">
            <control shapeId="79879" r:id="rId10" name="Check Box 7">
              <controlPr defaultSize="0" autoFill="0" autoLine="0" autoPict="0">
                <anchor moveWithCells="1">
                  <from>
                    <xdr:col>3</xdr:col>
                    <xdr:colOff>25400</xdr:colOff>
                    <xdr:row>15</xdr:row>
                    <xdr:rowOff>6350</xdr:rowOff>
                  </from>
                  <to>
                    <xdr:col>4</xdr:col>
                    <xdr:colOff>266700</xdr:colOff>
                    <xdr:row>15</xdr:row>
                    <xdr:rowOff>228600</xdr:rowOff>
                  </to>
                </anchor>
              </controlPr>
            </control>
          </mc:Choice>
        </mc:AlternateContent>
        <mc:AlternateContent xmlns:mc="http://schemas.openxmlformats.org/markup-compatibility/2006">
          <mc:Choice Requires="x14">
            <control shapeId="79880" r:id="rId11" name="Check Box 8">
              <controlPr defaultSize="0" autoFill="0" autoLine="0" autoPict="0">
                <anchor moveWithCells="1">
                  <from>
                    <xdr:col>3</xdr:col>
                    <xdr:colOff>25400</xdr:colOff>
                    <xdr:row>16</xdr:row>
                    <xdr:rowOff>6350</xdr:rowOff>
                  </from>
                  <to>
                    <xdr:col>4</xdr:col>
                    <xdr:colOff>266700</xdr:colOff>
                    <xdr:row>16</xdr:row>
                    <xdr:rowOff>228600</xdr:rowOff>
                  </to>
                </anchor>
              </controlPr>
            </control>
          </mc:Choice>
        </mc:AlternateContent>
        <mc:AlternateContent xmlns:mc="http://schemas.openxmlformats.org/markup-compatibility/2006">
          <mc:Choice Requires="x14">
            <control shapeId="79881" r:id="rId12" name="Check Box 9">
              <controlPr defaultSize="0" autoFill="0" autoLine="0" autoPict="0">
                <anchor moveWithCells="1">
                  <from>
                    <xdr:col>3</xdr:col>
                    <xdr:colOff>25400</xdr:colOff>
                    <xdr:row>17</xdr:row>
                    <xdr:rowOff>88900</xdr:rowOff>
                  </from>
                  <to>
                    <xdr:col>4</xdr:col>
                    <xdr:colOff>266700</xdr:colOff>
                    <xdr:row>17</xdr:row>
                    <xdr:rowOff>311150</xdr:rowOff>
                  </to>
                </anchor>
              </controlPr>
            </control>
          </mc:Choice>
        </mc:AlternateContent>
        <mc:AlternateContent xmlns:mc="http://schemas.openxmlformats.org/markup-compatibility/2006">
          <mc:Choice Requires="x14">
            <control shapeId="79882" r:id="rId13" name="Check Box 10">
              <controlPr defaultSize="0" autoFill="0" autoLine="0" autoPict="0">
                <anchor moveWithCells="1">
                  <from>
                    <xdr:col>3</xdr:col>
                    <xdr:colOff>31750</xdr:colOff>
                    <xdr:row>18</xdr:row>
                    <xdr:rowOff>177800</xdr:rowOff>
                  </from>
                  <to>
                    <xdr:col>5</xdr:col>
                    <xdr:colOff>0</xdr:colOff>
                    <xdr:row>18</xdr:row>
                    <xdr:rowOff>393700</xdr:rowOff>
                  </to>
                </anchor>
              </controlPr>
            </control>
          </mc:Choice>
        </mc:AlternateContent>
        <mc:AlternateContent xmlns:mc="http://schemas.openxmlformats.org/markup-compatibility/2006">
          <mc:Choice Requires="x14">
            <control shapeId="79883" r:id="rId14" name="Check Box 11">
              <controlPr defaultSize="0" autoFill="0" autoLine="0" autoPict="0">
                <anchor moveWithCells="1">
                  <from>
                    <xdr:col>3</xdr:col>
                    <xdr:colOff>25400</xdr:colOff>
                    <xdr:row>19</xdr:row>
                    <xdr:rowOff>6350</xdr:rowOff>
                  </from>
                  <to>
                    <xdr:col>4</xdr:col>
                    <xdr:colOff>266700</xdr:colOff>
                    <xdr:row>19</xdr:row>
                    <xdr:rowOff>228600</xdr:rowOff>
                  </to>
                </anchor>
              </controlPr>
            </control>
          </mc:Choice>
        </mc:AlternateContent>
        <mc:AlternateContent xmlns:mc="http://schemas.openxmlformats.org/markup-compatibility/2006">
          <mc:Choice Requires="x14">
            <control shapeId="79884" r:id="rId15" name="Check Box 12">
              <controlPr defaultSize="0" autoFill="0" autoLine="0" autoPict="0">
                <anchor moveWithCells="1">
                  <from>
                    <xdr:col>3</xdr:col>
                    <xdr:colOff>25400</xdr:colOff>
                    <xdr:row>21</xdr:row>
                    <xdr:rowOff>6350</xdr:rowOff>
                  </from>
                  <to>
                    <xdr:col>4</xdr:col>
                    <xdr:colOff>266700</xdr:colOff>
                    <xdr:row>21</xdr:row>
                    <xdr:rowOff>228600</xdr:rowOff>
                  </to>
                </anchor>
              </controlPr>
            </control>
          </mc:Choice>
        </mc:AlternateContent>
        <mc:AlternateContent xmlns:mc="http://schemas.openxmlformats.org/markup-compatibility/2006">
          <mc:Choice Requires="x14">
            <control shapeId="79885" r:id="rId16" name="Check Box 13">
              <controlPr defaultSize="0" autoFill="0" autoLine="0" autoPict="0">
                <anchor moveWithCells="1">
                  <from>
                    <xdr:col>3</xdr:col>
                    <xdr:colOff>25400</xdr:colOff>
                    <xdr:row>22</xdr:row>
                    <xdr:rowOff>6350</xdr:rowOff>
                  </from>
                  <to>
                    <xdr:col>4</xdr:col>
                    <xdr:colOff>266700</xdr:colOff>
                    <xdr:row>22</xdr:row>
                    <xdr:rowOff>228600</xdr:rowOff>
                  </to>
                </anchor>
              </controlPr>
            </control>
          </mc:Choice>
        </mc:AlternateContent>
        <mc:AlternateContent xmlns:mc="http://schemas.openxmlformats.org/markup-compatibility/2006">
          <mc:Choice Requires="x14">
            <control shapeId="79886" r:id="rId17" name="Check Box 14">
              <controlPr defaultSize="0" autoFill="0" autoLine="0" autoPict="0">
                <anchor moveWithCells="1">
                  <from>
                    <xdr:col>3</xdr:col>
                    <xdr:colOff>25400</xdr:colOff>
                    <xdr:row>23</xdr:row>
                    <xdr:rowOff>6350</xdr:rowOff>
                  </from>
                  <to>
                    <xdr:col>4</xdr:col>
                    <xdr:colOff>266700</xdr:colOff>
                    <xdr:row>23</xdr:row>
                    <xdr:rowOff>228600</xdr:rowOff>
                  </to>
                </anchor>
              </controlPr>
            </control>
          </mc:Choice>
        </mc:AlternateContent>
        <mc:AlternateContent xmlns:mc="http://schemas.openxmlformats.org/markup-compatibility/2006">
          <mc:Choice Requires="x14">
            <control shapeId="79887" r:id="rId18" name="Check Box 15">
              <controlPr defaultSize="0" autoFill="0" autoLine="0" autoPict="0">
                <anchor moveWithCells="1">
                  <from>
                    <xdr:col>3</xdr:col>
                    <xdr:colOff>25400</xdr:colOff>
                    <xdr:row>24</xdr:row>
                    <xdr:rowOff>6350</xdr:rowOff>
                  </from>
                  <to>
                    <xdr:col>4</xdr:col>
                    <xdr:colOff>266700</xdr:colOff>
                    <xdr:row>24</xdr:row>
                    <xdr:rowOff>228600</xdr:rowOff>
                  </to>
                </anchor>
              </controlPr>
            </control>
          </mc:Choice>
        </mc:AlternateContent>
        <mc:AlternateContent xmlns:mc="http://schemas.openxmlformats.org/markup-compatibility/2006">
          <mc:Choice Requires="x14">
            <control shapeId="79888" r:id="rId19" name="Check Box 16">
              <controlPr defaultSize="0" autoFill="0" autoLine="0" autoPict="0">
                <anchor moveWithCells="1">
                  <from>
                    <xdr:col>3</xdr:col>
                    <xdr:colOff>25400</xdr:colOff>
                    <xdr:row>25</xdr:row>
                    <xdr:rowOff>6350</xdr:rowOff>
                  </from>
                  <to>
                    <xdr:col>4</xdr:col>
                    <xdr:colOff>266700</xdr:colOff>
                    <xdr:row>25</xdr:row>
                    <xdr:rowOff>228600</xdr:rowOff>
                  </to>
                </anchor>
              </controlPr>
            </control>
          </mc:Choice>
        </mc:AlternateContent>
      </controls>
    </mc:Choice>
  </mc:AlternateContent>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75050-BE87-407D-87B7-C189E8ADEFAD}">
  <sheetPr>
    <pageSetUpPr fitToPage="1"/>
  </sheetPr>
  <dimension ref="B1:AO59"/>
  <sheetViews>
    <sheetView showGridLines="0" topLeftCell="A48" zoomScaleNormal="100" zoomScaleSheetLayoutView="100" workbookViewId="0">
      <selection activeCell="E9" sqref="E9:AD9"/>
    </sheetView>
  </sheetViews>
  <sheetFormatPr defaultColWidth="8" defaultRowHeight="15.5" x14ac:dyDescent="0.35"/>
  <cols>
    <col min="1" max="1" width="2.08203125" style="1041" customWidth="1"/>
    <col min="2" max="30" width="3.58203125" style="1042" customWidth="1"/>
    <col min="31" max="32" width="3.58203125" style="1041" customWidth="1"/>
    <col min="33" max="33" width="2.08203125" style="1041" customWidth="1"/>
    <col min="34" max="165" width="3.58203125" style="1041" customWidth="1"/>
    <col min="166" max="16384" width="8" style="1041"/>
  </cols>
  <sheetData>
    <row r="1" spans="2:41" ht="12" customHeight="1" x14ac:dyDescent="0.35"/>
    <row r="2" spans="2:41" ht="17" thickBot="1" x14ac:dyDescent="0.4">
      <c r="B2" s="1054" t="s">
        <v>1557</v>
      </c>
      <c r="C2" s="1041"/>
      <c r="D2" s="1041"/>
      <c r="E2" s="1041"/>
      <c r="F2" s="1041"/>
      <c r="G2" s="1041"/>
      <c r="H2" s="1041"/>
      <c r="I2" s="1041"/>
      <c r="J2" s="1041"/>
      <c r="K2" s="1041"/>
      <c r="L2" s="1041"/>
      <c r="M2" s="1041"/>
      <c r="N2" s="1041"/>
      <c r="O2" s="1041"/>
      <c r="P2" s="1041"/>
      <c r="Q2" s="1041"/>
      <c r="R2" s="1041"/>
      <c r="S2" s="1041"/>
      <c r="T2" s="1041"/>
      <c r="U2" s="1041"/>
      <c r="V2" s="1041"/>
      <c r="W2" s="1041"/>
      <c r="X2" s="1041"/>
      <c r="Y2" s="1041"/>
      <c r="Z2" s="1041"/>
      <c r="AA2" s="1041"/>
      <c r="AB2" s="1041"/>
      <c r="AC2" s="1041"/>
      <c r="AD2" s="1041"/>
    </row>
    <row r="3" spans="2:41" ht="5" customHeight="1" thickTop="1" x14ac:dyDescent="0.35">
      <c r="B3" s="1056"/>
      <c r="C3" s="1057"/>
      <c r="D3" s="1057"/>
      <c r="E3" s="1057"/>
      <c r="F3" s="1057"/>
      <c r="G3" s="1057"/>
      <c r="H3" s="1057"/>
      <c r="I3" s="1057"/>
      <c r="J3" s="1057"/>
      <c r="K3" s="1057"/>
      <c r="L3" s="1057"/>
      <c r="M3" s="1057"/>
      <c r="N3" s="1057"/>
      <c r="O3" s="1057"/>
      <c r="P3" s="1057"/>
      <c r="Q3" s="1057"/>
      <c r="R3" s="1057"/>
      <c r="S3" s="1057"/>
      <c r="T3" s="1057"/>
      <c r="U3" s="1057"/>
      <c r="V3" s="1057"/>
      <c r="W3" s="1057"/>
      <c r="X3" s="1057"/>
      <c r="Y3" s="1057"/>
      <c r="Z3" s="1057"/>
      <c r="AA3" s="1057"/>
      <c r="AB3" s="1057"/>
      <c r="AC3" s="1057"/>
      <c r="AD3" s="1057"/>
      <c r="AE3" s="1057"/>
      <c r="AF3" s="1058"/>
    </row>
    <row r="4" spans="2:41" s="1101" customFormat="1" ht="24.75" customHeight="1" x14ac:dyDescent="0.35">
      <c r="B4" s="1097"/>
      <c r="C4" s="1059" t="s">
        <v>150</v>
      </c>
      <c r="D4" s="833" t="b">
        <v>0</v>
      </c>
      <c r="E4" s="3592" t="s">
        <v>1559</v>
      </c>
      <c r="F4" s="3592"/>
      <c r="G4" s="3592"/>
      <c r="H4" s="3592"/>
      <c r="I4" s="3592"/>
      <c r="J4" s="3592"/>
      <c r="K4" s="3592"/>
      <c r="L4" s="3592"/>
      <c r="M4" s="3592"/>
      <c r="N4" s="3592"/>
      <c r="O4" s="3592"/>
      <c r="P4" s="3592"/>
      <c r="Q4" s="3592"/>
      <c r="R4" s="3592"/>
      <c r="S4" s="3592"/>
      <c r="T4" s="3592"/>
      <c r="U4" s="3592"/>
      <c r="V4" s="3592"/>
      <c r="W4" s="3592"/>
      <c r="X4" s="3592"/>
      <c r="Y4" s="3592"/>
      <c r="Z4" s="3592"/>
      <c r="AA4" s="3592"/>
      <c r="AB4" s="3592"/>
      <c r="AC4" s="3592"/>
      <c r="AD4" s="3592"/>
      <c r="AE4" s="1099"/>
      <c r="AF4" s="1100"/>
      <c r="AG4" s="1099"/>
      <c r="AH4" s="1099"/>
      <c r="AI4" s="1099"/>
      <c r="AJ4" s="1099"/>
      <c r="AK4" s="1099"/>
      <c r="AL4" s="1099"/>
      <c r="AM4" s="1099"/>
      <c r="AN4" s="1099"/>
      <c r="AO4" s="1099"/>
    </row>
    <row r="5" spans="2:41" ht="20.5" customHeight="1" x14ac:dyDescent="0.35">
      <c r="B5" s="1049"/>
      <c r="C5" s="1050" t="s">
        <v>151</v>
      </c>
      <c r="D5" s="3524" t="s">
        <v>1861</v>
      </c>
      <c r="E5" s="3524"/>
      <c r="F5" s="3524"/>
      <c r="G5" s="3524"/>
      <c r="H5" s="3524"/>
      <c r="I5" s="3524"/>
      <c r="J5" s="3524"/>
      <c r="K5" s="3524"/>
      <c r="L5" s="3524"/>
      <c r="M5" s="3524"/>
      <c r="N5" s="3524"/>
      <c r="O5" s="3524"/>
      <c r="P5" s="3524"/>
      <c r="Q5" s="3524"/>
      <c r="R5" s="3524"/>
      <c r="S5" s="3524"/>
      <c r="T5" s="3524"/>
      <c r="U5" s="3524"/>
      <c r="V5" s="3524"/>
      <c r="W5" s="3524"/>
      <c r="X5" s="3524"/>
      <c r="Y5" s="3524"/>
      <c r="Z5" s="3524"/>
      <c r="AA5" s="3524"/>
      <c r="AB5" s="3524"/>
      <c r="AC5" s="3524"/>
      <c r="AD5" s="3524"/>
      <c r="AE5" s="1052"/>
      <c r="AF5" s="1053"/>
    </row>
    <row r="6" spans="2:41" x14ac:dyDescent="0.35">
      <c r="B6" s="1049"/>
      <c r="C6" s="1050"/>
      <c r="D6" s="1041"/>
      <c r="E6" s="1041"/>
      <c r="F6" s="1041"/>
      <c r="G6" s="833" t="b">
        <v>1</v>
      </c>
      <c r="H6" s="1102" t="s">
        <v>1041</v>
      </c>
      <c r="I6" s="1103"/>
      <c r="J6" s="1103"/>
      <c r="K6" s="1103"/>
      <c r="L6" s="1103"/>
      <c r="M6" s="1103"/>
      <c r="N6" s="833" t="b">
        <v>1</v>
      </c>
      <c r="O6" s="1102" t="s">
        <v>263</v>
      </c>
      <c r="P6" s="1103"/>
      <c r="Q6" s="1103"/>
      <c r="R6" s="1103"/>
      <c r="S6" s="833" t="b">
        <v>1</v>
      </c>
      <c r="T6" s="1102" t="s">
        <v>60</v>
      </c>
      <c r="U6" s="1103"/>
      <c r="V6" s="1103"/>
      <c r="W6" s="833" t="b">
        <v>1</v>
      </c>
      <c r="X6" s="1102" t="s">
        <v>1560</v>
      </c>
      <c r="Y6" s="1103"/>
      <c r="Z6" s="1103"/>
      <c r="AA6" s="1103"/>
      <c r="AB6" s="1103"/>
      <c r="AC6" s="1103"/>
      <c r="AD6" s="1103"/>
      <c r="AE6" s="1052"/>
      <c r="AF6" s="1053"/>
    </row>
    <row r="7" spans="2:41" s="1101" customFormat="1" ht="24.75" customHeight="1" x14ac:dyDescent="0.35">
      <c r="B7" s="1097"/>
      <c r="C7" s="1104" t="s">
        <v>152</v>
      </c>
      <c r="D7" s="833" t="b">
        <v>0</v>
      </c>
      <c r="E7" s="3592" t="s">
        <v>1561</v>
      </c>
      <c r="F7" s="3592"/>
      <c r="G7" s="3592"/>
      <c r="H7" s="3592"/>
      <c r="I7" s="3592"/>
      <c r="J7" s="3592"/>
      <c r="K7" s="3592"/>
      <c r="L7" s="3592"/>
      <c r="M7" s="3592"/>
      <c r="N7" s="3592"/>
      <c r="O7" s="3592"/>
      <c r="P7" s="3592"/>
      <c r="Q7" s="3592"/>
      <c r="R7" s="3592"/>
      <c r="S7" s="3592"/>
      <c r="T7" s="3592"/>
      <c r="U7" s="3592"/>
      <c r="V7" s="3592"/>
      <c r="W7" s="3592"/>
      <c r="X7" s="3592"/>
      <c r="Y7" s="3592"/>
      <c r="Z7" s="3592"/>
      <c r="AA7" s="3592"/>
      <c r="AB7" s="3592"/>
      <c r="AC7" s="3592"/>
      <c r="AD7" s="3592"/>
      <c r="AE7" s="1099"/>
      <c r="AF7" s="1100"/>
      <c r="AG7" s="1099"/>
      <c r="AH7" s="1099"/>
      <c r="AI7" s="1099"/>
      <c r="AJ7" s="1099"/>
      <c r="AK7" s="1099"/>
      <c r="AL7" s="1099"/>
      <c r="AM7" s="1099"/>
      <c r="AN7" s="1099"/>
      <c r="AO7" s="1099"/>
    </row>
    <row r="8" spans="2:41" s="1101" customFormat="1" ht="24.75" customHeight="1" x14ac:dyDescent="0.35">
      <c r="B8" s="1097"/>
      <c r="C8" s="1104" t="s">
        <v>155</v>
      </c>
      <c r="D8" s="833" t="b">
        <v>0</v>
      </c>
      <c r="E8" s="3592" t="s">
        <v>1562</v>
      </c>
      <c r="F8" s="3592"/>
      <c r="G8" s="3592"/>
      <c r="H8" s="3592"/>
      <c r="I8" s="3592"/>
      <c r="J8" s="3592"/>
      <c r="K8" s="3592"/>
      <c r="L8" s="3592"/>
      <c r="M8" s="3592"/>
      <c r="N8" s="3592"/>
      <c r="O8" s="3592"/>
      <c r="P8" s="3592"/>
      <c r="Q8" s="3592"/>
      <c r="R8" s="3592"/>
      <c r="S8" s="3592"/>
      <c r="T8" s="3592"/>
      <c r="U8" s="3592"/>
      <c r="V8" s="3592"/>
      <c r="W8" s="3592"/>
      <c r="X8" s="3592"/>
      <c r="Y8" s="3592"/>
      <c r="Z8" s="3592"/>
      <c r="AA8" s="3592"/>
      <c r="AB8" s="3592"/>
      <c r="AC8" s="3592"/>
      <c r="AD8" s="3592"/>
      <c r="AE8" s="1099"/>
      <c r="AF8" s="1100"/>
      <c r="AG8" s="1099"/>
      <c r="AH8" s="1099"/>
      <c r="AI8" s="1099"/>
      <c r="AJ8" s="1099"/>
      <c r="AK8" s="1099"/>
      <c r="AL8" s="1099"/>
      <c r="AM8" s="1099"/>
      <c r="AN8" s="1099"/>
      <c r="AO8" s="1099"/>
    </row>
    <row r="9" spans="2:41" s="1101" customFormat="1" ht="24.75" customHeight="1" x14ac:dyDescent="0.35">
      <c r="B9" s="1097"/>
      <c r="C9" s="1104" t="s">
        <v>156</v>
      </c>
      <c r="D9" s="833" t="b">
        <v>1</v>
      </c>
      <c r="E9" s="3592" t="s">
        <v>1563</v>
      </c>
      <c r="F9" s="3592"/>
      <c r="G9" s="3592"/>
      <c r="H9" s="3592"/>
      <c r="I9" s="3592"/>
      <c r="J9" s="3592"/>
      <c r="K9" s="3592"/>
      <c r="L9" s="3592"/>
      <c r="M9" s="3592"/>
      <c r="N9" s="3592"/>
      <c r="O9" s="3592"/>
      <c r="P9" s="3592"/>
      <c r="Q9" s="3592"/>
      <c r="R9" s="3592"/>
      <c r="S9" s="3592"/>
      <c r="T9" s="3592"/>
      <c r="U9" s="3592"/>
      <c r="V9" s="3592"/>
      <c r="W9" s="3592"/>
      <c r="X9" s="3592"/>
      <c r="Y9" s="3592"/>
      <c r="Z9" s="3592"/>
      <c r="AA9" s="3592"/>
      <c r="AB9" s="3592"/>
      <c r="AC9" s="3592"/>
      <c r="AD9" s="3592"/>
      <c r="AE9" s="1099"/>
      <c r="AF9" s="1100"/>
      <c r="AG9" s="1099"/>
      <c r="AH9" s="1099"/>
      <c r="AI9" s="1099"/>
      <c r="AJ9" s="1099"/>
      <c r="AK9" s="1099"/>
      <c r="AL9" s="1099"/>
      <c r="AM9" s="1099"/>
      <c r="AN9" s="1099"/>
      <c r="AO9" s="1099"/>
    </row>
    <row r="10" spans="2:41" s="1101" customFormat="1" ht="24.75" customHeight="1" x14ac:dyDescent="0.35">
      <c r="B10" s="1097"/>
      <c r="C10" s="1104" t="s">
        <v>157</v>
      </c>
      <c r="D10" s="833" t="b">
        <v>1</v>
      </c>
      <c r="E10" s="3592" t="s">
        <v>12672</v>
      </c>
      <c r="F10" s="3592"/>
      <c r="G10" s="3592"/>
      <c r="H10" s="3592"/>
      <c r="I10" s="3592"/>
      <c r="J10" s="3592"/>
      <c r="K10" s="3592"/>
      <c r="L10" s="3592"/>
      <c r="M10" s="3592"/>
      <c r="N10" s="3592"/>
      <c r="O10" s="3592"/>
      <c r="P10" s="3592"/>
      <c r="Q10" s="3592"/>
      <c r="R10" s="3592"/>
      <c r="S10" s="3592"/>
      <c r="T10" s="3592"/>
      <c r="U10" s="3592"/>
      <c r="V10" s="3592"/>
      <c r="W10" s="3592"/>
      <c r="X10" s="3592"/>
      <c r="Y10" s="3592"/>
      <c r="Z10" s="3592"/>
      <c r="AA10" s="3592"/>
      <c r="AB10" s="3592"/>
      <c r="AC10" s="3592"/>
      <c r="AD10" s="3592"/>
      <c r="AE10" s="1099"/>
      <c r="AF10" s="1100"/>
      <c r="AG10" s="1099"/>
      <c r="AH10" s="1099"/>
      <c r="AI10" s="1099"/>
      <c r="AJ10" s="1099"/>
      <c r="AK10" s="1099"/>
      <c r="AL10" s="1099"/>
      <c r="AM10" s="1099"/>
      <c r="AN10" s="1099"/>
      <c r="AO10" s="1099"/>
    </row>
    <row r="11" spans="2:41" x14ac:dyDescent="0.35">
      <c r="B11" s="1049"/>
      <c r="C11" s="1050" t="s">
        <v>159</v>
      </c>
      <c r="D11" s="3524" t="s">
        <v>1564</v>
      </c>
      <c r="E11" s="3524"/>
      <c r="F11" s="3524"/>
      <c r="G11" s="3524"/>
      <c r="H11" s="3524"/>
      <c r="I11" s="3524"/>
      <c r="J11" s="3524"/>
      <c r="K11" s="3524"/>
      <c r="L11" s="3524"/>
      <c r="M11" s="3524"/>
      <c r="N11" s="3524"/>
      <c r="O11" s="3524"/>
      <c r="P11" s="3524"/>
      <c r="Q11" s="3524"/>
      <c r="R11" s="3524"/>
      <c r="S11" s="3524"/>
      <c r="T11" s="3524"/>
      <c r="U11" s="3524"/>
      <c r="V11" s="3524"/>
      <c r="W11" s="3524"/>
      <c r="X11" s="3524"/>
      <c r="Y11" s="3524"/>
      <c r="Z11" s="3524"/>
      <c r="AA11" s="3524"/>
      <c r="AB11" s="3524"/>
      <c r="AC11" s="3524"/>
      <c r="AD11" s="1083"/>
      <c r="AE11" s="1052"/>
      <c r="AF11" s="1053"/>
    </row>
    <row r="12" spans="2:41" ht="5" customHeight="1" thickBot="1" x14ac:dyDescent="0.4">
      <c r="B12" s="1084"/>
      <c r="C12" s="1105"/>
      <c r="D12" s="1105"/>
      <c r="E12" s="1105"/>
      <c r="F12" s="1105"/>
      <c r="G12" s="1105"/>
      <c r="H12" s="1105"/>
      <c r="I12" s="1105"/>
      <c r="J12" s="1105"/>
      <c r="K12" s="1105"/>
      <c r="L12" s="1105"/>
      <c r="M12" s="1105"/>
      <c r="N12" s="1105"/>
      <c r="O12" s="1105"/>
      <c r="P12" s="1105"/>
      <c r="Q12" s="1105"/>
      <c r="R12" s="1105"/>
      <c r="S12" s="1105"/>
      <c r="T12" s="1105"/>
      <c r="U12" s="1105"/>
      <c r="V12" s="1105"/>
      <c r="W12" s="1105"/>
      <c r="X12" s="1105"/>
      <c r="Y12" s="1105"/>
      <c r="Z12" s="1105"/>
      <c r="AA12" s="1105"/>
      <c r="AB12" s="1105"/>
      <c r="AC12" s="1105"/>
      <c r="AD12" s="1105"/>
      <c r="AE12" s="1105"/>
      <c r="AF12" s="1062"/>
    </row>
    <row r="13" spans="2:41" s="1042" customFormat="1" ht="59" customHeight="1" thickTop="1" thickBot="1" x14ac:dyDescent="0.4">
      <c r="B13" s="1084"/>
      <c r="C13" s="1085"/>
      <c r="D13" s="3543" t="s">
        <v>1748</v>
      </c>
      <c r="E13" s="3544"/>
      <c r="F13" s="3544"/>
      <c r="G13" s="3544"/>
      <c r="H13" s="3544"/>
      <c r="I13" s="3544"/>
      <c r="J13" s="3545" t="s">
        <v>1710</v>
      </c>
      <c r="K13" s="3544"/>
      <c r="L13" s="3544"/>
      <c r="M13" s="3544"/>
      <c r="N13" s="3544"/>
      <c r="O13" s="3546"/>
      <c r="P13" s="3545" t="s">
        <v>1711</v>
      </c>
      <c r="Q13" s="3544"/>
      <c r="R13" s="3544"/>
      <c r="S13" s="3544"/>
      <c r="T13" s="3544"/>
      <c r="U13" s="3546"/>
      <c r="V13" s="3544" t="s">
        <v>1712</v>
      </c>
      <c r="W13" s="3544"/>
      <c r="X13" s="3544"/>
      <c r="Y13" s="3544"/>
      <c r="Z13" s="3544"/>
      <c r="AA13" s="3547"/>
      <c r="AB13" s="1085"/>
      <c r="AC13" s="1085"/>
      <c r="AD13" s="1085"/>
      <c r="AE13" s="1085"/>
      <c r="AF13" s="1086"/>
    </row>
    <row r="14" spans="2:41" s="1042" customFormat="1" ht="19.5" customHeight="1" thickBot="1" x14ac:dyDescent="0.4">
      <c r="B14" s="1044"/>
      <c r="C14" s="1045"/>
      <c r="D14" s="3522" t="s">
        <v>14</v>
      </c>
      <c r="E14" s="3514"/>
      <c r="F14" s="3516"/>
      <c r="G14" s="3514" t="s">
        <v>15</v>
      </c>
      <c r="H14" s="3514"/>
      <c r="I14" s="3514"/>
      <c r="J14" s="3523" t="s">
        <v>14</v>
      </c>
      <c r="K14" s="3514" t="s">
        <v>15</v>
      </c>
      <c r="L14" s="3516"/>
      <c r="M14" s="3514" t="s">
        <v>15</v>
      </c>
      <c r="N14" s="3514"/>
      <c r="O14" s="3515"/>
      <c r="P14" s="3523" t="s">
        <v>14</v>
      </c>
      <c r="Q14" s="3514" t="s">
        <v>15</v>
      </c>
      <c r="R14" s="3516"/>
      <c r="S14" s="3514" t="s">
        <v>15</v>
      </c>
      <c r="T14" s="3514"/>
      <c r="U14" s="3515"/>
      <c r="V14" s="3514" t="s">
        <v>14</v>
      </c>
      <c r="W14" s="3514" t="s">
        <v>15</v>
      </c>
      <c r="X14" s="3516"/>
      <c r="Y14" s="3517" t="s">
        <v>15</v>
      </c>
      <c r="Z14" s="3514"/>
      <c r="AA14" s="3518"/>
      <c r="AF14" s="1043"/>
    </row>
    <row r="15" spans="2:41" s="1042" customFormat="1" ht="30" customHeight="1" thickTop="1" thickBot="1" x14ac:dyDescent="0.4">
      <c r="B15" s="1044"/>
      <c r="C15" s="1045"/>
      <c r="D15" s="3600">
        <v>0</v>
      </c>
      <c r="E15" s="3559"/>
      <c r="F15" s="3560"/>
      <c r="G15" s="3561">
        <v>0</v>
      </c>
      <c r="H15" s="3562"/>
      <c r="I15" s="3562"/>
      <c r="J15" s="3598">
        <v>0</v>
      </c>
      <c r="K15" s="3559"/>
      <c r="L15" s="3560"/>
      <c r="M15" s="3562">
        <v>0</v>
      </c>
      <c r="N15" s="3562"/>
      <c r="O15" s="3569"/>
      <c r="P15" s="3598">
        <v>0</v>
      </c>
      <c r="Q15" s="3559"/>
      <c r="R15" s="3560"/>
      <c r="S15" s="3562">
        <v>0</v>
      </c>
      <c r="T15" s="3562"/>
      <c r="U15" s="3569"/>
      <c r="V15" s="3559">
        <v>0</v>
      </c>
      <c r="W15" s="3559"/>
      <c r="X15" s="3560"/>
      <c r="Y15" s="3561">
        <v>0</v>
      </c>
      <c r="Z15" s="3562"/>
      <c r="AA15" s="3563"/>
      <c r="AF15" s="1043"/>
    </row>
    <row r="16" spans="2:41" s="1042" customFormat="1" ht="5" customHeight="1" thickTop="1" x14ac:dyDescent="0.35">
      <c r="B16" s="1044"/>
      <c r="C16" s="1045"/>
      <c r="D16" s="1046"/>
      <c r="E16" s="1046"/>
      <c r="F16" s="1046"/>
      <c r="G16" s="1047"/>
      <c r="H16" s="1047"/>
      <c r="I16" s="1047"/>
      <c r="J16" s="1048"/>
      <c r="K16" s="1048"/>
      <c r="L16" s="1048"/>
      <c r="M16" s="1047"/>
      <c r="N16" s="1047"/>
      <c r="O16" s="1047"/>
      <c r="P16" s="1048"/>
      <c r="Q16" s="1048"/>
      <c r="R16" s="1048"/>
      <c r="S16" s="1047"/>
      <c r="T16" s="1047"/>
      <c r="U16" s="1047"/>
      <c r="V16" s="1048"/>
      <c r="W16" s="1048"/>
      <c r="X16" s="1048"/>
      <c r="Y16" s="1047"/>
      <c r="Z16" s="1047"/>
      <c r="AA16" s="1047"/>
      <c r="AF16" s="1043"/>
    </row>
    <row r="17" spans="2:41" s="1042" customFormat="1" ht="34" customHeight="1" x14ac:dyDescent="0.35">
      <c r="B17" s="1044"/>
      <c r="C17" s="1045"/>
      <c r="D17" s="417" t="s">
        <v>171</v>
      </c>
      <c r="E17" s="1046"/>
      <c r="F17" s="1046"/>
      <c r="G17" s="3542" t="s">
        <v>1932</v>
      </c>
      <c r="H17" s="3542"/>
      <c r="I17" s="3542"/>
      <c r="J17" s="3542"/>
      <c r="K17" s="3542"/>
      <c r="L17" s="3542"/>
      <c r="M17" s="3542"/>
      <c r="N17" s="3542"/>
      <c r="O17" s="3542"/>
      <c r="P17" s="3542"/>
      <c r="Q17" s="3542"/>
      <c r="R17" s="3542"/>
      <c r="S17" s="3542"/>
      <c r="T17" s="3542"/>
      <c r="U17" s="3542"/>
      <c r="V17" s="3542"/>
      <c r="W17" s="3542"/>
      <c r="X17" s="3542"/>
      <c r="Y17" s="3542"/>
      <c r="Z17" s="3542"/>
      <c r="AA17" s="3542"/>
      <c r="AF17" s="1043"/>
    </row>
    <row r="18" spans="2:41" ht="10" customHeight="1" thickBot="1" x14ac:dyDescent="0.4">
      <c r="B18" s="1035"/>
      <c r="C18" s="1036"/>
      <c r="D18" s="1037"/>
      <c r="E18" s="1038"/>
      <c r="F18" s="1038"/>
      <c r="G18" s="1038"/>
      <c r="H18" s="1038"/>
      <c r="I18" s="1038"/>
      <c r="J18" s="1038"/>
      <c r="K18" s="1039"/>
      <c r="L18" s="1039"/>
      <c r="M18" s="1039"/>
      <c r="N18" s="1039"/>
      <c r="O18" s="1039"/>
      <c r="P18" s="1039"/>
      <c r="Q18" s="1039"/>
      <c r="R18" s="1039"/>
      <c r="S18" s="1039"/>
      <c r="T18" s="1039"/>
      <c r="U18" s="1039"/>
      <c r="V18" s="1039"/>
      <c r="W18" s="1039"/>
      <c r="X18" s="1039"/>
      <c r="Y18" s="1039"/>
      <c r="Z18" s="1039"/>
      <c r="AA18" s="1039"/>
      <c r="AB18" s="1039"/>
      <c r="AC18" s="1039"/>
      <c r="AD18" s="1039"/>
      <c r="AE18" s="1039"/>
      <c r="AF18" s="1040"/>
    </row>
    <row r="19" spans="2:41" s="501" customFormat="1" ht="30.75" customHeight="1" thickTop="1" x14ac:dyDescent="0.35"/>
    <row r="20" spans="2:41" ht="17" thickBot="1" x14ac:dyDescent="0.4">
      <c r="B20" s="1054" t="s">
        <v>1565</v>
      </c>
      <c r="C20" s="1041"/>
      <c r="D20" s="1041"/>
      <c r="E20" s="1041"/>
      <c r="F20" s="1041"/>
      <c r="G20" s="1041"/>
      <c r="H20" s="1041"/>
      <c r="I20" s="1041"/>
      <c r="J20" s="1041"/>
      <c r="K20" s="1041"/>
      <c r="L20" s="1041"/>
      <c r="M20" s="1041"/>
      <c r="N20" s="1041"/>
      <c r="O20" s="1041"/>
      <c r="P20" s="1041"/>
      <c r="Q20" s="1041"/>
      <c r="R20" s="1041"/>
      <c r="S20" s="1041"/>
      <c r="T20" s="1041"/>
      <c r="U20" s="1041"/>
      <c r="V20" s="1041"/>
      <c r="W20" s="1041"/>
      <c r="X20" s="1041"/>
      <c r="Y20" s="1041"/>
      <c r="Z20" s="1041"/>
      <c r="AA20" s="1041"/>
      <c r="AB20" s="1041"/>
      <c r="AC20" s="1041"/>
      <c r="AD20" s="1041"/>
    </row>
    <row r="21" spans="2:41" ht="5" customHeight="1" thickTop="1" x14ac:dyDescent="0.35">
      <c r="B21" s="1056"/>
      <c r="C21" s="1057"/>
      <c r="D21" s="1057"/>
      <c r="E21" s="1057"/>
      <c r="F21" s="1057"/>
      <c r="G21" s="1057"/>
      <c r="H21" s="1057"/>
      <c r="I21" s="1057"/>
      <c r="J21" s="1057"/>
      <c r="K21" s="1057"/>
      <c r="L21" s="1057"/>
      <c r="M21" s="1057"/>
      <c r="N21" s="1057"/>
      <c r="O21" s="1057"/>
      <c r="P21" s="1057"/>
      <c r="Q21" s="1057"/>
      <c r="R21" s="1057"/>
      <c r="S21" s="1057"/>
      <c r="T21" s="1057"/>
      <c r="U21" s="1057"/>
      <c r="V21" s="1057"/>
      <c r="W21" s="1057"/>
      <c r="X21" s="1057"/>
      <c r="Y21" s="1057"/>
      <c r="Z21" s="1057"/>
      <c r="AA21" s="1057"/>
      <c r="AB21" s="1057"/>
      <c r="AC21" s="1057"/>
      <c r="AD21" s="1057"/>
      <c r="AE21" s="1057"/>
      <c r="AF21" s="1058"/>
    </row>
    <row r="22" spans="2:41" s="1101" customFormat="1" ht="24.75" customHeight="1" x14ac:dyDescent="0.35">
      <c r="B22" s="1097"/>
      <c r="C22" s="1059" t="s">
        <v>150</v>
      </c>
      <c r="D22" s="833" t="b">
        <v>1</v>
      </c>
      <c r="E22" s="3592" t="s">
        <v>1566</v>
      </c>
      <c r="F22" s="3592"/>
      <c r="G22" s="3592"/>
      <c r="H22" s="3592"/>
      <c r="I22" s="3592"/>
      <c r="J22" s="3592"/>
      <c r="K22" s="3592"/>
      <c r="L22" s="3592"/>
      <c r="M22" s="3592"/>
      <c r="N22" s="3592"/>
      <c r="O22" s="3592"/>
      <c r="P22" s="3592"/>
      <c r="Q22" s="3592"/>
      <c r="R22" s="3592"/>
      <c r="S22" s="3592"/>
      <c r="T22" s="3592"/>
      <c r="U22" s="3592"/>
      <c r="V22" s="3592"/>
      <c r="W22" s="3592"/>
      <c r="X22" s="3592"/>
      <c r="Y22" s="3592"/>
      <c r="Z22" s="3592"/>
      <c r="AA22" s="3592"/>
      <c r="AB22" s="3592"/>
      <c r="AC22" s="1106"/>
      <c r="AD22" s="1106"/>
      <c r="AE22" s="1099"/>
      <c r="AF22" s="1100"/>
      <c r="AG22" s="1099"/>
      <c r="AH22" s="1099"/>
      <c r="AI22" s="1099"/>
      <c r="AJ22" s="1099"/>
      <c r="AK22" s="1099"/>
      <c r="AL22" s="1099"/>
      <c r="AM22" s="1099"/>
      <c r="AN22" s="1099"/>
      <c r="AO22" s="1099"/>
    </row>
    <row r="23" spans="2:41" s="1101" customFormat="1" ht="24.75" customHeight="1" x14ac:dyDescent="0.35">
      <c r="B23" s="1097"/>
      <c r="C23" s="1104" t="s">
        <v>151</v>
      </c>
      <c r="D23" s="833" t="b">
        <v>1</v>
      </c>
      <c r="E23" s="3592" t="s">
        <v>1567</v>
      </c>
      <c r="F23" s="3592"/>
      <c r="G23" s="3592"/>
      <c r="H23" s="3592"/>
      <c r="I23" s="3592"/>
      <c r="J23" s="3592"/>
      <c r="K23" s="3592"/>
      <c r="L23" s="3592"/>
      <c r="M23" s="3592"/>
      <c r="N23" s="3592"/>
      <c r="O23" s="3592"/>
      <c r="P23" s="3592"/>
      <c r="Q23" s="3592"/>
      <c r="R23" s="3592"/>
      <c r="S23" s="3592"/>
      <c r="T23" s="3592"/>
      <c r="U23" s="3592"/>
      <c r="V23" s="3592"/>
      <c r="W23" s="3592"/>
      <c r="X23" s="3592"/>
      <c r="Y23" s="3592"/>
      <c r="Z23" s="3592"/>
      <c r="AA23" s="3592"/>
      <c r="AB23" s="3592"/>
      <c r="AC23" s="1106"/>
      <c r="AD23" s="1106"/>
      <c r="AE23" s="1099"/>
      <c r="AF23" s="1100"/>
      <c r="AG23" s="1099"/>
      <c r="AH23" s="1099"/>
      <c r="AI23" s="1099"/>
      <c r="AJ23" s="1099"/>
      <c r="AK23" s="1099"/>
      <c r="AL23" s="1099"/>
      <c r="AM23" s="1099"/>
      <c r="AN23" s="1099"/>
      <c r="AO23" s="1099"/>
    </row>
    <row r="24" spans="2:41" ht="33.5" customHeight="1" thickBot="1" x14ac:dyDescent="0.4">
      <c r="B24" s="1049"/>
      <c r="C24" s="1050" t="s">
        <v>152</v>
      </c>
      <c r="D24" s="3524" t="s">
        <v>1568</v>
      </c>
      <c r="E24" s="3524"/>
      <c r="F24" s="3524"/>
      <c r="G24" s="3524"/>
      <c r="H24" s="3524"/>
      <c r="I24" s="3524"/>
      <c r="J24" s="3524"/>
      <c r="K24" s="3524"/>
      <c r="L24" s="3524"/>
      <c r="M24" s="3524"/>
      <c r="N24" s="3524"/>
      <c r="O24" s="3524"/>
      <c r="P24" s="3524"/>
      <c r="Q24" s="3524"/>
      <c r="R24" s="3524"/>
      <c r="S24" s="3524"/>
      <c r="T24" s="3524"/>
      <c r="U24" s="3524"/>
      <c r="V24" s="3524"/>
      <c r="W24" s="3524"/>
      <c r="X24" s="3524"/>
      <c r="Y24" s="3524"/>
      <c r="Z24" s="3524"/>
      <c r="AA24" s="3524"/>
      <c r="AB24" s="3524"/>
      <c r="AC24" s="1083"/>
      <c r="AD24" s="1083"/>
      <c r="AE24" s="1052"/>
      <c r="AF24" s="1053"/>
    </row>
    <row r="25" spans="2:41" s="1042" customFormat="1" ht="36" customHeight="1" thickTop="1" thickBot="1" x14ac:dyDescent="0.4">
      <c r="B25" s="1084"/>
      <c r="C25" s="1085"/>
      <c r="D25" s="3593" t="s">
        <v>877</v>
      </c>
      <c r="E25" s="3594"/>
      <c r="F25" s="3594"/>
      <c r="G25" s="3594"/>
      <c r="H25" s="3594"/>
      <c r="I25" s="3594"/>
      <c r="J25" s="3594"/>
      <c r="K25" s="3594"/>
      <c r="L25" s="3595"/>
      <c r="M25" s="3596" t="s">
        <v>1572</v>
      </c>
      <c r="N25" s="3594"/>
      <c r="O25" s="3594"/>
      <c r="P25" s="3594"/>
      <c r="Q25" s="3594"/>
      <c r="R25" s="3594"/>
      <c r="S25" s="3594"/>
      <c r="T25" s="3594"/>
      <c r="U25" s="3595"/>
      <c r="V25" s="3594" t="s">
        <v>876</v>
      </c>
      <c r="W25" s="3594"/>
      <c r="X25" s="3594"/>
      <c r="Y25" s="3594"/>
      <c r="Z25" s="3594"/>
      <c r="AA25" s="3594"/>
      <c r="AB25" s="3594"/>
      <c r="AC25" s="3594"/>
      <c r="AD25" s="3597"/>
      <c r="AE25" s="1085"/>
      <c r="AF25" s="1086"/>
    </row>
    <row r="26" spans="2:41" s="1109" customFormat="1" ht="57.5" customHeight="1" thickBot="1" x14ac:dyDescent="0.4">
      <c r="B26" s="1107"/>
      <c r="C26" s="1108"/>
      <c r="D26" s="3589" t="s">
        <v>1569</v>
      </c>
      <c r="E26" s="3570"/>
      <c r="F26" s="3571"/>
      <c r="G26" s="3572" t="s">
        <v>1573</v>
      </c>
      <c r="H26" s="3570"/>
      <c r="I26" s="3571"/>
      <c r="J26" s="3573" t="s">
        <v>1571</v>
      </c>
      <c r="K26" s="3574" t="s">
        <v>15</v>
      </c>
      <c r="L26" s="3590"/>
      <c r="M26" s="3591" t="s">
        <v>1569</v>
      </c>
      <c r="N26" s="3570"/>
      <c r="O26" s="3571"/>
      <c r="P26" s="3572" t="s">
        <v>1573</v>
      </c>
      <c r="Q26" s="3570"/>
      <c r="R26" s="3571"/>
      <c r="S26" s="3573" t="s">
        <v>1571</v>
      </c>
      <c r="T26" s="3574" t="s">
        <v>15</v>
      </c>
      <c r="U26" s="3590"/>
      <c r="V26" s="3570" t="s">
        <v>1569</v>
      </c>
      <c r="W26" s="3570"/>
      <c r="X26" s="3571"/>
      <c r="Y26" s="3572" t="s">
        <v>1570</v>
      </c>
      <c r="Z26" s="3570"/>
      <c r="AA26" s="3571"/>
      <c r="AB26" s="3573" t="s">
        <v>1571</v>
      </c>
      <c r="AC26" s="3574" t="s">
        <v>15</v>
      </c>
      <c r="AD26" s="3575"/>
      <c r="AF26" s="1110"/>
    </row>
    <row r="27" spans="2:41" s="1042" customFormat="1" ht="30" customHeight="1" thickTop="1" thickBot="1" x14ac:dyDescent="0.4">
      <c r="B27" s="1044"/>
      <c r="C27" s="1045"/>
      <c r="D27" s="3576">
        <v>0</v>
      </c>
      <c r="E27" s="3577"/>
      <c r="F27" s="3578"/>
      <c r="G27" s="3564">
        <v>0</v>
      </c>
      <c r="H27" s="3565"/>
      <c r="I27" s="3566"/>
      <c r="J27" s="3579">
        <v>0</v>
      </c>
      <c r="K27" s="3580"/>
      <c r="L27" s="3581"/>
      <c r="M27" s="3582">
        <v>0</v>
      </c>
      <c r="N27" s="3583"/>
      <c r="O27" s="3584"/>
      <c r="P27" s="3585">
        <v>0</v>
      </c>
      <c r="Q27" s="3586"/>
      <c r="R27" s="3587"/>
      <c r="S27" s="3567">
        <v>0</v>
      </c>
      <c r="T27" s="3567"/>
      <c r="U27" s="3588"/>
      <c r="V27" s="3577">
        <v>0</v>
      </c>
      <c r="W27" s="3577"/>
      <c r="X27" s="3578"/>
      <c r="Y27" s="3564">
        <v>0</v>
      </c>
      <c r="Z27" s="3565"/>
      <c r="AA27" s="3566"/>
      <c r="AB27" s="3567">
        <v>0</v>
      </c>
      <c r="AC27" s="3567"/>
      <c r="AD27" s="3568"/>
      <c r="AF27" s="1043"/>
    </row>
    <row r="28" spans="2:41" ht="10" customHeight="1" thickTop="1" thickBot="1" x14ac:dyDescent="0.4">
      <c r="B28" s="1035"/>
      <c r="C28" s="1036"/>
      <c r="D28" s="1037"/>
      <c r="E28" s="1038"/>
      <c r="F28" s="1038"/>
      <c r="G28" s="1038"/>
      <c r="H28" s="1038"/>
      <c r="I28" s="1038"/>
      <c r="J28" s="1038"/>
      <c r="K28" s="1039"/>
      <c r="L28" s="1039"/>
      <c r="M28" s="1039"/>
      <c r="N28" s="1039"/>
      <c r="O28" s="1039"/>
      <c r="P28" s="1039"/>
      <c r="Q28" s="1039"/>
      <c r="R28" s="1039"/>
      <c r="S28" s="1039"/>
      <c r="T28" s="1039"/>
      <c r="U28" s="1039"/>
      <c r="V28" s="1039"/>
      <c r="W28" s="1039"/>
      <c r="X28" s="1039"/>
      <c r="Y28" s="1039"/>
      <c r="Z28" s="1039"/>
      <c r="AA28" s="1039"/>
      <c r="AB28" s="1039"/>
      <c r="AC28" s="1039"/>
      <c r="AD28" s="1039"/>
      <c r="AE28" s="1039"/>
      <c r="AF28" s="1040"/>
    </row>
    <row r="29" spans="2:41" s="501" customFormat="1" ht="30.75" customHeight="1" thickTop="1" x14ac:dyDescent="0.35"/>
    <row r="30" spans="2:41" ht="17" thickBot="1" x14ac:dyDescent="0.4">
      <c r="B30" s="1054" t="s">
        <v>1574</v>
      </c>
      <c r="C30" s="1041"/>
      <c r="D30" s="1041"/>
      <c r="E30" s="1041"/>
      <c r="F30" s="1041"/>
      <c r="G30" s="1041"/>
      <c r="H30" s="1041"/>
      <c r="I30" s="1041"/>
      <c r="J30" s="1041"/>
      <c r="K30" s="1041"/>
      <c r="L30" s="1041"/>
      <c r="M30" s="1041"/>
      <c r="N30" s="1041"/>
      <c r="O30" s="1041"/>
      <c r="P30" s="1041"/>
      <c r="Q30" s="1041"/>
      <c r="R30" s="1041"/>
      <c r="S30" s="1041"/>
      <c r="T30" s="1041"/>
      <c r="U30" s="1041"/>
      <c r="V30" s="1041"/>
      <c r="W30" s="1041"/>
      <c r="X30" s="1041"/>
      <c r="Y30" s="1041"/>
      <c r="Z30" s="1041"/>
      <c r="AA30" s="1041"/>
      <c r="AB30" s="1041"/>
      <c r="AC30" s="1041"/>
      <c r="AD30" s="1041"/>
    </row>
    <row r="31" spans="2:41" ht="5" customHeight="1" thickTop="1" x14ac:dyDescent="0.35">
      <c r="B31" s="1056"/>
      <c r="C31" s="1057"/>
      <c r="D31" s="1057"/>
      <c r="E31" s="1057"/>
      <c r="F31" s="1057"/>
      <c r="G31" s="1057"/>
      <c r="H31" s="1057"/>
      <c r="I31" s="1057"/>
      <c r="J31" s="1057"/>
      <c r="K31" s="1057"/>
      <c r="L31" s="1057"/>
      <c r="M31" s="1057"/>
      <c r="N31" s="1057"/>
      <c r="O31" s="1057"/>
      <c r="P31" s="1057"/>
      <c r="Q31" s="1057"/>
      <c r="R31" s="1057"/>
      <c r="S31" s="1057"/>
      <c r="T31" s="1057"/>
      <c r="U31" s="1057"/>
      <c r="V31" s="1057"/>
      <c r="W31" s="1057"/>
      <c r="X31" s="1057"/>
      <c r="Y31" s="1057"/>
      <c r="Z31" s="1057"/>
      <c r="AA31" s="1057"/>
      <c r="AB31" s="1057"/>
      <c r="AC31" s="1057"/>
      <c r="AD31" s="1057"/>
      <c r="AE31" s="1057"/>
      <c r="AF31" s="1058"/>
    </row>
    <row r="32" spans="2:41" ht="15.5" customHeight="1" x14ac:dyDescent="0.35">
      <c r="B32" s="1049"/>
      <c r="C32" s="1050" t="s">
        <v>150</v>
      </c>
      <c r="D32" s="3524" t="s">
        <v>1575</v>
      </c>
      <c r="E32" s="3524"/>
      <c r="F32" s="3524"/>
      <c r="G32" s="3524"/>
      <c r="H32" s="3524"/>
      <c r="I32" s="3524"/>
      <c r="J32" s="3524"/>
      <c r="K32" s="3524"/>
      <c r="L32" s="3524"/>
      <c r="M32" s="3524"/>
      <c r="N32" s="3524"/>
      <c r="O32" s="3524"/>
      <c r="P32" s="3524"/>
      <c r="Q32" s="3524"/>
      <c r="R32" s="3524"/>
      <c r="S32" s="3524"/>
      <c r="T32" s="3524"/>
      <c r="U32" s="3524"/>
      <c r="V32" s="3524"/>
      <c r="W32" s="3524"/>
      <c r="X32" s="3524"/>
      <c r="Y32" s="3524"/>
      <c r="Z32" s="3524"/>
      <c r="AA32" s="1051"/>
      <c r="AB32" s="1051"/>
      <c r="AC32" s="1051"/>
      <c r="AD32" s="1083"/>
      <c r="AE32" s="1052"/>
      <c r="AF32" s="1053"/>
    </row>
    <row r="33" spans="2:41" ht="5" customHeight="1" thickBot="1" x14ac:dyDescent="0.4">
      <c r="B33" s="1084"/>
      <c r="C33" s="1105"/>
      <c r="D33" s="1105"/>
      <c r="E33" s="1105"/>
      <c r="F33" s="1105"/>
      <c r="G33" s="1105"/>
      <c r="H33" s="1105"/>
      <c r="I33" s="1105"/>
      <c r="J33" s="1105"/>
      <c r="K33" s="1105"/>
      <c r="L33" s="1105"/>
      <c r="M33" s="1105"/>
      <c r="N33" s="1105"/>
      <c r="O33" s="1105"/>
      <c r="P33" s="1105"/>
      <c r="Q33" s="1105"/>
      <c r="R33" s="1105"/>
      <c r="S33" s="1105"/>
      <c r="T33" s="1105"/>
      <c r="U33" s="1105"/>
      <c r="V33" s="1105"/>
      <c r="W33" s="1105"/>
      <c r="X33" s="1105"/>
      <c r="Y33" s="1105"/>
      <c r="Z33" s="1105"/>
      <c r="AA33" s="1105"/>
      <c r="AB33" s="1105"/>
      <c r="AC33" s="1105"/>
      <c r="AD33" s="1105"/>
      <c r="AE33" s="1105"/>
      <c r="AF33" s="1062"/>
    </row>
    <row r="34" spans="2:41" s="1042" customFormat="1" ht="35" customHeight="1" thickTop="1" thickBot="1" x14ac:dyDescent="0.4">
      <c r="B34" s="1084"/>
      <c r="C34" s="1085"/>
      <c r="D34" s="3543" t="s">
        <v>898</v>
      </c>
      <c r="E34" s="3544"/>
      <c r="F34" s="3544"/>
      <c r="G34" s="3544"/>
      <c r="H34" s="3544"/>
      <c r="I34" s="3546"/>
      <c r="J34" s="3544" t="s">
        <v>899</v>
      </c>
      <c r="K34" s="3544"/>
      <c r="L34" s="3544"/>
      <c r="M34" s="3544"/>
      <c r="N34" s="3544"/>
      <c r="O34" s="3547"/>
      <c r="P34" s="1111"/>
      <c r="Q34" s="1111"/>
      <c r="R34" s="1111"/>
      <c r="S34" s="1111"/>
      <c r="T34" s="1111"/>
      <c r="U34" s="1111"/>
      <c r="V34" s="1111"/>
      <c r="W34" s="1111"/>
      <c r="X34" s="1111"/>
      <c r="Y34" s="1111"/>
      <c r="Z34" s="1111"/>
      <c r="AA34" s="1111"/>
      <c r="AB34" s="1085"/>
      <c r="AC34" s="1085"/>
      <c r="AD34" s="1085"/>
      <c r="AE34" s="1085"/>
      <c r="AF34" s="1086"/>
    </row>
    <row r="35" spans="2:41" s="1042" customFormat="1" ht="19.5" customHeight="1" thickBot="1" x14ac:dyDescent="0.4">
      <c r="B35" s="1044"/>
      <c r="C35" s="1045"/>
      <c r="D35" s="3522" t="s">
        <v>14</v>
      </c>
      <c r="E35" s="3514"/>
      <c r="F35" s="3516"/>
      <c r="G35" s="3517" t="s">
        <v>15</v>
      </c>
      <c r="H35" s="3514"/>
      <c r="I35" s="3515"/>
      <c r="J35" s="3514" t="s">
        <v>14</v>
      </c>
      <c r="K35" s="3514"/>
      <c r="L35" s="3516"/>
      <c r="M35" s="3517" t="s">
        <v>15</v>
      </c>
      <c r="N35" s="3514"/>
      <c r="O35" s="3518"/>
      <c r="P35" s="1112"/>
      <c r="Q35" s="1112"/>
      <c r="R35" s="1112"/>
      <c r="S35" s="1112"/>
      <c r="T35" s="1112"/>
      <c r="U35" s="1112"/>
      <c r="V35" s="1112"/>
      <c r="W35" s="1112"/>
      <c r="X35" s="1112"/>
      <c r="Y35" s="1112"/>
      <c r="Z35" s="1112"/>
      <c r="AA35" s="1112"/>
      <c r="AF35" s="1043"/>
    </row>
    <row r="36" spans="2:41" s="1042" customFormat="1" ht="30" customHeight="1" thickTop="1" thickBot="1" x14ac:dyDescent="0.4">
      <c r="B36" s="1044"/>
      <c r="C36" s="1045"/>
      <c r="D36" s="3600">
        <v>18</v>
      </c>
      <c r="E36" s="3559"/>
      <c r="F36" s="3560"/>
      <c r="G36" s="3561">
        <v>54</v>
      </c>
      <c r="H36" s="3562"/>
      <c r="I36" s="3569"/>
      <c r="J36" s="3559">
        <v>0</v>
      </c>
      <c r="K36" s="3559"/>
      <c r="L36" s="3560"/>
      <c r="M36" s="3561">
        <v>0</v>
      </c>
      <c r="N36" s="3562"/>
      <c r="O36" s="3563"/>
      <c r="P36" s="1113"/>
      <c r="Q36" s="1113"/>
      <c r="R36" s="1113"/>
      <c r="S36" s="1114"/>
      <c r="T36" s="1114"/>
      <c r="U36" s="1114"/>
      <c r="V36" s="1113"/>
      <c r="W36" s="1113"/>
      <c r="X36" s="1113"/>
      <c r="Y36" s="1114"/>
      <c r="Z36" s="1114"/>
      <c r="AA36" s="1114"/>
      <c r="AF36" s="1043"/>
    </row>
    <row r="37" spans="2:41" ht="5" customHeight="1" thickTop="1" thickBot="1" x14ac:dyDescent="0.4">
      <c r="B37" s="1084"/>
      <c r="C37" s="1105"/>
      <c r="D37" s="1105"/>
      <c r="E37" s="1105"/>
      <c r="F37" s="1105"/>
      <c r="G37" s="1105"/>
      <c r="H37" s="1105"/>
      <c r="I37" s="1105"/>
      <c r="J37" s="1105"/>
      <c r="K37" s="1105"/>
      <c r="L37" s="1105"/>
      <c r="M37" s="1105"/>
      <c r="N37" s="1105"/>
      <c r="O37" s="1105"/>
      <c r="P37" s="1105"/>
      <c r="Q37" s="1105"/>
      <c r="R37" s="1105"/>
      <c r="S37" s="1105"/>
      <c r="T37" s="1105"/>
      <c r="U37" s="1105"/>
      <c r="V37" s="1105"/>
      <c r="W37" s="1105"/>
      <c r="X37" s="1105"/>
      <c r="Y37" s="1105"/>
      <c r="Z37" s="1105"/>
      <c r="AA37" s="1105"/>
      <c r="AB37" s="1105"/>
      <c r="AC37" s="1105"/>
      <c r="AD37" s="1105"/>
      <c r="AE37" s="1105"/>
      <c r="AF37" s="1062"/>
    </row>
    <row r="38" spans="2:41" ht="31" customHeight="1" thickBot="1" x14ac:dyDescent="0.4">
      <c r="B38" s="1049"/>
      <c r="C38" s="1104" t="s">
        <v>151</v>
      </c>
      <c r="D38" s="3525" t="s">
        <v>1576</v>
      </c>
      <c r="E38" s="3525"/>
      <c r="F38" s="3525"/>
      <c r="G38" s="3525"/>
      <c r="H38" s="3525"/>
      <c r="I38" s="3525"/>
      <c r="J38" s="3525"/>
      <c r="K38" s="3525"/>
      <c r="L38" s="3525"/>
      <c r="M38" s="3525"/>
      <c r="N38" s="3525"/>
      <c r="O38" s="3525"/>
      <c r="P38" s="3525"/>
      <c r="Q38" s="3525"/>
      <c r="R38" s="3525"/>
      <c r="S38" s="3525"/>
      <c r="T38" s="3525"/>
      <c r="U38" s="3525"/>
      <c r="V38" s="3525"/>
      <c r="W38" s="3525"/>
      <c r="X38" s="3525"/>
      <c r="Y38" s="3525"/>
      <c r="Z38" s="3525"/>
      <c r="AA38" s="1115"/>
      <c r="AB38" s="3556">
        <v>3</v>
      </c>
      <c r="AC38" s="3557"/>
      <c r="AD38" s="3558"/>
      <c r="AE38" s="1052"/>
      <c r="AF38" s="1053"/>
    </row>
    <row r="39" spans="2:41" ht="5" customHeight="1" thickBot="1" x14ac:dyDescent="0.4">
      <c r="B39" s="1084"/>
      <c r="C39" s="1105"/>
      <c r="D39" s="1105"/>
      <c r="E39" s="1105"/>
      <c r="F39" s="1105"/>
      <c r="G39" s="1105"/>
      <c r="H39" s="1105"/>
      <c r="I39" s="1105"/>
      <c r="J39" s="1105"/>
      <c r="K39" s="1105"/>
      <c r="L39" s="1105"/>
      <c r="M39" s="1105"/>
      <c r="N39" s="1105"/>
      <c r="O39" s="1105"/>
      <c r="P39" s="1105"/>
      <c r="Q39" s="1105"/>
      <c r="R39" s="1105"/>
      <c r="S39" s="1105"/>
      <c r="T39" s="1105"/>
      <c r="U39" s="1105"/>
      <c r="V39" s="1105"/>
      <c r="W39" s="1105"/>
      <c r="X39" s="1105"/>
      <c r="Y39" s="1105"/>
      <c r="Z39" s="1105"/>
      <c r="AA39" s="1105"/>
      <c r="AB39" s="1105"/>
      <c r="AC39" s="1105"/>
      <c r="AD39" s="1105"/>
      <c r="AE39" s="1105"/>
      <c r="AF39" s="1062"/>
    </row>
    <row r="40" spans="2:41" ht="31" customHeight="1" thickBot="1" x14ac:dyDescent="0.4">
      <c r="B40" s="1049"/>
      <c r="C40" s="1050" t="s">
        <v>152</v>
      </c>
      <c r="D40" s="3524" t="s">
        <v>1579</v>
      </c>
      <c r="E40" s="3524"/>
      <c r="F40" s="3524"/>
      <c r="G40" s="3524"/>
      <c r="H40" s="3524"/>
      <c r="I40" s="3524"/>
      <c r="J40" s="3524"/>
      <c r="K40" s="3524"/>
      <c r="L40" s="3524"/>
      <c r="M40" s="3524"/>
      <c r="N40" s="3524"/>
      <c r="O40" s="3524"/>
      <c r="P40" s="3524"/>
      <c r="Q40" s="3524"/>
      <c r="R40" s="3524"/>
      <c r="S40" s="3524"/>
      <c r="T40" s="3524"/>
      <c r="U40" s="3524"/>
      <c r="V40" s="3524"/>
      <c r="W40" s="3524"/>
      <c r="X40" s="3524"/>
      <c r="Y40" s="3524"/>
      <c r="Z40" s="3524"/>
      <c r="AA40" s="1051"/>
      <c r="AB40" s="3556">
        <v>0</v>
      </c>
      <c r="AC40" s="3557"/>
      <c r="AD40" s="3558"/>
      <c r="AE40" s="1052"/>
      <c r="AF40" s="1053"/>
    </row>
    <row r="41" spans="2:41" ht="5" customHeight="1" thickBot="1" x14ac:dyDescent="0.4">
      <c r="B41" s="1084"/>
      <c r="C41" s="1105"/>
      <c r="D41" s="1105"/>
      <c r="E41" s="1105"/>
      <c r="F41" s="1105"/>
      <c r="G41" s="1105"/>
      <c r="H41" s="1105"/>
      <c r="I41" s="1105"/>
      <c r="J41" s="1105"/>
      <c r="K41" s="1105"/>
      <c r="L41" s="1105"/>
      <c r="M41" s="1105"/>
      <c r="N41" s="1105"/>
      <c r="O41" s="1105"/>
      <c r="P41" s="1105"/>
      <c r="Q41" s="1105"/>
      <c r="R41" s="1105"/>
      <c r="S41" s="1105"/>
      <c r="T41" s="1105"/>
      <c r="U41" s="1105"/>
      <c r="V41" s="1105"/>
      <c r="W41" s="1105"/>
      <c r="X41" s="1105"/>
      <c r="Y41" s="1105"/>
      <c r="Z41" s="1105"/>
      <c r="AA41" s="1105"/>
      <c r="AB41" s="1105"/>
      <c r="AC41" s="1105"/>
      <c r="AD41" s="1105"/>
      <c r="AE41" s="1105"/>
      <c r="AF41" s="1062"/>
    </row>
    <row r="42" spans="2:41" ht="31" customHeight="1" thickBot="1" x14ac:dyDescent="0.4">
      <c r="B42" s="1049"/>
      <c r="C42" s="1104" t="s">
        <v>155</v>
      </c>
      <c r="D42" s="3525" t="s">
        <v>1577</v>
      </c>
      <c r="E42" s="3525"/>
      <c r="F42" s="3525"/>
      <c r="G42" s="3525"/>
      <c r="H42" s="3525"/>
      <c r="I42" s="3525"/>
      <c r="J42" s="3525"/>
      <c r="K42" s="3525"/>
      <c r="L42" s="3525"/>
      <c r="M42" s="3525"/>
      <c r="N42" s="3525"/>
      <c r="O42" s="3525"/>
      <c r="P42" s="3525"/>
      <c r="Q42" s="3525"/>
      <c r="R42" s="3525"/>
      <c r="S42" s="3525"/>
      <c r="T42" s="3525"/>
      <c r="U42" s="3525"/>
      <c r="V42" s="3525"/>
      <c r="W42" s="3525"/>
      <c r="X42" s="3525"/>
      <c r="Y42" s="3525"/>
      <c r="Z42" s="3525"/>
      <c r="AA42" s="1115"/>
      <c r="AB42" s="3556">
        <v>1</v>
      </c>
      <c r="AC42" s="3557"/>
      <c r="AD42" s="3558"/>
      <c r="AE42" s="1052"/>
      <c r="AF42" s="1053"/>
    </row>
    <row r="43" spans="2:41" ht="5" customHeight="1" x14ac:dyDescent="0.35">
      <c r="B43" s="1084"/>
      <c r="C43" s="1105"/>
      <c r="D43" s="1105"/>
      <c r="E43" s="1105"/>
      <c r="F43" s="1105"/>
      <c r="G43" s="1105"/>
      <c r="H43" s="1105"/>
      <c r="I43" s="1105"/>
      <c r="J43" s="1105"/>
      <c r="K43" s="1105"/>
      <c r="L43" s="1105"/>
      <c r="M43" s="1105"/>
      <c r="N43" s="1105"/>
      <c r="O43" s="1105"/>
      <c r="P43" s="1105"/>
      <c r="Q43" s="1105"/>
      <c r="R43" s="1105"/>
      <c r="S43" s="1105"/>
      <c r="T43" s="1105"/>
      <c r="U43" s="1105"/>
      <c r="V43" s="1105"/>
      <c r="W43" s="1105"/>
      <c r="X43" s="1105"/>
      <c r="Y43" s="1105"/>
      <c r="Z43" s="1105"/>
      <c r="AA43" s="1105"/>
      <c r="AB43" s="1105"/>
      <c r="AC43" s="1105"/>
      <c r="AD43" s="1105"/>
      <c r="AE43" s="1105"/>
      <c r="AF43" s="1062"/>
    </row>
    <row r="44" spans="2:41" s="1101" customFormat="1" ht="16" customHeight="1" x14ac:dyDescent="0.35">
      <c r="B44" s="1097"/>
      <c r="C44" s="1050" t="s">
        <v>156</v>
      </c>
      <c r="D44" s="833" t="b">
        <v>0</v>
      </c>
      <c r="E44" s="3599" t="s">
        <v>1578</v>
      </c>
      <c r="F44" s="3599"/>
      <c r="G44" s="3599"/>
      <c r="H44" s="3599"/>
      <c r="I44" s="3599"/>
      <c r="J44" s="3599"/>
      <c r="K44" s="3599"/>
      <c r="L44" s="3599"/>
      <c r="M44" s="3599"/>
      <c r="N44" s="3599"/>
      <c r="O44" s="3599"/>
      <c r="P44" s="3599"/>
      <c r="Q44" s="3599"/>
      <c r="R44" s="3599"/>
      <c r="S44" s="3599"/>
      <c r="T44" s="3599"/>
      <c r="U44" s="3599"/>
      <c r="V44" s="3599"/>
      <c r="W44" s="3599"/>
      <c r="X44" s="3599"/>
      <c r="Y44" s="3599"/>
      <c r="Z44" s="3599"/>
      <c r="AA44" s="3599"/>
      <c r="AB44" s="3599"/>
      <c r="AC44" s="3599"/>
      <c r="AD44" s="3599"/>
      <c r="AE44" s="1099"/>
      <c r="AF44" s="1100"/>
      <c r="AG44" s="1099"/>
      <c r="AH44" s="1099"/>
      <c r="AI44" s="1099"/>
      <c r="AJ44" s="1099"/>
      <c r="AK44" s="1099"/>
      <c r="AL44" s="1099"/>
      <c r="AM44" s="1099"/>
      <c r="AN44" s="1099"/>
      <c r="AO44" s="1099"/>
    </row>
    <row r="45" spans="2:41" s="1101" customFormat="1" ht="16" customHeight="1" x14ac:dyDescent="0.35">
      <c r="B45" s="1097"/>
      <c r="C45" s="1050"/>
      <c r="D45" s="1117"/>
      <c r="E45" s="3599"/>
      <c r="F45" s="3599"/>
      <c r="G45" s="3599"/>
      <c r="H45" s="3599"/>
      <c r="I45" s="3599"/>
      <c r="J45" s="3599"/>
      <c r="K45" s="3599"/>
      <c r="L45" s="3599"/>
      <c r="M45" s="3599"/>
      <c r="N45" s="3599"/>
      <c r="O45" s="3599"/>
      <c r="P45" s="3599"/>
      <c r="Q45" s="3599"/>
      <c r="R45" s="3599"/>
      <c r="S45" s="3599"/>
      <c r="T45" s="3599"/>
      <c r="U45" s="3599"/>
      <c r="V45" s="3599"/>
      <c r="W45" s="3599"/>
      <c r="X45" s="3599"/>
      <c r="Y45" s="3599"/>
      <c r="Z45" s="3599"/>
      <c r="AA45" s="3599"/>
      <c r="AB45" s="3599"/>
      <c r="AC45" s="3599"/>
      <c r="AD45" s="3599"/>
      <c r="AE45" s="1099"/>
      <c r="AF45" s="1100"/>
      <c r="AG45" s="1099"/>
      <c r="AH45" s="1099"/>
      <c r="AI45" s="1099"/>
      <c r="AJ45" s="1099"/>
      <c r="AK45" s="1099"/>
      <c r="AL45" s="1099"/>
      <c r="AM45" s="1099"/>
      <c r="AN45" s="1099"/>
      <c r="AO45" s="1099"/>
    </row>
    <row r="46" spans="2:41" ht="10" customHeight="1" thickBot="1" x14ac:dyDescent="0.4">
      <c r="B46" s="1035"/>
      <c r="C46" s="1036"/>
      <c r="D46" s="1037"/>
      <c r="E46" s="1038"/>
      <c r="F46" s="1038"/>
      <c r="G46" s="1038"/>
      <c r="H46" s="1038"/>
      <c r="I46" s="1038"/>
      <c r="J46" s="1038"/>
      <c r="K46" s="1039"/>
      <c r="L46" s="1039"/>
      <c r="M46" s="1039"/>
      <c r="N46" s="1039"/>
      <c r="O46" s="1039"/>
      <c r="P46" s="1039"/>
      <c r="Q46" s="1039"/>
      <c r="R46" s="1039"/>
      <c r="S46" s="1039"/>
      <c r="T46" s="1039"/>
      <c r="U46" s="1039"/>
      <c r="V46" s="1039"/>
      <c r="W46" s="1039"/>
      <c r="X46" s="1039"/>
      <c r="Y46" s="1039"/>
      <c r="Z46" s="1039"/>
      <c r="AA46" s="1039"/>
      <c r="AB46" s="1039"/>
      <c r="AC46" s="1039"/>
      <c r="AD46" s="1039"/>
      <c r="AE46" s="1039"/>
      <c r="AF46" s="1040"/>
    </row>
    <row r="47" spans="2:41" ht="10" customHeight="1" thickTop="1" x14ac:dyDescent="0.35">
      <c r="B47" s="1118"/>
      <c r="C47" s="1098"/>
      <c r="E47" s="1052"/>
      <c r="F47" s="1052"/>
      <c r="G47" s="1052"/>
      <c r="H47" s="1052"/>
      <c r="I47" s="1052"/>
      <c r="J47" s="1052"/>
      <c r="K47" s="1041"/>
      <c r="L47" s="1041"/>
      <c r="M47" s="1041"/>
      <c r="N47" s="1041"/>
      <c r="O47" s="1041"/>
      <c r="P47" s="1041"/>
      <c r="Q47" s="1041"/>
      <c r="R47" s="1041"/>
      <c r="S47" s="1041"/>
      <c r="T47" s="1041"/>
      <c r="U47" s="1041"/>
      <c r="V47" s="1041"/>
      <c r="W47" s="1041"/>
      <c r="X47" s="1041"/>
      <c r="Y47" s="1041"/>
      <c r="Z47" s="1041"/>
      <c r="AA47" s="1041"/>
      <c r="AB47" s="1041"/>
      <c r="AC47" s="1041"/>
      <c r="AD47" s="1041"/>
    </row>
    <row r="48" spans="2:41" s="399" customFormat="1" ht="16.5" x14ac:dyDescent="0.35">
      <c r="B48" s="85" t="s">
        <v>1286</v>
      </c>
      <c r="C48" s="1001"/>
      <c r="D48" s="997"/>
      <c r="E48" s="997"/>
      <c r="F48" s="997"/>
      <c r="G48" s="997"/>
      <c r="H48" s="997"/>
      <c r="I48" s="997"/>
      <c r="J48" s="997"/>
      <c r="K48" s="997"/>
      <c r="L48" s="997"/>
      <c r="M48" s="997"/>
      <c r="N48" s="997"/>
      <c r="O48" s="997"/>
      <c r="P48" s="997"/>
      <c r="Q48" s="997"/>
      <c r="R48" s="997"/>
      <c r="S48" s="997"/>
      <c r="T48" s="997"/>
    </row>
    <row r="49" spans="2:32" s="501" customFormat="1" ht="30.75" customHeight="1" x14ac:dyDescent="0.35"/>
    <row r="50" spans="2:32" s="73" customFormat="1" ht="14" x14ac:dyDescent="0.3">
      <c r="B50" s="74" t="s">
        <v>913</v>
      </c>
      <c r="T50" s="74" t="s">
        <v>846</v>
      </c>
    </row>
    <row r="51" spans="2:32" s="73" customFormat="1" ht="21.75" customHeight="1" x14ac:dyDescent="0.3">
      <c r="B51" s="74" t="s">
        <v>811</v>
      </c>
      <c r="F51" s="1482" t="str">
        <f>SchInfo!F38</f>
        <v>MELCHESIEDICK Q. BOLANIO/ March 17, 2023</v>
      </c>
      <c r="G51" s="1482"/>
      <c r="H51" s="1482"/>
      <c r="I51" s="1482"/>
      <c r="J51" s="1482"/>
      <c r="K51" s="1482"/>
      <c r="L51" s="1482"/>
      <c r="M51" s="1482"/>
      <c r="N51" s="1482"/>
      <c r="O51" s="545"/>
      <c r="P51" s="545"/>
      <c r="Q51" s="545"/>
      <c r="R51" s="545"/>
      <c r="S51" s="545"/>
      <c r="T51" s="1482" t="str">
        <f>Table39!Q37</f>
        <v>ELYN KENDRA D. DELA CRUZ  /  March 17, 2023</v>
      </c>
      <c r="U51" s="1482"/>
      <c r="V51" s="1482"/>
      <c r="W51" s="1482"/>
      <c r="X51" s="1482"/>
      <c r="Y51" s="1482"/>
      <c r="Z51" s="1482"/>
      <c r="AA51" s="1482"/>
      <c r="AB51" s="1482"/>
      <c r="AC51" s="1482"/>
      <c r="AD51" s="1482"/>
      <c r="AE51" s="1482"/>
      <c r="AF51" s="1482"/>
    </row>
    <row r="52" spans="2:32" s="68" customFormat="1" ht="14" customHeight="1" x14ac:dyDescent="0.3">
      <c r="B52" s="210"/>
      <c r="F52" s="1451" t="s">
        <v>779</v>
      </c>
      <c r="G52" s="1451"/>
      <c r="H52" s="1451"/>
      <c r="I52" s="1451"/>
      <c r="J52" s="1451"/>
      <c r="K52" s="1451"/>
      <c r="L52" s="1451"/>
      <c r="M52" s="1451"/>
      <c r="N52" s="1451"/>
      <c r="O52" s="63"/>
      <c r="P52" s="63"/>
      <c r="Q52" s="63"/>
      <c r="R52" s="63"/>
      <c r="S52" s="63"/>
      <c r="T52" s="1451" t="s">
        <v>779</v>
      </c>
      <c r="U52" s="1451"/>
      <c r="V52" s="1451"/>
      <c r="W52" s="1451"/>
      <c r="X52" s="1451"/>
      <c r="Y52" s="1451"/>
      <c r="Z52" s="1451"/>
      <c r="AA52" s="1451"/>
      <c r="AB52" s="1451"/>
      <c r="AC52" s="1451"/>
      <c r="AD52" s="1451"/>
      <c r="AE52" s="1451"/>
      <c r="AF52" s="1451"/>
    </row>
    <row r="53" spans="2:32" s="73" customFormat="1" ht="21.75" customHeight="1" x14ac:dyDescent="0.3">
      <c r="B53" s="74" t="s">
        <v>784</v>
      </c>
      <c r="F53" s="1482" t="str">
        <f>SchInfo!F40</f>
        <v>Principal IV</v>
      </c>
      <c r="G53" s="1482"/>
      <c r="H53" s="1482"/>
      <c r="I53" s="1482"/>
      <c r="J53" s="1482"/>
      <c r="K53" s="1482"/>
      <c r="L53" s="1482"/>
      <c r="M53" s="1482"/>
      <c r="N53" s="1482"/>
      <c r="O53" s="545"/>
      <c r="P53" s="545"/>
      <c r="Q53" s="545"/>
      <c r="R53" s="545"/>
      <c r="S53" s="545"/>
      <c r="T53" s="74" t="s">
        <v>784</v>
      </c>
      <c r="X53" s="1482" t="str">
        <f>Table39!U39</f>
        <v>Project Development Officer III</v>
      </c>
      <c r="Y53" s="1482"/>
      <c r="Z53" s="1482"/>
      <c r="AA53" s="1482"/>
      <c r="AB53" s="1482"/>
      <c r="AC53" s="1482"/>
      <c r="AD53" s="1482"/>
      <c r="AE53" s="1482"/>
      <c r="AF53" s="1482"/>
    </row>
    <row r="54" spans="2:32" s="501" customFormat="1" ht="30.75" customHeight="1" x14ac:dyDescent="0.35"/>
    <row r="55" spans="2:32" s="73" customFormat="1" ht="14" x14ac:dyDescent="0.3">
      <c r="K55" s="74" t="s">
        <v>922</v>
      </c>
    </row>
    <row r="56" spans="2:32" s="73" customFormat="1" ht="21.75" customHeight="1" x14ac:dyDescent="0.3">
      <c r="K56" s="1484" t="str">
        <f>SchInfo!R38</f>
        <v>MICHAEL T. JAMIS   /  March 17, 2023</v>
      </c>
      <c r="L56" s="1484"/>
      <c r="M56" s="1484"/>
      <c r="N56" s="1484"/>
      <c r="O56" s="1484"/>
      <c r="P56" s="1484"/>
      <c r="Q56" s="1484"/>
      <c r="R56" s="1484"/>
      <c r="S56" s="1484"/>
      <c r="T56" s="1484"/>
      <c r="U56" s="1484"/>
      <c r="V56" s="1484"/>
      <c r="W56" s="1484"/>
    </row>
    <row r="57" spans="2:32" s="68" customFormat="1" ht="14" customHeight="1" x14ac:dyDescent="0.3">
      <c r="K57" s="1485"/>
      <c r="L57" s="1485"/>
      <c r="M57" s="1485"/>
      <c r="N57" s="1485"/>
      <c r="O57" s="1485"/>
      <c r="P57" s="1485"/>
      <c r="Q57" s="1485"/>
      <c r="R57" s="1485"/>
      <c r="S57" s="1485"/>
      <c r="T57" s="1485"/>
      <c r="U57" s="1485"/>
      <c r="V57" s="1485"/>
      <c r="W57" s="1485"/>
    </row>
    <row r="58" spans="2:32" s="73" customFormat="1" ht="21.75" customHeight="1" x14ac:dyDescent="0.3">
      <c r="K58" s="1451" t="s">
        <v>779</v>
      </c>
      <c r="L58" s="1451"/>
      <c r="M58" s="1451"/>
      <c r="N58" s="1451"/>
      <c r="O58" s="1451"/>
      <c r="P58" s="1451"/>
      <c r="Q58" s="1451"/>
      <c r="R58" s="1451"/>
      <c r="S58" s="1451"/>
      <c r="T58" s="1451"/>
      <c r="U58" s="1451"/>
      <c r="V58" s="1451"/>
      <c r="W58" s="1451"/>
    </row>
    <row r="59" spans="2:32" x14ac:dyDescent="0.35">
      <c r="B59" s="1041"/>
      <c r="C59" s="1041"/>
      <c r="D59" s="1041"/>
      <c r="E59" s="1041"/>
      <c r="F59" s="1041"/>
      <c r="G59" s="1041"/>
      <c r="H59" s="1041"/>
      <c r="I59" s="1041"/>
      <c r="L59" s="1041"/>
      <c r="M59" s="1041"/>
      <c r="N59" s="1041"/>
      <c r="O59" s="1041"/>
      <c r="P59" s="1041"/>
      <c r="Q59" s="1041"/>
      <c r="R59" s="1041"/>
      <c r="S59" s="1041"/>
      <c r="T59" s="1041"/>
      <c r="U59" s="1041"/>
      <c r="V59" s="1041"/>
      <c r="Y59" s="1041"/>
      <c r="Z59" s="1041"/>
      <c r="AA59" s="1041"/>
      <c r="AB59" s="1041"/>
      <c r="AC59" s="1041"/>
      <c r="AD59" s="1041"/>
    </row>
  </sheetData>
  <sheetProtection algorithmName="SHA-512" hashValue="b3SNqiktagS/QO0SlJaAt/mxnjhu5yfo2TicuVEi7p+5Pf7OMEmwI94BEkv033sGLsGBzvAYilIVTqb6AUo2yw==" saltValue="L6gC7vBRRgCEddTCyPwrkA==" spinCount="100000" sheet="1" objects="1" scenarios="1"/>
  <mergeCells count="78">
    <mergeCell ref="E10:AD10"/>
    <mergeCell ref="E44:AD45"/>
    <mergeCell ref="D13:I13"/>
    <mergeCell ref="J13:O13"/>
    <mergeCell ref="P13:U13"/>
    <mergeCell ref="V13:AA13"/>
    <mergeCell ref="J34:O34"/>
    <mergeCell ref="D34:I34"/>
    <mergeCell ref="D35:F35"/>
    <mergeCell ref="G35:I35"/>
    <mergeCell ref="D36:F36"/>
    <mergeCell ref="D11:AC11"/>
    <mergeCell ref="S14:U14"/>
    <mergeCell ref="V14:X14"/>
    <mergeCell ref="Y14:AA14"/>
    <mergeCell ref="D15:F15"/>
    <mergeCell ref="E4:AD4"/>
    <mergeCell ref="D5:AD5"/>
    <mergeCell ref="E7:AD7"/>
    <mergeCell ref="E8:AD8"/>
    <mergeCell ref="E9:AD9"/>
    <mergeCell ref="D14:F14"/>
    <mergeCell ref="G14:I14"/>
    <mergeCell ref="J14:L14"/>
    <mergeCell ref="M14:O14"/>
    <mergeCell ref="P14:R14"/>
    <mergeCell ref="Y15:AA15"/>
    <mergeCell ref="E22:AB22"/>
    <mergeCell ref="E23:AB23"/>
    <mergeCell ref="D24:AB24"/>
    <mergeCell ref="D25:L25"/>
    <mergeCell ref="M25:U25"/>
    <mergeCell ref="V25:AD25"/>
    <mergeCell ref="V15:X15"/>
    <mergeCell ref="G15:I15"/>
    <mergeCell ref="J15:L15"/>
    <mergeCell ref="M15:O15"/>
    <mergeCell ref="P15:R15"/>
    <mergeCell ref="S15:U15"/>
    <mergeCell ref="G17:AA17"/>
    <mergeCell ref="V26:X26"/>
    <mergeCell ref="Y26:AA26"/>
    <mergeCell ref="AB26:AD26"/>
    <mergeCell ref="D27:F27"/>
    <mergeCell ref="G27:I27"/>
    <mergeCell ref="J27:L27"/>
    <mergeCell ref="M27:O27"/>
    <mergeCell ref="P27:R27"/>
    <mergeCell ref="S27:U27"/>
    <mergeCell ref="V27:X27"/>
    <mergeCell ref="D26:F26"/>
    <mergeCell ref="G26:I26"/>
    <mergeCell ref="J26:L26"/>
    <mergeCell ref="M26:O26"/>
    <mergeCell ref="P26:R26"/>
    <mergeCell ref="S26:U26"/>
    <mergeCell ref="K56:W57"/>
    <mergeCell ref="K58:W58"/>
    <mergeCell ref="Y27:AA27"/>
    <mergeCell ref="AB27:AD27"/>
    <mergeCell ref="F51:N51"/>
    <mergeCell ref="T51:AF51"/>
    <mergeCell ref="F52:N52"/>
    <mergeCell ref="T52:AF52"/>
    <mergeCell ref="G36:I36"/>
    <mergeCell ref="F53:N53"/>
    <mergeCell ref="X53:AF53"/>
    <mergeCell ref="J35:L35"/>
    <mergeCell ref="M35:O35"/>
    <mergeCell ref="D32:Z32"/>
    <mergeCell ref="AB38:AD38"/>
    <mergeCell ref="AB40:AD40"/>
    <mergeCell ref="AB42:AD42"/>
    <mergeCell ref="D38:Z38"/>
    <mergeCell ref="D40:Z40"/>
    <mergeCell ref="D42:Z42"/>
    <mergeCell ref="J36:L36"/>
    <mergeCell ref="M36:O36"/>
  </mergeCells>
  <dataValidations count="6">
    <dataValidation type="whole" allowBlank="1" showInputMessage="1" showErrorMessage="1" errorTitle="GJHSP SY 2022-2023" error="Please enter valid number between 0-999." sqref="D36:O36" xr:uid="{F116D3B5-0190-4D6A-925A-B902775E9F8D}">
      <formula1>0</formula1>
      <formula2>999</formula2>
    </dataValidation>
    <dataValidation type="whole" allowBlank="1" showInputMessage="1" showErrorMessage="1" errorTitle="GJHSP SY 2022-2023" error="Please enter valid number between 0-20,000." sqref="D15:AA15" xr:uid="{87A79235-7D7C-4BBF-B9F7-37616197C173}">
      <formula1>0</formula1>
      <formula2>20000</formula2>
    </dataValidation>
    <dataValidation type="decimal" allowBlank="1" showInputMessage="1" showErrorMessage="1" errorTitle="GJHSP SY 2022-2023" error="Please enter valid number between 0-20,000,000.00." sqref="G27:I27 P27:R27 Y27:AA27" xr:uid="{1A573496-E2B1-41CF-87FC-A8201DB0F107}">
      <formula1>0</formula1>
      <formula2>20000000</formula2>
    </dataValidation>
    <dataValidation type="whole" allowBlank="1" showInputMessage="1" showErrorMessage="1" errorTitle="GJSHP SY 2022-2023" error="Please enter valid number between 0-99." sqref="AB38:AD38 AB40:AD40 AB42:AD42" xr:uid="{64DB9F5F-1F27-4140-9094-8171F7CD0A55}">
      <formula1>0</formula1>
      <formula2>99</formula2>
    </dataValidation>
    <dataValidation type="whole" allowBlank="1" showInputMessage="1" showErrorMessage="1" errorTitle="GJSHP SY 2022-2023" error="Please enter valid between 0-999." sqref="D27:F27 M27:O27 V27:X27" xr:uid="{1FD093C0-344C-4660-9A90-F70CB5660F7E}">
      <formula1>0</formula1>
      <formula2>999</formula2>
    </dataValidation>
    <dataValidation type="decimal" allowBlank="1" showInputMessage="1" showErrorMessage="1" errorTitle="GJSHP SY 2022-2023" error="Please enter valid number between 0-100." sqref="J27:L27 S27:U27 AB27:AD27" xr:uid="{3ECB9B93-65A5-43A9-B4A3-C9BF6F435379}">
      <formula1>0</formula1>
      <formula2>1</formula2>
    </dataValidation>
  </dataValidations>
  <printOptions horizontalCentered="1" verticalCentered="1"/>
  <pageMargins left="0.25" right="0.25" top="0.2" bottom="0.2" header="0" footer="0.1"/>
  <pageSetup paperSize="9" scale="26" orientation="portrait" r:id="rId1"/>
  <headerFooter>
    <oddFooter>&amp;L&amp;10&amp;F &amp;A&amp;R&amp;10Page 49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80897" r:id="rId4" name="Check Box 1">
              <controlPr defaultSize="0" autoFill="0" autoLine="0" autoPict="0">
                <anchor moveWithCells="1">
                  <from>
                    <xdr:col>3</xdr:col>
                    <xdr:colOff>25400</xdr:colOff>
                    <xdr:row>3</xdr:row>
                    <xdr:rowOff>31750</xdr:rowOff>
                  </from>
                  <to>
                    <xdr:col>3</xdr:col>
                    <xdr:colOff>254000</xdr:colOff>
                    <xdr:row>3</xdr:row>
                    <xdr:rowOff>254000</xdr:rowOff>
                  </to>
                </anchor>
              </controlPr>
            </control>
          </mc:Choice>
        </mc:AlternateContent>
        <mc:AlternateContent xmlns:mc="http://schemas.openxmlformats.org/markup-compatibility/2006">
          <mc:Choice Requires="x14">
            <control shapeId="80898" r:id="rId5" name="Check Box 2">
              <controlPr defaultSize="0" autoFill="0" autoLine="0" autoPict="0">
                <anchor moveWithCells="1">
                  <from>
                    <xdr:col>6</xdr:col>
                    <xdr:colOff>31750</xdr:colOff>
                    <xdr:row>5</xdr:row>
                    <xdr:rowOff>0</xdr:rowOff>
                  </from>
                  <to>
                    <xdr:col>6</xdr:col>
                    <xdr:colOff>254000</xdr:colOff>
                    <xdr:row>6</xdr:row>
                    <xdr:rowOff>25400</xdr:rowOff>
                  </to>
                </anchor>
              </controlPr>
            </control>
          </mc:Choice>
        </mc:AlternateContent>
        <mc:AlternateContent xmlns:mc="http://schemas.openxmlformats.org/markup-compatibility/2006">
          <mc:Choice Requires="x14">
            <control shapeId="80899" r:id="rId6" name="Check Box 3">
              <controlPr defaultSize="0" autoFill="0" autoLine="0" autoPict="0">
                <anchor moveWithCells="1">
                  <from>
                    <xdr:col>13</xdr:col>
                    <xdr:colOff>25400</xdr:colOff>
                    <xdr:row>5</xdr:row>
                    <xdr:rowOff>6350</xdr:rowOff>
                  </from>
                  <to>
                    <xdr:col>13</xdr:col>
                    <xdr:colOff>254000</xdr:colOff>
                    <xdr:row>6</xdr:row>
                    <xdr:rowOff>31750</xdr:rowOff>
                  </to>
                </anchor>
              </controlPr>
            </control>
          </mc:Choice>
        </mc:AlternateContent>
        <mc:AlternateContent xmlns:mc="http://schemas.openxmlformats.org/markup-compatibility/2006">
          <mc:Choice Requires="x14">
            <control shapeId="80900" r:id="rId7" name="Check Box 4">
              <controlPr defaultSize="0" autoFill="0" autoLine="0" autoPict="0">
                <anchor moveWithCells="1">
                  <from>
                    <xdr:col>18</xdr:col>
                    <xdr:colOff>25400</xdr:colOff>
                    <xdr:row>5</xdr:row>
                    <xdr:rowOff>0</xdr:rowOff>
                  </from>
                  <to>
                    <xdr:col>18</xdr:col>
                    <xdr:colOff>254000</xdr:colOff>
                    <xdr:row>6</xdr:row>
                    <xdr:rowOff>25400</xdr:rowOff>
                  </to>
                </anchor>
              </controlPr>
            </control>
          </mc:Choice>
        </mc:AlternateContent>
        <mc:AlternateContent xmlns:mc="http://schemas.openxmlformats.org/markup-compatibility/2006">
          <mc:Choice Requires="x14">
            <control shapeId="80901" r:id="rId8" name="Check Box 5">
              <controlPr defaultSize="0" autoFill="0" autoLine="0" autoPict="0">
                <anchor moveWithCells="1">
                  <from>
                    <xdr:col>22</xdr:col>
                    <xdr:colOff>25400</xdr:colOff>
                    <xdr:row>5</xdr:row>
                    <xdr:rowOff>12700</xdr:rowOff>
                  </from>
                  <to>
                    <xdr:col>22</xdr:col>
                    <xdr:colOff>254000</xdr:colOff>
                    <xdr:row>6</xdr:row>
                    <xdr:rowOff>38100</xdr:rowOff>
                  </to>
                </anchor>
              </controlPr>
            </control>
          </mc:Choice>
        </mc:AlternateContent>
        <mc:AlternateContent xmlns:mc="http://schemas.openxmlformats.org/markup-compatibility/2006">
          <mc:Choice Requires="x14">
            <control shapeId="80902" r:id="rId9" name="Check Box 6">
              <controlPr defaultSize="0" autoFill="0" autoLine="0" autoPict="0">
                <anchor moveWithCells="1">
                  <from>
                    <xdr:col>3</xdr:col>
                    <xdr:colOff>25400</xdr:colOff>
                    <xdr:row>6</xdr:row>
                    <xdr:rowOff>31750</xdr:rowOff>
                  </from>
                  <to>
                    <xdr:col>3</xdr:col>
                    <xdr:colOff>254000</xdr:colOff>
                    <xdr:row>6</xdr:row>
                    <xdr:rowOff>254000</xdr:rowOff>
                  </to>
                </anchor>
              </controlPr>
            </control>
          </mc:Choice>
        </mc:AlternateContent>
        <mc:AlternateContent xmlns:mc="http://schemas.openxmlformats.org/markup-compatibility/2006">
          <mc:Choice Requires="x14">
            <control shapeId="80903" r:id="rId10" name="Check Box 7">
              <controlPr defaultSize="0" autoFill="0" autoLine="0" autoPict="0">
                <anchor moveWithCells="1">
                  <from>
                    <xdr:col>3</xdr:col>
                    <xdr:colOff>25400</xdr:colOff>
                    <xdr:row>7</xdr:row>
                    <xdr:rowOff>31750</xdr:rowOff>
                  </from>
                  <to>
                    <xdr:col>3</xdr:col>
                    <xdr:colOff>254000</xdr:colOff>
                    <xdr:row>7</xdr:row>
                    <xdr:rowOff>254000</xdr:rowOff>
                  </to>
                </anchor>
              </controlPr>
            </control>
          </mc:Choice>
        </mc:AlternateContent>
        <mc:AlternateContent xmlns:mc="http://schemas.openxmlformats.org/markup-compatibility/2006">
          <mc:Choice Requires="x14">
            <control shapeId="80904" r:id="rId11" name="Check Box 8">
              <controlPr defaultSize="0" autoFill="0" autoLine="0" autoPict="0">
                <anchor moveWithCells="1">
                  <from>
                    <xdr:col>3</xdr:col>
                    <xdr:colOff>25400</xdr:colOff>
                    <xdr:row>8</xdr:row>
                    <xdr:rowOff>31750</xdr:rowOff>
                  </from>
                  <to>
                    <xdr:col>3</xdr:col>
                    <xdr:colOff>254000</xdr:colOff>
                    <xdr:row>8</xdr:row>
                    <xdr:rowOff>254000</xdr:rowOff>
                  </to>
                </anchor>
              </controlPr>
            </control>
          </mc:Choice>
        </mc:AlternateContent>
        <mc:AlternateContent xmlns:mc="http://schemas.openxmlformats.org/markup-compatibility/2006">
          <mc:Choice Requires="x14">
            <control shapeId="80905" r:id="rId12" name="Check Box 9">
              <controlPr defaultSize="0" autoFill="0" autoLine="0" autoPict="0">
                <anchor moveWithCells="1">
                  <from>
                    <xdr:col>3</xdr:col>
                    <xdr:colOff>25400</xdr:colOff>
                    <xdr:row>9</xdr:row>
                    <xdr:rowOff>31750</xdr:rowOff>
                  </from>
                  <to>
                    <xdr:col>3</xdr:col>
                    <xdr:colOff>254000</xdr:colOff>
                    <xdr:row>9</xdr:row>
                    <xdr:rowOff>254000</xdr:rowOff>
                  </to>
                </anchor>
              </controlPr>
            </control>
          </mc:Choice>
        </mc:AlternateContent>
        <mc:AlternateContent xmlns:mc="http://schemas.openxmlformats.org/markup-compatibility/2006">
          <mc:Choice Requires="x14">
            <control shapeId="80906" r:id="rId13" name="Check Box 10">
              <controlPr defaultSize="0" autoFill="0" autoLine="0" autoPict="0">
                <anchor moveWithCells="1">
                  <from>
                    <xdr:col>3</xdr:col>
                    <xdr:colOff>25400</xdr:colOff>
                    <xdr:row>21</xdr:row>
                    <xdr:rowOff>31750</xdr:rowOff>
                  </from>
                  <to>
                    <xdr:col>3</xdr:col>
                    <xdr:colOff>254000</xdr:colOff>
                    <xdr:row>21</xdr:row>
                    <xdr:rowOff>254000</xdr:rowOff>
                  </to>
                </anchor>
              </controlPr>
            </control>
          </mc:Choice>
        </mc:AlternateContent>
        <mc:AlternateContent xmlns:mc="http://schemas.openxmlformats.org/markup-compatibility/2006">
          <mc:Choice Requires="x14">
            <control shapeId="80907" r:id="rId14" name="Check Box 11">
              <controlPr defaultSize="0" autoFill="0" autoLine="0" autoPict="0">
                <anchor moveWithCells="1">
                  <from>
                    <xdr:col>3</xdr:col>
                    <xdr:colOff>25400</xdr:colOff>
                    <xdr:row>22</xdr:row>
                    <xdr:rowOff>31750</xdr:rowOff>
                  </from>
                  <to>
                    <xdr:col>3</xdr:col>
                    <xdr:colOff>254000</xdr:colOff>
                    <xdr:row>22</xdr:row>
                    <xdr:rowOff>254000</xdr:rowOff>
                  </to>
                </anchor>
              </controlPr>
            </control>
          </mc:Choice>
        </mc:AlternateContent>
        <mc:AlternateContent xmlns:mc="http://schemas.openxmlformats.org/markup-compatibility/2006">
          <mc:Choice Requires="x14">
            <control shapeId="80908" r:id="rId15" name="Check Box 12">
              <controlPr defaultSize="0" autoFill="0" autoLine="0" autoPict="0">
                <anchor moveWithCells="1">
                  <from>
                    <xdr:col>3</xdr:col>
                    <xdr:colOff>31750</xdr:colOff>
                    <xdr:row>42</xdr:row>
                    <xdr:rowOff>44450</xdr:rowOff>
                  </from>
                  <to>
                    <xdr:col>3</xdr:col>
                    <xdr:colOff>254000</xdr:colOff>
                    <xdr:row>44</xdr:row>
                    <xdr:rowOff>0</xdr:rowOff>
                  </to>
                </anchor>
              </controlPr>
            </control>
          </mc:Choice>
        </mc:AlternateContent>
      </controls>
    </mc:Choice>
  </mc:AlternateContent>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1668A-10E5-4A3F-868C-8934163DA44E}">
  <sheetPr>
    <pageSetUpPr fitToPage="1"/>
  </sheetPr>
  <dimension ref="B1:AW40"/>
  <sheetViews>
    <sheetView showGridLines="0" zoomScaleNormal="100" zoomScaleSheetLayoutView="100" workbookViewId="0">
      <selection activeCell="D4" sqref="D4"/>
    </sheetView>
  </sheetViews>
  <sheetFormatPr defaultColWidth="8" defaultRowHeight="15.5" x14ac:dyDescent="0.35"/>
  <cols>
    <col min="1" max="1" width="2.08203125" style="1041" customWidth="1"/>
    <col min="2" max="30" width="3.58203125" style="1042" customWidth="1"/>
    <col min="31" max="32" width="3.58203125" style="1041" customWidth="1"/>
    <col min="33" max="33" width="2.08203125" style="1041" customWidth="1"/>
    <col min="34" max="165" width="3.58203125" style="1041" customWidth="1"/>
    <col min="166" max="16384" width="8" style="1041"/>
  </cols>
  <sheetData>
    <row r="1" spans="2:49" ht="12" customHeight="1" x14ac:dyDescent="0.35"/>
    <row r="2" spans="2:49" ht="17" thickBot="1" x14ac:dyDescent="0.4">
      <c r="B2" s="1054" t="s">
        <v>1580</v>
      </c>
      <c r="C2" s="1041"/>
      <c r="D2" s="1041"/>
      <c r="E2" s="1041"/>
      <c r="F2" s="1041"/>
      <c r="G2" s="1041"/>
      <c r="H2" s="1041"/>
      <c r="I2" s="1041"/>
      <c r="J2" s="1041"/>
      <c r="K2" s="1041"/>
      <c r="L2" s="1041"/>
      <c r="M2" s="1041"/>
      <c r="N2" s="1041"/>
      <c r="O2" s="1041"/>
      <c r="P2" s="1041"/>
      <c r="Q2" s="1041"/>
      <c r="R2" s="1041"/>
      <c r="S2" s="1041"/>
      <c r="T2" s="1041"/>
      <c r="U2" s="1041"/>
      <c r="V2" s="1041"/>
      <c r="W2" s="1041"/>
      <c r="X2" s="1041"/>
      <c r="Y2" s="1041"/>
      <c r="Z2" s="1041"/>
      <c r="AA2" s="1041"/>
      <c r="AB2" s="1041"/>
      <c r="AC2" s="1041"/>
      <c r="AD2" s="1041"/>
    </row>
    <row r="3" spans="2:49" ht="5" customHeight="1" thickTop="1" x14ac:dyDescent="0.35">
      <c r="B3" s="1056"/>
      <c r="C3" s="1057"/>
      <c r="D3" s="1057"/>
      <c r="E3" s="1057"/>
      <c r="F3" s="1057"/>
      <c r="G3" s="1057"/>
      <c r="H3" s="1057"/>
      <c r="I3" s="1057"/>
      <c r="J3" s="1057"/>
      <c r="K3" s="1057"/>
      <c r="L3" s="1057"/>
      <c r="M3" s="1057"/>
      <c r="N3" s="1057"/>
      <c r="O3" s="1057"/>
      <c r="P3" s="1057"/>
      <c r="Q3" s="1057"/>
      <c r="R3" s="1057"/>
      <c r="S3" s="1057"/>
      <c r="T3" s="1057"/>
      <c r="U3" s="1057"/>
      <c r="V3" s="1057"/>
      <c r="W3" s="1057"/>
      <c r="X3" s="1057"/>
      <c r="Y3" s="1057"/>
      <c r="Z3" s="1057"/>
      <c r="AA3" s="1057"/>
      <c r="AB3" s="1057"/>
      <c r="AC3" s="1057"/>
      <c r="AD3" s="1057"/>
      <c r="AE3" s="1057"/>
      <c r="AF3" s="1058"/>
      <c r="AW3" s="1101"/>
    </row>
    <row r="4" spans="2:49" s="1101" customFormat="1" ht="16" customHeight="1" x14ac:dyDescent="0.35">
      <c r="B4" s="1097"/>
      <c r="C4" s="1050" t="s">
        <v>150</v>
      </c>
      <c r="D4" s="833" t="b">
        <v>0</v>
      </c>
      <c r="E4" s="3599" t="s">
        <v>1581</v>
      </c>
      <c r="F4" s="3599"/>
      <c r="G4" s="3599"/>
      <c r="H4" s="3599"/>
      <c r="I4" s="3599"/>
      <c r="J4" s="3599"/>
      <c r="K4" s="3599"/>
      <c r="L4" s="3599"/>
      <c r="M4" s="3599"/>
      <c r="N4" s="3599"/>
      <c r="O4" s="3599"/>
      <c r="P4" s="3599"/>
      <c r="Q4" s="3599"/>
      <c r="R4" s="3599"/>
      <c r="S4" s="3599"/>
      <c r="T4" s="3599"/>
      <c r="U4" s="3599"/>
      <c r="V4" s="3599"/>
      <c r="W4" s="3599"/>
      <c r="X4" s="3599"/>
      <c r="Y4" s="3599"/>
      <c r="Z4" s="3599"/>
      <c r="AA4" s="3599"/>
      <c r="AB4" s="3599"/>
      <c r="AC4" s="3599"/>
      <c r="AD4" s="3599"/>
      <c r="AE4" s="1099"/>
      <c r="AF4" s="1100"/>
      <c r="AG4" s="1099"/>
      <c r="AH4" s="1099"/>
      <c r="AI4" s="1099"/>
      <c r="AJ4" s="1099"/>
      <c r="AK4" s="1099"/>
      <c r="AL4" s="1099"/>
      <c r="AM4" s="1099"/>
      <c r="AN4" s="1099"/>
      <c r="AO4" s="1099"/>
    </row>
    <row r="5" spans="2:49" s="1101" customFormat="1" ht="16" customHeight="1" x14ac:dyDescent="0.35">
      <c r="B5" s="1097"/>
      <c r="C5" s="1050"/>
      <c r="D5" s="1124"/>
      <c r="E5" s="3599"/>
      <c r="F5" s="3599"/>
      <c r="G5" s="3599"/>
      <c r="H5" s="3599"/>
      <c r="I5" s="3599"/>
      <c r="J5" s="3599"/>
      <c r="K5" s="3599"/>
      <c r="L5" s="3599"/>
      <c r="M5" s="3599"/>
      <c r="N5" s="3599"/>
      <c r="O5" s="3599"/>
      <c r="P5" s="3599"/>
      <c r="Q5" s="3599"/>
      <c r="R5" s="3599"/>
      <c r="S5" s="3599"/>
      <c r="T5" s="3599"/>
      <c r="U5" s="3599"/>
      <c r="V5" s="3599"/>
      <c r="W5" s="3599"/>
      <c r="X5" s="3599"/>
      <c r="Y5" s="3599"/>
      <c r="Z5" s="3599"/>
      <c r="AA5" s="3599"/>
      <c r="AB5" s="3599"/>
      <c r="AC5" s="3599"/>
      <c r="AD5" s="3599"/>
      <c r="AE5" s="1099"/>
      <c r="AF5" s="1100"/>
      <c r="AG5" s="1099"/>
      <c r="AH5" s="1099"/>
      <c r="AI5" s="1099"/>
      <c r="AJ5" s="1099"/>
      <c r="AK5" s="1099"/>
      <c r="AL5" s="1099"/>
      <c r="AM5" s="1099"/>
      <c r="AN5" s="1099"/>
      <c r="AO5" s="1099"/>
    </row>
    <row r="6" spans="2:49" s="1101" customFormat="1" ht="16" customHeight="1" x14ac:dyDescent="0.35">
      <c r="B6" s="1097"/>
      <c r="C6" s="1050" t="s">
        <v>151</v>
      </c>
      <c r="D6" s="833" t="b">
        <v>0</v>
      </c>
      <c r="E6" s="3599" t="s">
        <v>1582</v>
      </c>
      <c r="F6" s="3599"/>
      <c r="G6" s="3599"/>
      <c r="H6" s="3599"/>
      <c r="I6" s="3599"/>
      <c r="J6" s="3599"/>
      <c r="K6" s="3599"/>
      <c r="L6" s="3599"/>
      <c r="M6" s="3599"/>
      <c r="N6" s="3599"/>
      <c r="O6" s="3599"/>
      <c r="P6" s="3599"/>
      <c r="Q6" s="3599"/>
      <c r="R6" s="3599"/>
      <c r="S6" s="3599"/>
      <c r="T6" s="3599"/>
      <c r="U6" s="3599"/>
      <c r="V6" s="3599"/>
      <c r="W6" s="3599"/>
      <c r="X6" s="3599"/>
      <c r="Y6" s="3599"/>
      <c r="Z6" s="3599"/>
      <c r="AA6" s="3599"/>
      <c r="AB6" s="3599"/>
      <c r="AC6" s="3599"/>
      <c r="AD6" s="3599"/>
      <c r="AE6" s="1099"/>
      <c r="AF6" s="1100"/>
      <c r="AG6" s="1099"/>
      <c r="AH6" s="1099"/>
      <c r="AI6" s="1099"/>
      <c r="AJ6" s="1099"/>
      <c r="AK6" s="1099"/>
      <c r="AL6" s="1099"/>
      <c r="AM6" s="1099"/>
      <c r="AN6" s="1099"/>
      <c r="AO6" s="1099"/>
    </row>
    <row r="7" spans="2:49" s="1101" customFormat="1" ht="16" customHeight="1" x14ac:dyDescent="0.35">
      <c r="B7" s="1097"/>
      <c r="C7" s="1050"/>
      <c r="D7" s="1124"/>
      <c r="E7" s="3599"/>
      <c r="F7" s="3599"/>
      <c r="G7" s="3599"/>
      <c r="H7" s="3599"/>
      <c r="I7" s="3599"/>
      <c r="J7" s="3599"/>
      <c r="K7" s="3599"/>
      <c r="L7" s="3599"/>
      <c r="M7" s="3599"/>
      <c r="N7" s="3599"/>
      <c r="O7" s="3599"/>
      <c r="P7" s="3599"/>
      <c r="Q7" s="3599"/>
      <c r="R7" s="3599"/>
      <c r="S7" s="3599"/>
      <c r="T7" s="3599"/>
      <c r="U7" s="3599"/>
      <c r="V7" s="3599"/>
      <c r="W7" s="3599"/>
      <c r="X7" s="3599"/>
      <c r="Y7" s="3599"/>
      <c r="Z7" s="3599"/>
      <c r="AA7" s="3599"/>
      <c r="AB7" s="3599"/>
      <c r="AC7" s="3599"/>
      <c r="AD7" s="3599"/>
      <c r="AE7" s="1099"/>
      <c r="AF7" s="1100"/>
      <c r="AG7" s="1099"/>
      <c r="AH7" s="1099"/>
      <c r="AI7" s="1099"/>
      <c r="AJ7" s="1099"/>
      <c r="AK7" s="1099"/>
      <c r="AL7" s="1099"/>
      <c r="AM7" s="1099"/>
      <c r="AN7" s="1099"/>
      <c r="AO7" s="1099"/>
      <c r="AW7" s="1041"/>
    </row>
    <row r="8" spans="2:49" ht="5" customHeight="1" x14ac:dyDescent="0.35">
      <c r="B8" s="1084"/>
      <c r="C8" s="1105"/>
      <c r="D8" s="1105"/>
      <c r="E8" s="1105"/>
      <c r="F8" s="1105"/>
      <c r="G8" s="1105"/>
      <c r="H8" s="1105"/>
      <c r="I8" s="1105"/>
      <c r="J8" s="1105"/>
      <c r="K8" s="1105"/>
      <c r="L8" s="1105"/>
      <c r="M8" s="1105"/>
      <c r="N8" s="1105"/>
      <c r="O8" s="1105"/>
      <c r="P8" s="1105"/>
      <c r="Q8" s="1105"/>
      <c r="R8" s="1105"/>
      <c r="S8" s="1105"/>
      <c r="T8" s="1105"/>
      <c r="U8" s="1105"/>
      <c r="V8" s="1105"/>
      <c r="W8" s="1105"/>
      <c r="X8" s="1105"/>
      <c r="Y8" s="1105"/>
      <c r="Z8" s="1105"/>
      <c r="AA8" s="1105"/>
      <c r="AB8" s="1105"/>
      <c r="AC8" s="1105"/>
      <c r="AD8" s="1105"/>
      <c r="AE8" s="1105"/>
      <c r="AF8" s="1062"/>
    </row>
    <row r="9" spans="2:49" ht="15.5" customHeight="1" x14ac:dyDescent="0.35">
      <c r="B9" s="1049"/>
      <c r="C9" s="1050" t="s">
        <v>152</v>
      </c>
      <c r="D9" s="3524" t="s">
        <v>1583</v>
      </c>
      <c r="E9" s="3524"/>
      <c r="F9" s="3524"/>
      <c r="G9" s="3524"/>
      <c r="H9" s="3524"/>
      <c r="I9" s="3524"/>
      <c r="J9" s="3524"/>
      <c r="K9" s="3524"/>
      <c r="L9" s="3524"/>
      <c r="M9" s="3524"/>
      <c r="N9" s="3524"/>
      <c r="O9" s="3524"/>
      <c r="P9" s="3524"/>
      <c r="Q9" s="3524"/>
      <c r="R9" s="3524"/>
      <c r="S9" s="3524"/>
      <c r="T9" s="3524"/>
      <c r="U9" s="3524"/>
      <c r="V9" s="3524"/>
      <c r="W9" s="3524"/>
      <c r="X9" s="3524"/>
      <c r="Y9" s="3524"/>
      <c r="Z9" s="3524"/>
      <c r="AA9" s="1051"/>
      <c r="AB9" s="1051"/>
      <c r="AC9" s="1051"/>
      <c r="AD9" s="1083"/>
      <c r="AE9" s="1052"/>
      <c r="AF9" s="1053"/>
    </row>
    <row r="10" spans="2:49" ht="5" customHeight="1" thickBot="1" x14ac:dyDescent="0.4">
      <c r="B10" s="1084"/>
      <c r="C10" s="1105"/>
      <c r="D10" s="1105"/>
      <c r="E10" s="1105"/>
      <c r="F10" s="1105"/>
      <c r="G10" s="1105"/>
      <c r="H10" s="1105"/>
      <c r="I10" s="1105"/>
      <c r="J10" s="1105"/>
      <c r="K10" s="1105"/>
      <c r="L10" s="1105"/>
      <c r="M10" s="1105"/>
      <c r="N10" s="1105"/>
      <c r="O10" s="1105"/>
      <c r="P10" s="1105"/>
      <c r="Q10" s="1105"/>
      <c r="R10" s="1105"/>
      <c r="S10" s="1105"/>
      <c r="T10" s="1105"/>
      <c r="U10" s="1105"/>
      <c r="V10" s="1105"/>
      <c r="W10" s="1105"/>
      <c r="X10" s="1105"/>
      <c r="Y10" s="1105"/>
      <c r="Z10" s="1105"/>
      <c r="AA10" s="1105"/>
      <c r="AB10" s="1105"/>
      <c r="AC10" s="1105"/>
      <c r="AD10" s="1105"/>
      <c r="AE10" s="1105"/>
      <c r="AF10" s="1062"/>
    </row>
    <row r="11" spans="2:49" s="1042" customFormat="1" ht="30" customHeight="1" thickTop="1" thickBot="1" x14ac:dyDescent="0.4">
      <c r="B11" s="1084"/>
      <c r="C11" s="1085"/>
      <c r="D11" s="3543" t="s">
        <v>1584</v>
      </c>
      <c r="E11" s="3544"/>
      <c r="F11" s="3544"/>
      <c r="G11" s="3544"/>
      <c r="H11" s="3544"/>
      <c r="I11" s="3547"/>
      <c r="J11" s="3555" t="s">
        <v>1585</v>
      </c>
      <c r="K11" s="3536"/>
      <c r="L11" s="3536"/>
      <c r="M11" s="3536"/>
      <c r="N11" s="3536"/>
      <c r="O11" s="3614"/>
      <c r="P11" s="3536" t="s">
        <v>876</v>
      </c>
      <c r="Q11" s="3536"/>
      <c r="R11" s="3536"/>
      <c r="S11" s="3536"/>
      <c r="T11" s="3536"/>
      <c r="U11" s="3537"/>
      <c r="V11" s="3615"/>
      <c r="W11" s="3615"/>
      <c r="X11" s="3615"/>
      <c r="Y11" s="3615"/>
      <c r="Z11" s="3615"/>
      <c r="AA11" s="3615"/>
      <c r="AB11" s="1085"/>
      <c r="AC11" s="1085"/>
      <c r="AD11" s="1085"/>
      <c r="AE11" s="1085"/>
      <c r="AF11" s="1086"/>
    </row>
    <row r="12" spans="2:49" s="1042" customFormat="1" ht="39" customHeight="1" thickTop="1" thickBot="1" x14ac:dyDescent="0.4">
      <c r="B12" s="1044"/>
      <c r="C12" s="1045"/>
      <c r="D12" s="3611"/>
      <c r="E12" s="3612"/>
      <c r="F12" s="3612"/>
      <c r="G12" s="3612"/>
      <c r="H12" s="3612"/>
      <c r="I12" s="3613"/>
      <c r="J12" s="3602">
        <v>0</v>
      </c>
      <c r="K12" s="3603"/>
      <c r="L12" s="3603"/>
      <c r="M12" s="3603"/>
      <c r="N12" s="3603"/>
      <c r="O12" s="3604"/>
      <c r="P12" s="3603">
        <v>0</v>
      </c>
      <c r="Q12" s="3603"/>
      <c r="R12" s="3603"/>
      <c r="S12" s="3603"/>
      <c r="T12" s="3603"/>
      <c r="U12" s="3605"/>
      <c r="V12" s="3609"/>
      <c r="W12" s="3609"/>
      <c r="X12" s="3609"/>
      <c r="Y12" s="3610"/>
      <c r="Z12" s="3610"/>
      <c r="AA12" s="3610"/>
      <c r="AF12" s="1043"/>
    </row>
    <row r="13" spans="2:49" ht="5" customHeight="1" thickTop="1" thickBot="1" x14ac:dyDescent="0.4">
      <c r="B13" s="1084"/>
      <c r="C13" s="1105"/>
      <c r="D13" s="1105"/>
      <c r="E13" s="1105"/>
      <c r="F13" s="1105"/>
      <c r="G13" s="1105"/>
      <c r="H13" s="1105"/>
      <c r="I13" s="1105"/>
      <c r="J13" s="1105"/>
      <c r="K13" s="1105"/>
      <c r="L13" s="1105"/>
      <c r="M13" s="1105"/>
      <c r="N13" s="1105"/>
      <c r="O13" s="1105"/>
      <c r="P13" s="1105"/>
      <c r="Q13" s="1105"/>
      <c r="R13" s="1105"/>
      <c r="S13" s="1105"/>
      <c r="T13" s="1105"/>
      <c r="U13" s="1105"/>
      <c r="V13" s="1105"/>
      <c r="W13" s="1105"/>
      <c r="X13" s="1105"/>
      <c r="Y13" s="1105"/>
      <c r="Z13" s="1105"/>
      <c r="AA13" s="1105"/>
      <c r="AB13" s="1105"/>
      <c r="AC13" s="1105"/>
      <c r="AD13" s="1105"/>
      <c r="AE13" s="1105"/>
      <c r="AF13" s="1062"/>
    </row>
    <row r="14" spans="2:49" ht="32" customHeight="1" thickBot="1" x14ac:dyDescent="0.4">
      <c r="B14" s="1049"/>
      <c r="C14" s="1050" t="s">
        <v>155</v>
      </c>
      <c r="D14" s="3524" t="s">
        <v>1586</v>
      </c>
      <c r="E14" s="3524"/>
      <c r="F14" s="3524"/>
      <c r="G14" s="3524"/>
      <c r="H14" s="3524"/>
      <c r="I14" s="3524"/>
      <c r="J14" s="3524"/>
      <c r="K14" s="3524"/>
      <c r="L14" s="3524"/>
      <c r="M14" s="3524"/>
      <c r="N14" s="3524"/>
      <c r="O14" s="3524"/>
      <c r="P14" s="3524"/>
      <c r="Q14" s="3524"/>
      <c r="R14" s="3524"/>
      <c r="S14" s="3524"/>
      <c r="T14" s="3524"/>
      <c r="U14" s="3524"/>
      <c r="V14" s="3524"/>
      <c r="W14" s="3524"/>
      <c r="X14" s="3524"/>
      <c r="Y14" s="3524"/>
      <c r="Z14" s="3524"/>
      <c r="AA14" s="1051"/>
      <c r="AB14" s="3606">
        <v>0</v>
      </c>
      <c r="AC14" s="3607"/>
      <c r="AD14" s="3608"/>
      <c r="AE14" s="1052"/>
      <c r="AF14" s="1053"/>
    </row>
    <row r="15" spans="2:49" ht="10" customHeight="1" thickBot="1" x14ac:dyDescent="0.4">
      <c r="B15" s="1035"/>
      <c r="C15" s="1036"/>
      <c r="D15" s="1037"/>
      <c r="E15" s="1038"/>
      <c r="F15" s="1038"/>
      <c r="G15" s="1038"/>
      <c r="H15" s="1038"/>
      <c r="I15" s="1038"/>
      <c r="J15" s="1038"/>
      <c r="K15" s="1039"/>
      <c r="L15" s="1039"/>
      <c r="M15" s="1039"/>
      <c r="N15" s="1039"/>
      <c r="O15" s="1039"/>
      <c r="P15" s="1039"/>
      <c r="Q15" s="1039"/>
      <c r="R15" s="1039"/>
      <c r="S15" s="1039"/>
      <c r="T15" s="1039"/>
      <c r="U15" s="1039"/>
      <c r="V15" s="1039"/>
      <c r="W15" s="1039"/>
      <c r="X15" s="1039"/>
      <c r="Y15" s="1039"/>
      <c r="Z15" s="1039"/>
      <c r="AA15" s="1039"/>
      <c r="AB15" s="1039"/>
      <c r="AC15" s="1039"/>
      <c r="AD15" s="1039"/>
      <c r="AE15" s="1039"/>
      <c r="AF15" s="1040"/>
    </row>
    <row r="16" spans="2:49" ht="10" customHeight="1" thickTop="1" x14ac:dyDescent="0.35">
      <c r="B16" s="1118"/>
      <c r="C16" s="1098"/>
      <c r="E16" s="1052"/>
      <c r="F16" s="1052"/>
      <c r="G16" s="1052"/>
      <c r="H16" s="1052"/>
      <c r="I16" s="1052"/>
      <c r="J16" s="1052"/>
      <c r="K16" s="1041"/>
      <c r="L16" s="1041"/>
      <c r="M16" s="1041"/>
      <c r="N16" s="1041"/>
      <c r="O16" s="1041"/>
      <c r="P16" s="1041"/>
      <c r="Q16" s="1041"/>
      <c r="R16" s="1041"/>
      <c r="S16" s="1041"/>
      <c r="T16" s="1041"/>
      <c r="U16" s="1041"/>
      <c r="V16" s="1041"/>
      <c r="W16" s="1041"/>
      <c r="X16" s="1041"/>
      <c r="Y16" s="1041"/>
      <c r="Z16" s="1041"/>
      <c r="AA16" s="1041"/>
      <c r="AB16" s="1041"/>
      <c r="AC16" s="1041"/>
      <c r="AD16" s="1041"/>
    </row>
    <row r="17" spans="2:39" s="1121" customFormat="1" ht="109.75" customHeight="1" x14ac:dyDescent="0.3">
      <c r="B17" s="1119" t="s">
        <v>150</v>
      </c>
      <c r="C17" s="3601" t="s">
        <v>1587</v>
      </c>
      <c r="D17" s="3601"/>
      <c r="E17" s="3601"/>
      <c r="F17" s="3601"/>
      <c r="G17" s="3601"/>
      <c r="H17" s="3601"/>
      <c r="I17" s="3601"/>
      <c r="J17" s="3601"/>
      <c r="K17" s="3601"/>
      <c r="L17" s="3601"/>
      <c r="M17" s="3601"/>
      <c r="N17" s="3601"/>
      <c r="O17" s="3601"/>
      <c r="P17" s="3601"/>
      <c r="Q17" s="3601"/>
      <c r="R17" s="3601"/>
      <c r="S17" s="3601"/>
      <c r="T17" s="3601"/>
      <c r="U17" s="3601"/>
      <c r="V17" s="3601"/>
      <c r="W17" s="3601"/>
      <c r="X17" s="3601"/>
      <c r="Y17" s="3601"/>
      <c r="Z17" s="3601"/>
      <c r="AA17" s="3601"/>
      <c r="AB17" s="3601"/>
      <c r="AC17" s="3601"/>
      <c r="AD17" s="3601"/>
      <c r="AE17" s="3601"/>
      <c r="AF17" s="3601"/>
      <c r="AG17" s="1120"/>
      <c r="AH17" s="1120"/>
      <c r="AI17" s="1120"/>
      <c r="AJ17" s="1120"/>
      <c r="AK17" s="1120"/>
      <c r="AL17" s="1120"/>
      <c r="AM17" s="1120"/>
    </row>
    <row r="18" spans="2:39" s="1121" customFormat="1" ht="2.5" customHeight="1" x14ac:dyDescent="0.3">
      <c r="B18" s="1119"/>
      <c r="C18" s="1122"/>
      <c r="D18" s="1122"/>
      <c r="E18" s="1122"/>
      <c r="F18" s="1122"/>
      <c r="G18" s="1122"/>
      <c r="H18" s="1122"/>
      <c r="I18" s="1122"/>
      <c r="J18" s="1122"/>
      <c r="K18" s="1122"/>
      <c r="L18" s="1122"/>
      <c r="M18" s="1122"/>
      <c r="N18" s="1122"/>
      <c r="O18" s="1122"/>
      <c r="P18" s="1122"/>
      <c r="Q18" s="1122"/>
      <c r="R18" s="1122"/>
      <c r="S18" s="1122"/>
      <c r="T18" s="1122"/>
      <c r="U18" s="1122"/>
      <c r="V18" s="1122"/>
      <c r="W18" s="1122"/>
      <c r="X18" s="1122"/>
      <c r="Y18" s="1122"/>
      <c r="Z18" s="1122"/>
      <c r="AA18" s="1122"/>
      <c r="AB18" s="1122"/>
      <c r="AC18" s="1122"/>
      <c r="AD18" s="1122"/>
      <c r="AE18" s="1122"/>
      <c r="AF18" s="1122"/>
      <c r="AG18" s="1120"/>
      <c r="AH18" s="1120"/>
      <c r="AI18" s="1120"/>
      <c r="AJ18" s="1120"/>
      <c r="AK18" s="1120"/>
      <c r="AL18" s="1120"/>
      <c r="AM18" s="1120"/>
    </row>
    <row r="19" spans="2:39" s="1121" customFormat="1" ht="32.5" customHeight="1" x14ac:dyDescent="0.3">
      <c r="B19" s="1119"/>
      <c r="C19" s="3601" t="s">
        <v>1589</v>
      </c>
      <c r="D19" s="3601"/>
      <c r="E19" s="3601"/>
      <c r="F19" s="3601"/>
      <c r="G19" s="3601"/>
      <c r="H19" s="3601"/>
      <c r="I19" s="3601"/>
      <c r="J19" s="3601"/>
      <c r="K19" s="3601"/>
      <c r="L19" s="3601"/>
      <c r="M19" s="3601"/>
      <c r="N19" s="3601"/>
      <c r="O19" s="3601"/>
      <c r="P19" s="3601"/>
      <c r="Q19" s="3601"/>
      <c r="R19" s="3601"/>
      <c r="S19" s="3601"/>
      <c r="T19" s="3601"/>
      <c r="U19" s="3601"/>
      <c r="V19" s="3601"/>
      <c r="W19" s="3601"/>
      <c r="X19" s="3601"/>
      <c r="Y19" s="3601"/>
      <c r="Z19" s="3601"/>
      <c r="AA19" s="3601"/>
      <c r="AB19" s="3601"/>
      <c r="AC19" s="3601"/>
      <c r="AD19" s="3601"/>
      <c r="AE19" s="3601"/>
      <c r="AF19" s="3601"/>
      <c r="AG19" s="1120"/>
      <c r="AH19" s="1120"/>
      <c r="AI19" s="1120"/>
      <c r="AJ19" s="1120"/>
      <c r="AK19" s="1120"/>
      <c r="AL19" s="1120"/>
      <c r="AM19" s="1120"/>
    </row>
    <row r="20" spans="2:39" s="1121" customFormat="1" ht="2.5" customHeight="1" x14ac:dyDescent="0.3">
      <c r="B20" s="1119"/>
      <c r="C20" s="1122"/>
      <c r="D20" s="1122"/>
      <c r="E20" s="1122"/>
      <c r="F20" s="1122"/>
      <c r="G20" s="1122"/>
      <c r="H20" s="1122"/>
      <c r="I20" s="1122"/>
      <c r="J20" s="1122"/>
      <c r="K20" s="1122"/>
      <c r="L20" s="1122"/>
      <c r="M20" s="1122"/>
      <c r="N20" s="1122"/>
      <c r="O20" s="1122"/>
      <c r="P20" s="1122"/>
      <c r="Q20" s="1122"/>
      <c r="R20" s="1122"/>
      <c r="S20" s="1122"/>
      <c r="T20" s="1122"/>
      <c r="U20" s="1122"/>
      <c r="V20" s="1122"/>
      <c r="W20" s="1122"/>
      <c r="X20" s="1122"/>
      <c r="Y20" s="1122"/>
      <c r="Z20" s="1122"/>
      <c r="AA20" s="1122"/>
      <c r="AB20" s="1122"/>
      <c r="AC20" s="1122"/>
      <c r="AD20" s="1122"/>
      <c r="AE20" s="1122"/>
      <c r="AF20" s="1122"/>
      <c r="AG20" s="1120"/>
      <c r="AH20" s="1120"/>
      <c r="AI20" s="1120"/>
      <c r="AJ20" s="1120"/>
      <c r="AK20" s="1120"/>
      <c r="AL20" s="1120"/>
      <c r="AM20" s="1120"/>
    </row>
    <row r="21" spans="2:39" s="1121" customFormat="1" ht="45" customHeight="1" x14ac:dyDescent="0.3">
      <c r="B21" s="1119"/>
      <c r="C21" s="3601" t="s">
        <v>1590</v>
      </c>
      <c r="D21" s="3601"/>
      <c r="E21" s="3601"/>
      <c r="F21" s="3601"/>
      <c r="G21" s="3601"/>
      <c r="H21" s="3601"/>
      <c r="I21" s="3601"/>
      <c r="J21" s="3601"/>
      <c r="K21" s="3601"/>
      <c r="L21" s="3601"/>
      <c r="M21" s="3601"/>
      <c r="N21" s="3601"/>
      <c r="O21" s="3601"/>
      <c r="P21" s="3601"/>
      <c r="Q21" s="3601"/>
      <c r="R21" s="3601"/>
      <c r="S21" s="3601"/>
      <c r="T21" s="3601"/>
      <c r="U21" s="3601"/>
      <c r="V21" s="3601"/>
      <c r="W21" s="3601"/>
      <c r="X21" s="3601"/>
      <c r="Y21" s="3601"/>
      <c r="Z21" s="3601"/>
      <c r="AA21" s="3601"/>
      <c r="AB21" s="3601"/>
      <c r="AC21" s="3601"/>
      <c r="AD21" s="3601"/>
      <c r="AE21" s="3601"/>
      <c r="AF21" s="3601"/>
      <c r="AG21" s="1120"/>
      <c r="AH21" s="1120"/>
      <c r="AI21" s="1120"/>
      <c r="AJ21" s="1120"/>
      <c r="AK21" s="1120"/>
      <c r="AL21" s="1120"/>
      <c r="AM21" s="1120"/>
    </row>
    <row r="22" spans="2:39" s="1121" customFormat="1" ht="2.5" customHeight="1" x14ac:dyDescent="0.3">
      <c r="B22" s="1119"/>
      <c r="C22" s="1122"/>
      <c r="D22" s="1122"/>
      <c r="E22" s="1122"/>
      <c r="F22" s="1122"/>
      <c r="G22" s="1122"/>
      <c r="H22" s="1122"/>
      <c r="I22" s="1122"/>
      <c r="J22" s="1122"/>
      <c r="K22" s="1122"/>
      <c r="L22" s="1122"/>
      <c r="M22" s="1122"/>
      <c r="N22" s="1122"/>
      <c r="O22" s="1122"/>
      <c r="P22" s="1122"/>
      <c r="Q22" s="1122"/>
      <c r="R22" s="1122"/>
      <c r="S22" s="1122"/>
      <c r="T22" s="1122"/>
      <c r="U22" s="1122"/>
      <c r="V22" s="1122"/>
      <c r="W22" s="1122"/>
      <c r="X22" s="1122"/>
      <c r="Y22" s="1122"/>
      <c r="Z22" s="1122"/>
      <c r="AA22" s="1122"/>
      <c r="AB22" s="1122"/>
      <c r="AC22" s="1122"/>
      <c r="AD22" s="1122"/>
      <c r="AE22" s="1122"/>
      <c r="AF22" s="1122"/>
      <c r="AG22" s="1120"/>
      <c r="AH22" s="1120"/>
      <c r="AI22" s="1120"/>
      <c r="AJ22" s="1120"/>
      <c r="AK22" s="1120"/>
      <c r="AL22" s="1120"/>
      <c r="AM22" s="1120"/>
    </row>
    <row r="23" spans="2:39" s="1121" customFormat="1" ht="34" customHeight="1" x14ac:dyDescent="0.3">
      <c r="B23" s="1119"/>
      <c r="C23" s="3601" t="s">
        <v>1588</v>
      </c>
      <c r="D23" s="3601"/>
      <c r="E23" s="3601"/>
      <c r="F23" s="3601"/>
      <c r="G23" s="3601"/>
      <c r="H23" s="3601"/>
      <c r="I23" s="3601"/>
      <c r="J23" s="3601"/>
      <c r="K23" s="3601"/>
      <c r="L23" s="3601"/>
      <c r="M23" s="3601"/>
      <c r="N23" s="3601"/>
      <c r="O23" s="3601"/>
      <c r="P23" s="3601"/>
      <c r="Q23" s="3601"/>
      <c r="R23" s="3601"/>
      <c r="S23" s="3601"/>
      <c r="T23" s="3601"/>
      <c r="U23" s="3601"/>
      <c r="V23" s="3601"/>
      <c r="W23" s="3601"/>
      <c r="X23" s="3601"/>
      <c r="Y23" s="3601"/>
      <c r="Z23" s="3601"/>
      <c r="AA23" s="3601"/>
      <c r="AB23" s="3601"/>
      <c r="AC23" s="3601"/>
      <c r="AD23" s="3601"/>
      <c r="AE23" s="3601"/>
      <c r="AF23" s="3601"/>
      <c r="AG23" s="1120"/>
      <c r="AH23" s="1120"/>
      <c r="AI23" s="1120"/>
      <c r="AJ23" s="1120"/>
      <c r="AK23" s="1120"/>
      <c r="AL23" s="1120"/>
      <c r="AM23" s="1120"/>
    </row>
    <row r="24" spans="2:39" s="1121" customFormat="1" ht="79" customHeight="1" x14ac:dyDescent="0.3">
      <c r="B24" s="1119" t="s">
        <v>151</v>
      </c>
      <c r="C24" s="3601" t="s">
        <v>1592</v>
      </c>
      <c r="D24" s="3601"/>
      <c r="E24" s="3601"/>
      <c r="F24" s="3601"/>
      <c r="G24" s="3601"/>
      <c r="H24" s="3601"/>
      <c r="I24" s="3601"/>
      <c r="J24" s="3601"/>
      <c r="K24" s="3601"/>
      <c r="L24" s="3601"/>
      <c r="M24" s="3601"/>
      <c r="N24" s="3601"/>
      <c r="O24" s="3601"/>
      <c r="P24" s="3601"/>
      <c r="Q24" s="3601"/>
      <c r="R24" s="3601"/>
      <c r="S24" s="3601"/>
      <c r="T24" s="3601"/>
      <c r="U24" s="3601"/>
      <c r="V24" s="3601"/>
      <c r="W24" s="3601"/>
      <c r="X24" s="3601"/>
      <c r="Y24" s="3601"/>
      <c r="Z24" s="3601"/>
      <c r="AA24" s="3601"/>
      <c r="AB24" s="3601"/>
      <c r="AC24" s="3601"/>
      <c r="AD24" s="3601"/>
      <c r="AE24" s="3601"/>
      <c r="AF24" s="3601"/>
      <c r="AG24" s="1120"/>
      <c r="AH24" s="1120"/>
      <c r="AI24" s="1120"/>
      <c r="AJ24" s="1120"/>
      <c r="AK24" s="1120"/>
      <c r="AL24" s="1120"/>
      <c r="AM24" s="1120"/>
    </row>
    <row r="25" spans="2:39" s="1121" customFormat="1" ht="79" customHeight="1" x14ac:dyDescent="0.3">
      <c r="B25" s="1119" t="s">
        <v>152</v>
      </c>
      <c r="C25" s="3601" t="s">
        <v>1591</v>
      </c>
      <c r="D25" s="3601"/>
      <c r="E25" s="3601"/>
      <c r="F25" s="3601"/>
      <c r="G25" s="3601"/>
      <c r="H25" s="3601"/>
      <c r="I25" s="3601"/>
      <c r="J25" s="3601"/>
      <c r="K25" s="3601"/>
      <c r="L25" s="3601"/>
      <c r="M25" s="3601"/>
      <c r="N25" s="3601"/>
      <c r="O25" s="3601"/>
      <c r="P25" s="3601"/>
      <c r="Q25" s="3601"/>
      <c r="R25" s="3601"/>
      <c r="S25" s="3601"/>
      <c r="T25" s="3601"/>
      <c r="U25" s="3601"/>
      <c r="V25" s="3601"/>
      <c r="W25" s="3601"/>
      <c r="X25" s="3601"/>
      <c r="Y25" s="3601"/>
      <c r="Z25" s="3601"/>
      <c r="AA25" s="3601"/>
      <c r="AB25" s="3601"/>
      <c r="AC25" s="3601"/>
      <c r="AD25" s="3601"/>
      <c r="AE25" s="3601"/>
      <c r="AF25" s="3601"/>
      <c r="AG25" s="1120"/>
      <c r="AH25" s="1120"/>
      <c r="AI25" s="1120"/>
      <c r="AJ25" s="1120"/>
      <c r="AK25" s="1120"/>
      <c r="AL25" s="1120"/>
      <c r="AM25" s="1120"/>
    </row>
    <row r="26" spans="2:39" s="1121" customFormat="1" ht="92.5" customHeight="1" x14ac:dyDescent="0.3">
      <c r="B26" s="1119" t="s">
        <v>155</v>
      </c>
      <c r="C26" s="3601" t="s">
        <v>1593</v>
      </c>
      <c r="D26" s="3601"/>
      <c r="E26" s="3601"/>
      <c r="F26" s="3601"/>
      <c r="G26" s="3601"/>
      <c r="H26" s="3601"/>
      <c r="I26" s="3601"/>
      <c r="J26" s="3601"/>
      <c r="K26" s="3601"/>
      <c r="L26" s="3601"/>
      <c r="M26" s="3601"/>
      <c r="N26" s="3601"/>
      <c r="O26" s="3601"/>
      <c r="P26" s="3601"/>
      <c r="Q26" s="3601"/>
      <c r="R26" s="3601"/>
      <c r="S26" s="3601"/>
      <c r="T26" s="3601"/>
      <c r="U26" s="3601"/>
      <c r="V26" s="3601"/>
      <c r="W26" s="3601"/>
      <c r="X26" s="3601"/>
      <c r="Y26" s="3601"/>
      <c r="Z26" s="3601"/>
      <c r="AA26" s="3601"/>
      <c r="AB26" s="3601"/>
      <c r="AC26" s="3601"/>
      <c r="AD26" s="3601"/>
      <c r="AE26" s="3601"/>
      <c r="AF26" s="3601"/>
      <c r="AG26" s="1120"/>
      <c r="AH26" s="1120"/>
      <c r="AI26" s="1120"/>
      <c r="AJ26" s="1120"/>
      <c r="AK26" s="1120"/>
      <c r="AL26" s="1120"/>
      <c r="AM26" s="1120"/>
    </row>
    <row r="27" spans="2:39" s="1121" customFormat="1" ht="48" customHeight="1" x14ac:dyDescent="0.3">
      <c r="B27" s="1119" t="s">
        <v>156</v>
      </c>
      <c r="C27" s="3601" t="s">
        <v>1594</v>
      </c>
      <c r="D27" s="3601"/>
      <c r="E27" s="3601"/>
      <c r="F27" s="3601"/>
      <c r="G27" s="3601"/>
      <c r="H27" s="3601"/>
      <c r="I27" s="3601"/>
      <c r="J27" s="3601"/>
      <c r="K27" s="3601"/>
      <c r="L27" s="3601"/>
      <c r="M27" s="3601"/>
      <c r="N27" s="3601"/>
      <c r="O27" s="3601"/>
      <c r="P27" s="3601"/>
      <c r="Q27" s="3601"/>
      <c r="R27" s="3601"/>
      <c r="S27" s="3601"/>
      <c r="T27" s="3601"/>
      <c r="U27" s="3601"/>
      <c r="V27" s="3601"/>
      <c r="W27" s="3601"/>
      <c r="X27" s="3601"/>
      <c r="Y27" s="3601"/>
      <c r="Z27" s="3601"/>
      <c r="AA27" s="3601"/>
      <c r="AB27" s="3601"/>
      <c r="AC27" s="3601"/>
      <c r="AD27" s="3601"/>
      <c r="AE27" s="3601"/>
      <c r="AF27" s="3601"/>
      <c r="AG27" s="1120"/>
      <c r="AH27" s="1120"/>
      <c r="AI27" s="1120"/>
      <c r="AJ27" s="1120"/>
      <c r="AK27" s="1120"/>
      <c r="AL27" s="1120"/>
      <c r="AM27" s="1120"/>
    </row>
    <row r="28" spans="2:39" s="1121" customFormat="1" ht="35.5" customHeight="1" x14ac:dyDescent="0.3">
      <c r="B28" s="1119" t="s">
        <v>157</v>
      </c>
      <c r="C28" s="3601" t="s">
        <v>1595</v>
      </c>
      <c r="D28" s="3601"/>
      <c r="E28" s="3601"/>
      <c r="F28" s="3601"/>
      <c r="G28" s="3601"/>
      <c r="H28" s="3601"/>
      <c r="I28" s="3601"/>
      <c r="J28" s="3601"/>
      <c r="K28" s="3601"/>
      <c r="L28" s="3601"/>
      <c r="M28" s="3601"/>
      <c r="N28" s="3601"/>
      <c r="O28" s="3601"/>
      <c r="P28" s="3601"/>
      <c r="Q28" s="3601"/>
      <c r="R28" s="3601"/>
      <c r="S28" s="3601"/>
      <c r="T28" s="3601"/>
      <c r="U28" s="3601"/>
      <c r="V28" s="3601"/>
      <c r="W28" s="3601"/>
      <c r="X28" s="3601"/>
      <c r="Y28" s="3601"/>
      <c r="Z28" s="3601"/>
      <c r="AA28" s="3601"/>
      <c r="AB28" s="3601"/>
      <c r="AC28" s="3601"/>
      <c r="AD28" s="3601"/>
      <c r="AE28" s="3601"/>
      <c r="AF28" s="3601"/>
      <c r="AG28" s="1120"/>
      <c r="AH28" s="1120"/>
      <c r="AI28" s="1120"/>
      <c r="AJ28" s="1120"/>
      <c r="AK28" s="1120"/>
      <c r="AL28" s="1120"/>
      <c r="AM28" s="1120"/>
    </row>
    <row r="29" spans="2:39" s="1121" customFormat="1" ht="32.5" customHeight="1" x14ac:dyDescent="0.3">
      <c r="B29" s="1119" t="s">
        <v>159</v>
      </c>
      <c r="C29" s="3601" t="s">
        <v>1596</v>
      </c>
      <c r="D29" s="3601"/>
      <c r="E29" s="3601"/>
      <c r="F29" s="3601"/>
      <c r="G29" s="3601"/>
      <c r="H29" s="3601"/>
      <c r="I29" s="3601"/>
      <c r="J29" s="3601"/>
      <c r="K29" s="3601"/>
      <c r="L29" s="3601"/>
      <c r="M29" s="3601"/>
      <c r="N29" s="3601"/>
      <c r="O29" s="3601"/>
      <c r="P29" s="3601"/>
      <c r="Q29" s="3601"/>
      <c r="R29" s="3601"/>
      <c r="S29" s="3601"/>
      <c r="T29" s="3601"/>
      <c r="U29" s="3601"/>
      <c r="V29" s="3601"/>
      <c r="W29" s="3601"/>
      <c r="X29" s="3601"/>
      <c r="Y29" s="3601"/>
      <c r="Z29" s="3601"/>
      <c r="AA29" s="3601"/>
      <c r="AB29" s="3601"/>
      <c r="AC29" s="3601"/>
      <c r="AD29" s="3601"/>
      <c r="AE29" s="3601"/>
      <c r="AF29" s="3601"/>
      <c r="AG29" s="1120"/>
      <c r="AH29" s="1120"/>
      <c r="AI29" s="1120"/>
      <c r="AJ29" s="1120"/>
      <c r="AK29" s="1120"/>
      <c r="AL29" s="1120"/>
      <c r="AM29" s="1120"/>
    </row>
    <row r="30" spans="2:39" s="501" customFormat="1" ht="30.75" customHeight="1" x14ac:dyDescent="0.35"/>
    <row r="31" spans="2:39" s="73" customFormat="1" ht="14" x14ac:dyDescent="0.3">
      <c r="B31" s="74" t="s">
        <v>913</v>
      </c>
      <c r="T31" s="74" t="s">
        <v>846</v>
      </c>
    </row>
    <row r="32" spans="2:39" s="73" customFormat="1" ht="21.75" customHeight="1" x14ac:dyDescent="0.3">
      <c r="B32" s="74" t="s">
        <v>811</v>
      </c>
      <c r="F32" s="1482" t="str">
        <f>SchInfo!F38</f>
        <v>MELCHESIEDICK Q. BOLANIO/ March 17, 2023</v>
      </c>
      <c r="G32" s="1482"/>
      <c r="H32" s="1482"/>
      <c r="I32" s="1482"/>
      <c r="J32" s="1482"/>
      <c r="K32" s="1482"/>
      <c r="L32" s="1482"/>
      <c r="M32" s="1482"/>
      <c r="N32" s="1482"/>
      <c r="O32" s="545"/>
      <c r="P32" s="545"/>
      <c r="Q32" s="545"/>
      <c r="R32" s="545"/>
      <c r="S32" s="545"/>
      <c r="T32" s="1482" t="str">
        <f>Table39!Q37</f>
        <v>ELYN KENDRA D. DELA CRUZ  /  March 17, 2023</v>
      </c>
      <c r="U32" s="1482"/>
      <c r="V32" s="1482"/>
      <c r="W32" s="1482"/>
      <c r="X32" s="1482"/>
      <c r="Y32" s="1482"/>
      <c r="Z32" s="1482"/>
      <c r="AA32" s="1482"/>
      <c r="AB32" s="1482"/>
      <c r="AC32" s="1482"/>
      <c r="AD32" s="1482"/>
      <c r="AE32" s="1482"/>
      <c r="AF32" s="1482"/>
    </row>
    <row r="33" spans="2:32" s="68" customFormat="1" ht="14" customHeight="1" x14ac:dyDescent="0.3">
      <c r="B33" s="210"/>
      <c r="F33" s="1451" t="s">
        <v>779</v>
      </c>
      <c r="G33" s="1451"/>
      <c r="H33" s="1451"/>
      <c r="I33" s="1451"/>
      <c r="J33" s="1451"/>
      <c r="K33" s="1451"/>
      <c r="L33" s="1451"/>
      <c r="M33" s="1451"/>
      <c r="N33" s="1451"/>
      <c r="O33" s="63"/>
      <c r="P33" s="63"/>
      <c r="Q33" s="63"/>
      <c r="R33" s="63"/>
      <c r="S33" s="63"/>
      <c r="T33" s="1451" t="s">
        <v>779</v>
      </c>
      <c r="U33" s="1451"/>
      <c r="V33" s="1451"/>
      <c r="W33" s="1451"/>
      <c r="X33" s="1451"/>
      <c r="Y33" s="1451"/>
      <c r="Z33" s="1451"/>
      <c r="AA33" s="1451"/>
      <c r="AB33" s="1451"/>
      <c r="AC33" s="1451"/>
      <c r="AD33" s="1451"/>
      <c r="AE33" s="1451"/>
      <c r="AF33" s="1451"/>
    </row>
    <row r="34" spans="2:32" s="73" customFormat="1" ht="21.75" customHeight="1" x14ac:dyDescent="0.3">
      <c r="B34" s="74" t="s">
        <v>784</v>
      </c>
      <c r="F34" s="1482" t="str">
        <f>SchInfo!F40</f>
        <v>Principal IV</v>
      </c>
      <c r="G34" s="1482"/>
      <c r="H34" s="1482"/>
      <c r="I34" s="1482"/>
      <c r="J34" s="1482"/>
      <c r="K34" s="1482"/>
      <c r="L34" s="1482"/>
      <c r="M34" s="1482"/>
      <c r="N34" s="1482"/>
      <c r="O34" s="545"/>
      <c r="P34" s="545"/>
      <c r="Q34" s="545"/>
      <c r="R34" s="545"/>
      <c r="S34" s="545"/>
      <c r="T34" s="74" t="s">
        <v>784</v>
      </c>
      <c r="X34" s="1482" t="str">
        <f>Table39!U39</f>
        <v>Project Development Officer III</v>
      </c>
      <c r="Y34" s="1482"/>
      <c r="Z34" s="1482"/>
      <c r="AA34" s="1482"/>
      <c r="AB34" s="1482"/>
      <c r="AC34" s="1482"/>
      <c r="AD34" s="1482"/>
      <c r="AE34" s="1482"/>
      <c r="AF34" s="1482"/>
    </row>
    <row r="35" spans="2:32" s="501" customFormat="1" ht="30.75" customHeight="1" x14ac:dyDescent="0.35"/>
    <row r="36" spans="2:32" s="73" customFormat="1" ht="14.5" thickBot="1" x14ac:dyDescent="0.35">
      <c r="K36" s="74" t="s">
        <v>922</v>
      </c>
    </row>
    <row r="37" spans="2:32" s="73" customFormat="1" ht="21.75" customHeight="1" x14ac:dyDescent="0.3">
      <c r="K37" s="1484" t="str">
        <f>SchInfo!R38</f>
        <v>MICHAEL T. JAMIS   /  March 17, 2023</v>
      </c>
      <c r="L37" s="1484"/>
      <c r="M37" s="1484"/>
      <c r="N37" s="1484"/>
      <c r="O37" s="1484"/>
      <c r="P37" s="1484"/>
      <c r="Q37" s="1484"/>
      <c r="R37" s="1484"/>
      <c r="S37" s="1484"/>
      <c r="T37" s="1484"/>
      <c r="U37" s="1484"/>
      <c r="V37" s="1484"/>
      <c r="W37" s="1484"/>
    </row>
    <row r="38" spans="2:32" s="68" customFormat="1" ht="14" customHeight="1" x14ac:dyDescent="0.3">
      <c r="K38" s="1485"/>
      <c r="L38" s="1485"/>
      <c r="M38" s="1485"/>
      <c r="N38" s="1485"/>
      <c r="O38" s="1485"/>
      <c r="P38" s="1485"/>
      <c r="Q38" s="1485"/>
      <c r="R38" s="1485"/>
      <c r="S38" s="1485"/>
      <c r="T38" s="1485"/>
      <c r="U38" s="1485"/>
      <c r="V38" s="1485"/>
      <c r="W38" s="1485"/>
    </row>
    <row r="39" spans="2:32" s="73" customFormat="1" ht="21.75" customHeight="1" x14ac:dyDescent="0.3">
      <c r="K39" s="1451" t="s">
        <v>779</v>
      </c>
      <c r="L39" s="1451"/>
      <c r="M39" s="1451"/>
      <c r="N39" s="1451"/>
      <c r="O39" s="1451"/>
      <c r="P39" s="1451"/>
      <c r="Q39" s="1451"/>
      <c r="R39" s="1451"/>
      <c r="S39" s="1451"/>
      <c r="T39" s="1451"/>
      <c r="U39" s="1451"/>
      <c r="V39" s="1451"/>
      <c r="W39" s="1451"/>
    </row>
    <row r="40" spans="2:32" x14ac:dyDescent="0.35">
      <c r="B40" s="1041"/>
      <c r="C40" s="1041"/>
      <c r="D40" s="1041"/>
      <c r="E40" s="1041"/>
      <c r="F40" s="1041"/>
      <c r="G40" s="1041"/>
      <c r="H40" s="1041"/>
      <c r="I40" s="1041"/>
      <c r="L40" s="1041"/>
      <c r="M40" s="1041"/>
      <c r="N40" s="1041"/>
      <c r="O40" s="1041"/>
      <c r="P40" s="1041"/>
      <c r="Q40" s="1041"/>
      <c r="R40" s="1041"/>
      <c r="S40" s="1041"/>
      <c r="T40" s="1041"/>
      <c r="U40" s="1041"/>
      <c r="V40" s="1041"/>
      <c r="Y40" s="1041"/>
      <c r="Z40" s="1041"/>
      <c r="AA40" s="1041"/>
      <c r="AB40" s="1041"/>
      <c r="AC40" s="1041"/>
      <c r="AD40" s="1041"/>
    </row>
  </sheetData>
  <sheetProtection algorithmName="SHA-512" hashValue="4zu4yDrK3ZkrV4L060ZaTHUJiHcwHNK6+iYsX5FKARJlri/86WRNOcb42sKH9v2cV5Xr8bmmtgKHFOahoOjmkQ==" saltValue="j8+5VuK5me42idN+c07txA==" spinCount="100000" sheet="1" objects="1" scenarios="1" selectLockedCells="1"/>
  <mergeCells count="31">
    <mergeCell ref="E4:AD5"/>
    <mergeCell ref="E6:AD7"/>
    <mergeCell ref="D11:I12"/>
    <mergeCell ref="J11:O11"/>
    <mergeCell ref="P11:U11"/>
    <mergeCell ref="V11:AA11"/>
    <mergeCell ref="D9:Z9"/>
    <mergeCell ref="C23:AF23"/>
    <mergeCell ref="J12:O12"/>
    <mergeCell ref="P12:U12"/>
    <mergeCell ref="C17:AF17"/>
    <mergeCell ref="F32:N32"/>
    <mergeCell ref="T32:AF32"/>
    <mergeCell ref="C24:AF24"/>
    <mergeCell ref="C25:AF25"/>
    <mergeCell ref="C26:AF26"/>
    <mergeCell ref="D14:Z14"/>
    <mergeCell ref="AB14:AD14"/>
    <mergeCell ref="C19:AF19"/>
    <mergeCell ref="C21:AF21"/>
    <mergeCell ref="V12:X12"/>
    <mergeCell ref="Y12:AA12"/>
    <mergeCell ref="C27:AF27"/>
    <mergeCell ref="C28:AF28"/>
    <mergeCell ref="C29:AF29"/>
    <mergeCell ref="K37:W38"/>
    <mergeCell ref="K39:W39"/>
    <mergeCell ref="F33:N33"/>
    <mergeCell ref="T33:AF33"/>
    <mergeCell ref="F34:N34"/>
    <mergeCell ref="X34:AF34"/>
  </mergeCells>
  <dataValidations count="1">
    <dataValidation type="whole" allowBlank="1" showInputMessage="1" showErrorMessage="1" errorTitle="GJHSP SY 2022-2023" error="Please enter valid number between 0-99." sqref="J12:U12 AB14:AD14" xr:uid="{883ADD85-9BD6-4B65-A753-2CA7FE061AD4}">
      <formula1>0</formula1>
      <formula2>99</formula2>
    </dataValidation>
  </dataValidations>
  <printOptions horizontalCentered="1" verticalCentered="1"/>
  <pageMargins left="0.25" right="0.25" top="0.2" bottom="0.2" header="0" footer="0.1"/>
  <pageSetup paperSize="9" scale="53" orientation="portrait" r:id="rId1"/>
  <headerFooter>
    <oddFooter>&amp;L&amp;10&amp;F &amp;A&amp;R&amp;10Page 50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81921" r:id="rId4" name="Check Box 1">
              <controlPr defaultSize="0" autoFill="0" autoLine="0" autoPict="0">
                <anchor moveWithCells="1">
                  <from>
                    <xdr:col>3</xdr:col>
                    <xdr:colOff>25400</xdr:colOff>
                    <xdr:row>2</xdr:row>
                    <xdr:rowOff>50800</xdr:rowOff>
                  </from>
                  <to>
                    <xdr:col>4</xdr:col>
                    <xdr:colOff>177800</xdr:colOff>
                    <xdr:row>4</xdr:row>
                    <xdr:rowOff>6350</xdr:rowOff>
                  </to>
                </anchor>
              </controlPr>
            </control>
          </mc:Choice>
        </mc:AlternateContent>
        <mc:AlternateContent xmlns:mc="http://schemas.openxmlformats.org/markup-compatibility/2006">
          <mc:Choice Requires="x14">
            <control shapeId="81922" r:id="rId5" name="Check Box 2">
              <controlPr defaultSize="0" autoFill="0" autoLine="0" autoPict="0">
                <anchor moveWithCells="1">
                  <from>
                    <xdr:col>3</xdr:col>
                    <xdr:colOff>25400</xdr:colOff>
                    <xdr:row>4</xdr:row>
                    <xdr:rowOff>190500</xdr:rowOff>
                  </from>
                  <to>
                    <xdr:col>4</xdr:col>
                    <xdr:colOff>177800</xdr:colOff>
                    <xdr:row>6</xdr:row>
                    <xdr:rowOff>6350</xdr:rowOff>
                  </to>
                </anchor>
              </controlPr>
            </control>
          </mc:Choice>
        </mc:AlternateContent>
      </controls>
    </mc:Choice>
  </mc:AlternateContent>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C6487-0335-4B23-96D7-9978D51B66EE}">
  <sheetPr>
    <pageSetUpPr fitToPage="1"/>
  </sheetPr>
  <dimension ref="B1:AO52"/>
  <sheetViews>
    <sheetView showGridLines="0" zoomScaleNormal="100" zoomScaleSheetLayoutView="100" workbookViewId="0">
      <selection activeCell="AE19" sqref="AE19"/>
    </sheetView>
  </sheetViews>
  <sheetFormatPr defaultColWidth="8" defaultRowHeight="15.5" x14ac:dyDescent="0.35"/>
  <cols>
    <col min="1" max="1" width="2.08203125" style="1041" customWidth="1"/>
    <col min="2" max="30" width="3.58203125" style="1042" customWidth="1"/>
    <col min="31" max="32" width="3.58203125" style="1041" customWidth="1"/>
    <col min="33" max="33" width="2.08203125" style="1041" customWidth="1"/>
    <col min="34" max="165" width="3.58203125" style="1041" customWidth="1"/>
    <col min="166" max="16384" width="8" style="1041"/>
  </cols>
  <sheetData>
    <row r="1" spans="2:32" ht="12" customHeight="1" x14ac:dyDescent="0.35"/>
    <row r="2" spans="2:32" ht="16.5" x14ac:dyDescent="0.35">
      <c r="B2" s="1054" t="s">
        <v>12748</v>
      </c>
      <c r="C2" s="1041"/>
      <c r="D2" s="1041"/>
      <c r="E2" s="1041"/>
      <c r="F2" s="1041"/>
      <c r="G2" s="1041"/>
      <c r="H2" s="1041"/>
      <c r="I2" s="1041"/>
      <c r="J2" s="1041"/>
      <c r="K2" s="1041"/>
      <c r="L2" s="1041"/>
      <c r="M2" s="1041"/>
      <c r="N2" s="1041"/>
      <c r="O2" s="1041"/>
      <c r="P2" s="1041"/>
      <c r="Q2" s="1041"/>
      <c r="R2" s="1041"/>
      <c r="S2" s="1041"/>
      <c r="T2" s="1041"/>
      <c r="U2" s="1041"/>
      <c r="V2" s="1041"/>
      <c r="W2" s="1041"/>
      <c r="X2" s="1041"/>
      <c r="Y2" s="1041"/>
      <c r="Z2" s="1041"/>
      <c r="AA2" s="1041"/>
      <c r="AB2" s="1041"/>
      <c r="AC2" s="1041"/>
      <c r="AD2" s="1041"/>
    </row>
    <row r="3" spans="2:32" ht="16.5" x14ac:dyDescent="0.35">
      <c r="B3" s="1055" t="s">
        <v>1597</v>
      </c>
      <c r="C3" s="1041"/>
      <c r="D3" s="1041"/>
      <c r="E3" s="1041"/>
      <c r="F3" s="1041"/>
      <c r="G3" s="1041"/>
      <c r="H3" s="1041"/>
      <c r="I3" s="1041"/>
      <c r="J3" s="1041"/>
      <c r="K3" s="1041"/>
      <c r="L3" s="1041"/>
      <c r="M3" s="1041"/>
      <c r="N3" s="1041"/>
      <c r="O3" s="1041"/>
      <c r="P3" s="1041"/>
      <c r="Q3" s="1041"/>
      <c r="R3" s="1041"/>
      <c r="S3" s="1041"/>
      <c r="T3" s="1041"/>
      <c r="U3" s="1041"/>
      <c r="V3" s="1041"/>
      <c r="W3" s="1041"/>
      <c r="X3" s="1041"/>
      <c r="Y3" s="1041"/>
      <c r="Z3" s="1041"/>
      <c r="AA3" s="1041"/>
      <c r="AB3" s="1041"/>
      <c r="AC3" s="1041"/>
      <c r="AD3" s="1041"/>
    </row>
    <row r="4" spans="2:32" ht="16.5" x14ac:dyDescent="0.35">
      <c r="B4" s="1055"/>
      <c r="C4" s="1041"/>
      <c r="D4" s="1041"/>
      <c r="E4" s="1041"/>
      <c r="F4" s="1041"/>
      <c r="G4" s="1041"/>
      <c r="H4" s="1041"/>
      <c r="I4" s="1041"/>
      <c r="J4" s="1041"/>
      <c r="K4" s="1041"/>
      <c r="L4" s="1041"/>
      <c r="M4" s="1041"/>
      <c r="N4" s="1041"/>
      <c r="O4" s="1041"/>
      <c r="P4" s="1041"/>
      <c r="Q4" s="1041"/>
      <c r="R4" s="1041"/>
      <c r="S4" s="1041"/>
      <c r="T4" s="1041"/>
      <c r="U4" s="1041"/>
      <c r="V4" s="1041"/>
      <c r="W4" s="1041"/>
      <c r="X4" s="1041"/>
      <c r="Y4" s="1041"/>
      <c r="Z4" s="1041"/>
      <c r="AA4" s="1041"/>
      <c r="AB4" s="1041"/>
      <c r="AC4" s="1041"/>
      <c r="AD4" s="1041"/>
    </row>
    <row r="5" spans="2:32" ht="17" thickBot="1" x14ac:dyDescent="0.4">
      <c r="B5" s="1054" t="s">
        <v>1598</v>
      </c>
      <c r="C5" s="1041"/>
      <c r="D5" s="1041"/>
      <c r="E5" s="1041"/>
      <c r="F5" s="1041"/>
      <c r="G5" s="1041"/>
      <c r="H5" s="1041"/>
      <c r="I5" s="1041"/>
      <c r="J5" s="1041"/>
      <c r="K5" s="1041"/>
      <c r="L5" s="1041"/>
      <c r="M5" s="1041"/>
      <c r="N5" s="1041"/>
      <c r="O5" s="1041"/>
      <c r="P5" s="1041"/>
      <c r="Q5" s="1041"/>
      <c r="R5" s="1041"/>
      <c r="S5" s="1041"/>
      <c r="T5" s="1041"/>
      <c r="U5" s="1041"/>
      <c r="V5" s="1041"/>
      <c r="W5" s="1041"/>
      <c r="X5" s="1041"/>
      <c r="Y5" s="1041"/>
      <c r="Z5" s="1041"/>
      <c r="AA5" s="1041"/>
      <c r="AB5" s="1041"/>
      <c r="AC5" s="1041"/>
      <c r="AD5" s="1041"/>
    </row>
    <row r="6" spans="2:32" ht="5" customHeight="1" thickTop="1" x14ac:dyDescent="0.35">
      <c r="B6" s="1056"/>
      <c r="C6" s="1057"/>
      <c r="D6" s="1057"/>
      <c r="E6" s="1057"/>
      <c r="F6" s="1057"/>
      <c r="G6" s="1057"/>
      <c r="H6" s="1057"/>
      <c r="I6" s="1057"/>
      <c r="J6" s="1057"/>
      <c r="K6" s="1057"/>
      <c r="L6" s="1057"/>
      <c r="M6" s="1057"/>
      <c r="N6" s="1057"/>
      <c r="O6" s="1057"/>
      <c r="P6" s="1057"/>
      <c r="Q6" s="1057"/>
      <c r="R6" s="1057"/>
      <c r="S6" s="1057"/>
      <c r="T6" s="1057"/>
      <c r="U6" s="1057"/>
      <c r="V6" s="1057"/>
      <c r="W6" s="1057"/>
      <c r="X6" s="1057"/>
      <c r="Y6" s="1057"/>
      <c r="Z6" s="1057"/>
      <c r="AA6" s="1057"/>
      <c r="AB6" s="1057"/>
      <c r="AC6" s="1057"/>
      <c r="AD6" s="1057"/>
      <c r="AE6" s="1057"/>
      <c r="AF6" s="1058"/>
    </row>
    <row r="7" spans="2:32" ht="15.5" customHeight="1" x14ac:dyDescent="0.35">
      <c r="B7" s="1049"/>
      <c r="C7" s="1050" t="s">
        <v>150</v>
      </c>
      <c r="D7" s="3524" t="s">
        <v>1599</v>
      </c>
      <c r="E7" s="3524"/>
      <c r="F7" s="3524"/>
      <c r="G7" s="3524"/>
      <c r="H7" s="3524"/>
      <c r="I7" s="3524"/>
      <c r="J7" s="3524"/>
      <c r="K7" s="3524"/>
      <c r="L7" s="3524"/>
      <c r="M7" s="3524"/>
      <c r="N7" s="3524"/>
      <c r="O7" s="3524"/>
      <c r="P7" s="3524"/>
      <c r="Q7" s="3524"/>
      <c r="R7" s="3524"/>
      <c r="S7" s="3524"/>
      <c r="T7" s="3524"/>
      <c r="U7" s="3524"/>
      <c r="V7" s="3524"/>
      <c r="W7" s="3524"/>
      <c r="X7" s="3524"/>
      <c r="Y7" s="3524"/>
      <c r="Z7" s="3524"/>
      <c r="AA7" s="1051"/>
      <c r="AB7" s="1051"/>
      <c r="AC7" s="1051"/>
      <c r="AD7" s="1083"/>
      <c r="AE7" s="1052"/>
      <c r="AF7" s="1053"/>
    </row>
    <row r="8" spans="2:32" ht="5" customHeight="1" thickBot="1" x14ac:dyDescent="0.4">
      <c r="B8" s="1084"/>
      <c r="C8" s="1105"/>
      <c r="D8" s="1105"/>
      <c r="E8" s="1105"/>
      <c r="F8" s="1105"/>
      <c r="G8" s="1105"/>
      <c r="H8" s="1105"/>
      <c r="I8" s="1105"/>
      <c r="J8" s="1105"/>
      <c r="K8" s="1105"/>
      <c r="L8" s="1105"/>
      <c r="M8" s="1105"/>
      <c r="N8" s="1105"/>
      <c r="O8" s="1105"/>
      <c r="P8" s="1105"/>
      <c r="Q8" s="1105"/>
      <c r="R8" s="1105"/>
      <c r="S8" s="1105"/>
      <c r="T8" s="1105"/>
      <c r="U8" s="1105"/>
      <c r="V8" s="1105"/>
      <c r="W8" s="1105"/>
      <c r="X8" s="1105"/>
      <c r="Y8" s="1105"/>
      <c r="Z8" s="1105"/>
      <c r="AA8" s="1105"/>
      <c r="AB8" s="1105"/>
      <c r="AC8" s="1105"/>
      <c r="AD8" s="1105"/>
      <c r="AE8" s="1105"/>
      <c r="AF8" s="1062"/>
    </row>
    <row r="9" spans="2:32" s="1042" customFormat="1" ht="30" customHeight="1" thickTop="1" thickBot="1" x14ac:dyDescent="0.4">
      <c r="B9" s="1084"/>
      <c r="C9" s="1085"/>
      <c r="D9" s="3543" t="s">
        <v>1600</v>
      </c>
      <c r="E9" s="3544"/>
      <c r="F9" s="3544"/>
      <c r="G9" s="3544"/>
      <c r="H9" s="3544"/>
      <c r="I9" s="3544"/>
      <c r="J9" s="3547"/>
      <c r="K9" s="3543" t="s">
        <v>1601</v>
      </c>
      <c r="L9" s="3544"/>
      <c r="M9" s="3544"/>
      <c r="N9" s="3544"/>
      <c r="O9" s="3544"/>
      <c r="P9" s="3546"/>
      <c r="Q9" s="3544" t="s">
        <v>1602</v>
      </c>
      <c r="R9" s="3544"/>
      <c r="S9" s="3544"/>
      <c r="T9" s="3544"/>
      <c r="U9" s="3544"/>
      <c r="V9" s="3547"/>
      <c r="W9" s="3615"/>
      <c r="X9" s="3615"/>
      <c r="Y9" s="3615"/>
      <c r="Z9" s="3615"/>
      <c r="AA9" s="3615"/>
      <c r="AB9" s="3615"/>
      <c r="AC9" s="1085"/>
      <c r="AD9" s="1085"/>
      <c r="AE9" s="1085"/>
      <c r="AF9" s="1086"/>
    </row>
    <row r="10" spans="2:32" s="1042" customFormat="1" ht="30" customHeight="1" thickTop="1" x14ac:dyDescent="0.35">
      <c r="B10" s="1084"/>
      <c r="C10" s="1085"/>
      <c r="D10" s="3644" t="s">
        <v>1603</v>
      </c>
      <c r="E10" s="3645"/>
      <c r="F10" s="3645"/>
      <c r="G10" s="3645"/>
      <c r="H10" s="3645"/>
      <c r="I10" s="3645"/>
      <c r="J10" s="3646"/>
      <c r="K10" s="3636">
        <v>0</v>
      </c>
      <c r="L10" s="3634"/>
      <c r="M10" s="3634"/>
      <c r="N10" s="3634"/>
      <c r="O10" s="3634"/>
      <c r="P10" s="3637"/>
      <c r="Q10" s="3633">
        <v>0</v>
      </c>
      <c r="R10" s="3634"/>
      <c r="S10" s="3634"/>
      <c r="T10" s="3634"/>
      <c r="U10" s="3634"/>
      <c r="V10" s="3635"/>
      <c r="W10" s="1133"/>
      <c r="X10" s="1133"/>
      <c r="Y10" s="1133"/>
      <c r="Z10" s="1133"/>
      <c r="AA10" s="1133"/>
      <c r="AB10" s="1133"/>
      <c r="AC10" s="1085"/>
      <c r="AD10" s="1085"/>
      <c r="AE10" s="1085"/>
      <c r="AF10" s="1086"/>
    </row>
    <row r="11" spans="2:32" s="1042" customFormat="1" ht="30" customHeight="1" thickBot="1" x14ac:dyDescent="0.4">
      <c r="B11" s="1044"/>
      <c r="C11" s="1045"/>
      <c r="D11" s="3647" t="s">
        <v>1604</v>
      </c>
      <c r="E11" s="3648"/>
      <c r="F11" s="3648"/>
      <c r="G11" s="3648"/>
      <c r="H11" s="3648"/>
      <c r="I11" s="3648"/>
      <c r="J11" s="3649"/>
      <c r="K11" s="3629">
        <v>0</v>
      </c>
      <c r="L11" s="3630"/>
      <c r="M11" s="3630"/>
      <c r="N11" s="3630"/>
      <c r="O11" s="3630"/>
      <c r="P11" s="3631"/>
      <c r="Q11" s="3630">
        <v>0</v>
      </c>
      <c r="R11" s="3630"/>
      <c r="S11" s="3630"/>
      <c r="T11" s="3630"/>
      <c r="U11" s="3630"/>
      <c r="V11" s="3632"/>
      <c r="W11" s="3609"/>
      <c r="X11" s="3609"/>
      <c r="Y11" s="3609"/>
      <c r="Z11" s="3610"/>
      <c r="AA11" s="3610"/>
      <c r="AB11" s="3610"/>
      <c r="AF11" s="1043"/>
    </row>
    <row r="12" spans="2:32" ht="5" customHeight="1" thickTop="1" thickBot="1" x14ac:dyDescent="0.4">
      <c r="B12" s="1084"/>
      <c r="C12" s="1105"/>
      <c r="D12" s="1105"/>
      <c r="E12" s="1105"/>
      <c r="F12" s="1105"/>
      <c r="G12" s="1105"/>
      <c r="H12" s="1105"/>
      <c r="I12" s="1105"/>
      <c r="J12" s="1105"/>
      <c r="K12" s="1105"/>
      <c r="L12" s="1105"/>
      <c r="M12" s="1105"/>
      <c r="N12" s="1105"/>
      <c r="O12" s="1105"/>
      <c r="P12" s="1105"/>
      <c r="Q12" s="1105"/>
      <c r="R12" s="1105"/>
      <c r="S12" s="1105"/>
      <c r="T12" s="1105"/>
      <c r="U12" s="1105"/>
      <c r="V12" s="1105"/>
      <c r="W12" s="1105"/>
      <c r="X12" s="1105"/>
      <c r="Y12" s="1105"/>
      <c r="Z12" s="1105"/>
      <c r="AA12" s="1105"/>
      <c r="AB12" s="1105"/>
      <c r="AC12" s="1105"/>
      <c r="AD12" s="1105"/>
      <c r="AE12" s="1105"/>
      <c r="AF12" s="1062"/>
    </row>
    <row r="13" spans="2:32" ht="30" customHeight="1" thickBot="1" x14ac:dyDescent="0.4">
      <c r="B13" s="1049"/>
      <c r="C13" s="1104" t="s">
        <v>151</v>
      </c>
      <c r="D13" s="3525" t="s">
        <v>1605</v>
      </c>
      <c r="E13" s="3525"/>
      <c r="F13" s="3525"/>
      <c r="G13" s="3525"/>
      <c r="H13" s="3525"/>
      <c r="I13" s="3525"/>
      <c r="J13" s="3525"/>
      <c r="K13" s="3525"/>
      <c r="L13" s="3525"/>
      <c r="M13" s="3525"/>
      <c r="N13" s="3525"/>
      <c r="O13" s="3525"/>
      <c r="P13" s="3525"/>
      <c r="Q13" s="3525"/>
      <c r="R13" s="3525"/>
      <c r="S13" s="3525"/>
      <c r="T13" s="3525"/>
      <c r="U13" s="3525"/>
      <c r="V13" s="3525"/>
      <c r="W13" s="3525"/>
      <c r="X13" s="3525"/>
      <c r="Y13" s="3525"/>
      <c r="Z13" s="3525"/>
      <c r="AA13" s="1115"/>
      <c r="AB13" s="3606">
        <v>0</v>
      </c>
      <c r="AC13" s="3607"/>
      <c r="AD13" s="3608"/>
      <c r="AE13" s="1052"/>
      <c r="AF13" s="1053"/>
    </row>
    <row r="14" spans="2:32" ht="5" customHeight="1" thickBot="1" x14ac:dyDescent="0.4">
      <c r="B14" s="1084"/>
      <c r="C14" s="1105"/>
      <c r="D14" s="1105"/>
      <c r="E14" s="1105"/>
      <c r="F14" s="1105"/>
      <c r="G14" s="1105"/>
      <c r="H14" s="1105"/>
      <c r="I14" s="1105"/>
      <c r="J14" s="1105"/>
      <c r="K14" s="1105"/>
      <c r="L14" s="1105"/>
      <c r="M14" s="1105"/>
      <c r="N14" s="1105"/>
      <c r="O14" s="1105"/>
      <c r="P14" s="1105"/>
      <c r="Q14" s="1105"/>
      <c r="R14" s="1105"/>
      <c r="S14" s="1105"/>
      <c r="T14" s="1105"/>
      <c r="U14" s="1105"/>
      <c r="V14" s="1105"/>
      <c r="W14" s="1105"/>
      <c r="X14" s="1105"/>
      <c r="Y14" s="1105"/>
      <c r="Z14" s="1105"/>
      <c r="AA14" s="1105"/>
      <c r="AB14" s="1105"/>
      <c r="AC14" s="1105"/>
      <c r="AD14" s="1105"/>
      <c r="AE14" s="1105"/>
      <c r="AF14" s="1062"/>
    </row>
    <row r="15" spans="2:32" ht="30" customHeight="1" thickBot="1" x14ac:dyDescent="0.4">
      <c r="B15" s="1049"/>
      <c r="C15" s="1104" t="s">
        <v>152</v>
      </c>
      <c r="D15" s="3525" t="s">
        <v>1606</v>
      </c>
      <c r="E15" s="3525"/>
      <c r="F15" s="3525"/>
      <c r="G15" s="3525"/>
      <c r="H15" s="3525"/>
      <c r="I15" s="3525"/>
      <c r="J15" s="3525"/>
      <c r="K15" s="3525"/>
      <c r="L15" s="3525"/>
      <c r="M15" s="3525"/>
      <c r="N15" s="3525"/>
      <c r="O15" s="3525"/>
      <c r="P15" s="3525"/>
      <c r="Q15" s="3525"/>
      <c r="R15" s="3525"/>
      <c r="S15" s="3525"/>
      <c r="T15" s="3525"/>
      <c r="U15" s="3525"/>
      <c r="V15" s="3525"/>
      <c r="W15" s="3525"/>
      <c r="X15" s="3525"/>
      <c r="Y15" s="3525"/>
      <c r="Z15" s="3525"/>
      <c r="AA15" s="1115"/>
      <c r="AB15" s="3606">
        <v>0</v>
      </c>
      <c r="AC15" s="3607"/>
      <c r="AD15" s="3608"/>
      <c r="AE15" s="1052"/>
      <c r="AF15" s="1053"/>
    </row>
    <row r="16" spans="2:32" ht="5" customHeight="1" thickBot="1" x14ac:dyDescent="0.4">
      <c r="B16" s="1084"/>
      <c r="C16" s="1105"/>
      <c r="D16" s="1105"/>
      <c r="E16" s="1105"/>
      <c r="F16" s="1105"/>
      <c r="G16" s="1105"/>
      <c r="H16" s="1105"/>
      <c r="I16" s="1105"/>
      <c r="J16" s="1105"/>
      <c r="K16" s="1105"/>
      <c r="L16" s="1105"/>
      <c r="M16" s="1105"/>
      <c r="N16" s="1105"/>
      <c r="O16" s="1105"/>
      <c r="P16" s="1105"/>
      <c r="Q16" s="1105"/>
      <c r="R16" s="1105"/>
      <c r="S16" s="1105"/>
      <c r="T16" s="1105"/>
      <c r="U16" s="1105"/>
      <c r="V16" s="1105"/>
      <c r="W16" s="1105"/>
      <c r="X16" s="1105"/>
      <c r="Y16" s="1105"/>
      <c r="Z16" s="1105"/>
      <c r="AA16" s="1105"/>
      <c r="AB16" s="1105"/>
      <c r="AC16" s="1105"/>
      <c r="AD16" s="1105"/>
      <c r="AE16" s="1105"/>
      <c r="AF16" s="1062"/>
    </row>
    <row r="17" spans="2:41" ht="30" customHeight="1" thickBot="1" x14ac:dyDescent="0.4">
      <c r="B17" s="1049"/>
      <c r="C17" s="1104" t="s">
        <v>155</v>
      </c>
      <c r="D17" s="3525" t="s">
        <v>1607</v>
      </c>
      <c r="E17" s="3525"/>
      <c r="F17" s="3525"/>
      <c r="G17" s="3525"/>
      <c r="H17" s="3525"/>
      <c r="I17" s="3525"/>
      <c r="J17" s="3525"/>
      <c r="K17" s="3525"/>
      <c r="L17" s="3525"/>
      <c r="M17" s="3525"/>
      <c r="N17" s="3525"/>
      <c r="O17" s="3525"/>
      <c r="P17" s="3525"/>
      <c r="Q17" s="3525"/>
      <c r="R17" s="3525"/>
      <c r="S17" s="3525"/>
      <c r="T17" s="3525"/>
      <c r="U17" s="3525"/>
      <c r="V17" s="3525"/>
      <c r="W17" s="3525"/>
      <c r="X17" s="3525"/>
      <c r="Y17" s="3525"/>
      <c r="Z17" s="3525"/>
      <c r="AA17" s="1115"/>
      <c r="AB17" s="3606">
        <v>0</v>
      </c>
      <c r="AC17" s="3607"/>
      <c r="AD17" s="3608"/>
      <c r="AE17" s="1052"/>
      <c r="AF17" s="1053"/>
    </row>
    <row r="18" spans="2:41" ht="5" customHeight="1" thickBot="1" x14ac:dyDescent="0.4">
      <c r="B18" s="1084"/>
      <c r="C18" s="1105"/>
      <c r="D18" s="1105"/>
      <c r="E18" s="1105"/>
      <c r="F18" s="1105"/>
      <c r="G18" s="1105"/>
      <c r="H18" s="1105"/>
      <c r="I18" s="1105"/>
      <c r="J18" s="1105"/>
      <c r="K18" s="1105"/>
      <c r="L18" s="1105"/>
      <c r="M18" s="1105"/>
      <c r="N18" s="1105"/>
      <c r="O18" s="1105"/>
      <c r="P18" s="1105"/>
      <c r="Q18" s="1105"/>
      <c r="R18" s="1105"/>
      <c r="S18" s="1105"/>
      <c r="T18" s="1105"/>
      <c r="U18" s="1105"/>
      <c r="V18" s="1105"/>
      <c r="W18" s="1105"/>
      <c r="X18" s="1105"/>
      <c r="Y18" s="1105"/>
      <c r="Z18" s="1105"/>
      <c r="AA18" s="1105"/>
      <c r="AB18" s="1105"/>
      <c r="AC18" s="1105"/>
      <c r="AD18" s="1105"/>
      <c r="AE18" s="1105"/>
      <c r="AF18" s="1062"/>
    </row>
    <row r="19" spans="2:41" ht="30" customHeight="1" thickBot="1" x14ac:dyDescent="0.4">
      <c r="B19" s="1049"/>
      <c r="C19" s="1104" t="s">
        <v>156</v>
      </c>
      <c r="D19" s="3525" t="s">
        <v>1608</v>
      </c>
      <c r="E19" s="3525"/>
      <c r="F19" s="3525"/>
      <c r="G19" s="3525"/>
      <c r="H19" s="3525"/>
      <c r="I19" s="3525"/>
      <c r="J19" s="3525"/>
      <c r="K19" s="3525"/>
      <c r="L19" s="3525"/>
      <c r="M19" s="3525"/>
      <c r="N19" s="3525"/>
      <c r="O19" s="3525"/>
      <c r="P19" s="3525"/>
      <c r="Q19" s="3525"/>
      <c r="R19" s="3525"/>
      <c r="S19" s="3525"/>
      <c r="T19" s="3525"/>
      <c r="U19" s="3525"/>
      <c r="V19" s="3525"/>
      <c r="W19" s="3525"/>
      <c r="X19" s="3525"/>
      <c r="Y19" s="3525"/>
      <c r="Z19" s="3525"/>
      <c r="AA19" s="1115"/>
      <c r="AB19" s="3606">
        <v>0</v>
      </c>
      <c r="AC19" s="3607"/>
      <c r="AD19" s="3608"/>
      <c r="AE19" s="1052"/>
      <c r="AF19" s="1053"/>
    </row>
    <row r="20" spans="2:41" ht="5" customHeight="1" x14ac:dyDescent="0.35">
      <c r="B20" s="1084"/>
      <c r="C20" s="1105"/>
      <c r="D20" s="1105"/>
      <c r="E20" s="1105"/>
      <c r="F20" s="1105"/>
      <c r="G20" s="1105"/>
      <c r="H20" s="1105"/>
      <c r="I20" s="1105"/>
      <c r="J20" s="1105"/>
      <c r="K20" s="1105"/>
      <c r="L20" s="1105"/>
      <c r="M20" s="1105"/>
      <c r="N20" s="1105"/>
      <c r="O20" s="1105"/>
      <c r="P20" s="1105"/>
      <c r="Q20" s="1105"/>
      <c r="R20" s="1105"/>
      <c r="S20" s="1105"/>
      <c r="T20" s="1105"/>
      <c r="U20" s="1105"/>
      <c r="V20" s="1105"/>
      <c r="W20" s="1105"/>
      <c r="X20" s="1105"/>
      <c r="Y20" s="1105"/>
      <c r="Z20" s="1105"/>
      <c r="AA20" s="1105"/>
      <c r="AB20" s="1105"/>
      <c r="AC20" s="1105"/>
      <c r="AD20" s="1105"/>
      <c r="AE20" s="1105"/>
      <c r="AF20" s="1062"/>
    </row>
    <row r="21" spans="2:41" x14ac:dyDescent="0.35">
      <c r="B21" s="1049"/>
      <c r="C21" s="1050" t="s">
        <v>157</v>
      </c>
      <c r="D21" s="3524" t="s">
        <v>1862</v>
      </c>
      <c r="E21" s="3524"/>
      <c r="F21" s="3524"/>
      <c r="G21" s="3524"/>
      <c r="H21" s="3524"/>
      <c r="I21" s="3524"/>
      <c r="J21" s="3524"/>
      <c r="K21" s="3524"/>
      <c r="L21" s="3524"/>
      <c r="M21" s="3524"/>
      <c r="N21" s="3524"/>
      <c r="O21" s="3524"/>
      <c r="P21" s="3524"/>
      <c r="Q21" s="3524"/>
      <c r="R21" s="3524"/>
      <c r="S21" s="3524"/>
      <c r="T21" s="3524"/>
      <c r="U21" s="3524"/>
      <c r="V21" s="3524"/>
      <c r="W21" s="3524"/>
      <c r="X21" s="3524"/>
      <c r="Y21" s="3524"/>
      <c r="Z21" s="3524"/>
      <c r="AA21" s="3524"/>
      <c r="AB21" s="3524"/>
      <c r="AC21" s="3524"/>
      <c r="AD21" s="3524"/>
      <c r="AE21" s="1052"/>
      <c r="AF21" s="1053"/>
    </row>
    <row r="22" spans="2:41" ht="20" x14ac:dyDescent="0.35">
      <c r="B22" s="1049"/>
      <c r="C22" s="1050"/>
      <c r="D22" s="1041"/>
      <c r="E22" s="1041"/>
      <c r="F22" s="1041"/>
      <c r="G22" s="833" t="b">
        <v>0</v>
      </c>
      <c r="H22" s="1102" t="s">
        <v>1609</v>
      </c>
      <c r="I22" s="1103"/>
      <c r="J22" s="1103"/>
      <c r="K22" s="1103"/>
      <c r="L22" s="1041"/>
      <c r="M22" s="1041"/>
      <c r="N22" s="1098"/>
      <c r="O22" s="1102"/>
      <c r="P22" s="1041"/>
      <c r="Q22" s="1041"/>
      <c r="R22" s="1041"/>
      <c r="S22" s="833" t="b">
        <v>0</v>
      </c>
      <c r="T22" s="1102" t="s">
        <v>1612</v>
      </c>
      <c r="U22" s="1103"/>
      <c r="V22" s="1103"/>
      <c r="W22" s="425"/>
      <c r="X22" s="1098"/>
      <c r="Y22" s="807"/>
      <c r="Z22" s="1103"/>
      <c r="AA22" s="1041"/>
      <c r="AB22" s="1041"/>
      <c r="AC22" s="1132"/>
      <c r="AD22" s="1132"/>
      <c r="AE22" s="1052"/>
      <c r="AF22" s="1053"/>
    </row>
    <row r="23" spans="2:41" ht="20" x14ac:dyDescent="0.35">
      <c r="B23" s="1049"/>
      <c r="C23" s="1050"/>
      <c r="D23" s="1041"/>
      <c r="E23" s="1041"/>
      <c r="F23" s="1041"/>
      <c r="G23" s="833" t="b">
        <v>0</v>
      </c>
      <c r="H23" s="1102" t="s">
        <v>1610</v>
      </c>
      <c r="I23" s="1103"/>
      <c r="J23" s="1103"/>
      <c r="K23" s="1103"/>
      <c r="L23" s="1041"/>
      <c r="M23" s="1041"/>
      <c r="N23" s="1098"/>
      <c r="O23" s="807"/>
      <c r="P23" s="1041"/>
      <c r="Q23" s="1041"/>
      <c r="R23" s="1041"/>
      <c r="S23" s="833" t="b">
        <v>0</v>
      </c>
      <c r="T23" s="807" t="s">
        <v>1093</v>
      </c>
      <c r="U23" s="1103"/>
      <c r="V23" s="1041"/>
      <c r="W23" s="1041"/>
      <c r="X23" s="3616"/>
      <c r="Y23" s="3616"/>
      <c r="Z23" s="3616"/>
      <c r="AA23" s="3616"/>
      <c r="AB23" s="3616"/>
      <c r="AC23" s="3616"/>
      <c r="AD23" s="3616"/>
      <c r="AE23" s="485"/>
      <c r="AF23" s="1053"/>
    </row>
    <row r="24" spans="2:41" ht="20" x14ac:dyDescent="0.35">
      <c r="B24" s="1049"/>
      <c r="C24" s="1050"/>
      <c r="D24" s="1041"/>
      <c r="E24" s="1041"/>
      <c r="F24" s="1041"/>
      <c r="G24" s="833" t="b">
        <v>0</v>
      </c>
      <c r="H24" s="1102" t="s">
        <v>1611</v>
      </c>
      <c r="I24" s="1103"/>
      <c r="J24" s="1103"/>
      <c r="K24" s="1103"/>
      <c r="L24" s="1041"/>
      <c r="M24" s="1041"/>
      <c r="N24" s="1098"/>
      <c r="O24" s="1102"/>
      <c r="P24" s="1103"/>
      <c r="Q24" s="1103"/>
      <c r="R24" s="1103"/>
      <c r="S24" s="1098"/>
      <c r="T24" s="1102"/>
      <c r="U24" s="1103"/>
      <c r="V24" s="1098"/>
      <c r="W24" s="1041"/>
      <c r="X24" s="1134" t="str">
        <f>IF(AND(safelearn_others=TRUE,ISBLANK(safelearn_others_specify)),"Please specify.",IF(AND(safelearn_others=FALSE,(safelearn_others_specify&gt;0)),"Please check Others if you have entries.",""))</f>
        <v/>
      </c>
      <c r="Y24" s="1041"/>
      <c r="Z24" s="1041"/>
      <c r="AA24" s="1041"/>
      <c r="AB24" s="1041"/>
      <c r="AC24" s="1103"/>
      <c r="AD24" s="1103"/>
      <c r="AE24" s="1131"/>
      <c r="AF24" s="1053"/>
    </row>
    <row r="25" spans="2:41" x14ac:dyDescent="0.35">
      <c r="B25" s="1049"/>
      <c r="C25" s="1050" t="s">
        <v>159</v>
      </c>
      <c r="D25" s="3524" t="s">
        <v>1863</v>
      </c>
      <c r="E25" s="3524"/>
      <c r="F25" s="3524"/>
      <c r="G25" s="3524"/>
      <c r="H25" s="3524"/>
      <c r="I25" s="3524"/>
      <c r="J25" s="3524"/>
      <c r="K25" s="3524"/>
      <c r="L25" s="3524"/>
      <c r="M25" s="3524"/>
      <c r="N25" s="3524"/>
      <c r="O25" s="3524"/>
      <c r="P25" s="3524"/>
      <c r="Q25" s="3524"/>
      <c r="R25" s="3524"/>
      <c r="S25" s="3524"/>
      <c r="T25" s="3524"/>
      <c r="U25" s="3524"/>
      <c r="V25" s="3524"/>
      <c r="W25" s="3524"/>
      <c r="X25" s="3524"/>
      <c r="Y25" s="3524"/>
      <c r="Z25" s="3524"/>
      <c r="AA25" s="3524"/>
      <c r="AB25" s="3524"/>
      <c r="AC25" s="3524"/>
      <c r="AD25" s="3524"/>
      <c r="AE25" s="1131"/>
      <c r="AF25" s="1053"/>
    </row>
    <row r="26" spans="2:41" ht="20" x14ac:dyDescent="0.35">
      <c r="B26" s="1049"/>
      <c r="C26" s="1050"/>
      <c r="D26" s="1041"/>
      <c r="E26" s="1041"/>
      <c r="F26" s="1041"/>
      <c r="G26" s="833" t="b">
        <v>0</v>
      </c>
      <c r="H26" s="1102" t="s">
        <v>1613</v>
      </c>
      <c r="I26" s="1103"/>
      <c r="J26" s="1103"/>
      <c r="K26" s="1103"/>
      <c r="L26" s="1041"/>
      <c r="M26" s="1041"/>
      <c r="N26" s="1041"/>
      <c r="O26" s="1041"/>
      <c r="P26" s="1041"/>
      <c r="Q26" s="1041"/>
      <c r="R26" s="1041"/>
      <c r="S26" s="833" t="b">
        <v>1</v>
      </c>
      <c r="T26" s="1102" t="s">
        <v>1616</v>
      </c>
      <c r="U26" s="1103"/>
      <c r="V26" s="1103"/>
      <c r="W26" s="425"/>
      <c r="X26" s="1098"/>
      <c r="Y26" s="807"/>
      <c r="Z26" s="1103"/>
      <c r="AA26" s="1041"/>
      <c r="AB26" s="1041"/>
      <c r="AC26" s="1132"/>
      <c r="AD26" s="1132"/>
      <c r="AE26" s="1131"/>
      <c r="AF26" s="1053"/>
    </row>
    <row r="27" spans="2:41" ht="20.399999999999999" customHeight="1" x14ac:dyDescent="0.35">
      <c r="B27" s="1049"/>
      <c r="C27" s="1050"/>
      <c r="D27" s="1041"/>
      <c r="E27" s="1041"/>
      <c r="F27" s="1041"/>
      <c r="G27" s="833" t="b">
        <v>0</v>
      </c>
      <c r="H27" s="1102" t="s">
        <v>1614</v>
      </c>
      <c r="I27" s="1103"/>
      <c r="J27" s="1103"/>
      <c r="K27" s="1103"/>
      <c r="L27" s="1041"/>
      <c r="M27" s="1041"/>
      <c r="N27" s="1041"/>
      <c r="O27" s="1041"/>
      <c r="P27" s="1041"/>
      <c r="Q27" s="1041"/>
      <c r="R27" s="1041"/>
      <c r="S27" s="833" t="b">
        <v>0</v>
      </c>
      <c r="T27" s="807" t="s">
        <v>1093</v>
      </c>
      <c r="U27" s="1103"/>
      <c r="V27" s="1041"/>
      <c r="W27" s="1041"/>
      <c r="X27" s="3616"/>
      <c r="Y27" s="3616"/>
      <c r="Z27" s="3616"/>
      <c r="AA27" s="3616"/>
      <c r="AB27" s="3616"/>
      <c r="AC27" s="3616"/>
      <c r="AD27" s="3616"/>
      <c r="AE27" s="485"/>
      <c r="AF27" s="1053"/>
    </row>
    <row r="28" spans="2:41" ht="20" x14ac:dyDescent="0.35">
      <c r="B28" s="1049"/>
      <c r="C28" s="1050"/>
      <c r="D28" s="1041"/>
      <c r="E28" s="1041"/>
      <c r="F28" s="1041"/>
      <c r="G28" s="833" t="b">
        <v>0</v>
      </c>
      <c r="H28" s="1102" t="s">
        <v>1615</v>
      </c>
      <c r="I28" s="1103"/>
      <c r="J28" s="1103"/>
      <c r="K28" s="1103"/>
      <c r="L28" s="1041"/>
      <c r="M28" s="1041"/>
      <c r="N28" s="1041"/>
      <c r="O28" s="1041"/>
      <c r="P28" s="1098"/>
      <c r="Q28" s="1102"/>
      <c r="R28" s="1103"/>
      <c r="S28" s="1098"/>
      <c r="T28" s="1102"/>
      <c r="U28" s="1103"/>
      <c r="V28" s="1098"/>
      <c r="W28" s="1041"/>
      <c r="X28" s="1134" t="str">
        <f>IF(AND(safelearn_others_nonstructural=TRUE,ISBLANK(safelearn_others_nonstructural_specify)), "Please specify.",IF(AND(safelearn_others_nonstructural=FALSE,(safelearn_others_nonstructural_specify&gt;0)), "Please check Others if you have entries.",""))</f>
        <v/>
      </c>
      <c r="Y28" s="1041"/>
      <c r="Z28" s="1041"/>
      <c r="AA28" s="1041"/>
      <c r="AB28" s="1041"/>
      <c r="AC28" s="1103"/>
      <c r="AD28" s="1103"/>
      <c r="AE28" s="1052"/>
      <c r="AF28" s="1053"/>
    </row>
    <row r="29" spans="2:41" s="1101" customFormat="1" ht="24.75" customHeight="1" x14ac:dyDescent="0.35">
      <c r="B29" s="1097"/>
      <c r="C29" s="1104" t="s">
        <v>153</v>
      </c>
      <c r="D29" s="833" t="b">
        <v>1</v>
      </c>
      <c r="E29" s="3592" t="s">
        <v>1617</v>
      </c>
      <c r="F29" s="3592"/>
      <c r="G29" s="3592"/>
      <c r="H29" s="3592"/>
      <c r="I29" s="3592"/>
      <c r="J29" s="3592"/>
      <c r="K29" s="3592"/>
      <c r="L29" s="3592"/>
      <c r="M29" s="3592"/>
      <c r="N29" s="3592"/>
      <c r="O29" s="3592"/>
      <c r="P29" s="3592"/>
      <c r="Q29" s="3592"/>
      <c r="R29" s="3592"/>
      <c r="S29" s="3592"/>
      <c r="T29" s="3592"/>
      <c r="U29" s="3592"/>
      <c r="V29" s="3592"/>
      <c r="W29" s="3592"/>
      <c r="X29" s="3592"/>
      <c r="Y29" s="3592"/>
      <c r="Z29" s="3592"/>
      <c r="AA29" s="3592"/>
      <c r="AB29" s="3592"/>
      <c r="AC29" s="3592"/>
      <c r="AD29" s="3592"/>
      <c r="AE29" s="1099"/>
      <c r="AF29" s="1100"/>
      <c r="AG29" s="1099"/>
      <c r="AH29" s="1099"/>
      <c r="AI29" s="1099"/>
      <c r="AJ29" s="1099"/>
      <c r="AK29" s="1099"/>
      <c r="AL29" s="1099"/>
      <c r="AM29" s="1099"/>
      <c r="AN29" s="1099"/>
      <c r="AO29" s="1099"/>
    </row>
    <row r="30" spans="2:41" s="1101" customFormat="1" ht="24.75" customHeight="1" x14ac:dyDescent="0.35">
      <c r="B30" s="1097"/>
      <c r="C30" s="1104" t="s">
        <v>154</v>
      </c>
      <c r="D30" s="833" t="b">
        <v>1</v>
      </c>
      <c r="E30" s="3592" t="s">
        <v>1618</v>
      </c>
      <c r="F30" s="3592"/>
      <c r="G30" s="3592"/>
      <c r="H30" s="3592"/>
      <c r="I30" s="3592"/>
      <c r="J30" s="3592"/>
      <c r="K30" s="3592"/>
      <c r="L30" s="3592"/>
      <c r="M30" s="3592"/>
      <c r="N30" s="3592"/>
      <c r="O30" s="3592"/>
      <c r="P30" s="3592"/>
      <c r="Q30" s="3592"/>
      <c r="R30" s="3592"/>
      <c r="S30" s="3592"/>
      <c r="T30" s="3592"/>
      <c r="U30" s="3592"/>
      <c r="V30" s="3592"/>
      <c r="W30" s="3592"/>
      <c r="X30" s="3592"/>
      <c r="Y30" s="3592"/>
      <c r="Z30" s="3592"/>
      <c r="AA30" s="3592"/>
      <c r="AB30" s="3592"/>
      <c r="AC30" s="3592"/>
      <c r="AD30" s="3592"/>
      <c r="AE30" s="1099"/>
      <c r="AF30" s="1100"/>
      <c r="AG30" s="1099"/>
      <c r="AH30" s="1099"/>
      <c r="AI30" s="1099"/>
      <c r="AJ30" s="1099"/>
      <c r="AK30" s="1099"/>
      <c r="AL30" s="1099"/>
      <c r="AM30" s="1099"/>
      <c r="AN30" s="1099"/>
      <c r="AO30" s="1099"/>
    </row>
    <row r="31" spans="2:41" s="1101" customFormat="1" ht="24.75" customHeight="1" x14ac:dyDescent="0.35">
      <c r="B31" s="1097"/>
      <c r="C31" s="1104" t="s">
        <v>160</v>
      </c>
      <c r="D31" s="833" t="b">
        <v>1</v>
      </c>
      <c r="E31" s="3592" t="s">
        <v>1619</v>
      </c>
      <c r="F31" s="3592"/>
      <c r="G31" s="3592"/>
      <c r="H31" s="3592"/>
      <c r="I31" s="3592"/>
      <c r="J31" s="3592"/>
      <c r="K31" s="3592"/>
      <c r="L31" s="3592"/>
      <c r="M31" s="3592"/>
      <c r="N31" s="3592"/>
      <c r="O31" s="3592"/>
      <c r="P31" s="3592"/>
      <c r="Q31" s="3592"/>
      <c r="R31" s="3592"/>
      <c r="S31" s="3592"/>
      <c r="T31" s="3592"/>
      <c r="U31" s="3592"/>
      <c r="V31" s="3592"/>
      <c r="W31" s="3592"/>
      <c r="X31" s="3592"/>
      <c r="Y31" s="3592"/>
      <c r="Z31" s="3592"/>
      <c r="AA31" s="3592"/>
      <c r="AB31" s="3592"/>
      <c r="AC31" s="3592"/>
      <c r="AD31" s="3592"/>
      <c r="AE31" s="1099"/>
      <c r="AF31" s="1100"/>
      <c r="AG31" s="1099"/>
      <c r="AH31" s="1099"/>
      <c r="AI31" s="1099"/>
      <c r="AJ31" s="1099"/>
      <c r="AK31" s="1099"/>
      <c r="AL31" s="1099"/>
      <c r="AM31" s="1099"/>
      <c r="AN31" s="1099"/>
      <c r="AO31" s="1099"/>
    </row>
    <row r="32" spans="2:41" ht="5" customHeight="1" x14ac:dyDescent="0.35">
      <c r="B32" s="1049"/>
      <c r="C32" s="1050"/>
      <c r="D32" s="1083"/>
      <c r="E32" s="1083"/>
      <c r="F32" s="1083"/>
      <c r="G32" s="1083"/>
      <c r="H32" s="1083"/>
      <c r="I32" s="1083"/>
      <c r="J32" s="1083"/>
      <c r="K32" s="1083"/>
      <c r="L32" s="1083"/>
      <c r="M32" s="1083"/>
      <c r="N32" s="1083"/>
      <c r="O32" s="1083"/>
      <c r="P32" s="1083"/>
      <c r="Q32" s="1083"/>
      <c r="R32" s="1083"/>
      <c r="S32" s="1083"/>
      <c r="T32" s="1083"/>
      <c r="U32" s="1083"/>
      <c r="V32" s="1083"/>
      <c r="W32" s="1083"/>
      <c r="X32" s="1083"/>
      <c r="Y32" s="1083"/>
      <c r="Z32" s="1083"/>
      <c r="AA32" s="1083"/>
      <c r="AB32" s="1083"/>
      <c r="AC32" s="1083"/>
      <c r="AD32" s="1083"/>
      <c r="AE32" s="1052"/>
      <c r="AF32" s="1053"/>
    </row>
    <row r="33" spans="2:32" x14ac:dyDescent="0.35">
      <c r="B33" s="1049"/>
      <c r="C33" s="1050" t="s">
        <v>158</v>
      </c>
      <c r="D33" s="3524" t="s">
        <v>1855</v>
      </c>
      <c r="E33" s="3524"/>
      <c r="F33" s="3524"/>
      <c r="G33" s="3524"/>
      <c r="H33" s="3524"/>
      <c r="I33" s="3524"/>
      <c r="J33" s="3524"/>
      <c r="K33" s="3524"/>
      <c r="L33" s="3524"/>
      <c r="M33" s="3524"/>
      <c r="N33" s="3524"/>
      <c r="O33" s="3524"/>
      <c r="P33" s="3524"/>
      <c r="Q33" s="3524"/>
      <c r="R33" s="3524"/>
      <c r="S33" s="3524"/>
      <c r="T33" s="3524"/>
      <c r="U33" s="3524"/>
      <c r="V33" s="3524"/>
      <c r="W33" s="3524"/>
      <c r="X33" s="3524"/>
      <c r="Y33" s="3524"/>
      <c r="Z33" s="3524"/>
      <c r="AA33" s="3524"/>
      <c r="AB33" s="3524"/>
      <c r="AC33" s="3524"/>
      <c r="AD33" s="1083"/>
      <c r="AE33" s="1052"/>
      <c r="AF33" s="1053"/>
    </row>
    <row r="34" spans="2:32" ht="5" customHeight="1" thickBot="1" x14ac:dyDescent="0.4">
      <c r="B34" s="1049"/>
      <c r="C34" s="1050"/>
      <c r="D34" s="1083"/>
      <c r="E34" s="1083"/>
      <c r="F34" s="1083"/>
      <c r="G34" s="1083"/>
      <c r="H34" s="1083"/>
      <c r="I34" s="1083"/>
      <c r="J34" s="1083"/>
      <c r="K34" s="1083"/>
      <c r="L34" s="1083"/>
      <c r="M34" s="1083"/>
      <c r="N34" s="1083"/>
      <c r="O34" s="1083"/>
      <c r="P34" s="1083"/>
      <c r="Q34" s="1083"/>
      <c r="R34" s="1083"/>
      <c r="S34" s="1083"/>
      <c r="T34" s="1083"/>
      <c r="U34" s="1083"/>
      <c r="V34" s="1083"/>
      <c r="W34" s="1083"/>
      <c r="X34" s="1083"/>
      <c r="Y34" s="1083"/>
      <c r="Z34" s="1083"/>
      <c r="AA34" s="1083"/>
      <c r="AB34" s="1083"/>
      <c r="AC34" s="1083"/>
      <c r="AD34" s="1083"/>
      <c r="AE34" s="1052"/>
      <c r="AF34" s="1053"/>
    </row>
    <row r="35" spans="2:32" s="1129" customFormat="1" ht="15.5" customHeight="1" thickTop="1" x14ac:dyDescent="0.35">
      <c r="B35" s="1084"/>
      <c r="C35" s="1105"/>
      <c r="D35" s="3543" t="s">
        <v>1923</v>
      </c>
      <c r="E35" s="3544"/>
      <c r="F35" s="3544"/>
      <c r="G35" s="3544"/>
      <c r="H35" s="3544"/>
      <c r="I35" s="3544"/>
      <c r="J35" s="3544"/>
      <c r="K35" s="3544"/>
      <c r="L35" s="3547"/>
      <c r="M35" s="3621" t="s">
        <v>248</v>
      </c>
      <c r="N35" s="3621"/>
      <c r="O35" s="3621"/>
      <c r="P35" s="3623" t="s">
        <v>249</v>
      </c>
      <c r="Q35" s="3621"/>
      <c r="R35" s="3624"/>
      <c r="S35" s="3621" t="s">
        <v>250</v>
      </c>
      <c r="T35" s="3621"/>
      <c r="U35" s="3621"/>
      <c r="V35" s="3623" t="s">
        <v>1339</v>
      </c>
      <c r="W35" s="3621"/>
      <c r="X35" s="3624"/>
      <c r="Y35" s="3623" t="s">
        <v>129</v>
      </c>
      <c r="Z35" s="3621"/>
      <c r="AA35" s="3624"/>
      <c r="AB35" s="3621" t="s">
        <v>241</v>
      </c>
      <c r="AC35" s="3621"/>
      <c r="AD35" s="3627"/>
      <c r="AE35" s="1105"/>
      <c r="AF35" s="1062"/>
    </row>
    <row r="36" spans="2:32" s="1127" customFormat="1" ht="25.5" customHeight="1" x14ac:dyDescent="0.35">
      <c r="B36" s="1128"/>
      <c r="C36" s="1125"/>
      <c r="D36" s="3638"/>
      <c r="E36" s="3615"/>
      <c r="F36" s="3615"/>
      <c r="G36" s="3615"/>
      <c r="H36" s="3615"/>
      <c r="I36" s="3615"/>
      <c r="J36" s="3615"/>
      <c r="K36" s="3615"/>
      <c r="L36" s="3639"/>
      <c r="M36" s="3622" t="b">
        <v>0</v>
      </c>
      <c r="N36" s="3622"/>
      <c r="O36" s="3622"/>
      <c r="P36" s="3625" t="b">
        <v>0</v>
      </c>
      <c r="Q36" s="3622"/>
      <c r="R36" s="3626"/>
      <c r="S36" s="3622" t="b">
        <v>1</v>
      </c>
      <c r="T36" s="3622"/>
      <c r="U36" s="3622"/>
      <c r="V36" s="3625" t="b">
        <v>0</v>
      </c>
      <c r="W36" s="3622"/>
      <c r="X36" s="3626"/>
      <c r="Y36" s="3625" t="b">
        <v>0</v>
      </c>
      <c r="Z36" s="3622"/>
      <c r="AA36" s="3626"/>
      <c r="AB36" s="3622" t="b">
        <v>1</v>
      </c>
      <c r="AC36" s="3622"/>
      <c r="AD36" s="3628"/>
      <c r="AE36" s="1125"/>
      <c r="AF36" s="1126"/>
    </row>
    <row r="37" spans="2:32" s="1129" customFormat="1" x14ac:dyDescent="0.35">
      <c r="B37" s="1084"/>
      <c r="C37" s="1105"/>
      <c r="D37" s="3638"/>
      <c r="E37" s="3615"/>
      <c r="F37" s="3615"/>
      <c r="G37" s="3615"/>
      <c r="H37" s="3615"/>
      <c r="I37" s="3615"/>
      <c r="J37" s="3615"/>
      <c r="K37" s="3615"/>
      <c r="L37" s="3639"/>
      <c r="M37" s="3618" t="s">
        <v>242</v>
      </c>
      <c r="N37" s="3618"/>
      <c r="O37" s="3618"/>
      <c r="P37" s="3617" t="s">
        <v>243</v>
      </c>
      <c r="Q37" s="3618"/>
      <c r="R37" s="3619"/>
      <c r="S37" s="3618" t="s">
        <v>244</v>
      </c>
      <c r="T37" s="3618"/>
      <c r="U37" s="3618"/>
      <c r="V37" s="3617" t="s">
        <v>245</v>
      </c>
      <c r="W37" s="3618"/>
      <c r="X37" s="3619"/>
      <c r="Y37" s="3617" t="s">
        <v>246</v>
      </c>
      <c r="Z37" s="3618"/>
      <c r="AA37" s="3619"/>
      <c r="AB37" s="3618" t="s">
        <v>247</v>
      </c>
      <c r="AC37" s="3618"/>
      <c r="AD37" s="3620"/>
      <c r="AE37" s="1105"/>
      <c r="AF37" s="1062"/>
    </row>
    <row r="38" spans="2:32" s="1127" customFormat="1" ht="25.5" customHeight="1" thickBot="1" x14ac:dyDescent="0.4">
      <c r="B38" s="1128"/>
      <c r="C38" s="1125"/>
      <c r="D38" s="3611"/>
      <c r="E38" s="3612"/>
      <c r="F38" s="3612"/>
      <c r="G38" s="3612"/>
      <c r="H38" s="3612"/>
      <c r="I38" s="3612"/>
      <c r="J38" s="3612"/>
      <c r="K38" s="3612"/>
      <c r="L38" s="3613"/>
      <c r="M38" s="3640" t="b">
        <v>0</v>
      </c>
      <c r="N38" s="3640"/>
      <c r="O38" s="3640"/>
      <c r="P38" s="3641" t="b">
        <v>0</v>
      </c>
      <c r="Q38" s="3640"/>
      <c r="R38" s="3642"/>
      <c r="S38" s="3640" t="b">
        <v>1</v>
      </c>
      <c r="T38" s="3640"/>
      <c r="U38" s="3640"/>
      <c r="V38" s="3641" t="b">
        <v>0</v>
      </c>
      <c r="W38" s="3640"/>
      <c r="X38" s="3642"/>
      <c r="Y38" s="3641" t="b">
        <v>0</v>
      </c>
      <c r="Z38" s="3640"/>
      <c r="AA38" s="3642"/>
      <c r="AB38" s="3640" t="b">
        <v>1</v>
      </c>
      <c r="AC38" s="3640"/>
      <c r="AD38" s="3643"/>
      <c r="AE38" s="1125"/>
      <c r="AF38" s="1126"/>
    </row>
    <row r="39" spans="2:32" ht="10" customHeight="1" thickTop="1" thickBot="1" x14ac:dyDescent="0.4">
      <c r="B39" s="1035"/>
      <c r="C39" s="1036"/>
      <c r="D39" s="1037"/>
      <c r="E39" s="1038"/>
      <c r="F39" s="1038"/>
      <c r="G39" s="1038"/>
      <c r="H39" s="1038"/>
      <c r="I39" s="1038"/>
      <c r="J39" s="1038"/>
      <c r="K39" s="1039"/>
      <c r="L39" s="1039"/>
      <c r="M39" s="1039"/>
      <c r="N39" s="1039"/>
      <c r="O39" s="1039"/>
      <c r="P39" s="1039"/>
      <c r="Q39" s="1039"/>
      <c r="R39" s="1039"/>
      <c r="S39" s="1039"/>
      <c r="T39" s="1039"/>
      <c r="U39" s="1039"/>
      <c r="V39" s="1039"/>
      <c r="W39" s="1039"/>
      <c r="X39" s="1039"/>
      <c r="Y39" s="1039"/>
      <c r="Z39" s="1039"/>
      <c r="AA39" s="1039"/>
      <c r="AB39" s="1039"/>
      <c r="AC39" s="1039"/>
      <c r="AD39" s="1039"/>
      <c r="AE39" s="1039"/>
      <c r="AF39" s="1040"/>
    </row>
    <row r="40" spans="2:32" ht="10" customHeight="1" thickTop="1" x14ac:dyDescent="0.35">
      <c r="B40" s="1118"/>
      <c r="C40" s="1098"/>
      <c r="E40" s="1052"/>
      <c r="F40" s="1052"/>
      <c r="G40" s="1052"/>
      <c r="H40" s="1052"/>
      <c r="I40" s="1052"/>
      <c r="J40" s="1052"/>
      <c r="K40" s="1041"/>
      <c r="L40" s="1041"/>
      <c r="M40" s="1041"/>
      <c r="N40" s="1041"/>
      <c r="O40" s="1041"/>
      <c r="P40" s="1041"/>
      <c r="Q40" s="1041"/>
      <c r="R40" s="1041"/>
      <c r="S40" s="1041"/>
      <c r="T40" s="1041"/>
      <c r="U40" s="1041"/>
      <c r="V40" s="1041"/>
      <c r="W40" s="1041"/>
      <c r="X40" s="1041"/>
      <c r="Y40" s="1041"/>
      <c r="Z40" s="1041"/>
      <c r="AA40" s="1041"/>
      <c r="AB40" s="1041"/>
      <c r="AC40" s="1041"/>
      <c r="AD40" s="1041"/>
    </row>
    <row r="41" spans="2:32" s="399" customFormat="1" ht="16.5" x14ac:dyDescent="0.35">
      <c r="B41" s="85" t="s">
        <v>1286</v>
      </c>
      <c r="C41" s="1001"/>
      <c r="D41" s="997"/>
      <c r="E41" s="997"/>
      <c r="F41" s="997"/>
      <c r="G41" s="997"/>
      <c r="H41" s="997"/>
      <c r="I41" s="997"/>
      <c r="J41" s="997"/>
      <c r="K41" s="997"/>
      <c r="L41" s="997"/>
      <c r="M41" s="997"/>
      <c r="N41" s="997"/>
      <c r="O41" s="997"/>
      <c r="P41" s="997"/>
      <c r="Q41" s="997"/>
      <c r="R41" s="997"/>
      <c r="S41" s="997"/>
      <c r="T41" s="997"/>
    </row>
    <row r="42" spans="2:32" s="501" customFormat="1" ht="30.75" customHeight="1" x14ac:dyDescent="0.35"/>
    <row r="43" spans="2:32" s="73" customFormat="1" ht="14" x14ac:dyDescent="0.3">
      <c r="B43" s="74" t="s">
        <v>913</v>
      </c>
      <c r="T43" s="74" t="s">
        <v>846</v>
      </c>
    </row>
    <row r="44" spans="2:32" s="73" customFormat="1" ht="21.75" customHeight="1" x14ac:dyDescent="0.3">
      <c r="B44" s="74" t="s">
        <v>811</v>
      </c>
      <c r="F44" s="1482" t="str">
        <f>SchInfo!F38</f>
        <v>MELCHESIEDICK Q. BOLANIO/ March 17, 2023</v>
      </c>
      <c r="G44" s="1482"/>
      <c r="H44" s="1482"/>
      <c r="I44" s="1482"/>
      <c r="J44" s="1482"/>
      <c r="K44" s="1482"/>
      <c r="L44" s="1482"/>
      <c r="M44" s="1482"/>
      <c r="N44" s="1482"/>
      <c r="O44" s="545"/>
      <c r="P44" s="545"/>
      <c r="Q44" s="545"/>
      <c r="R44" s="545"/>
      <c r="S44" s="545"/>
      <c r="T44" s="1482" t="str">
        <f>Table39!Q37</f>
        <v>ELYN KENDRA D. DELA CRUZ  /  March 17, 2023</v>
      </c>
      <c r="U44" s="1482"/>
      <c r="V44" s="1482"/>
      <c r="W44" s="1482"/>
      <c r="X44" s="1482"/>
      <c r="Y44" s="1482"/>
      <c r="Z44" s="1482"/>
      <c r="AA44" s="1482"/>
      <c r="AB44" s="1482"/>
      <c r="AC44" s="1482"/>
      <c r="AD44" s="1482"/>
      <c r="AE44" s="1482"/>
      <c r="AF44" s="1482"/>
    </row>
    <row r="45" spans="2:32" s="68" customFormat="1" ht="14" customHeight="1" x14ac:dyDescent="0.3">
      <c r="B45" s="210"/>
      <c r="F45" s="1451" t="s">
        <v>779</v>
      </c>
      <c r="G45" s="1451"/>
      <c r="H45" s="1451"/>
      <c r="I45" s="1451"/>
      <c r="J45" s="1451"/>
      <c r="K45" s="1451"/>
      <c r="L45" s="1451"/>
      <c r="M45" s="1451"/>
      <c r="N45" s="1451"/>
      <c r="O45" s="63"/>
      <c r="P45" s="63"/>
      <c r="Q45" s="63"/>
      <c r="R45" s="63"/>
      <c r="S45" s="63"/>
      <c r="T45" s="1451" t="s">
        <v>779</v>
      </c>
      <c r="U45" s="1451"/>
      <c r="V45" s="1451"/>
      <c r="W45" s="1451"/>
      <c r="X45" s="1451"/>
      <c r="Y45" s="1451"/>
      <c r="Z45" s="1451"/>
      <c r="AA45" s="1451"/>
      <c r="AB45" s="1451"/>
      <c r="AC45" s="1451"/>
      <c r="AD45" s="1451"/>
      <c r="AE45" s="1451"/>
      <c r="AF45" s="1451"/>
    </row>
    <row r="46" spans="2:32" s="73" customFormat="1" ht="21.75" customHeight="1" x14ac:dyDescent="0.3">
      <c r="B46" s="74" t="s">
        <v>784</v>
      </c>
      <c r="F46" s="1482" t="str">
        <f>SchInfo!F40</f>
        <v>Principal IV</v>
      </c>
      <c r="G46" s="1482"/>
      <c r="H46" s="1482"/>
      <c r="I46" s="1482"/>
      <c r="J46" s="1482"/>
      <c r="K46" s="1482"/>
      <c r="L46" s="1482"/>
      <c r="M46" s="1482"/>
      <c r="N46" s="1482"/>
      <c r="O46" s="545"/>
      <c r="P46" s="545"/>
      <c r="Q46" s="545"/>
      <c r="R46" s="545"/>
      <c r="S46" s="545"/>
      <c r="T46" s="74" t="s">
        <v>784</v>
      </c>
      <c r="X46" s="1482" t="str">
        <f>Table39!U39</f>
        <v>Project Development Officer III</v>
      </c>
      <c r="Y46" s="1482"/>
      <c r="Z46" s="1482"/>
      <c r="AA46" s="1482"/>
      <c r="AB46" s="1482"/>
      <c r="AC46" s="1482"/>
      <c r="AD46" s="1482"/>
      <c r="AE46" s="1482"/>
      <c r="AF46" s="1482"/>
    </row>
    <row r="47" spans="2:32" s="501" customFormat="1" ht="30.75" customHeight="1" x14ac:dyDescent="0.35"/>
    <row r="48" spans="2:32" s="73" customFormat="1" ht="14" x14ac:dyDescent="0.3">
      <c r="K48" s="74" t="s">
        <v>922</v>
      </c>
    </row>
    <row r="49" spans="10:24" s="73" customFormat="1" ht="21.75" customHeight="1" x14ac:dyDescent="0.3">
      <c r="K49" s="1484" t="str">
        <f>SchInfo!R38</f>
        <v>MICHAEL T. JAMIS   /  March 17, 2023</v>
      </c>
      <c r="L49" s="1484"/>
      <c r="M49" s="1484"/>
      <c r="N49" s="1484"/>
      <c r="O49" s="1484"/>
      <c r="P49" s="1484"/>
      <c r="Q49" s="1484"/>
      <c r="R49" s="1484"/>
      <c r="S49" s="1484"/>
      <c r="T49" s="1484"/>
      <c r="U49" s="1484"/>
      <c r="V49" s="1484"/>
      <c r="W49" s="1484"/>
    </row>
    <row r="50" spans="10:24" s="68" customFormat="1" ht="14" customHeight="1" x14ac:dyDescent="0.3">
      <c r="K50" s="1485"/>
      <c r="L50" s="1485"/>
      <c r="M50" s="1485"/>
      <c r="N50" s="1485"/>
      <c r="O50" s="1485"/>
      <c r="P50" s="1485"/>
      <c r="Q50" s="1485"/>
      <c r="R50" s="1485"/>
      <c r="S50" s="1485"/>
      <c r="T50" s="1485"/>
      <c r="U50" s="1485"/>
      <c r="V50" s="1485"/>
      <c r="W50" s="1485"/>
    </row>
    <row r="51" spans="10:24" s="73" customFormat="1" ht="21.75" customHeight="1" x14ac:dyDescent="0.3">
      <c r="K51" s="1451" t="s">
        <v>779</v>
      </c>
      <c r="L51" s="1451"/>
      <c r="M51" s="1451"/>
      <c r="N51" s="1451"/>
      <c r="O51" s="1451"/>
      <c r="P51" s="1451"/>
      <c r="Q51" s="1451"/>
      <c r="R51" s="1451"/>
      <c r="S51" s="1451"/>
      <c r="T51" s="1451"/>
      <c r="U51" s="1451"/>
      <c r="V51" s="1451"/>
      <c r="W51" s="1451"/>
    </row>
    <row r="52" spans="10:24" s="1041" customFormat="1" x14ac:dyDescent="0.35">
      <c r="J52" s="1042"/>
      <c r="K52" s="1042"/>
      <c r="W52" s="1042"/>
      <c r="X52" s="1042"/>
    </row>
  </sheetData>
  <sheetProtection algorithmName="SHA-512" hashValue="csdTqnHB3GhinG2OuUAw6z6uRgrwcxVJftH4DR1LwZO7hKU8lkPtdoGCAvqogFOaLU7rExc7nhYtw/v7Aqukpg==" saltValue="Aern3a3f06h85RhVt5IypA==" spinCount="100000" sheet="1" objects="1" scenarios="1"/>
  <mergeCells count="62">
    <mergeCell ref="D7:Z7"/>
    <mergeCell ref="F44:N44"/>
    <mergeCell ref="T44:AF44"/>
    <mergeCell ref="F45:N45"/>
    <mergeCell ref="T45:AF45"/>
    <mergeCell ref="D33:AC33"/>
    <mergeCell ref="D21:AD21"/>
    <mergeCell ref="E29:AD29"/>
    <mergeCell ref="E30:AD30"/>
    <mergeCell ref="E31:AD31"/>
    <mergeCell ref="D25:AD25"/>
    <mergeCell ref="D19:Z19"/>
    <mergeCell ref="AB19:AD19"/>
    <mergeCell ref="AB15:AD15"/>
    <mergeCell ref="D10:J10"/>
    <mergeCell ref="D11:J11"/>
    <mergeCell ref="K49:W50"/>
    <mergeCell ref="K51:W51"/>
    <mergeCell ref="F46:N46"/>
    <mergeCell ref="X46:AF46"/>
    <mergeCell ref="D35:L38"/>
    <mergeCell ref="M38:O38"/>
    <mergeCell ref="P38:R38"/>
    <mergeCell ref="S38:U38"/>
    <mergeCell ref="V38:X38"/>
    <mergeCell ref="Y38:AA38"/>
    <mergeCell ref="AB38:AD38"/>
    <mergeCell ref="S37:U37"/>
    <mergeCell ref="D9:J9"/>
    <mergeCell ref="D15:Z15"/>
    <mergeCell ref="K9:P9"/>
    <mergeCell ref="Q9:V9"/>
    <mergeCell ref="W9:AB9"/>
    <mergeCell ref="K11:P11"/>
    <mergeCell ref="Q11:V11"/>
    <mergeCell ref="W11:Y11"/>
    <mergeCell ref="Z11:AB11"/>
    <mergeCell ref="D13:Z13"/>
    <mergeCell ref="AB13:AD13"/>
    <mergeCell ref="Q10:V10"/>
    <mergeCell ref="K10:P10"/>
    <mergeCell ref="D17:Z17"/>
    <mergeCell ref="AB17:AD17"/>
    <mergeCell ref="M35:O35"/>
    <mergeCell ref="M36:O36"/>
    <mergeCell ref="M37:O37"/>
    <mergeCell ref="P35:R35"/>
    <mergeCell ref="P36:R36"/>
    <mergeCell ref="P37:R37"/>
    <mergeCell ref="Y35:AA35"/>
    <mergeCell ref="AB35:AD35"/>
    <mergeCell ref="S36:U36"/>
    <mergeCell ref="V36:X36"/>
    <mergeCell ref="Y36:AA36"/>
    <mergeCell ref="AB36:AD36"/>
    <mergeCell ref="S35:U35"/>
    <mergeCell ref="V35:X35"/>
    <mergeCell ref="X23:AD23"/>
    <mergeCell ref="X27:AD27"/>
    <mergeCell ref="V37:X37"/>
    <mergeCell ref="Y37:AA37"/>
    <mergeCell ref="AB37:AD37"/>
  </mergeCells>
  <dataValidations count="1">
    <dataValidation type="whole" allowBlank="1" showInputMessage="1" showErrorMessage="1" errorTitle="GJHSP SY 2022-2023" error="Please enter valid number between 0-999." sqref="K10:V11 AB13:AD13 AB15:AD15 AB17:AD17 AB19:AD19" xr:uid="{1EE93B7F-0AB1-454A-A75A-54EC29C5A7ED}">
      <formula1>0</formula1>
      <formula2>999</formula2>
    </dataValidation>
  </dataValidations>
  <printOptions horizontalCentered="1" verticalCentered="1"/>
  <pageMargins left="0.25" right="0.25" top="0.2" bottom="0.2" header="0" footer="0.1"/>
  <pageSetup paperSize="9" scale="26" orientation="portrait" r:id="rId1"/>
  <headerFooter>
    <oddFooter>&amp;L&amp;10&amp;F &amp;A&amp;R&amp;10Page 51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82945" r:id="rId4" name="Check Box 1">
              <controlPr defaultSize="0" autoFill="0" autoLine="0" autoPict="0">
                <anchor moveWithCells="1">
                  <from>
                    <xdr:col>6</xdr:col>
                    <xdr:colOff>25400</xdr:colOff>
                    <xdr:row>21</xdr:row>
                    <xdr:rowOff>6350</xdr:rowOff>
                  </from>
                  <to>
                    <xdr:col>7</xdr:col>
                    <xdr:colOff>152400</xdr:colOff>
                    <xdr:row>21</xdr:row>
                    <xdr:rowOff>228600</xdr:rowOff>
                  </to>
                </anchor>
              </controlPr>
            </control>
          </mc:Choice>
        </mc:AlternateContent>
        <mc:AlternateContent xmlns:mc="http://schemas.openxmlformats.org/markup-compatibility/2006">
          <mc:Choice Requires="x14">
            <control shapeId="82946" r:id="rId5" name="Check Box 2">
              <controlPr defaultSize="0" autoFill="0" autoLine="0" autoPict="0">
                <anchor moveWithCells="1">
                  <from>
                    <xdr:col>6</xdr:col>
                    <xdr:colOff>25400</xdr:colOff>
                    <xdr:row>22</xdr:row>
                    <xdr:rowOff>12700</xdr:rowOff>
                  </from>
                  <to>
                    <xdr:col>7</xdr:col>
                    <xdr:colOff>152400</xdr:colOff>
                    <xdr:row>22</xdr:row>
                    <xdr:rowOff>234950</xdr:rowOff>
                  </to>
                </anchor>
              </controlPr>
            </control>
          </mc:Choice>
        </mc:AlternateContent>
        <mc:AlternateContent xmlns:mc="http://schemas.openxmlformats.org/markup-compatibility/2006">
          <mc:Choice Requires="x14">
            <control shapeId="82947" r:id="rId6" name="Check Box 3">
              <controlPr defaultSize="0" autoFill="0" autoLine="0" autoPict="0">
                <anchor moveWithCells="1">
                  <from>
                    <xdr:col>6</xdr:col>
                    <xdr:colOff>25400</xdr:colOff>
                    <xdr:row>23</xdr:row>
                    <xdr:rowOff>6350</xdr:rowOff>
                  </from>
                  <to>
                    <xdr:col>7</xdr:col>
                    <xdr:colOff>152400</xdr:colOff>
                    <xdr:row>23</xdr:row>
                    <xdr:rowOff>228600</xdr:rowOff>
                  </to>
                </anchor>
              </controlPr>
            </control>
          </mc:Choice>
        </mc:AlternateContent>
        <mc:AlternateContent xmlns:mc="http://schemas.openxmlformats.org/markup-compatibility/2006">
          <mc:Choice Requires="x14">
            <control shapeId="82948" r:id="rId7" name="Check Box 4">
              <controlPr defaultSize="0" autoFill="0" autoLine="0" autoPict="0">
                <anchor moveWithCells="1">
                  <from>
                    <xdr:col>18</xdr:col>
                    <xdr:colOff>25400</xdr:colOff>
                    <xdr:row>21</xdr:row>
                    <xdr:rowOff>6350</xdr:rowOff>
                  </from>
                  <to>
                    <xdr:col>19</xdr:col>
                    <xdr:colOff>152400</xdr:colOff>
                    <xdr:row>21</xdr:row>
                    <xdr:rowOff>228600</xdr:rowOff>
                  </to>
                </anchor>
              </controlPr>
            </control>
          </mc:Choice>
        </mc:AlternateContent>
        <mc:AlternateContent xmlns:mc="http://schemas.openxmlformats.org/markup-compatibility/2006">
          <mc:Choice Requires="x14">
            <control shapeId="82949" r:id="rId8" name="Check Box 5">
              <controlPr defaultSize="0" autoFill="0" autoLine="0" autoPict="0">
                <anchor moveWithCells="1">
                  <from>
                    <xdr:col>18</xdr:col>
                    <xdr:colOff>25400</xdr:colOff>
                    <xdr:row>22</xdr:row>
                    <xdr:rowOff>6350</xdr:rowOff>
                  </from>
                  <to>
                    <xdr:col>19</xdr:col>
                    <xdr:colOff>152400</xdr:colOff>
                    <xdr:row>22</xdr:row>
                    <xdr:rowOff>228600</xdr:rowOff>
                  </to>
                </anchor>
              </controlPr>
            </control>
          </mc:Choice>
        </mc:AlternateContent>
        <mc:AlternateContent xmlns:mc="http://schemas.openxmlformats.org/markup-compatibility/2006">
          <mc:Choice Requires="x14">
            <control shapeId="82950" r:id="rId9" name="Check Box 6">
              <controlPr defaultSize="0" autoFill="0" autoLine="0" autoPict="0">
                <anchor moveWithCells="1">
                  <from>
                    <xdr:col>6</xdr:col>
                    <xdr:colOff>25400</xdr:colOff>
                    <xdr:row>25</xdr:row>
                    <xdr:rowOff>6350</xdr:rowOff>
                  </from>
                  <to>
                    <xdr:col>7</xdr:col>
                    <xdr:colOff>152400</xdr:colOff>
                    <xdr:row>25</xdr:row>
                    <xdr:rowOff>228600</xdr:rowOff>
                  </to>
                </anchor>
              </controlPr>
            </control>
          </mc:Choice>
        </mc:AlternateContent>
        <mc:AlternateContent xmlns:mc="http://schemas.openxmlformats.org/markup-compatibility/2006">
          <mc:Choice Requires="x14">
            <control shapeId="82951" r:id="rId10" name="Check Box 7">
              <controlPr defaultSize="0" autoFill="0" autoLine="0" autoPict="0">
                <anchor moveWithCells="1">
                  <from>
                    <xdr:col>6</xdr:col>
                    <xdr:colOff>25400</xdr:colOff>
                    <xdr:row>26</xdr:row>
                    <xdr:rowOff>6350</xdr:rowOff>
                  </from>
                  <to>
                    <xdr:col>7</xdr:col>
                    <xdr:colOff>152400</xdr:colOff>
                    <xdr:row>26</xdr:row>
                    <xdr:rowOff>228600</xdr:rowOff>
                  </to>
                </anchor>
              </controlPr>
            </control>
          </mc:Choice>
        </mc:AlternateContent>
        <mc:AlternateContent xmlns:mc="http://schemas.openxmlformats.org/markup-compatibility/2006">
          <mc:Choice Requires="x14">
            <control shapeId="82952" r:id="rId11" name="Check Box 8">
              <controlPr defaultSize="0" autoFill="0" autoLine="0" autoPict="0">
                <anchor moveWithCells="1">
                  <from>
                    <xdr:col>6</xdr:col>
                    <xdr:colOff>25400</xdr:colOff>
                    <xdr:row>27</xdr:row>
                    <xdr:rowOff>6350</xdr:rowOff>
                  </from>
                  <to>
                    <xdr:col>7</xdr:col>
                    <xdr:colOff>152400</xdr:colOff>
                    <xdr:row>27</xdr:row>
                    <xdr:rowOff>228600</xdr:rowOff>
                  </to>
                </anchor>
              </controlPr>
            </control>
          </mc:Choice>
        </mc:AlternateContent>
        <mc:AlternateContent xmlns:mc="http://schemas.openxmlformats.org/markup-compatibility/2006">
          <mc:Choice Requires="x14">
            <control shapeId="82953" r:id="rId12" name="Check Box 9">
              <controlPr defaultSize="0" autoFill="0" autoLine="0" autoPict="0">
                <anchor moveWithCells="1">
                  <from>
                    <xdr:col>18</xdr:col>
                    <xdr:colOff>25400</xdr:colOff>
                    <xdr:row>25</xdr:row>
                    <xdr:rowOff>6350</xdr:rowOff>
                  </from>
                  <to>
                    <xdr:col>19</xdr:col>
                    <xdr:colOff>152400</xdr:colOff>
                    <xdr:row>25</xdr:row>
                    <xdr:rowOff>228600</xdr:rowOff>
                  </to>
                </anchor>
              </controlPr>
            </control>
          </mc:Choice>
        </mc:AlternateContent>
        <mc:AlternateContent xmlns:mc="http://schemas.openxmlformats.org/markup-compatibility/2006">
          <mc:Choice Requires="x14">
            <control shapeId="82954" r:id="rId13" name="Check Box 10">
              <controlPr defaultSize="0" autoFill="0" autoLine="0" autoPict="0">
                <anchor moveWithCells="1">
                  <from>
                    <xdr:col>18</xdr:col>
                    <xdr:colOff>25400</xdr:colOff>
                    <xdr:row>26</xdr:row>
                    <xdr:rowOff>6350</xdr:rowOff>
                  </from>
                  <to>
                    <xdr:col>19</xdr:col>
                    <xdr:colOff>152400</xdr:colOff>
                    <xdr:row>26</xdr:row>
                    <xdr:rowOff>228600</xdr:rowOff>
                  </to>
                </anchor>
              </controlPr>
            </control>
          </mc:Choice>
        </mc:AlternateContent>
        <mc:AlternateContent xmlns:mc="http://schemas.openxmlformats.org/markup-compatibility/2006">
          <mc:Choice Requires="x14">
            <control shapeId="82955" r:id="rId14" name="Check Box 11">
              <controlPr defaultSize="0" autoFill="0" autoLine="0" autoPict="0">
                <anchor moveWithCells="1">
                  <from>
                    <xdr:col>3</xdr:col>
                    <xdr:colOff>31750</xdr:colOff>
                    <xdr:row>28</xdr:row>
                    <xdr:rowOff>44450</xdr:rowOff>
                  </from>
                  <to>
                    <xdr:col>4</xdr:col>
                    <xdr:colOff>158750</xdr:colOff>
                    <xdr:row>28</xdr:row>
                    <xdr:rowOff>266700</xdr:rowOff>
                  </to>
                </anchor>
              </controlPr>
            </control>
          </mc:Choice>
        </mc:AlternateContent>
        <mc:AlternateContent xmlns:mc="http://schemas.openxmlformats.org/markup-compatibility/2006">
          <mc:Choice Requires="x14">
            <control shapeId="82956" r:id="rId15" name="Check Box 12">
              <controlPr defaultSize="0" autoFill="0" autoLine="0" autoPict="0">
                <anchor moveWithCells="1">
                  <from>
                    <xdr:col>3</xdr:col>
                    <xdr:colOff>31750</xdr:colOff>
                    <xdr:row>29</xdr:row>
                    <xdr:rowOff>38100</xdr:rowOff>
                  </from>
                  <to>
                    <xdr:col>4</xdr:col>
                    <xdr:colOff>158750</xdr:colOff>
                    <xdr:row>29</xdr:row>
                    <xdr:rowOff>260350</xdr:rowOff>
                  </to>
                </anchor>
              </controlPr>
            </control>
          </mc:Choice>
        </mc:AlternateContent>
        <mc:AlternateContent xmlns:mc="http://schemas.openxmlformats.org/markup-compatibility/2006">
          <mc:Choice Requires="x14">
            <control shapeId="82957" r:id="rId16" name="Check Box 13">
              <controlPr defaultSize="0" autoFill="0" autoLine="0" autoPict="0">
                <anchor moveWithCells="1">
                  <from>
                    <xdr:col>3</xdr:col>
                    <xdr:colOff>31750</xdr:colOff>
                    <xdr:row>30</xdr:row>
                    <xdr:rowOff>38100</xdr:rowOff>
                  </from>
                  <to>
                    <xdr:col>4</xdr:col>
                    <xdr:colOff>158750</xdr:colOff>
                    <xdr:row>30</xdr:row>
                    <xdr:rowOff>260350</xdr:rowOff>
                  </to>
                </anchor>
              </controlPr>
            </control>
          </mc:Choice>
        </mc:AlternateContent>
        <mc:AlternateContent xmlns:mc="http://schemas.openxmlformats.org/markup-compatibility/2006">
          <mc:Choice Requires="x14">
            <control shapeId="82958" r:id="rId17" name="Check Box 14">
              <controlPr defaultSize="0" autoFill="0" autoLine="0" autoPict="0">
                <anchor moveWithCells="1">
                  <from>
                    <xdr:col>13</xdr:col>
                    <xdr:colOff>25400</xdr:colOff>
                    <xdr:row>35</xdr:row>
                    <xdr:rowOff>12700</xdr:rowOff>
                  </from>
                  <to>
                    <xdr:col>14</xdr:col>
                    <xdr:colOff>152400</xdr:colOff>
                    <xdr:row>35</xdr:row>
                    <xdr:rowOff>234950</xdr:rowOff>
                  </to>
                </anchor>
              </controlPr>
            </control>
          </mc:Choice>
        </mc:AlternateContent>
        <mc:AlternateContent xmlns:mc="http://schemas.openxmlformats.org/markup-compatibility/2006">
          <mc:Choice Requires="x14">
            <control shapeId="82959" r:id="rId18" name="Check Box 15">
              <controlPr defaultSize="0" autoFill="0" autoLine="0" autoPict="0">
                <anchor moveWithCells="1">
                  <from>
                    <xdr:col>13</xdr:col>
                    <xdr:colOff>31750</xdr:colOff>
                    <xdr:row>37</xdr:row>
                    <xdr:rowOff>12700</xdr:rowOff>
                  </from>
                  <to>
                    <xdr:col>14</xdr:col>
                    <xdr:colOff>158750</xdr:colOff>
                    <xdr:row>37</xdr:row>
                    <xdr:rowOff>234950</xdr:rowOff>
                  </to>
                </anchor>
              </controlPr>
            </control>
          </mc:Choice>
        </mc:AlternateContent>
        <mc:AlternateContent xmlns:mc="http://schemas.openxmlformats.org/markup-compatibility/2006">
          <mc:Choice Requires="x14">
            <control shapeId="82960" r:id="rId19" name="Check Box 16">
              <controlPr defaultSize="0" autoFill="0" autoLine="0" autoPict="0">
                <anchor moveWithCells="1">
                  <from>
                    <xdr:col>16</xdr:col>
                    <xdr:colOff>31750</xdr:colOff>
                    <xdr:row>35</xdr:row>
                    <xdr:rowOff>12700</xdr:rowOff>
                  </from>
                  <to>
                    <xdr:col>17</xdr:col>
                    <xdr:colOff>158750</xdr:colOff>
                    <xdr:row>35</xdr:row>
                    <xdr:rowOff>234950</xdr:rowOff>
                  </to>
                </anchor>
              </controlPr>
            </control>
          </mc:Choice>
        </mc:AlternateContent>
        <mc:AlternateContent xmlns:mc="http://schemas.openxmlformats.org/markup-compatibility/2006">
          <mc:Choice Requires="x14">
            <control shapeId="82961" r:id="rId20" name="Check Box 17">
              <controlPr defaultSize="0" autoFill="0" autoLine="0" autoPict="0">
                <anchor moveWithCells="1">
                  <from>
                    <xdr:col>19</xdr:col>
                    <xdr:colOff>25400</xdr:colOff>
                    <xdr:row>35</xdr:row>
                    <xdr:rowOff>6350</xdr:rowOff>
                  </from>
                  <to>
                    <xdr:col>20</xdr:col>
                    <xdr:colOff>152400</xdr:colOff>
                    <xdr:row>35</xdr:row>
                    <xdr:rowOff>228600</xdr:rowOff>
                  </to>
                </anchor>
              </controlPr>
            </control>
          </mc:Choice>
        </mc:AlternateContent>
        <mc:AlternateContent xmlns:mc="http://schemas.openxmlformats.org/markup-compatibility/2006">
          <mc:Choice Requires="x14">
            <control shapeId="82962" r:id="rId21" name="Check Box 18">
              <controlPr defaultSize="0" autoFill="0" autoLine="0" autoPict="0">
                <anchor moveWithCells="1">
                  <from>
                    <xdr:col>19</xdr:col>
                    <xdr:colOff>31750</xdr:colOff>
                    <xdr:row>37</xdr:row>
                    <xdr:rowOff>6350</xdr:rowOff>
                  </from>
                  <to>
                    <xdr:col>20</xdr:col>
                    <xdr:colOff>158750</xdr:colOff>
                    <xdr:row>37</xdr:row>
                    <xdr:rowOff>228600</xdr:rowOff>
                  </to>
                </anchor>
              </controlPr>
            </control>
          </mc:Choice>
        </mc:AlternateContent>
        <mc:AlternateContent xmlns:mc="http://schemas.openxmlformats.org/markup-compatibility/2006">
          <mc:Choice Requires="x14">
            <control shapeId="82963" r:id="rId22" name="Check Box 19">
              <controlPr defaultSize="0" autoFill="0" autoLine="0" autoPict="0">
                <anchor moveWithCells="1">
                  <from>
                    <xdr:col>16</xdr:col>
                    <xdr:colOff>25400</xdr:colOff>
                    <xdr:row>37</xdr:row>
                    <xdr:rowOff>6350</xdr:rowOff>
                  </from>
                  <to>
                    <xdr:col>17</xdr:col>
                    <xdr:colOff>146050</xdr:colOff>
                    <xdr:row>37</xdr:row>
                    <xdr:rowOff>228600</xdr:rowOff>
                  </to>
                </anchor>
              </controlPr>
            </control>
          </mc:Choice>
        </mc:AlternateContent>
        <mc:AlternateContent xmlns:mc="http://schemas.openxmlformats.org/markup-compatibility/2006">
          <mc:Choice Requires="x14">
            <control shapeId="82964" r:id="rId23" name="Check Box 20">
              <controlPr defaultSize="0" autoFill="0" autoLine="0" autoPict="0">
                <anchor moveWithCells="1">
                  <from>
                    <xdr:col>22</xdr:col>
                    <xdr:colOff>31750</xdr:colOff>
                    <xdr:row>35</xdr:row>
                    <xdr:rowOff>25400</xdr:rowOff>
                  </from>
                  <to>
                    <xdr:col>23</xdr:col>
                    <xdr:colOff>158750</xdr:colOff>
                    <xdr:row>35</xdr:row>
                    <xdr:rowOff>241300</xdr:rowOff>
                  </to>
                </anchor>
              </controlPr>
            </control>
          </mc:Choice>
        </mc:AlternateContent>
        <mc:AlternateContent xmlns:mc="http://schemas.openxmlformats.org/markup-compatibility/2006">
          <mc:Choice Requires="x14">
            <control shapeId="82965" r:id="rId24" name="Check Box 21">
              <controlPr defaultSize="0" autoFill="0" autoLine="0" autoPict="0">
                <anchor moveWithCells="1">
                  <from>
                    <xdr:col>22</xdr:col>
                    <xdr:colOff>25400</xdr:colOff>
                    <xdr:row>37</xdr:row>
                    <xdr:rowOff>6350</xdr:rowOff>
                  </from>
                  <to>
                    <xdr:col>23</xdr:col>
                    <xdr:colOff>146050</xdr:colOff>
                    <xdr:row>37</xdr:row>
                    <xdr:rowOff>228600</xdr:rowOff>
                  </to>
                </anchor>
              </controlPr>
            </control>
          </mc:Choice>
        </mc:AlternateContent>
        <mc:AlternateContent xmlns:mc="http://schemas.openxmlformats.org/markup-compatibility/2006">
          <mc:Choice Requires="x14">
            <control shapeId="82966" r:id="rId25" name="Check Box 22">
              <controlPr defaultSize="0" autoFill="0" autoLine="0" autoPict="0">
                <anchor moveWithCells="1">
                  <from>
                    <xdr:col>25</xdr:col>
                    <xdr:colOff>25400</xdr:colOff>
                    <xdr:row>35</xdr:row>
                    <xdr:rowOff>6350</xdr:rowOff>
                  </from>
                  <to>
                    <xdr:col>26</xdr:col>
                    <xdr:colOff>152400</xdr:colOff>
                    <xdr:row>35</xdr:row>
                    <xdr:rowOff>228600</xdr:rowOff>
                  </to>
                </anchor>
              </controlPr>
            </control>
          </mc:Choice>
        </mc:AlternateContent>
        <mc:AlternateContent xmlns:mc="http://schemas.openxmlformats.org/markup-compatibility/2006">
          <mc:Choice Requires="x14">
            <control shapeId="82967" r:id="rId26" name="Check Box 23">
              <controlPr defaultSize="0" autoFill="0" autoLine="0" autoPict="0">
                <anchor moveWithCells="1">
                  <from>
                    <xdr:col>25</xdr:col>
                    <xdr:colOff>25400</xdr:colOff>
                    <xdr:row>37</xdr:row>
                    <xdr:rowOff>6350</xdr:rowOff>
                  </from>
                  <to>
                    <xdr:col>26</xdr:col>
                    <xdr:colOff>146050</xdr:colOff>
                    <xdr:row>37</xdr:row>
                    <xdr:rowOff>228600</xdr:rowOff>
                  </to>
                </anchor>
              </controlPr>
            </control>
          </mc:Choice>
        </mc:AlternateContent>
        <mc:AlternateContent xmlns:mc="http://schemas.openxmlformats.org/markup-compatibility/2006">
          <mc:Choice Requires="x14">
            <control shapeId="82968" r:id="rId27" name="Check Box 24">
              <controlPr defaultSize="0" autoFill="0" autoLine="0" autoPict="0">
                <anchor moveWithCells="1">
                  <from>
                    <xdr:col>28</xdr:col>
                    <xdr:colOff>31750</xdr:colOff>
                    <xdr:row>35</xdr:row>
                    <xdr:rowOff>6350</xdr:rowOff>
                  </from>
                  <to>
                    <xdr:col>29</xdr:col>
                    <xdr:colOff>158750</xdr:colOff>
                    <xdr:row>35</xdr:row>
                    <xdr:rowOff>228600</xdr:rowOff>
                  </to>
                </anchor>
              </controlPr>
            </control>
          </mc:Choice>
        </mc:AlternateContent>
        <mc:AlternateContent xmlns:mc="http://schemas.openxmlformats.org/markup-compatibility/2006">
          <mc:Choice Requires="x14">
            <control shapeId="82969" r:id="rId28" name="Check Box 25">
              <controlPr defaultSize="0" autoFill="0" autoLine="0" autoPict="0">
                <anchor moveWithCells="1">
                  <from>
                    <xdr:col>28</xdr:col>
                    <xdr:colOff>38100</xdr:colOff>
                    <xdr:row>37</xdr:row>
                    <xdr:rowOff>6350</xdr:rowOff>
                  </from>
                  <to>
                    <xdr:col>29</xdr:col>
                    <xdr:colOff>165100</xdr:colOff>
                    <xdr:row>37</xdr:row>
                    <xdr:rowOff>228600</xdr:rowOff>
                  </to>
                </anchor>
              </controlPr>
            </control>
          </mc:Choice>
        </mc:AlternateContent>
      </controls>
    </mc:Choice>
  </mc:AlternateContent>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DB543-A693-41FD-8D26-6426031608CA}">
  <sheetPr>
    <pageSetUpPr fitToPage="1"/>
  </sheetPr>
  <dimension ref="B1:AO36"/>
  <sheetViews>
    <sheetView showGridLines="0" zoomScaleNormal="100" zoomScaleSheetLayoutView="100" workbookViewId="0">
      <selection activeCell="U12" sqref="U12:Y12"/>
    </sheetView>
  </sheetViews>
  <sheetFormatPr defaultColWidth="8" defaultRowHeight="15.5" x14ac:dyDescent="0.35"/>
  <cols>
    <col min="1" max="1" width="2.08203125" style="1041" customWidth="1"/>
    <col min="2" max="30" width="3.58203125" style="1042" customWidth="1"/>
    <col min="31" max="32" width="3.58203125" style="1041" customWidth="1"/>
    <col min="33" max="33" width="2.08203125" style="1041" customWidth="1"/>
    <col min="34" max="165" width="3.58203125" style="1041" customWidth="1"/>
    <col min="166" max="16384" width="8" style="1041"/>
  </cols>
  <sheetData>
    <row r="1" spans="2:41" ht="12" customHeight="1" x14ac:dyDescent="0.35"/>
    <row r="2" spans="2:41" ht="17" thickBot="1" x14ac:dyDescent="0.4">
      <c r="B2" s="1054" t="s">
        <v>1620</v>
      </c>
      <c r="C2" s="1041"/>
      <c r="D2" s="1041"/>
      <c r="E2" s="1041"/>
      <c r="F2" s="1041"/>
      <c r="G2" s="1041"/>
      <c r="H2" s="1041"/>
      <c r="I2" s="1041"/>
      <c r="J2" s="1041"/>
      <c r="K2" s="1041"/>
      <c r="L2" s="1041"/>
      <c r="M2" s="1041"/>
      <c r="N2" s="1041"/>
      <c r="O2" s="1041"/>
      <c r="P2" s="1041"/>
      <c r="Q2" s="1041"/>
      <c r="R2" s="1041"/>
      <c r="S2" s="1041"/>
      <c r="T2" s="1041"/>
      <c r="U2" s="1041"/>
      <c r="V2" s="1041"/>
      <c r="W2" s="1041"/>
      <c r="X2" s="1041"/>
      <c r="Y2" s="1041"/>
      <c r="Z2" s="1041"/>
      <c r="AA2" s="1041"/>
      <c r="AB2" s="1041"/>
      <c r="AC2" s="1041"/>
      <c r="AD2" s="1041"/>
    </row>
    <row r="3" spans="2:41" ht="5" customHeight="1" thickTop="1" x14ac:dyDescent="0.35">
      <c r="B3" s="1056"/>
      <c r="C3" s="1057"/>
      <c r="D3" s="1057"/>
      <c r="E3" s="1057"/>
      <c r="F3" s="1057"/>
      <c r="G3" s="1057"/>
      <c r="H3" s="1057"/>
      <c r="I3" s="1057"/>
      <c r="J3" s="1057"/>
      <c r="K3" s="1057"/>
      <c r="L3" s="1057"/>
      <c r="M3" s="1057"/>
      <c r="N3" s="1057"/>
      <c r="O3" s="1057"/>
      <c r="P3" s="1057"/>
      <c r="Q3" s="1057"/>
      <c r="R3" s="1057"/>
      <c r="S3" s="1057"/>
      <c r="T3" s="1057"/>
      <c r="U3" s="1057"/>
      <c r="V3" s="1057"/>
      <c r="W3" s="1057"/>
      <c r="X3" s="1057"/>
      <c r="Y3" s="1057"/>
      <c r="Z3" s="1057"/>
      <c r="AA3" s="1057"/>
      <c r="AB3" s="1057"/>
      <c r="AC3" s="1057"/>
      <c r="AD3" s="1057"/>
      <c r="AE3" s="1057"/>
      <c r="AF3" s="1058"/>
    </row>
    <row r="4" spans="2:41" s="1101" customFormat="1" ht="24.75" customHeight="1" x14ac:dyDescent="0.35">
      <c r="B4" s="1097"/>
      <c r="C4" s="1104" t="s">
        <v>150</v>
      </c>
      <c r="D4" s="833" t="b">
        <v>0</v>
      </c>
      <c r="E4" s="3592" t="s">
        <v>1621</v>
      </c>
      <c r="F4" s="3592"/>
      <c r="G4" s="3592"/>
      <c r="H4" s="3592"/>
      <c r="I4" s="3592"/>
      <c r="J4" s="3592"/>
      <c r="K4" s="3592"/>
      <c r="L4" s="3592"/>
      <c r="M4" s="3592"/>
      <c r="N4" s="3592"/>
      <c r="O4" s="3592"/>
      <c r="P4" s="3592"/>
      <c r="Q4" s="3592"/>
      <c r="R4" s="3592"/>
      <c r="S4" s="3592"/>
      <c r="T4" s="3592"/>
      <c r="U4" s="3592"/>
      <c r="V4" s="3592"/>
      <c r="W4" s="3592"/>
      <c r="X4" s="3592"/>
      <c r="Y4" s="3592"/>
      <c r="Z4" s="3592"/>
      <c r="AA4" s="3592"/>
      <c r="AB4" s="3592"/>
      <c r="AC4" s="3592"/>
      <c r="AD4" s="3592"/>
      <c r="AE4" s="1099"/>
      <c r="AF4" s="1100"/>
      <c r="AG4" s="1099"/>
      <c r="AH4" s="1099"/>
      <c r="AI4" s="1099"/>
      <c r="AJ4" s="1099"/>
      <c r="AK4" s="1099"/>
      <c r="AL4" s="1099"/>
      <c r="AM4" s="1099"/>
      <c r="AN4" s="1099"/>
      <c r="AO4" s="1099"/>
    </row>
    <row r="5" spans="2:41" ht="15.5" customHeight="1" x14ac:dyDescent="0.35">
      <c r="B5" s="1049"/>
      <c r="C5" s="1050" t="s">
        <v>151</v>
      </c>
      <c r="D5" s="3524" t="s">
        <v>1926</v>
      </c>
      <c r="E5" s="3524"/>
      <c r="F5" s="3524"/>
      <c r="G5" s="3524"/>
      <c r="H5" s="3524"/>
      <c r="I5" s="3524"/>
      <c r="J5" s="3524"/>
      <c r="K5" s="3524"/>
      <c r="L5" s="3524"/>
      <c r="M5" s="3524"/>
      <c r="N5" s="3524"/>
      <c r="O5" s="3524"/>
      <c r="P5" s="3524"/>
      <c r="Q5" s="3524"/>
      <c r="R5" s="3524"/>
      <c r="S5" s="3524"/>
      <c r="T5" s="3524"/>
      <c r="U5" s="3524"/>
      <c r="V5" s="3524"/>
      <c r="W5" s="3524"/>
      <c r="X5" s="3524"/>
      <c r="Y5" s="3524"/>
      <c r="Z5" s="3524"/>
      <c r="AA5" s="1051"/>
      <c r="AB5" s="1051"/>
      <c r="AC5" s="1051"/>
      <c r="AD5" s="1083"/>
      <c r="AE5" s="1052"/>
      <c r="AF5" s="1053"/>
    </row>
    <row r="6" spans="2:41" ht="5" customHeight="1" thickBot="1" x14ac:dyDescent="0.4">
      <c r="B6" s="1084"/>
      <c r="C6" s="1105"/>
      <c r="D6" s="1105"/>
      <c r="E6" s="1105"/>
      <c r="F6" s="1105"/>
      <c r="G6" s="1105"/>
      <c r="H6" s="1105"/>
      <c r="I6" s="1105"/>
      <c r="J6" s="1105"/>
      <c r="K6" s="1105"/>
      <c r="L6" s="1105"/>
      <c r="M6" s="1105"/>
      <c r="N6" s="1105"/>
      <c r="O6" s="1105"/>
      <c r="P6" s="1105"/>
      <c r="Q6" s="1105"/>
      <c r="R6" s="1105"/>
      <c r="S6" s="1105"/>
      <c r="T6" s="1105"/>
      <c r="U6" s="1105"/>
      <c r="V6" s="1105"/>
      <c r="W6" s="1105"/>
      <c r="X6" s="1105"/>
      <c r="Y6" s="1105"/>
      <c r="Z6" s="1105"/>
      <c r="AA6" s="1105"/>
      <c r="AB6" s="1105"/>
      <c r="AC6" s="1105"/>
      <c r="AD6" s="1105"/>
      <c r="AE6" s="1105"/>
      <c r="AF6" s="1062"/>
    </row>
    <row r="7" spans="2:41" s="1042" customFormat="1" ht="53.5" customHeight="1" thickTop="1" thickBot="1" x14ac:dyDescent="0.4">
      <c r="B7" s="1044"/>
      <c r="C7" s="1045"/>
      <c r="D7" s="3555" t="s">
        <v>1600</v>
      </c>
      <c r="E7" s="3536"/>
      <c r="F7" s="3536"/>
      <c r="G7" s="3536"/>
      <c r="H7" s="3536"/>
      <c r="I7" s="3536"/>
      <c r="J7" s="3537"/>
      <c r="K7" s="3536" t="s">
        <v>1622</v>
      </c>
      <c r="L7" s="3536"/>
      <c r="M7" s="3536"/>
      <c r="N7" s="3536"/>
      <c r="O7" s="3536"/>
      <c r="P7" s="3534" t="s">
        <v>1623</v>
      </c>
      <c r="Q7" s="3532"/>
      <c r="R7" s="3532"/>
      <c r="S7" s="3532"/>
      <c r="T7" s="3535"/>
      <c r="U7" s="3534" t="s">
        <v>1624</v>
      </c>
      <c r="V7" s="3532"/>
      <c r="W7" s="3532"/>
      <c r="X7" s="3532"/>
      <c r="Y7" s="3535"/>
      <c r="Z7" s="3536" t="s">
        <v>1560</v>
      </c>
      <c r="AA7" s="3536"/>
      <c r="AB7" s="3536"/>
      <c r="AC7" s="3536"/>
      <c r="AD7" s="3537"/>
      <c r="AF7" s="1043"/>
    </row>
    <row r="8" spans="2:41" s="1042" customFormat="1" ht="16.5" thickTop="1" thickBot="1" x14ac:dyDescent="0.4">
      <c r="B8" s="1044"/>
      <c r="C8" s="1045"/>
      <c r="D8" s="3664" t="s">
        <v>1924</v>
      </c>
      <c r="E8" s="3665"/>
      <c r="F8" s="3665"/>
      <c r="G8" s="3665"/>
      <c r="H8" s="3665"/>
      <c r="I8" s="3665"/>
      <c r="J8" s="3666"/>
      <c r="K8" s="3593"/>
      <c r="L8" s="3594"/>
      <c r="M8" s="3594"/>
      <c r="N8" s="3594"/>
      <c r="O8" s="3594"/>
      <c r="P8" s="3594"/>
      <c r="Q8" s="3594"/>
      <c r="R8" s="3594"/>
      <c r="S8" s="3594"/>
      <c r="T8" s="3594"/>
      <c r="U8" s="3594"/>
      <c r="V8" s="3594"/>
      <c r="W8" s="3594"/>
      <c r="X8" s="3594"/>
      <c r="Y8" s="3594"/>
      <c r="Z8" s="3594"/>
      <c r="AA8" s="3594"/>
      <c r="AB8" s="3594"/>
      <c r="AC8" s="3594"/>
      <c r="AD8" s="3597"/>
      <c r="AF8" s="1043"/>
    </row>
    <row r="9" spans="2:41" s="1042" customFormat="1" ht="30" customHeight="1" x14ac:dyDescent="0.35">
      <c r="B9" s="1044"/>
      <c r="C9" s="1045"/>
      <c r="D9" s="3656" t="s">
        <v>1603</v>
      </c>
      <c r="E9" s="3657"/>
      <c r="F9" s="3657"/>
      <c r="G9" s="3657"/>
      <c r="H9" s="3657"/>
      <c r="I9" s="3657"/>
      <c r="J9" s="3658"/>
      <c r="K9" s="3659">
        <v>0</v>
      </c>
      <c r="L9" s="3659"/>
      <c r="M9" s="3659"/>
      <c r="N9" s="3659"/>
      <c r="O9" s="3659"/>
      <c r="P9" s="3660">
        <v>0</v>
      </c>
      <c r="Q9" s="3661"/>
      <c r="R9" s="3661"/>
      <c r="S9" s="3661"/>
      <c r="T9" s="3662"/>
      <c r="U9" s="3660">
        <v>0</v>
      </c>
      <c r="V9" s="3661"/>
      <c r="W9" s="3661"/>
      <c r="X9" s="3661"/>
      <c r="Y9" s="3662"/>
      <c r="Z9" s="3659">
        <v>0</v>
      </c>
      <c r="AA9" s="3659"/>
      <c r="AB9" s="3659"/>
      <c r="AC9" s="3659"/>
      <c r="AD9" s="3663"/>
      <c r="AF9" s="1043"/>
    </row>
    <row r="10" spans="2:41" s="1042" customFormat="1" ht="30" customHeight="1" thickBot="1" x14ac:dyDescent="0.4">
      <c r="B10" s="1044"/>
      <c r="C10" s="1045"/>
      <c r="D10" s="3650" t="s">
        <v>1604</v>
      </c>
      <c r="E10" s="3651"/>
      <c r="F10" s="3651"/>
      <c r="G10" s="3651"/>
      <c r="H10" s="3651"/>
      <c r="I10" s="3651"/>
      <c r="J10" s="3652"/>
      <c r="K10" s="3603">
        <v>0</v>
      </c>
      <c r="L10" s="3603"/>
      <c r="M10" s="3603"/>
      <c r="N10" s="3603"/>
      <c r="O10" s="3603"/>
      <c r="P10" s="3653">
        <v>0</v>
      </c>
      <c r="Q10" s="3654"/>
      <c r="R10" s="3654"/>
      <c r="S10" s="3654"/>
      <c r="T10" s="3655"/>
      <c r="U10" s="3653">
        <v>0</v>
      </c>
      <c r="V10" s="3654"/>
      <c r="W10" s="3654"/>
      <c r="X10" s="3654"/>
      <c r="Y10" s="3655"/>
      <c r="Z10" s="3603">
        <v>0</v>
      </c>
      <c r="AA10" s="3603"/>
      <c r="AB10" s="3603"/>
      <c r="AC10" s="3603"/>
      <c r="AD10" s="3605"/>
      <c r="AF10" s="1043"/>
    </row>
    <row r="11" spans="2:41" s="1042" customFormat="1" ht="16.5" thickTop="1" thickBot="1" x14ac:dyDescent="0.4">
      <c r="B11" s="1044"/>
      <c r="C11" s="1045"/>
      <c r="D11" s="3664" t="s">
        <v>1925</v>
      </c>
      <c r="E11" s="3665"/>
      <c r="F11" s="3665"/>
      <c r="G11" s="3665"/>
      <c r="H11" s="3665"/>
      <c r="I11" s="3665"/>
      <c r="J11" s="3666"/>
      <c r="K11" s="3593"/>
      <c r="L11" s="3594"/>
      <c r="M11" s="3594"/>
      <c r="N11" s="3594"/>
      <c r="O11" s="3594"/>
      <c r="P11" s="3594"/>
      <c r="Q11" s="3594"/>
      <c r="R11" s="3594"/>
      <c r="S11" s="3594"/>
      <c r="T11" s="3594"/>
      <c r="U11" s="3594"/>
      <c r="V11" s="3594"/>
      <c r="W11" s="3594"/>
      <c r="X11" s="3594"/>
      <c r="Y11" s="3594"/>
      <c r="Z11" s="3594"/>
      <c r="AA11" s="3594"/>
      <c r="AB11" s="3594"/>
      <c r="AC11" s="3594"/>
      <c r="AD11" s="3597"/>
      <c r="AF11" s="1043"/>
    </row>
    <row r="12" spans="2:41" s="1042" customFormat="1" ht="30" customHeight="1" x14ac:dyDescent="0.35">
      <c r="B12" s="1044"/>
      <c r="C12" s="1045"/>
      <c r="D12" s="3656" t="s">
        <v>1603</v>
      </c>
      <c r="E12" s="3657"/>
      <c r="F12" s="3657"/>
      <c r="G12" s="3657"/>
      <c r="H12" s="3657"/>
      <c r="I12" s="3657"/>
      <c r="J12" s="3658"/>
      <c r="K12" s="3659">
        <v>0</v>
      </c>
      <c r="L12" s="3659"/>
      <c r="M12" s="3659"/>
      <c r="N12" s="3659"/>
      <c r="O12" s="3659"/>
      <c r="P12" s="3660">
        <v>0</v>
      </c>
      <c r="Q12" s="3661"/>
      <c r="R12" s="3661"/>
      <c r="S12" s="3661"/>
      <c r="T12" s="3662"/>
      <c r="U12" s="3660">
        <v>0</v>
      </c>
      <c r="V12" s="3661"/>
      <c r="W12" s="3661"/>
      <c r="X12" s="3661"/>
      <c r="Y12" s="3662"/>
      <c r="Z12" s="3659">
        <v>0</v>
      </c>
      <c r="AA12" s="3659"/>
      <c r="AB12" s="3659"/>
      <c r="AC12" s="3659"/>
      <c r="AD12" s="3663"/>
      <c r="AF12" s="1043"/>
    </row>
    <row r="13" spans="2:41" s="1042" customFormat="1" ht="30" customHeight="1" thickBot="1" x14ac:dyDescent="0.4">
      <c r="B13" s="1044"/>
      <c r="C13" s="1045"/>
      <c r="D13" s="3650" t="s">
        <v>1604</v>
      </c>
      <c r="E13" s="3651"/>
      <c r="F13" s="3651"/>
      <c r="G13" s="3651"/>
      <c r="H13" s="3651"/>
      <c r="I13" s="3651"/>
      <c r="J13" s="3652"/>
      <c r="K13" s="3603">
        <v>0</v>
      </c>
      <c r="L13" s="3603"/>
      <c r="M13" s="3603"/>
      <c r="N13" s="3603"/>
      <c r="O13" s="3603"/>
      <c r="P13" s="3653">
        <v>0</v>
      </c>
      <c r="Q13" s="3654"/>
      <c r="R13" s="3654"/>
      <c r="S13" s="3654"/>
      <c r="T13" s="3655"/>
      <c r="U13" s="3653">
        <v>0</v>
      </c>
      <c r="V13" s="3654"/>
      <c r="W13" s="3654"/>
      <c r="X13" s="3654"/>
      <c r="Y13" s="3655"/>
      <c r="Z13" s="3603">
        <v>0</v>
      </c>
      <c r="AA13" s="3603"/>
      <c r="AB13" s="3603"/>
      <c r="AC13" s="3603"/>
      <c r="AD13" s="3605"/>
      <c r="AF13" s="1043"/>
    </row>
    <row r="14" spans="2:41" ht="10" customHeight="1" thickTop="1" thickBot="1" x14ac:dyDescent="0.4">
      <c r="B14" s="1035"/>
      <c r="C14" s="1036"/>
      <c r="D14" s="1037"/>
      <c r="E14" s="1038"/>
      <c r="F14" s="1038"/>
      <c r="G14" s="1038"/>
      <c r="H14" s="1038"/>
      <c r="I14" s="1038"/>
      <c r="J14" s="1038"/>
      <c r="K14" s="1039"/>
      <c r="L14" s="1039"/>
      <c r="M14" s="1039"/>
      <c r="N14" s="1039"/>
      <c r="O14" s="1039"/>
      <c r="P14" s="1039"/>
      <c r="Q14" s="1039"/>
      <c r="R14" s="1039"/>
      <c r="S14" s="1039"/>
      <c r="T14" s="1039"/>
      <c r="U14" s="1039"/>
      <c r="V14" s="1039"/>
      <c r="W14" s="1039"/>
      <c r="X14" s="1039"/>
      <c r="Y14" s="1039"/>
      <c r="Z14" s="1039"/>
      <c r="AA14" s="1039"/>
      <c r="AB14" s="1039"/>
      <c r="AC14" s="1039"/>
      <c r="AD14" s="1039"/>
      <c r="AE14" s="1039"/>
      <c r="AF14" s="1040"/>
    </row>
    <row r="15" spans="2:41" ht="10" customHeight="1" thickTop="1" x14ac:dyDescent="0.35">
      <c r="B15" s="1118"/>
      <c r="C15" s="1098"/>
      <c r="E15" s="1052"/>
      <c r="F15" s="1052"/>
      <c r="G15" s="1052"/>
      <c r="H15" s="1052"/>
      <c r="I15" s="1052"/>
      <c r="J15" s="1052"/>
      <c r="K15" s="1041"/>
      <c r="L15" s="1041"/>
      <c r="M15" s="1041"/>
      <c r="N15" s="1041"/>
      <c r="O15" s="1041"/>
      <c r="P15" s="1041"/>
      <c r="Q15" s="1041"/>
      <c r="R15" s="1041"/>
      <c r="S15" s="1041"/>
      <c r="T15" s="1041"/>
      <c r="U15" s="1041"/>
      <c r="V15" s="1041"/>
      <c r="W15" s="1041"/>
      <c r="X15" s="1041"/>
      <c r="Y15" s="1041"/>
      <c r="Z15" s="1041"/>
      <c r="AA15" s="1041"/>
      <c r="AB15" s="1041"/>
      <c r="AC15" s="1041"/>
      <c r="AD15" s="1041"/>
    </row>
    <row r="16" spans="2:41" s="1121" customFormat="1" ht="48" customHeight="1" x14ac:dyDescent="0.3">
      <c r="B16" s="1119" t="s">
        <v>150</v>
      </c>
      <c r="C16" s="3601" t="s">
        <v>1625</v>
      </c>
      <c r="D16" s="3601"/>
      <c r="E16" s="3601"/>
      <c r="F16" s="3601"/>
      <c r="G16" s="3601"/>
      <c r="H16" s="3601"/>
      <c r="I16" s="3601"/>
      <c r="J16" s="3601"/>
      <c r="K16" s="3601"/>
      <c r="L16" s="3601"/>
      <c r="M16" s="3601"/>
      <c r="N16" s="3601"/>
      <c r="O16" s="3601"/>
      <c r="P16" s="3601"/>
      <c r="Q16" s="3601"/>
      <c r="R16" s="3601"/>
      <c r="S16" s="3601"/>
      <c r="T16" s="3601"/>
      <c r="U16" s="3601"/>
      <c r="V16" s="3601"/>
      <c r="W16" s="3601"/>
      <c r="X16" s="3601"/>
      <c r="Y16" s="3601"/>
      <c r="Z16" s="3601"/>
      <c r="AA16" s="3601"/>
      <c r="AB16" s="3601"/>
      <c r="AC16" s="3601"/>
      <c r="AD16" s="3601"/>
      <c r="AE16" s="3601"/>
      <c r="AF16" s="3601"/>
      <c r="AG16" s="1120"/>
      <c r="AH16" s="1120"/>
      <c r="AI16" s="1120"/>
      <c r="AJ16" s="1120"/>
      <c r="AK16" s="1120"/>
      <c r="AL16" s="1120"/>
      <c r="AM16" s="1120"/>
    </row>
    <row r="17" spans="2:39" s="1121" customFormat="1" ht="119.5" customHeight="1" x14ac:dyDescent="0.3">
      <c r="B17" s="1119" t="s">
        <v>151</v>
      </c>
      <c r="C17" s="3601" t="s">
        <v>1626</v>
      </c>
      <c r="D17" s="3601"/>
      <c r="E17" s="3601"/>
      <c r="F17" s="3601"/>
      <c r="G17" s="3601"/>
      <c r="H17" s="3601"/>
      <c r="I17" s="3601"/>
      <c r="J17" s="3601"/>
      <c r="K17" s="3601"/>
      <c r="L17" s="3601"/>
      <c r="M17" s="3601"/>
      <c r="N17" s="3601"/>
      <c r="O17" s="3601"/>
      <c r="P17" s="3601"/>
      <c r="Q17" s="3601"/>
      <c r="R17" s="3601"/>
      <c r="S17" s="3601"/>
      <c r="T17" s="3601"/>
      <c r="U17" s="3601"/>
      <c r="V17" s="3601"/>
      <c r="W17" s="3601"/>
      <c r="X17" s="3601"/>
      <c r="Y17" s="3601"/>
      <c r="Z17" s="3601"/>
      <c r="AA17" s="3601"/>
      <c r="AB17" s="3601"/>
      <c r="AC17" s="3601"/>
      <c r="AD17" s="3601"/>
      <c r="AE17" s="3601"/>
      <c r="AF17" s="3601"/>
      <c r="AG17" s="1120"/>
      <c r="AH17" s="1120"/>
      <c r="AI17" s="1120"/>
      <c r="AJ17" s="1120"/>
      <c r="AK17" s="1120"/>
      <c r="AL17" s="1120"/>
      <c r="AM17" s="1120"/>
    </row>
    <row r="18" spans="2:39" s="1121" customFormat="1" ht="104.5" customHeight="1" x14ac:dyDescent="0.3">
      <c r="B18" s="1119" t="s">
        <v>152</v>
      </c>
      <c r="C18" s="3601" t="s">
        <v>1627</v>
      </c>
      <c r="D18" s="3601"/>
      <c r="E18" s="3601"/>
      <c r="F18" s="3601"/>
      <c r="G18" s="3601"/>
      <c r="H18" s="3601"/>
      <c r="I18" s="3601"/>
      <c r="J18" s="3601"/>
      <c r="K18" s="3601"/>
      <c r="L18" s="3601"/>
      <c r="M18" s="3601"/>
      <c r="N18" s="3601"/>
      <c r="O18" s="3601"/>
      <c r="P18" s="3601"/>
      <c r="Q18" s="3601"/>
      <c r="R18" s="3601"/>
      <c r="S18" s="3601"/>
      <c r="T18" s="3601"/>
      <c r="U18" s="3601"/>
      <c r="V18" s="3601"/>
      <c r="W18" s="3601"/>
      <c r="X18" s="3601"/>
      <c r="Y18" s="3601"/>
      <c r="Z18" s="3601"/>
      <c r="AA18" s="3601"/>
      <c r="AB18" s="3601"/>
      <c r="AC18" s="3601"/>
      <c r="AD18" s="3601"/>
      <c r="AE18" s="3601"/>
      <c r="AF18" s="3601"/>
      <c r="AG18" s="1120"/>
      <c r="AH18" s="1120"/>
      <c r="AI18" s="1120"/>
      <c r="AJ18" s="1120"/>
      <c r="AK18" s="1120"/>
      <c r="AL18" s="1120"/>
      <c r="AM18" s="1120"/>
    </row>
    <row r="19" spans="2:39" s="1121" customFormat="1" ht="132" customHeight="1" x14ac:dyDescent="0.3">
      <c r="B19" s="1119" t="s">
        <v>155</v>
      </c>
      <c r="C19" s="3601" t="s">
        <v>1628</v>
      </c>
      <c r="D19" s="3601"/>
      <c r="E19" s="3601"/>
      <c r="F19" s="3601"/>
      <c r="G19" s="3601"/>
      <c r="H19" s="3601"/>
      <c r="I19" s="3601"/>
      <c r="J19" s="3601"/>
      <c r="K19" s="3601"/>
      <c r="L19" s="3601"/>
      <c r="M19" s="3601"/>
      <c r="N19" s="3601"/>
      <c r="O19" s="3601"/>
      <c r="P19" s="3601"/>
      <c r="Q19" s="3601"/>
      <c r="R19" s="3601"/>
      <c r="S19" s="3601"/>
      <c r="T19" s="3601"/>
      <c r="U19" s="3601"/>
      <c r="V19" s="3601"/>
      <c r="W19" s="3601"/>
      <c r="X19" s="3601"/>
      <c r="Y19" s="3601"/>
      <c r="Z19" s="3601"/>
      <c r="AA19" s="3601"/>
      <c r="AB19" s="3601"/>
      <c r="AC19" s="3601"/>
      <c r="AD19" s="3601"/>
      <c r="AE19" s="3601"/>
      <c r="AF19" s="3601"/>
      <c r="AG19" s="1120"/>
      <c r="AH19" s="1120"/>
      <c r="AI19" s="1120"/>
      <c r="AJ19" s="1120"/>
      <c r="AK19" s="1120"/>
      <c r="AL19" s="1120"/>
      <c r="AM19" s="1120"/>
    </row>
    <row r="20" spans="2:39" s="1121" customFormat="1" ht="50" customHeight="1" x14ac:dyDescent="0.3">
      <c r="B20" s="1119" t="s">
        <v>156</v>
      </c>
      <c r="C20" s="3601" t="s">
        <v>1629</v>
      </c>
      <c r="D20" s="3601"/>
      <c r="E20" s="3601"/>
      <c r="F20" s="3601"/>
      <c r="G20" s="3601"/>
      <c r="H20" s="3601"/>
      <c r="I20" s="3601"/>
      <c r="J20" s="3601"/>
      <c r="K20" s="3601"/>
      <c r="L20" s="3601"/>
      <c r="M20" s="3601"/>
      <c r="N20" s="3601"/>
      <c r="O20" s="3601"/>
      <c r="P20" s="3601"/>
      <c r="Q20" s="3601"/>
      <c r="R20" s="3601"/>
      <c r="S20" s="3601"/>
      <c r="T20" s="3601"/>
      <c r="U20" s="3601"/>
      <c r="V20" s="3601"/>
      <c r="W20" s="3601"/>
      <c r="X20" s="3601"/>
      <c r="Y20" s="3601"/>
      <c r="Z20" s="3601"/>
      <c r="AA20" s="3601"/>
      <c r="AB20" s="3601"/>
      <c r="AC20" s="3601"/>
      <c r="AD20" s="3601"/>
      <c r="AE20" s="3601"/>
      <c r="AF20" s="3601"/>
      <c r="AG20" s="1120"/>
      <c r="AH20" s="1120"/>
      <c r="AI20" s="1120"/>
      <c r="AJ20" s="1120"/>
      <c r="AK20" s="1120"/>
      <c r="AL20" s="1120"/>
      <c r="AM20" s="1120"/>
    </row>
    <row r="21" spans="2:39" s="1121" customFormat="1" ht="45" customHeight="1" x14ac:dyDescent="0.3">
      <c r="B21" s="1119" t="s">
        <v>157</v>
      </c>
      <c r="C21" s="3601" t="s">
        <v>1630</v>
      </c>
      <c r="D21" s="3601"/>
      <c r="E21" s="3601"/>
      <c r="F21" s="3601"/>
      <c r="G21" s="3601"/>
      <c r="H21" s="3601"/>
      <c r="I21" s="3601"/>
      <c r="J21" s="3601"/>
      <c r="K21" s="3601"/>
      <c r="L21" s="3601"/>
      <c r="M21" s="3601"/>
      <c r="N21" s="3601"/>
      <c r="O21" s="3601"/>
      <c r="P21" s="3601"/>
      <c r="Q21" s="3601"/>
      <c r="R21" s="3601"/>
      <c r="S21" s="3601"/>
      <c r="T21" s="3601"/>
      <c r="U21" s="3601"/>
      <c r="V21" s="3601"/>
      <c r="W21" s="3601"/>
      <c r="X21" s="3601"/>
      <c r="Y21" s="3601"/>
      <c r="Z21" s="3601"/>
      <c r="AA21" s="3601"/>
      <c r="AB21" s="3601"/>
      <c r="AC21" s="3601"/>
      <c r="AD21" s="3601"/>
      <c r="AE21" s="3601"/>
      <c r="AF21" s="3601"/>
      <c r="AG21" s="1120"/>
      <c r="AH21" s="1120"/>
      <c r="AI21" s="1120"/>
      <c r="AJ21" s="1120"/>
      <c r="AK21" s="1120"/>
      <c r="AL21" s="1120"/>
      <c r="AM21" s="1120"/>
    </row>
    <row r="22" spans="2:39" s="1121" customFormat="1" ht="45.5" customHeight="1" x14ac:dyDescent="0.3">
      <c r="B22" s="1119" t="s">
        <v>159</v>
      </c>
      <c r="C22" s="3601" t="s">
        <v>1631</v>
      </c>
      <c r="D22" s="3601"/>
      <c r="E22" s="3601"/>
      <c r="F22" s="3601"/>
      <c r="G22" s="3601"/>
      <c r="H22" s="3601"/>
      <c r="I22" s="3601"/>
      <c r="J22" s="3601"/>
      <c r="K22" s="3601"/>
      <c r="L22" s="3601"/>
      <c r="M22" s="3601"/>
      <c r="N22" s="3601"/>
      <c r="O22" s="3601"/>
      <c r="P22" s="3601"/>
      <c r="Q22" s="3601"/>
      <c r="R22" s="3601"/>
      <c r="S22" s="3601"/>
      <c r="T22" s="3601"/>
      <c r="U22" s="3601"/>
      <c r="V22" s="3601"/>
      <c r="W22" s="3601"/>
      <c r="X22" s="3601"/>
      <c r="Y22" s="3601"/>
      <c r="Z22" s="3601"/>
      <c r="AA22" s="3601"/>
      <c r="AB22" s="3601"/>
      <c r="AC22" s="3601"/>
      <c r="AD22" s="3601"/>
      <c r="AE22" s="3601"/>
      <c r="AF22" s="3601"/>
      <c r="AG22" s="1120"/>
      <c r="AH22" s="1120"/>
      <c r="AI22" s="1120"/>
      <c r="AJ22" s="1120"/>
      <c r="AK22" s="1120"/>
      <c r="AL22" s="1120"/>
      <c r="AM22" s="1120"/>
    </row>
    <row r="23" spans="2:39" s="1121" customFormat="1" ht="30.5" customHeight="1" x14ac:dyDescent="0.3">
      <c r="B23" s="1119" t="s">
        <v>153</v>
      </c>
      <c r="C23" s="3601" t="s">
        <v>1632</v>
      </c>
      <c r="D23" s="3601"/>
      <c r="E23" s="3601"/>
      <c r="F23" s="3601"/>
      <c r="G23" s="3601"/>
      <c r="H23" s="3601"/>
      <c r="I23" s="3601"/>
      <c r="J23" s="3601"/>
      <c r="K23" s="3601"/>
      <c r="L23" s="3601"/>
      <c r="M23" s="3601"/>
      <c r="N23" s="3601"/>
      <c r="O23" s="3601"/>
      <c r="P23" s="3601"/>
      <c r="Q23" s="3601"/>
      <c r="R23" s="3601"/>
      <c r="S23" s="3601"/>
      <c r="T23" s="3601"/>
      <c r="U23" s="3601"/>
      <c r="V23" s="3601"/>
      <c r="W23" s="3601"/>
      <c r="X23" s="3601"/>
      <c r="Y23" s="3601"/>
      <c r="Z23" s="3601"/>
      <c r="AA23" s="3601"/>
      <c r="AB23" s="3601"/>
      <c r="AC23" s="3601"/>
      <c r="AD23" s="3601"/>
      <c r="AE23" s="3601"/>
      <c r="AF23" s="3601"/>
      <c r="AG23" s="1120"/>
      <c r="AH23" s="1120"/>
      <c r="AI23" s="1120"/>
      <c r="AJ23" s="1120"/>
      <c r="AK23" s="1120"/>
      <c r="AL23" s="1120"/>
      <c r="AM23" s="1120"/>
    </row>
    <row r="24" spans="2:39" s="1121" customFormat="1" ht="47" customHeight="1" x14ac:dyDescent="0.3">
      <c r="B24" s="1119" t="s">
        <v>154</v>
      </c>
      <c r="C24" s="3601" t="s">
        <v>1633</v>
      </c>
      <c r="D24" s="3601"/>
      <c r="E24" s="3601"/>
      <c r="F24" s="3601"/>
      <c r="G24" s="3601"/>
      <c r="H24" s="3601"/>
      <c r="I24" s="3601"/>
      <c r="J24" s="3601"/>
      <c r="K24" s="3601"/>
      <c r="L24" s="3601"/>
      <c r="M24" s="3601"/>
      <c r="N24" s="3601"/>
      <c r="O24" s="3601"/>
      <c r="P24" s="3601"/>
      <c r="Q24" s="3601"/>
      <c r="R24" s="3601"/>
      <c r="S24" s="3601"/>
      <c r="T24" s="3601"/>
      <c r="U24" s="3601"/>
      <c r="V24" s="3601"/>
      <c r="W24" s="3601"/>
      <c r="X24" s="3601"/>
      <c r="Y24" s="3601"/>
      <c r="Z24" s="3601"/>
      <c r="AA24" s="3601"/>
      <c r="AB24" s="3601"/>
      <c r="AC24" s="3601"/>
      <c r="AD24" s="3601"/>
      <c r="AE24" s="3601"/>
      <c r="AF24" s="3601"/>
      <c r="AG24" s="1120"/>
      <c r="AH24" s="1120"/>
      <c r="AI24" s="1120"/>
      <c r="AJ24" s="1120"/>
      <c r="AK24" s="1120"/>
      <c r="AL24" s="1120"/>
      <c r="AM24" s="1120"/>
    </row>
    <row r="25" spans="2:39" s="1121" customFormat="1" ht="33" customHeight="1" x14ac:dyDescent="0.3">
      <c r="B25" s="1119" t="s">
        <v>160</v>
      </c>
      <c r="C25" s="3601" t="s">
        <v>1634</v>
      </c>
      <c r="D25" s="3601"/>
      <c r="E25" s="3601"/>
      <c r="F25" s="3601"/>
      <c r="G25" s="3601"/>
      <c r="H25" s="3601"/>
      <c r="I25" s="3601"/>
      <c r="J25" s="3601"/>
      <c r="K25" s="3601"/>
      <c r="L25" s="3601"/>
      <c r="M25" s="3601"/>
      <c r="N25" s="3601"/>
      <c r="O25" s="3601"/>
      <c r="P25" s="3601"/>
      <c r="Q25" s="3601"/>
      <c r="R25" s="3601"/>
      <c r="S25" s="3601"/>
      <c r="T25" s="3601"/>
      <c r="U25" s="3601"/>
      <c r="V25" s="3601"/>
      <c r="W25" s="3601"/>
      <c r="X25" s="3601"/>
      <c r="Y25" s="3601"/>
      <c r="Z25" s="3601"/>
      <c r="AA25" s="3601"/>
      <c r="AB25" s="3601"/>
      <c r="AC25" s="3601"/>
      <c r="AD25" s="3601"/>
      <c r="AE25" s="3601"/>
      <c r="AF25" s="3601"/>
      <c r="AG25" s="1120"/>
      <c r="AH25" s="1120"/>
      <c r="AI25" s="1120"/>
      <c r="AJ25" s="1120"/>
      <c r="AK25" s="1120"/>
      <c r="AL25" s="1120"/>
      <c r="AM25" s="1120"/>
    </row>
    <row r="26" spans="2:39" s="501" customFormat="1" ht="30.75" customHeight="1" x14ac:dyDescent="0.35"/>
    <row r="27" spans="2:39" s="73" customFormat="1" ht="14" x14ac:dyDescent="0.3">
      <c r="B27" s="74" t="s">
        <v>913</v>
      </c>
      <c r="T27" s="74" t="s">
        <v>846</v>
      </c>
    </row>
    <row r="28" spans="2:39" s="73" customFormat="1" ht="21.75" customHeight="1" x14ac:dyDescent="0.3">
      <c r="B28" s="74" t="s">
        <v>811</v>
      </c>
      <c r="F28" s="1482" t="str">
        <f>SchInfo!F38</f>
        <v>MELCHESIEDICK Q. BOLANIO/ March 17, 2023</v>
      </c>
      <c r="G28" s="1482"/>
      <c r="H28" s="1482"/>
      <c r="I28" s="1482"/>
      <c r="J28" s="1482"/>
      <c r="K28" s="1482"/>
      <c r="L28" s="1482"/>
      <c r="M28" s="1482"/>
      <c r="N28" s="1482"/>
      <c r="O28" s="545"/>
      <c r="P28" s="545"/>
      <c r="Q28" s="545"/>
      <c r="R28" s="545"/>
      <c r="S28" s="545"/>
      <c r="T28" s="1482" t="str">
        <f>Table39!Q37</f>
        <v>ELYN KENDRA D. DELA CRUZ  /  March 17, 2023</v>
      </c>
      <c r="U28" s="1482"/>
      <c r="V28" s="1482"/>
      <c r="W28" s="1482"/>
      <c r="X28" s="1482"/>
      <c r="Y28" s="1482"/>
      <c r="Z28" s="1482"/>
      <c r="AA28" s="1482"/>
      <c r="AB28" s="1482"/>
      <c r="AC28" s="1482"/>
      <c r="AD28" s="1482"/>
      <c r="AE28" s="1482"/>
      <c r="AF28" s="1482"/>
    </row>
    <row r="29" spans="2:39" s="68" customFormat="1" ht="14" customHeight="1" x14ac:dyDescent="0.3">
      <c r="B29" s="210"/>
      <c r="F29" s="1451" t="s">
        <v>779</v>
      </c>
      <c r="G29" s="1451"/>
      <c r="H29" s="1451"/>
      <c r="I29" s="1451"/>
      <c r="J29" s="1451"/>
      <c r="K29" s="1451"/>
      <c r="L29" s="1451"/>
      <c r="M29" s="1451"/>
      <c r="N29" s="1451"/>
      <c r="O29" s="63"/>
      <c r="P29" s="63"/>
      <c r="Q29" s="63"/>
      <c r="R29" s="63"/>
      <c r="S29" s="63"/>
      <c r="T29" s="1451" t="s">
        <v>779</v>
      </c>
      <c r="U29" s="1451"/>
      <c r="V29" s="1451"/>
      <c r="W29" s="1451"/>
      <c r="X29" s="1451"/>
      <c r="Y29" s="1451"/>
      <c r="Z29" s="1451"/>
      <c r="AA29" s="1451"/>
      <c r="AB29" s="1451"/>
      <c r="AC29" s="1451"/>
      <c r="AD29" s="1451"/>
      <c r="AE29" s="1451"/>
      <c r="AF29" s="1451"/>
    </row>
    <row r="30" spans="2:39" s="73" customFormat="1" ht="21.75" customHeight="1" x14ac:dyDescent="0.3">
      <c r="B30" s="74" t="s">
        <v>784</v>
      </c>
      <c r="F30" s="1482" t="str">
        <f>SchInfo!F40</f>
        <v>Principal IV</v>
      </c>
      <c r="G30" s="1482"/>
      <c r="H30" s="1482"/>
      <c r="I30" s="1482"/>
      <c r="J30" s="1482"/>
      <c r="K30" s="1482"/>
      <c r="L30" s="1482"/>
      <c r="M30" s="1482"/>
      <c r="N30" s="1482"/>
      <c r="O30" s="545"/>
      <c r="P30" s="545"/>
      <c r="Q30" s="545"/>
      <c r="R30" s="545"/>
      <c r="S30" s="545"/>
      <c r="T30" s="74" t="s">
        <v>784</v>
      </c>
      <c r="X30" s="1482" t="str">
        <f>Table39!U39</f>
        <v>Project Development Officer III</v>
      </c>
      <c r="Y30" s="1482"/>
      <c r="Z30" s="1482"/>
      <c r="AA30" s="1482"/>
      <c r="AB30" s="1482"/>
      <c r="AC30" s="1482"/>
      <c r="AD30" s="1482"/>
      <c r="AE30" s="1482"/>
      <c r="AF30" s="1482"/>
    </row>
    <row r="31" spans="2:39" s="501" customFormat="1" ht="30.75" customHeight="1" x14ac:dyDescent="0.35"/>
    <row r="32" spans="2:39" s="73" customFormat="1" ht="14" x14ac:dyDescent="0.3">
      <c r="K32" s="74" t="s">
        <v>922</v>
      </c>
    </row>
    <row r="33" spans="10:24" s="73" customFormat="1" ht="21.75" customHeight="1" x14ac:dyDescent="0.3">
      <c r="K33" s="1484" t="str">
        <f>SchInfo!R38</f>
        <v>MICHAEL T. JAMIS   /  March 17, 2023</v>
      </c>
      <c r="L33" s="1484"/>
      <c r="M33" s="1484"/>
      <c r="N33" s="1484"/>
      <c r="O33" s="1484"/>
      <c r="P33" s="1484"/>
      <c r="Q33" s="1484"/>
      <c r="R33" s="1484"/>
      <c r="S33" s="1484"/>
      <c r="T33" s="1484"/>
      <c r="U33" s="1484"/>
      <c r="V33" s="1484"/>
      <c r="W33" s="1484"/>
    </row>
    <row r="34" spans="10:24" s="68" customFormat="1" ht="14" customHeight="1" x14ac:dyDescent="0.3">
      <c r="K34" s="1485"/>
      <c r="L34" s="1485"/>
      <c r="M34" s="1485"/>
      <c r="N34" s="1485"/>
      <c r="O34" s="1485"/>
      <c r="P34" s="1485"/>
      <c r="Q34" s="1485"/>
      <c r="R34" s="1485"/>
      <c r="S34" s="1485"/>
      <c r="T34" s="1485"/>
      <c r="U34" s="1485"/>
      <c r="V34" s="1485"/>
      <c r="W34" s="1485"/>
    </row>
    <row r="35" spans="10:24" s="73" customFormat="1" ht="21.75" customHeight="1" x14ac:dyDescent="0.3">
      <c r="K35" s="1451" t="s">
        <v>779</v>
      </c>
      <c r="L35" s="1451"/>
      <c r="M35" s="1451"/>
      <c r="N35" s="1451"/>
      <c r="O35" s="1451"/>
      <c r="P35" s="1451"/>
      <c r="Q35" s="1451"/>
      <c r="R35" s="1451"/>
      <c r="S35" s="1451"/>
      <c r="T35" s="1451"/>
      <c r="U35" s="1451"/>
      <c r="V35" s="1451"/>
      <c r="W35" s="1451"/>
    </row>
    <row r="36" spans="10:24" s="1041" customFormat="1" x14ac:dyDescent="0.35">
      <c r="J36" s="1042"/>
      <c r="K36" s="1042"/>
      <c r="W36" s="1042"/>
      <c r="X36" s="1042"/>
    </row>
  </sheetData>
  <sheetProtection algorithmName="SHA-512" hashValue="0Gsdvw5z/trDpfVNoeeua5maOZrJbYtwWVVujGjOsqXE++nfBkTwig5EAPZ3UtEOTbW3X6j61D+9vo5LX/oOlA==" saltValue="2yKpm+tZmTJiHmULL2o9Kw==" spinCount="100000" sheet="1" objects="1" scenarios="1"/>
  <mergeCells count="49">
    <mergeCell ref="K8:AD8"/>
    <mergeCell ref="D8:J8"/>
    <mergeCell ref="D11:J11"/>
    <mergeCell ref="K11:AD11"/>
    <mergeCell ref="D5:Z5"/>
    <mergeCell ref="P9:T9"/>
    <mergeCell ref="U9:Y9"/>
    <mergeCell ref="Z9:AD9"/>
    <mergeCell ref="K10:O10"/>
    <mergeCell ref="D7:J7"/>
    <mergeCell ref="U10:Y10"/>
    <mergeCell ref="Z10:AD10"/>
    <mergeCell ref="D9:J9"/>
    <mergeCell ref="D10:J10"/>
    <mergeCell ref="K33:W34"/>
    <mergeCell ref="K35:W35"/>
    <mergeCell ref="E4:AD4"/>
    <mergeCell ref="K7:O7"/>
    <mergeCell ref="P7:T7"/>
    <mergeCell ref="U7:Y7"/>
    <mergeCell ref="Z7:AD7"/>
    <mergeCell ref="K9:O9"/>
    <mergeCell ref="F28:N28"/>
    <mergeCell ref="T28:AF28"/>
    <mergeCell ref="F29:N29"/>
    <mergeCell ref="T29:AF29"/>
    <mergeCell ref="F30:N30"/>
    <mergeCell ref="X30:AF30"/>
    <mergeCell ref="C17:AF17"/>
    <mergeCell ref="P10:T10"/>
    <mergeCell ref="D12:J12"/>
    <mergeCell ref="K12:O12"/>
    <mergeCell ref="P12:T12"/>
    <mergeCell ref="U12:Y12"/>
    <mergeCell ref="Z12:AD12"/>
    <mergeCell ref="C24:AF24"/>
    <mergeCell ref="C25:AF25"/>
    <mergeCell ref="D13:J13"/>
    <mergeCell ref="K13:O13"/>
    <mergeCell ref="P13:T13"/>
    <mergeCell ref="U13:Y13"/>
    <mergeCell ref="Z13:AD13"/>
    <mergeCell ref="C16:AF16"/>
    <mergeCell ref="C18:AF18"/>
    <mergeCell ref="C19:AF19"/>
    <mergeCell ref="C20:AF20"/>
    <mergeCell ref="C21:AF21"/>
    <mergeCell ref="C22:AF22"/>
    <mergeCell ref="C23:AF23"/>
  </mergeCells>
  <dataValidations count="1">
    <dataValidation type="whole" allowBlank="1" showInputMessage="1" showErrorMessage="1" errorTitle="GJHSP SY 2022-2023" error="Please enter valid number between 0-999." sqref="K9:AD10 K12:AD13" xr:uid="{83DC9145-8BB3-4993-91FD-1CB8AEC79166}">
      <formula1>0</formula1>
      <formula2>999</formula2>
    </dataValidation>
  </dataValidations>
  <printOptions horizontalCentered="1" verticalCentered="1"/>
  <pageMargins left="0.25" right="0.25" top="0.2" bottom="0.2" header="0" footer="0.1"/>
  <pageSetup paperSize="9" scale="25" orientation="portrait" r:id="rId1"/>
  <headerFooter>
    <oddFooter>&amp;L&amp;10&amp;F &amp;A&amp;R&amp;10Page 52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83969" r:id="rId4" name="Check Box 1">
              <controlPr defaultSize="0" autoFill="0" autoLine="0" autoPict="0">
                <anchor moveWithCells="1">
                  <from>
                    <xdr:col>3</xdr:col>
                    <xdr:colOff>31750</xdr:colOff>
                    <xdr:row>3</xdr:row>
                    <xdr:rowOff>38100</xdr:rowOff>
                  </from>
                  <to>
                    <xdr:col>4</xdr:col>
                    <xdr:colOff>190500</xdr:colOff>
                    <xdr:row>3</xdr:row>
                    <xdr:rowOff>260350</xdr:rowOff>
                  </to>
                </anchor>
              </controlPr>
            </control>
          </mc:Choice>
        </mc:AlternateContent>
      </controls>
    </mc:Choice>
  </mc:AlternateContent>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371A5-F550-4237-9AC3-44ECAA1A194F}">
  <sheetPr>
    <pageSetUpPr fitToPage="1"/>
  </sheetPr>
  <dimension ref="B1:AQ76"/>
  <sheetViews>
    <sheetView showGridLines="0" zoomScaleNormal="100" zoomScaleSheetLayoutView="100" workbookViewId="0">
      <selection activeCell="D40" sqref="D40"/>
    </sheetView>
  </sheetViews>
  <sheetFormatPr defaultColWidth="8" defaultRowHeight="15.5" x14ac:dyDescent="0.35"/>
  <cols>
    <col min="1" max="1" width="2.08203125" style="1041" customWidth="1"/>
    <col min="2" max="32" width="3.58203125" style="1042" customWidth="1"/>
    <col min="33" max="34" width="3.58203125" style="1041" customWidth="1"/>
    <col min="35" max="35" width="2.08203125" style="1041" customWidth="1"/>
    <col min="36" max="167" width="3.58203125" style="1041" customWidth="1"/>
    <col min="168" max="16384" width="8" style="1041"/>
  </cols>
  <sheetData>
    <row r="1" spans="2:43" ht="12" customHeight="1" x14ac:dyDescent="0.35"/>
    <row r="2" spans="2:43" ht="16.5" x14ac:dyDescent="0.35">
      <c r="B2" s="1054" t="s">
        <v>12749</v>
      </c>
      <c r="C2" s="1041"/>
      <c r="D2" s="1041"/>
      <c r="E2" s="1041"/>
      <c r="F2" s="1041"/>
      <c r="G2" s="1041"/>
      <c r="H2" s="1041"/>
      <c r="I2" s="1041"/>
      <c r="J2" s="1041"/>
      <c r="K2" s="1041"/>
      <c r="L2" s="1041"/>
      <c r="M2" s="1041"/>
      <c r="N2" s="1041"/>
      <c r="O2" s="1041"/>
      <c r="P2" s="1041"/>
      <c r="Q2" s="1041"/>
      <c r="R2" s="1041"/>
      <c r="S2" s="1041"/>
      <c r="T2" s="1041"/>
      <c r="U2" s="1041"/>
      <c r="V2" s="1041"/>
      <c r="W2" s="1041"/>
      <c r="X2" s="1041"/>
      <c r="Y2" s="1041"/>
      <c r="Z2" s="1041"/>
      <c r="AA2" s="1041"/>
      <c r="AB2" s="1041"/>
      <c r="AC2" s="1041"/>
      <c r="AD2" s="1041"/>
      <c r="AE2" s="1041"/>
      <c r="AF2" s="1041"/>
    </row>
    <row r="3" spans="2:43" ht="16.5" x14ac:dyDescent="0.35">
      <c r="B3" s="1055" t="s">
        <v>1597</v>
      </c>
      <c r="C3" s="1041"/>
      <c r="D3" s="1041"/>
      <c r="E3" s="1041"/>
      <c r="F3" s="1041"/>
      <c r="G3" s="1041"/>
      <c r="H3" s="1041"/>
      <c r="I3" s="1041"/>
      <c r="J3" s="1041"/>
      <c r="K3" s="1041"/>
      <c r="L3" s="1041"/>
      <c r="M3" s="1041"/>
      <c r="N3" s="1041"/>
      <c r="O3" s="1041"/>
      <c r="P3" s="1041"/>
      <c r="Q3" s="1041"/>
      <c r="R3" s="1041"/>
      <c r="S3" s="1041"/>
      <c r="T3" s="1041"/>
      <c r="U3" s="1041"/>
      <c r="V3" s="1041"/>
      <c r="W3" s="1041"/>
      <c r="X3" s="1041"/>
      <c r="Y3" s="1041"/>
      <c r="Z3" s="1041"/>
      <c r="AA3" s="1041"/>
      <c r="AB3" s="1041"/>
      <c r="AC3" s="1041"/>
      <c r="AD3" s="1041"/>
      <c r="AE3" s="1041"/>
      <c r="AF3" s="1041"/>
    </row>
    <row r="4" spans="2:43" ht="16.5" x14ac:dyDescent="0.35">
      <c r="B4" s="1055"/>
      <c r="C4" s="1041"/>
      <c r="D4" s="1041"/>
      <c r="E4" s="1041"/>
      <c r="F4" s="1041"/>
      <c r="G4" s="1041"/>
      <c r="H4" s="1041"/>
      <c r="I4" s="1041"/>
      <c r="J4" s="1041"/>
      <c r="K4" s="1041"/>
      <c r="L4" s="1041"/>
      <c r="M4" s="1041"/>
      <c r="N4" s="1041"/>
      <c r="O4" s="1041"/>
      <c r="P4" s="1041"/>
      <c r="Q4" s="1041"/>
      <c r="R4" s="1041"/>
      <c r="S4" s="1041"/>
      <c r="T4" s="1041"/>
      <c r="U4" s="1041"/>
      <c r="V4" s="1041"/>
      <c r="W4" s="1041"/>
      <c r="X4" s="1041"/>
      <c r="Y4" s="1041"/>
      <c r="Z4" s="1041"/>
      <c r="AA4" s="1041"/>
      <c r="AB4" s="1041"/>
      <c r="AC4" s="1041"/>
      <c r="AD4" s="1041"/>
      <c r="AE4" s="1041"/>
      <c r="AF4" s="1041"/>
    </row>
    <row r="5" spans="2:43" ht="17" thickBot="1" x14ac:dyDescent="0.4">
      <c r="B5" s="1054" t="s">
        <v>1635</v>
      </c>
      <c r="C5" s="1041"/>
      <c r="D5" s="1041"/>
      <c r="E5" s="1041"/>
      <c r="F5" s="1041"/>
      <c r="G5" s="1041"/>
      <c r="H5" s="1041"/>
      <c r="I5" s="1041"/>
      <c r="J5" s="1041"/>
      <c r="K5" s="1041"/>
      <c r="L5" s="1041"/>
      <c r="M5" s="1041"/>
      <c r="N5" s="1041"/>
      <c r="O5" s="1041"/>
      <c r="P5" s="1041"/>
      <c r="Q5" s="1041"/>
      <c r="R5" s="1041"/>
      <c r="S5" s="1041"/>
      <c r="T5" s="1041"/>
      <c r="U5" s="1041"/>
      <c r="V5" s="1041"/>
      <c r="W5" s="1041"/>
      <c r="X5" s="1041"/>
      <c r="Y5" s="1041"/>
      <c r="Z5" s="1041"/>
      <c r="AA5" s="1041"/>
      <c r="AB5" s="1041"/>
      <c r="AC5" s="1041"/>
      <c r="AD5" s="1041"/>
      <c r="AE5" s="1041"/>
      <c r="AF5" s="1041"/>
    </row>
    <row r="6" spans="2:43" ht="5" customHeight="1" thickTop="1" x14ac:dyDescent="0.35">
      <c r="B6" s="1056"/>
      <c r="C6" s="1057"/>
      <c r="D6" s="1057"/>
      <c r="E6" s="1057"/>
      <c r="F6" s="1057"/>
      <c r="G6" s="1057"/>
      <c r="H6" s="1057"/>
      <c r="I6" s="1057"/>
      <c r="J6" s="1057"/>
      <c r="K6" s="1057"/>
      <c r="L6" s="1057"/>
      <c r="M6" s="1057"/>
      <c r="N6" s="1057"/>
      <c r="O6" s="1057"/>
      <c r="P6" s="1057"/>
      <c r="Q6" s="1057"/>
      <c r="R6" s="1057"/>
      <c r="S6" s="1057"/>
      <c r="T6" s="1057"/>
      <c r="U6" s="1057"/>
      <c r="V6" s="1057"/>
      <c r="W6" s="1057"/>
      <c r="X6" s="1057"/>
      <c r="Y6" s="1057"/>
      <c r="Z6" s="1057"/>
      <c r="AA6" s="1057"/>
      <c r="AB6" s="1057"/>
      <c r="AC6" s="1057"/>
      <c r="AD6" s="1057"/>
      <c r="AE6" s="1057"/>
      <c r="AF6" s="1057"/>
      <c r="AG6" s="1057"/>
      <c r="AH6" s="1058"/>
    </row>
    <row r="7" spans="2:43" s="1101" customFormat="1" ht="24.75" customHeight="1" x14ac:dyDescent="0.35">
      <c r="B7" s="1097"/>
      <c r="C7" s="1104" t="s">
        <v>150</v>
      </c>
      <c r="D7" s="833" t="b">
        <v>1</v>
      </c>
      <c r="E7" s="3592" t="s">
        <v>1636</v>
      </c>
      <c r="F7" s="3592"/>
      <c r="G7" s="3592"/>
      <c r="H7" s="3592"/>
      <c r="I7" s="3592"/>
      <c r="J7" s="3592"/>
      <c r="K7" s="3592"/>
      <c r="L7" s="3592"/>
      <c r="M7" s="3592"/>
      <c r="N7" s="3592"/>
      <c r="O7" s="3592"/>
      <c r="P7" s="3592"/>
      <c r="Q7" s="3592"/>
      <c r="R7" s="3592"/>
      <c r="S7" s="3592"/>
      <c r="T7" s="3592"/>
      <c r="U7" s="3592"/>
      <c r="V7" s="3592"/>
      <c r="W7" s="3592"/>
      <c r="X7" s="3592"/>
      <c r="Y7" s="3592"/>
      <c r="Z7" s="3592"/>
      <c r="AA7" s="3592"/>
      <c r="AB7" s="3592"/>
      <c r="AC7" s="3592"/>
      <c r="AD7" s="3592"/>
      <c r="AE7" s="3592"/>
      <c r="AF7" s="3592"/>
      <c r="AG7" s="1099"/>
      <c r="AH7" s="1100"/>
      <c r="AI7" s="1099"/>
      <c r="AJ7" s="1099"/>
      <c r="AK7" s="1099"/>
      <c r="AL7" s="1099"/>
      <c r="AM7" s="1099"/>
      <c r="AN7" s="1099"/>
      <c r="AO7" s="1099"/>
      <c r="AP7" s="1099"/>
      <c r="AQ7" s="1099"/>
    </row>
    <row r="8" spans="2:43" s="1101" customFormat="1" ht="16" customHeight="1" x14ac:dyDescent="0.35">
      <c r="B8" s="1097"/>
      <c r="C8" s="1050" t="s">
        <v>151</v>
      </c>
      <c r="D8" s="833" t="b">
        <v>1</v>
      </c>
      <c r="E8" s="3599" t="s">
        <v>1637</v>
      </c>
      <c r="F8" s="3599"/>
      <c r="G8" s="3599"/>
      <c r="H8" s="3599"/>
      <c r="I8" s="3599"/>
      <c r="J8" s="3599"/>
      <c r="K8" s="3599"/>
      <c r="L8" s="3599"/>
      <c r="M8" s="3599"/>
      <c r="N8" s="3599"/>
      <c r="O8" s="3599"/>
      <c r="P8" s="3599"/>
      <c r="Q8" s="3599"/>
      <c r="R8" s="3599"/>
      <c r="S8" s="3599"/>
      <c r="T8" s="3599"/>
      <c r="U8" s="3599"/>
      <c r="V8" s="3599"/>
      <c r="W8" s="3599"/>
      <c r="X8" s="3599"/>
      <c r="Y8" s="3599"/>
      <c r="Z8" s="3599"/>
      <c r="AA8" s="3599"/>
      <c r="AB8" s="3599"/>
      <c r="AC8" s="3599"/>
      <c r="AD8" s="3599"/>
      <c r="AE8" s="3599"/>
      <c r="AF8" s="3599"/>
      <c r="AG8" s="1099"/>
      <c r="AH8" s="1100"/>
      <c r="AI8" s="1099"/>
      <c r="AJ8" s="1099"/>
      <c r="AK8" s="1099"/>
      <c r="AL8" s="1099"/>
      <c r="AM8" s="1099"/>
      <c r="AN8" s="1099"/>
      <c r="AO8" s="1099"/>
      <c r="AP8" s="1099"/>
      <c r="AQ8" s="1099"/>
    </row>
    <row r="9" spans="2:43" s="1101" customFormat="1" ht="16" customHeight="1" x14ac:dyDescent="0.35">
      <c r="B9" s="1097"/>
      <c r="C9" s="1050"/>
      <c r="D9" s="1124"/>
      <c r="E9" s="3599"/>
      <c r="F9" s="3599"/>
      <c r="G9" s="3599"/>
      <c r="H9" s="3599"/>
      <c r="I9" s="3599"/>
      <c r="J9" s="3599"/>
      <c r="K9" s="3599"/>
      <c r="L9" s="3599"/>
      <c r="M9" s="3599"/>
      <c r="N9" s="3599"/>
      <c r="O9" s="3599"/>
      <c r="P9" s="3599"/>
      <c r="Q9" s="3599"/>
      <c r="R9" s="3599"/>
      <c r="S9" s="3599"/>
      <c r="T9" s="3599"/>
      <c r="U9" s="3599"/>
      <c r="V9" s="3599"/>
      <c r="W9" s="3599"/>
      <c r="X9" s="3599"/>
      <c r="Y9" s="3599"/>
      <c r="Z9" s="3599"/>
      <c r="AA9" s="3599"/>
      <c r="AB9" s="3599"/>
      <c r="AC9" s="3599"/>
      <c r="AD9" s="3599"/>
      <c r="AE9" s="3599"/>
      <c r="AF9" s="3599"/>
      <c r="AG9" s="1099"/>
      <c r="AH9" s="1100"/>
      <c r="AI9" s="1099"/>
      <c r="AJ9" s="1099"/>
      <c r="AK9" s="1099"/>
      <c r="AL9" s="1099"/>
      <c r="AM9" s="1099"/>
      <c r="AN9" s="1099"/>
      <c r="AO9" s="1099"/>
      <c r="AP9" s="1099"/>
      <c r="AQ9" s="1099"/>
    </row>
    <row r="10" spans="2:43" s="1101" customFormat="1" ht="16" customHeight="1" x14ac:dyDescent="0.35">
      <c r="B10" s="1097"/>
      <c r="C10" s="1050" t="s">
        <v>152</v>
      </c>
      <c r="D10" s="833" t="b">
        <v>0</v>
      </c>
      <c r="E10" s="3599" t="s">
        <v>1638</v>
      </c>
      <c r="F10" s="3599"/>
      <c r="G10" s="3599"/>
      <c r="H10" s="3599"/>
      <c r="I10" s="3599"/>
      <c r="J10" s="3599"/>
      <c r="K10" s="3599"/>
      <c r="L10" s="3599"/>
      <c r="M10" s="3599"/>
      <c r="N10" s="3599"/>
      <c r="O10" s="3599"/>
      <c r="P10" s="3599"/>
      <c r="Q10" s="3599"/>
      <c r="R10" s="3599"/>
      <c r="S10" s="3599"/>
      <c r="T10" s="3599"/>
      <c r="U10" s="3599"/>
      <c r="V10" s="3599"/>
      <c r="W10" s="3599"/>
      <c r="X10" s="3599"/>
      <c r="Y10" s="3599"/>
      <c r="Z10" s="3599"/>
      <c r="AA10" s="3599"/>
      <c r="AB10" s="3599"/>
      <c r="AC10" s="3599"/>
      <c r="AD10" s="3599"/>
      <c r="AE10" s="3599"/>
      <c r="AF10" s="3599"/>
      <c r="AG10" s="1099"/>
      <c r="AH10" s="1100"/>
      <c r="AI10" s="1099"/>
      <c r="AJ10" s="1099"/>
      <c r="AK10" s="1099"/>
      <c r="AL10" s="1099"/>
      <c r="AM10" s="1099"/>
      <c r="AN10" s="1099"/>
      <c r="AO10" s="1099"/>
      <c r="AP10" s="1099"/>
      <c r="AQ10" s="1099"/>
    </row>
    <row r="11" spans="2:43" s="1101" customFormat="1" ht="16" customHeight="1" x14ac:dyDescent="0.35">
      <c r="B11" s="1097"/>
      <c r="C11" s="1050"/>
      <c r="D11" s="1124"/>
      <c r="E11" s="3599"/>
      <c r="F11" s="3599"/>
      <c r="G11" s="3599"/>
      <c r="H11" s="3599"/>
      <c r="I11" s="3599"/>
      <c r="J11" s="3599"/>
      <c r="K11" s="3599"/>
      <c r="L11" s="3599"/>
      <c r="M11" s="3599"/>
      <c r="N11" s="3599"/>
      <c r="O11" s="3599"/>
      <c r="P11" s="3599"/>
      <c r="Q11" s="3599"/>
      <c r="R11" s="3599"/>
      <c r="S11" s="3599"/>
      <c r="T11" s="3599"/>
      <c r="U11" s="3599"/>
      <c r="V11" s="3599"/>
      <c r="W11" s="3599"/>
      <c r="X11" s="3599"/>
      <c r="Y11" s="3599"/>
      <c r="Z11" s="3599"/>
      <c r="AA11" s="3599"/>
      <c r="AB11" s="3599"/>
      <c r="AC11" s="3599"/>
      <c r="AD11" s="3599"/>
      <c r="AE11" s="3599"/>
      <c r="AF11" s="3599"/>
      <c r="AG11" s="1099"/>
      <c r="AH11" s="1100"/>
      <c r="AI11" s="1099"/>
      <c r="AJ11" s="1099"/>
      <c r="AK11" s="1099"/>
      <c r="AL11" s="1099"/>
      <c r="AM11" s="1099"/>
      <c r="AN11" s="1099"/>
      <c r="AO11" s="1099"/>
      <c r="AP11" s="1099"/>
      <c r="AQ11" s="1099"/>
    </row>
    <row r="12" spans="2:43" s="1101" customFormat="1" ht="16" customHeight="1" x14ac:dyDescent="0.35">
      <c r="B12" s="1097"/>
      <c r="C12" s="1050" t="s">
        <v>155</v>
      </c>
      <c r="D12" s="833" t="b">
        <v>1</v>
      </c>
      <c r="E12" s="3599" t="s">
        <v>1639</v>
      </c>
      <c r="F12" s="3599"/>
      <c r="G12" s="3599"/>
      <c r="H12" s="3599"/>
      <c r="I12" s="3599"/>
      <c r="J12" s="3599"/>
      <c r="K12" s="3599"/>
      <c r="L12" s="3599"/>
      <c r="M12" s="3599"/>
      <c r="N12" s="3599"/>
      <c r="O12" s="3599"/>
      <c r="P12" s="3599"/>
      <c r="Q12" s="3599"/>
      <c r="R12" s="3599"/>
      <c r="S12" s="3599"/>
      <c r="T12" s="3599"/>
      <c r="U12" s="3599"/>
      <c r="V12" s="3599"/>
      <c r="W12" s="3599"/>
      <c r="X12" s="3599"/>
      <c r="Y12" s="3599"/>
      <c r="Z12" s="3599"/>
      <c r="AA12" s="3599"/>
      <c r="AB12" s="3599"/>
      <c r="AC12" s="3599"/>
      <c r="AD12" s="3599"/>
      <c r="AE12" s="3599"/>
      <c r="AF12" s="3599"/>
      <c r="AG12" s="1099"/>
      <c r="AH12" s="1100"/>
      <c r="AI12" s="1099"/>
      <c r="AJ12" s="1099"/>
      <c r="AK12" s="1099"/>
      <c r="AL12" s="1099"/>
      <c r="AM12" s="1099"/>
      <c r="AN12" s="1099"/>
      <c r="AO12" s="1099"/>
      <c r="AP12" s="1099"/>
      <c r="AQ12" s="1099"/>
    </row>
    <row r="13" spans="2:43" s="1101" customFormat="1" ht="16" customHeight="1" x14ac:dyDescent="0.35">
      <c r="B13" s="1097"/>
      <c r="C13" s="1050"/>
      <c r="D13" s="1124"/>
      <c r="E13" s="3599"/>
      <c r="F13" s="3599"/>
      <c r="G13" s="3599"/>
      <c r="H13" s="3599"/>
      <c r="I13" s="3599"/>
      <c r="J13" s="3599"/>
      <c r="K13" s="3599"/>
      <c r="L13" s="3599"/>
      <c r="M13" s="3599"/>
      <c r="N13" s="3599"/>
      <c r="O13" s="3599"/>
      <c r="P13" s="3599"/>
      <c r="Q13" s="3599"/>
      <c r="R13" s="3599"/>
      <c r="S13" s="3599"/>
      <c r="T13" s="3599"/>
      <c r="U13" s="3599"/>
      <c r="V13" s="3599"/>
      <c r="W13" s="3599"/>
      <c r="X13" s="3599"/>
      <c r="Y13" s="3599"/>
      <c r="Z13" s="3599"/>
      <c r="AA13" s="3599"/>
      <c r="AB13" s="3599"/>
      <c r="AC13" s="3599"/>
      <c r="AD13" s="3599"/>
      <c r="AE13" s="3599"/>
      <c r="AF13" s="3599"/>
      <c r="AG13" s="1099"/>
      <c r="AH13" s="1100"/>
      <c r="AI13" s="1099"/>
      <c r="AJ13" s="1099"/>
      <c r="AK13" s="1099"/>
      <c r="AL13" s="1099"/>
      <c r="AM13" s="1099"/>
      <c r="AN13" s="1099"/>
      <c r="AO13" s="1099"/>
      <c r="AP13" s="1099"/>
      <c r="AQ13" s="1099"/>
    </row>
    <row r="14" spans="2:43" s="1101" customFormat="1" ht="16" customHeight="1" x14ac:dyDescent="0.35">
      <c r="B14" s="1097"/>
      <c r="C14" s="1050" t="s">
        <v>156</v>
      </c>
      <c r="D14" s="833" t="b">
        <v>0</v>
      </c>
      <c r="E14" s="3599" t="s">
        <v>1640</v>
      </c>
      <c r="F14" s="3599"/>
      <c r="G14" s="3599"/>
      <c r="H14" s="3599"/>
      <c r="I14" s="3599"/>
      <c r="J14" s="3599"/>
      <c r="K14" s="3599"/>
      <c r="L14" s="3599"/>
      <c r="M14" s="3599"/>
      <c r="N14" s="3599"/>
      <c r="O14" s="3599"/>
      <c r="P14" s="3599"/>
      <c r="Q14" s="3599"/>
      <c r="R14" s="3599"/>
      <c r="S14" s="3599"/>
      <c r="T14" s="3599"/>
      <c r="U14" s="3599"/>
      <c r="V14" s="3599"/>
      <c r="W14" s="3599"/>
      <c r="X14" s="3599"/>
      <c r="Y14" s="3599"/>
      <c r="Z14" s="3599"/>
      <c r="AA14" s="3599"/>
      <c r="AB14" s="3599"/>
      <c r="AC14" s="3599"/>
      <c r="AD14" s="3599"/>
      <c r="AE14" s="3599"/>
      <c r="AF14" s="3599"/>
      <c r="AG14" s="1099"/>
      <c r="AH14" s="1100"/>
      <c r="AI14" s="1099"/>
      <c r="AJ14" s="1099"/>
      <c r="AK14" s="1099"/>
      <c r="AL14" s="1099"/>
      <c r="AM14" s="1099"/>
      <c r="AN14" s="1099"/>
      <c r="AO14" s="1099"/>
      <c r="AP14" s="1099"/>
      <c r="AQ14" s="1099"/>
    </row>
    <row r="15" spans="2:43" s="1101" customFormat="1" ht="16" customHeight="1" x14ac:dyDescent="0.35">
      <c r="B15" s="1097"/>
      <c r="C15" s="1050"/>
      <c r="D15" s="1124"/>
      <c r="E15" s="3599"/>
      <c r="F15" s="3599"/>
      <c r="G15" s="3599"/>
      <c r="H15" s="3599"/>
      <c r="I15" s="3599"/>
      <c r="J15" s="3599"/>
      <c r="K15" s="3599"/>
      <c r="L15" s="3599"/>
      <c r="M15" s="3599"/>
      <c r="N15" s="3599"/>
      <c r="O15" s="3599"/>
      <c r="P15" s="3599"/>
      <c r="Q15" s="3599"/>
      <c r="R15" s="3599"/>
      <c r="S15" s="3599"/>
      <c r="T15" s="3599"/>
      <c r="U15" s="3599"/>
      <c r="V15" s="3599"/>
      <c r="W15" s="3599"/>
      <c r="X15" s="3599"/>
      <c r="Y15" s="3599"/>
      <c r="Z15" s="3599"/>
      <c r="AA15" s="3599"/>
      <c r="AB15" s="3599"/>
      <c r="AC15" s="3599"/>
      <c r="AD15" s="3599"/>
      <c r="AE15" s="3599"/>
      <c r="AF15" s="3599"/>
      <c r="AG15" s="1099"/>
      <c r="AH15" s="1100"/>
      <c r="AI15" s="1099"/>
      <c r="AJ15" s="1099"/>
      <c r="AK15" s="1099"/>
      <c r="AL15" s="1099"/>
      <c r="AM15" s="1099"/>
      <c r="AN15" s="1099"/>
      <c r="AO15" s="1099"/>
      <c r="AP15" s="1099"/>
      <c r="AQ15" s="1099"/>
    </row>
    <row r="16" spans="2:43" x14ac:dyDescent="0.35">
      <c r="B16" s="1049"/>
      <c r="C16" s="1050" t="s">
        <v>157</v>
      </c>
      <c r="D16" s="3554" t="s">
        <v>1856</v>
      </c>
      <c r="E16" s="3554"/>
      <c r="F16" s="3554"/>
      <c r="G16" s="3554"/>
      <c r="H16" s="3554"/>
      <c r="I16" s="3554"/>
      <c r="J16" s="3554"/>
      <c r="K16" s="3554"/>
      <c r="L16" s="3554"/>
      <c r="M16" s="3554"/>
      <c r="N16" s="3554"/>
      <c r="O16" s="3554"/>
      <c r="P16" s="3554"/>
      <c r="Q16" s="3554"/>
      <c r="R16" s="3554"/>
      <c r="S16" s="3554"/>
      <c r="T16" s="3554"/>
      <c r="U16" s="3554"/>
      <c r="V16" s="3554"/>
      <c r="W16" s="3554"/>
      <c r="X16" s="3554"/>
      <c r="Y16" s="3554"/>
      <c r="Z16" s="3554"/>
      <c r="AA16" s="3554"/>
      <c r="AB16" s="3554"/>
      <c r="AC16" s="3554"/>
      <c r="AD16" s="3554"/>
      <c r="AE16" s="3554"/>
      <c r="AF16" s="3554"/>
      <c r="AG16" s="1052"/>
      <c r="AH16" s="1053"/>
    </row>
    <row r="17" spans="2:34" s="1132" customFormat="1" ht="19.75" customHeight="1" x14ac:dyDescent="0.35">
      <c r="B17" s="1136"/>
      <c r="D17" s="1140" t="s">
        <v>871</v>
      </c>
      <c r="E17" s="1141"/>
      <c r="H17" s="1141"/>
      <c r="L17" s="1141"/>
      <c r="M17" s="1141"/>
      <c r="N17" s="1141"/>
      <c r="O17" s="1141"/>
      <c r="P17" s="1141"/>
      <c r="Q17" s="1141"/>
      <c r="R17" s="1141"/>
      <c r="S17" s="1141"/>
      <c r="V17" s="413" t="s">
        <v>1641</v>
      </c>
      <c r="W17" s="1142"/>
      <c r="AH17" s="1139"/>
    </row>
    <row r="18" spans="2:34" s="1132" customFormat="1" ht="19.75" customHeight="1" x14ac:dyDescent="0.35">
      <c r="B18" s="1136"/>
      <c r="D18" s="1147" t="b">
        <v>0</v>
      </c>
      <c r="E18" s="1101" t="s">
        <v>850</v>
      </c>
      <c r="J18" s="1147" t="b">
        <v>1</v>
      </c>
      <c r="K18" s="1146" t="s">
        <v>95</v>
      </c>
      <c r="L18" s="1143"/>
      <c r="M18" s="1143"/>
      <c r="N18" s="1138"/>
      <c r="O18" s="1101"/>
      <c r="P18" s="1143"/>
      <c r="Q18" s="1143"/>
      <c r="R18" s="1143"/>
      <c r="S18" s="1143"/>
      <c r="V18" s="1147" t="b">
        <v>0</v>
      </c>
      <c r="W18" s="1101" t="s">
        <v>814</v>
      </c>
      <c r="AD18" s="1138"/>
      <c r="AE18" s="1138"/>
      <c r="AF18" s="1138"/>
      <c r="AG18" s="1101"/>
      <c r="AH18" s="1144"/>
    </row>
    <row r="19" spans="2:34" s="1132" customFormat="1" ht="19.75" customHeight="1" x14ac:dyDescent="0.35">
      <c r="B19" s="1136"/>
      <c r="D19" s="1147" t="b">
        <v>0</v>
      </c>
      <c r="E19" s="1146" t="s">
        <v>92</v>
      </c>
      <c r="J19" s="1147" t="b">
        <v>0</v>
      </c>
      <c r="K19" s="1146" t="s">
        <v>96</v>
      </c>
      <c r="L19" s="1143"/>
      <c r="M19" s="1143"/>
      <c r="N19" s="1138"/>
      <c r="O19" s="1101"/>
      <c r="P19" s="1143"/>
      <c r="Q19" s="1143"/>
      <c r="R19" s="1143"/>
      <c r="S19" s="1143"/>
      <c r="V19" s="1147" t="b">
        <v>0</v>
      </c>
      <c r="W19" s="1101" t="s">
        <v>847</v>
      </c>
      <c r="AD19" s="1138"/>
      <c r="AE19" s="1138"/>
      <c r="AF19" s="1138"/>
      <c r="AG19" s="1101"/>
      <c r="AH19" s="1144"/>
    </row>
    <row r="20" spans="2:34" s="1132" customFormat="1" ht="19.75" customHeight="1" x14ac:dyDescent="0.35">
      <c r="B20" s="1136"/>
      <c r="D20" s="1147" t="b">
        <v>1</v>
      </c>
      <c r="E20" s="1101" t="s">
        <v>93</v>
      </c>
      <c r="J20" s="1147" t="b">
        <v>0</v>
      </c>
      <c r="K20" s="1146" t="s">
        <v>91</v>
      </c>
      <c r="L20" s="1143"/>
      <c r="M20" s="1143"/>
      <c r="N20" s="1143"/>
      <c r="O20" s="1101"/>
      <c r="P20" s="1143"/>
      <c r="Q20" s="1143"/>
      <c r="R20" s="1143"/>
      <c r="S20" s="1143"/>
      <c r="V20" s="1147" t="b">
        <v>0</v>
      </c>
      <c r="W20" s="1101" t="s">
        <v>849</v>
      </c>
      <c r="AG20" s="402"/>
      <c r="AH20" s="404"/>
    </row>
    <row r="21" spans="2:34" s="1132" customFormat="1" ht="19.75" customHeight="1" x14ac:dyDescent="0.35">
      <c r="B21" s="1136"/>
      <c r="D21" s="1147" t="b">
        <v>0</v>
      </c>
      <c r="E21" s="1146" t="s">
        <v>94</v>
      </c>
      <c r="J21" s="1147" t="b">
        <v>1</v>
      </c>
      <c r="K21" s="1146" t="s">
        <v>848</v>
      </c>
      <c r="L21" s="1143"/>
      <c r="M21" s="1143"/>
      <c r="N21" s="1138"/>
      <c r="O21" s="695"/>
      <c r="P21" s="1143"/>
      <c r="Q21" s="1143"/>
      <c r="R21" s="1143"/>
      <c r="S21" s="1143"/>
      <c r="V21" s="1147" t="b">
        <v>0</v>
      </c>
      <c r="W21" s="1146" t="s">
        <v>848</v>
      </c>
      <c r="AA21" s="695"/>
      <c r="AD21" s="1138"/>
      <c r="AE21" s="1138"/>
      <c r="AF21" s="1138"/>
      <c r="AG21" s="1101"/>
      <c r="AH21" s="1144"/>
    </row>
    <row r="22" spans="2:34" s="1132" customFormat="1" ht="19.75" customHeight="1" x14ac:dyDescent="0.35">
      <c r="B22" s="1136"/>
      <c r="D22" s="833" t="b">
        <v>0</v>
      </c>
      <c r="E22" s="1101" t="s">
        <v>97</v>
      </c>
      <c r="J22" s="833" t="b">
        <v>0</v>
      </c>
      <c r="K22" s="807" t="s">
        <v>1093</v>
      </c>
      <c r="L22" s="1103"/>
      <c r="M22" s="1041"/>
      <c r="N22" s="1041"/>
      <c r="O22" s="3616"/>
      <c r="P22" s="3616"/>
      <c r="Q22" s="3616"/>
      <c r="R22" s="3616"/>
      <c r="S22" s="3616"/>
      <c r="T22" s="3616"/>
      <c r="V22" s="1147" t="b">
        <v>0</v>
      </c>
      <c r="W22" s="807" t="s">
        <v>1093</v>
      </c>
      <c r="X22" s="1103"/>
      <c r="Y22" s="1041"/>
      <c r="Z22" s="1041"/>
      <c r="AA22" s="3616"/>
      <c r="AB22" s="3616"/>
      <c r="AC22" s="3616"/>
      <c r="AD22" s="3616"/>
      <c r="AE22" s="3616"/>
      <c r="AF22" s="3616"/>
      <c r="AG22" s="1137"/>
      <c r="AH22" s="1139"/>
    </row>
    <row r="23" spans="2:34" s="1132" customFormat="1" ht="15" customHeight="1" x14ac:dyDescent="0.35">
      <c r="B23" s="1136"/>
      <c r="D23" s="1098"/>
      <c r="E23" s="1101"/>
      <c r="J23" s="1098"/>
      <c r="K23" s="807"/>
      <c r="L23" s="1103"/>
      <c r="M23" s="1041"/>
      <c r="N23" s="1041"/>
      <c r="O23" s="1148" t="str">
        <f>IF(AND(sch_implemented_others=TRUE,ISBLANK(sch_implemented_others_specify)), "Please specify.", IF(AND(sch_implemented_others=FALSE,(sch_implemented_others_specify&gt;0)), "Please check Others if you have entries.", ""))</f>
        <v/>
      </c>
      <c r="P23" s="1137"/>
      <c r="Q23" s="1137"/>
      <c r="R23" s="1137"/>
      <c r="S23" s="1137"/>
      <c r="T23" s="1137"/>
      <c r="V23" s="1138"/>
      <c r="W23" s="807"/>
      <c r="X23" s="1103"/>
      <c r="Y23" s="1041"/>
      <c r="Z23" s="1041"/>
      <c r="AA23" s="1148" t="str">
        <f>IF(AND(drm_humhazards_others=TRUE,ISBLANK(drm_humhazards_others_specify)), "Please specify.", IF(AND(drm_humhazards_others=FALSE,(drm_humhazards_others_specify&gt;0)), "Please check Others if you have entries.", ""))</f>
        <v/>
      </c>
      <c r="AB23" s="1137"/>
      <c r="AC23" s="1137"/>
      <c r="AD23" s="1137"/>
      <c r="AE23" s="1137"/>
      <c r="AF23" s="1137"/>
      <c r="AG23" s="1137"/>
      <c r="AH23" s="1139"/>
    </row>
    <row r="24" spans="2:34" ht="15.5" customHeight="1" x14ac:dyDescent="0.35">
      <c r="B24" s="1049"/>
      <c r="C24" s="1050" t="s">
        <v>159</v>
      </c>
      <c r="D24" s="3554" t="s">
        <v>1857</v>
      </c>
      <c r="E24" s="3554"/>
      <c r="F24" s="3554"/>
      <c r="G24" s="3554"/>
      <c r="H24" s="3554"/>
      <c r="I24" s="3554"/>
      <c r="J24" s="3554"/>
      <c r="K24" s="3554"/>
      <c r="L24" s="3554"/>
      <c r="M24" s="3554"/>
      <c r="N24" s="3554"/>
      <c r="O24" s="3554"/>
      <c r="P24" s="3554"/>
      <c r="Q24" s="3554"/>
      <c r="R24" s="3554"/>
      <c r="S24" s="3554"/>
      <c r="T24" s="3554"/>
      <c r="U24" s="3554"/>
      <c r="V24" s="3554"/>
      <c r="W24" s="3554"/>
      <c r="X24" s="3554"/>
      <c r="Y24" s="3554"/>
      <c r="Z24" s="3554"/>
      <c r="AA24" s="3554"/>
      <c r="AB24" s="3554"/>
      <c r="AC24" s="3554"/>
      <c r="AD24" s="3554"/>
      <c r="AE24" s="3554"/>
      <c r="AF24" s="3554"/>
      <c r="AG24" s="1052"/>
      <c r="AH24" s="1053"/>
    </row>
    <row r="25" spans="2:34" s="1132" customFormat="1" ht="19.75" customHeight="1" x14ac:dyDescent="0.35">
      <c r="B25" s="1136"/>
      <c r="D25" s="1140" t="s">
        <v>1642</v>
      </c>
      <c r="E25" s="1141"/>
      <c r="H25" s="1141"/>
      <c r="L25" s="1141"/>
      <c r="M25" s="1141"/>
      <c r="N25" s="1141"/>
      <c r="O25" s="1141"/>
      <c r="P25" s="1141"/>
      <c r="Q25" s="1141"/>
      <c r="R25" s="1141"/>
      <c r="S25" s="1141"/>
      <c r="V25" s="413"/>
      <c r="W25" s="1142"/>
      <c r="AH25" s="1139"/>
    </row>
    <row r="26" spans="2:34" s="1132" customFormat="1" ht="17" customHeight="1" x14ac:dyDescent="0.35">
      <c r="B26" s="1136"/>
      <c r="D26" s="1147" t="b">
        <v>0</v>
      </c>
      <c r="E26" s="3668" t="s">
        <v>1643</v>
      </c>
      <c r="F26" s="3668"/>
      <c r="G26" s="3668"/>
      <c r="H26" s="3668"/>
      <c r="I26" s="3668"/>
      <c r="J26" s="3668"/>
      <c r="K26" s="3668"/>
      <c r="L26" s="3668"/>
      <c r="M26" s="3668"/>
      <c r="N26" s="3668"/>
      <c r="O26" s="3668"/>
      <c r="P26" s="3668"/>
      <c r="Q26" s="1143"/>
      <c r="R26" s="1143"/>
      <c r="S26" s="1143"/>
      <c r="T26" s="1147" t="b">
        <v>1</v>
      </c>
      <c r="U26" s="3668" t="s">
        <v>1650</v>
      </c>
      <c r="V26" s="3668"/>
      <c r="W26" s="3668"/>
      <c r="X26" s="3668"/>
      <c r="Y26" s="3668"/>
      <c r="Z26" s="3668"/>
      <c r="AA26" s="3668"/>
      <c r="AB26" s="3668"/>
      <c r="AC26" s="3668"/>
      <c r="AD26" s="3668"/>
      <c r="AE26" s="3668"/>
      <c r="AF26" s="3668"/>
      <c r="AG26" s="1101"/>
      <c r="AH26" s="1144"/>
    </row>
    <row r="27" spans="2:34" s="1132" customFormat="1" ht="17" customHeight="1" x14ac:dyDescent="0.35">
      <c r="B27" s="1136"/>
      <c r="D27" s="1145"/>
      <c r="E27" s="3668"/>
      <c r="F27" s="3668"/>
      <c r="G27" s="3668"/>
      <c r="H27" s="3668"/>
      <c r="I27" s="3668"/>
      <c r="J27" s="3668"/>
      <c r="K27" s="3668"/>
      <c r="L27" s="3668"/>
      <c r="M27" s="3668"/>
      <c r="N27" s="3668"/>
      <c r="O27" s="3668"/>
      <c r="P27" s="3668"/>
      <c r="Q27" s="1143"/>
      <c r="R27" s="1143"/>
      <c r="S27" s="1143"/>
      <c r="T27" s="1138"/>
      <c r="U27" s="3668"/>
      <c r="V27" s="3668"/>
      <c r="W27" s="3668"/>
      <c r="X27" s="3668"/>
      <c r="Y27" s="3668"/>
      <c r="Z27" s="3668"/>
      <c r="AA27" s="3668"/>
      <c r="AB27" s="3668"/>
      <c r="AC27" s="3668"/>
      <c r="AD27" s="3668"/>
      <c r="AE27" s="3668"/>
      <c r="AF27" s="3668"/>
      <c r="AG27" s="1101"/>
      <c r="AH27" s="1144"/>
    </row>
    <row r="28" spans="2:34" s="1132" customFormat="1" ht="17" customHeight="1" x14ac:dyDescent="0.35">
      <c r="B28" s="1136"/>
      <c r="D28" s="1147" t="b">
        <v>1</v>
      </c>
      <c r="E28" s="3669" t="s">
        <v>1644</v>
      </c>
      <c r="F28" s="3669"/>
      <c r="G28" s="3669"/>
      <c r="H28" s="3669"/>
      <c r="I28" s="3669"/>
      <c r="J28" s="3669"/>
      <c r="K28" s="3669"/>
      <c r="L28" s="3669"/>
      <c r="M28" s="3669"/>
      <c r="N28" s="3669"/>
      <c r="O28" s="3669"/>
      <c r="P28" s="3669"/>
      <c r="Q28" s="1143"/>
      <c r="R28" s="1143"/>
      <c r="S28" s="1143"/>
      <c r="T28" s="1138"/>
      <c r="U28" s="3668"/>
      <c r="V28" s="3668"/>
      <c r="W28" s="3668"/>
      <c r="X28" s="3668"/>
      <c r="Y28" s="3668"/>
      <c r="Z28" s="3668"/>
      <c r="AA28" s="3668"/>
      <c r="AB28" s="3668"/>
      <c r="AC28" s="3668"/>
      <c r="AD28" s="3668"/>
      <c r="AE28" s="3668"/>
      <c r="AF28" s="3668"/>
      <c r="AG28" s="1101"/>
      <c r="AH28" s="1144"/>
    </row>
    <row r="29" spans="2:34" s="1132" customFormat="1" ht="17" customHeight="1" x14ac:dyDescent="0.35">
      <c r="B29" s="1136"/>
      <c r="D29" s="1147" t="b">
        <v>1</v>
      </c>
      <c r="E29" s="3669" t="s">
        <v>1645</v>
      </c>
      <c r="F29" s="3669"/>
      <c r="G29" s="3669"/>
      <c r="H29" s="3669"/>
      <c r="I29" s="3669"/>
      <c r="J29" s="3669"/>
      <c r="K29" s="3669"/>
      <c r="L29" s="3669"/>
      <c r="M29" s="3669"/>
      <c r="N29" s="3669"/>
      <c r="O29" s="3669"/>
      <c r="P29" s="3669"/>
      <c r="Q29" s="1143"/>
      <c r="R29" s="1143"/>
      <c r="S29" s="1143"/>
      <c r="T29" s="1147" t="b">
        <v>0</v>
      </c>
      <c r="U29" s="3669" t="s">
        <v>1651</v>
      </c>
      <c r="V29" s="3669"/>
      <c r="W29" s="3669"/>
      <c r="X29" s="3669"/>
      <c r="Y29" s="3669"/>
      <c r="Z29" s="3669"/>
      <c r="AA29" s="3669"/>
      <c r="AB29" s="3669"/>
      <c r="AC29" s="3669"/>
      <c r="AD29" s="3669"/>
      <c r="AE29" s="3669"/>
      <c r="AF29" s="3669"/>
      <c r="AG29" s="1101"/>
      <c r="AH29" s="1144"/>
    </row>
    <row r="30" spans="2:34" s="1132" customFormat="1" ht="17" customHeight="1" x14ac:dyDescent="0.35">
      <c r="B30" s="1136"/>
      <c r="D30" s="1138"/>
      <c r="E30" s="3669"/>
      <c r="F30" s="3669"/>
      <c r="G30" s="3669"/>
      <c r="H30" s="3669"/>
      <c r="I30" s="3669"/>
      <c r="J30" s="3669"/>
      <c r="K30" s="3669"/>
      <c r="L30" s="3669"/>
      <c r="M30" s="3669"/>
      <c r="N30" s="3669"/>
      <c r="O30" s="3669"/>
      <c r="P30" s="3669"/>
      <c r="Q30" s="1143"/>
      <c r="R30" s="1143"/>
      <c r="S30" s="1143"/>
      <c r="T30" s="1147" t="b">
        <v>0</v>
      </c>
      <c r="U30" s="3669" t="s">
        <v>1652</v>
      </c>
      <c r="V30" s="3669"/>
      <c r="W30" s="3669"/>
      <c r="X30" s="3669"/>
      <c r="Y30" s="3669"/>
      <c r="Z30" s="3669"/>
      <c r="AA30" s="3669"/>
      <c r="AB30" s="3669"/>
      <c r="AC30" s="3669"/>
      <c r="AD30" s="3669"/>
      <c r="AE30" s="3669"/>
      <c r="AF30" s="3669"/>
      <c r="AG30" s="1101"/>
      <c r="AH30" s="1144"/>
    </row>
    <row r="31" spans="2:34" s="1132" customFormat="1" ht="17" customHeight="1" x14ac:dyDescent="0.35">
      <c r="B31" s="1136"/>
      <c r="D31" s="1147" t="b">
        <v>0</v>
      </c>
      <c r="E31" s="3669" t="s">
        <v>1646</v>
      </c>
      <c r="F31" s="3669"/>
      <c r="G31" s="3669"/>
      <c r="H31" s="3669"/>
      <c r="I31" s="3669"/>
      <c r="J31" s="3669"/>
      <c r="K31" s="3669"/>
      <c r="L31" s="3669"/>
      <c r="M31" s="3669"/>
      <c r="N31" s="3669"/>
      <c r="O31" s="3669"/>
      <c r="P31" s="3669"/>
      <c r="Q31" s="1143"/>
      <c r="R31" s="1143"/>
      <c r="S31" s="1143"/>
      <c r="T31" s="1138"/>
      <c r="U31" s="3669"/>
      <c r="V31" s="3669"/>
      <c r="W31" s="3669"/>
      <c r="X31" s="3669"/>
      <c r="Y31" s="3669"/>
      <c r="Z31" s="3669"/>
      <c r="AA31" s="3669"/>
      <c r="AB31" s="3669"/>
      <c r="AC31" s="3669"/>
      <c r="AD31" s="3669"/>
      <c r="AE31" s="3669"/>
      <c r="AF31" s="3669"/>
      <c r="AG31" s="1101"/>
      <c r="AH31" s="1144"/>
    </row>
    <row r="32" spans="2:34" s="1132" customFormat="1" ht="17" customHeight="1" x14ac:dyDescent="0.35">
      <c r="B32" s="1136"/>
      <c r="D32" s="1138"/>
      <c r="E32" s="3669"/>
      <c r="F32" s="3669"/>
      <c r="G32" s="3669"/>
      <c r="H32" s="3669"/>
      <c r="I32" s="3669"/>
      <c r="J32" s="3669"/>
      <c r="K32" s="3669"/>
      <c r="L32" s="3669"/>
      <c r="M32" s="3669"/>
      <c r="N32" s="3669"/>
      <c r="O32" s="3669"/>
      <c r="P32" s="3669"/>
      <c r="Q32" s="1143"/>
      <c r="R32" s="1143"/>
      <c r="S32" s="1143"/>
      <c r="T32" s="1147" t="b">
        <v>0</v>
      </c>
      <c r="U32" s="3669" t="s">
        <v>1653</v>
      </c>
      <c r="V32" s="3669"/>
      <c r="W32" s="3669"/>
      <c r="X32" s="3669"/>
      <c r="Y32" s="3669"/>
      <c r="Z32" s="3669"/>
      <c r="AA32" s="3669"/>
      <c r="AB32" s="3669"/>
      <c r="AC32" s="3669"/>
      <c r="AD32" s="3669"/>
      <c r="AE32" s="3669"/>
      <c r="AF32" s="3669"/>
      <c r="AG32" s="1101"/>
      <c r="AH32" s="1144"/>
    </row>
    <row r="33" spans="2:43" s="1132" customFormat="1" ht="17" customHeight="1" x14ac:dyDescent="0.35">
      <c r="B33" s="1136"/>
      <c r="D33" s="1147" t="b">
        <v>0</v>
      </c>
      <c r="E33" s="3669" t="s">
        <v>1647</v>
      </c>
      <c r="F33" s="3669"/>
      <c r="G33" s="3669"/>
      <c r="H33" s="3669"/>
      <c r="I33" s="3669"/>
      <c r="J33" s="3669"/>
      <c r="K33" s="3669"/>
      <c r="L33" s="3669"/>
      <c r="M33" s="3669"/>
      <c r="N33" s="3669"/>
      <c r="O33" s="3669"/>
      <c r="P33" s="3669"/>
      <c r="Q33" s="1143"/>
      <c r="R33" s="1143"/>
      <c r="S33" s="1143"/>
      <c r="T33" s="1138"/>
      <c r="U33" s="3669"/>
      <c r="V33" s="3669"/>
      <c r="W33" s="3669"/>
      <c r="X33" s="3669"/>
      <c r="Y33" s="3669"/>
      <c r="Z33" s="3669"/>
      <c r="AA33" s="3669"/>
      <c r="AB33" s="3669"/>
      <c r="AC33" s="3669"/>
      <c r="AD33" s="3669"/>
      <c r="AE33" s="3669"/>
      <c r="AF33" s="3669"/>
      <c r="AG33" s="1101"/>
      <c r="AH33" s="1144"/>
    </row>
    <row r="34" spans="2:43" s="1132" customFormat="1" ht="17" customHeight="1" x14ac:dyDescent="0.35">
      <c r="B34" s="1136"/>
      <c r="D34" s="1147" t="b">
        <v>1</v>
      </c>
      <c r="E34" s="3669" t="s">
        <v>1648</v>
      </c>
      <c r="F34" s="3669"/>
      <c r="G34" s="3669"/>
      <c r="H34" s="3669"/>
      <c r="I34" s="3669"/>
      <c r="J34" s="3669"/>
      <c r="K34" s="3669"/>
      <c r="L34" s="3669"/>
      <c r="M34" s="3669"/>
      <c r="N34" s="3669"/>
      <c r="O34" s="3669"/>
      <c r="P34" s="3669"/>
      <c r="Q34" s="1143"/>
      <c r="R34" s="1143"/>
      <c r="S34" s="1143"/>
      <c r="T34" s="1147" t="b">
        <v>0</v>
      </c>
      <c r="U34" s="3669" t="s">
        <v>1654</v>
      </c>
      <c r="V34" s="3669"/>
      <c r="W34" s="3669"/>
      <c r="X34" s="3669"/>
      <c r="Y34" s="3669"/>
      <c r="Z34" s="3669"/>
      <c r="AA34" s="3669"/>
      <c r="AB34" s="3669"/>
      <c r="AC34" s="3669"/>
      <c r="AD34" s="3669"/>
      <c r="AE34" s="3669"/>
      <c r="AF34" s="3669"/>
      <c r="AG34" s="1101"/>
      <c r="AH34" s="1144"/>
    </row>
    <row r="35" spans="2:43" s="1132" customFormat="1" ht="17" customHeight="1" x14ac:dyDescent="0.35">
      <c r="B35" s="1136"/>
      <c r="D35" s="1138"/>
      <c r="E35" s="3669"/>
      <c r="F35" s="3669"/>
      <c r="G35" s="3669"/>
      <c r="H35" s="3669"/>
      <c r="I35" s="3669"/>
      <c r="J35" s="3669"/>
      <c r="K35" s="3669"/>
      <c r="L35" s="3669"/>
      <c r="M35" s="3669"/>
      <c r="N35" s="3669"/>
      <c r="O35" s="3669"/>
      <c r="P35" s="3669"/>
      <c r="Q35" s="1143"/>
      <c r="R35" s="1143"/>
      <c r="S35" s="1143"/>
      <c r="T35" s="1138"/>
      <c r="U35" s="3669"/>
      <c r="V35" s="3669"/>
      <c r="W35" s="3669"/>
      <c r="X35" s="3669"/>
      <c r="Y35" s="3669"/>
      <c r="Z35" s="3669"/>
      <c r="AA35" s="3669"/>
      <c r="AB35" s="3669"/>
      <c r="AC35" s="3669"/>
      <c r="AD35" s="3669"/>
      <c r="AE35" s="3669"/>
      <c r="AF35" s="3669"/>
      <c r="AG35" s="1101"/>
      <c r="AH35" s="1144"/>
    </row>
    <row r="36" spans="2:43" s="1132" customFormat="1" ht="17" customHeight="1" x14ac:dyDescent="0.35">
      <c r="B36" s="1136"/>
      <c r="D36" s="1147" t="b">
        <v>1</v>
      </c>
      <c r="E36" s="3669" t="s">
        <v>1649</v>
      </c>
      <c r="F36" s="3669"/>
      <c r="G36" s="3669"/>
      <c r="H36" s="3669"/>
      <c r="I36" s="3669"/>
      <c r="J36" s="3669"/>
      <c r="K36" s="3669"/>
      <c r="L36" s="3669"/>
      <c r="M36" s="3669"/>
      <c r="N36" s="3669"/>
      <c r="O36" s="3669"/>
      <c r="P36" s="3669"/>
      <c r="Q36" s="1143"/>
      <c r="R36" s="1143"/>
      <c r="S36" s="1143"/>
      <c r="T36" s="1147" t="b">
        <v>0</v>
      </c>
      <c r="U36" s="3669" t="s">
        <v>1655</v>
      </c>
      <c r="V36" s="3669"/>
      <c r="W36" s="3669"/>
      <c r="X36" s="3669"/>
      <c r="Y36" s="3669"/>
      <c r="Z36" s="3669"/>
      <c r="AA36" s="3669"/>
      <c r="AB36" s="3669"/>
      <c r="AC36" s="3669"/>
      <c r="AD36" s="3669"/>
      <c r="AE36" s="3669"/>
      <c r="AF36" s="3669"/>
      <c r="AG36" s="1101"/>
      <c r="AH36" s="1144"/>
    </row>
    <row r="37" spans="2:43" s="1132" customFormat="1" ht="12" customHeight="1" x14ac:dyDescent="0.35">
      <c r="B37" s="1136"/>
      <c r="D37" s="1098"/>
      <c r="E37" s="1101"/>
      <c r="J37" s="1098"/>
      <c r="K37" s="807"/>
      <c r="L37" s="1103"/>
      <c r="M37" s="1041"/>
      <c r="N37" s="1041"/>
      <c r="O37" s="1137"/>
      <c r="P37" s="1137"/>
      <c r="Q37" s="1137"/>
      <c r="R37" s="1137"/>
      <c r="S37" s="1137"/>
      <c r="T37" s="1137"/>
      <c r="V37" s="1138"/>
      <c r="W37" s="807"/>
      <c r="X37" s="1103"/>
      <c r="Y37" s="1041"/>
      <c r="Z37" s="1041"/>
      <c r="AA37" s="1137"/>
      <c r="AB37" s="1137"/>
      <c r="AC37" s="1137"/>
      <c r="AD37" s="1137"/>
      <c r="AE37" s="1137"/>
      <c r="AF37" s="1137"/>
      <c r="AG37" s="1137"/>
      <c r="AH37" s="1139"/>
    </row>
    <row r="38" spans="2:43" s="1132" customFormat="1" ht="19.75" customHeight="1" x14ac:dyDescent="0.35">
      <c r="B38" s="1136"/>
      <c r="D38" s="1140" t="s">
        <v>1656</v>
      </c>
      <c r="E38" s="1141"/>
      <c r="H38" s="1141"/>
      <c r="L38" s="1141"/>
      <c r="M38" s="1141"/>
      <c r="N38" s="1141"/>
      <c r="O38" s="1141"/>
      <c r="P38" s="1141"/>
      <c r="Q38" s="1141"/>
      <c r="R38" s="1141"/>
      <c r="S38" s="1141"/>
      <c r="V38" s="413"/>
      <c r="W38" s="1142"/>
      <c r="AH38" s="1139"/>
    </row>
    <row r="39" spans="2:43" s="1132" customFormat="1" ht="17" customHeight="1" x14ac:dyDescent="0.35">
      <c r="B39" s="1136"/>
      <c r="D39" s="1147" t="b">
        <v>1</v>
      </c>
      <c r="E39" s="3669" t="s">
        <v>1657</v>
      </c>
      <c r="F39" s="3669"/>
      <c r="G39" s="3669"/>
      <c r="H39" s="3669"/>
      <c r="I39" s="3669"/>
      <c r="J39" s="3669"/>
      <c r="K39" s="3669"/>
      <c r="L39" s="3669"/>
      <c r="M39" s="3669"/>
      <c r="N39" s="3669"/>
      <c r="O39" s="3669"/>
      <c r="P39" s="3669"/>
      <c r="Q39" s="1143"/>
      <c r="R39" s="1143"/>
      <c r="S39" s="1143"/>
      <c r="T39" s="1147" t="b">
        <v>0</v>
      </c>
      <c r="U39" s="3669" t="s">
        <v>1659</v>
      </c>
      <c r="V39" s="3669"/>
      <c r="W39" s="3669"/>
      <c r="X39" s="3669"/>
      <c r="Y39" s="3669"/>
      <c r="Z39" s="3669"/>
      <c r="AA39" s="3669"/>
      <c r="AB39" s="3669"/>
      <c r="AC39" s="3669"/>
      <c r="AD39" s="3669"/>
      <c r="AE39" s="3669"/>
      <c r="AF39" s="3669"/>
      <c r="AG39" s="1101"/>
      <c r="AH39" s="1144"/>
    </row>
    <row r="40" spans="2:43" s="1132" customFormat="1" ht="17" customHeight="1" x14ac:dyDescent="0.35">
      <c r="B40" s="1136"/>
      <c r="D40" s="1138"/>
      <c r="E40" s="3669"/>
      <c r="F40" s="3669"/>
      <c r="G40" s="3669"/>
      <c r="H40" s="3669"/>
      <c r="I40" s="3669"/>
      <c r="J40" s="3669"/>
      <c r="K40" s="3669"/>
      <c r="L40" s="3669"/>
      <c r="M40" s="3669"/>
      <c r="N40" s="3669"/>
      <c r="O40" s="3669"/>
      <c r="P40" s="3669"/>
      <c r="Q40" s="1143"/>
      <c r="R40" s="1143"/>
      <c r="S40" s="1143"/>
      <c r="T40" s="1138"/>
      <c r="U40" s="3669"/>
      <c r="V40" s="3669"/>
      <c r="W40" s="3669"/>
      <c r="X40" s="3669"/>
      <c r="Y40" s="3669"/>
      <c r="Z40" s="3669"/>
      <c r="AA40" s="3669"/>
      <c r="AB40" s="3669"/>
      <c r="AC40" s="3669"/>
      <c r="AD40" s="3669"/>
      <c r="AE40" s="3669"/>
      <c r="AF40" s="3669"/>
      <c r="AG40" s="1101"/>
      <c r="AH40" s="1144"/>
    </row>
    <row r="41" spans="2:43" s="1132" customFormat="1" ht="17" customHeight="1" x14ac:dyDescent="0.35">
      <c r="B41" s="1136"/>
      <c r="D41" s="1138"/>
      <c r="E41" s="3669"/>
      <c r="F41" s="3669"/>
      <c r="G41" s="3669"/>
      <c r="H41" s="3669"/>
      <c r="I41" s="3669"/>
      <c r="J41" s="3669"/>
      <c r="K41" s="3669"/>
      <c r="L41" s="3669"/>
      <c r="M41" s="3669"/>
      <c r="N41" s="3669"/>
      <c r="O41" s="3669"/>
      <c r="P41" s="3669"/>
      <c r="Q41" s="1143"/>
      <c r="R41" s="1143"/>
      <c r="S41" s="1143"/>
      <c r="T41" s="1147" t="b">
        <v>0</v>
      </c>
      <c r="U41" s="3669" t="s">
        <v>1660</v>
      </c>
      <c r="V41" s="3669"/>
      <c r="W41" s="3669"/>
      <c r="X41" s="3669"/>
      <c r="Y41" s="3669"/>
      <c r="Z41" s="3669"/>
      <c r="AA41" s="3669"/>
      <c r="AB41" s="3669"/>
      <c r="AC41" s="3669"/>
      <c r="AD41" s="3669"/>
      <c r="AE41" s="3669"/>
      <c r="AF41" s="3669"/>
      <c r="AG41" s="1101"/>
      <c r="AH41" s="1144"/>
    </row>
    <row r="42" spans="2:43" s="1132" customFormat="1" ht="17" customHeight="1" x14ac:dyDescent="0.35">
      <c r="B42" s="1136"/>
      <c r="D42" s="1147" t="b">
        <v>1</v>
      </c>
      <c r="E42" s="3669" t="s">
        <v>1658</v>
      </c>
      <c r="F42" s="3669"/>
      <c r="G42" s="3669"/>
      <c r="H42" s="3669"/>
      <c r="I42" s="3669"/>
      <c r="J42" s="3669"/>
      <c r="K42" s="3669"/>
      <c r="L42" s="3669"/>
      <c r="M42" s="3669"/>
      <c r="N42" s="3669"/>
      <c r="O42" s="3669"/>
      <c r="P42" s="3669"/>
      <c r="Q42" s="1143"/>
      <c r="R42" s="1143"/>
      <c r="S42" s="1143"/>
      <c r="T42" s="1138"/>
      <c r="U42" s="3669"/>
      <c r="V42" s="3669"/>
      <c r="W42" s="3669"/>
      <c r="X42" s="3669"/>
      <c r="Y42" s="3669"/>
      <c r="Z42" s="3669"/>
      <c r="AA42" s="3669"/>
      <c r="AB42" s="3669"/>
      <c r="AC42" s="3669"/>
      <c r="AD42" s="3669"/>
      <c r="AE42" s="3669"/>
      <c r="AF42" s="3669"/>
      <c r="AG42" s="1101"/>
      <c r="AH42" s="1144"/>
    </row>
    <row r="43" spans="2:43" s="1132" customFormat="1" ht="5" customHeight="1" x14ac:dyDescent="0.35">
      <c r="B43" s="1136"/>
      <c r="D43" s="1098"/>
      <c r="E43" s="1101"/>
      <c r="J43" s="1098"/>
      <c r="K43" s="807"/>
      <c r="L43" s="1103"/>
      <c r="M43" s="1041"/>
      <c r="N43" s="1041"/>
      <c r="O43" s="1137"/>
      <c r="P43" s="1137"/>
      <c r="Q43" s="1137"/>
      <c r="R43" s="1137"/>
      <c r="S43" s="1137"/>
      <c r="T43" s="1137"/>
      <c r="V43" s="1138"/>
      <c r="W43" s="807"/>
      <c r="X43" s="1103"/>
      <c r="Y43" s="1041"/>
      <c r="Z43" s="1041"/>
      <c r="AA43" s="1137"/>
      <c r="AB43" s="1137"/>
      <c r="AC43" s="1137"/>
      <c r="AD43" s="1137"/>
      <c r="AE43" s="1137"/>
      <c r="AF43" s="1137"/>
      <c r="AG43" s="1137"/>
      <c r="AH43" s="1139"/>
    </row>
    <row r="44" spans="2:43" ht="19.5" customHeight="1" x14ac:dyDescent="0.35">
      <c r="B44" s="1049"/>
      <c r="C44" s="1050" t="s">
        <v>153</v>
      </c>
      <c r="D44" s="3554" t="s">
        <v>1858</v>
      </c>
      <c r="E44" s="3554"/>
      <c r="F44" s="3554"/>
      <c r="G44" s="3554"/>
      <c r="H44" s="3554"/>
      <c r="I44" s="3554"/>
      <c r="J44" s="3554"/>
      <c r="K44" s="3554"/>
      <c r="L44" s="3554"/>
      <c r="M44" s="3554"/>
      <c r="N44" s="3554"/>
      <c r="O44" s="3554"/>
      <c r="P44" s="3554"/>
      <c r="Q44" s="3554"/>
      <c r="R44" s="3554"/>
      <c r="S44" s="3554"/>
      <c r="T44" s="3554"/>
      <c r="U44" s="3554"/>
      <c r="V44" s="3554"/>
      <c r="W44" s="3554"/>
      <c r="X44" s="3554"/>
      <c r="Y44" s="3554"/>
      <c r="Z44" s="3554"/>
      <c r="AA44" s="3554"/>
      <c r="AB44" s="3554"/>
      <c r="AC44" s="3554"/>
      <c r="AD44" s="3554"/>
      <c r="AE44" s="3554"/>
      <c r="AF44" s="3554"/>
      <c r="AG44" s="1052"/>
      <c r="AH44" s="1053"/>
    </row>
    <row r="45" spans="2:43" ht="17" customHeight="1" x14ac:dyDescent="0.35">
      <c r="B45" s="1049"/>
      <c r="C45" s="1050"/>
      <c r="D45" s="1041"/>
      <c r="E45" s="1041"/>
      <c r="F45" s="1041"/>
      <c r="G45" s="833" t="b">
        <v>1</v>
      </c>
      <c r="H45" s="1102" t="s">
        <v>448</v>
      </c>
      <c r="I45" s="1041"/>
      <c r="J45" s="1041"/>
      <c r="K45" s="1041"/>
      <c r="L45" s="833" t="b">
        <v>1</v>
      </c>
      <c r="M45" s="1102" t="s">
        <v>852</v>
      </c>
      <c r="N45" s="1041"/>
      <c r="O45" s="1041"/>
      <c r="P45" s="1041"/>
      <c r="Q45" s="1103"/>
      <c r="R45" s="833" t="b">
        <v>1</v>
      </c>
      <c r="S45" s="1102" t="s">
        <v>263</v>
      </c>
      <c r="T45" s="1103"/>
      <c r="U45" s="1103"/>
      <c r="V45" s="1041"/>
      <c r="W45" s="833" t="b">
        <v>1</v>
      </c>
      <c r="X45" s="1102" t="s">
        <v>60</v>
      </c>
      <c r="Y45" s="1103"/>
      <c r="Z45" s="1103"/>
      <c r="AA45" s="1041"/>
      <c r="AB45" s="833" t="b">
        <v>1</v>
      </c>
      <c r="AC45" s="1102" t="s">
        <v>851</v>
      </c>
      <c r="AD45" s="1103"/>
      <c r="AE45" s="1103"/>
      <c r="AF45" s="1103"/>
      <c r="AG45" s="1052"/>
      <c r="AH45" s="1053"/>
    </row>
    <row r="46" spans="2:43" s="1101" customFormat="1" ht="16" customHeight="1" x14ac:dyDescent="0.35">
      <c r="B46" s="1097"/>
      <c r="C46" s="1050" t="s">
        <v>154</v>
      </c>
      <c r="D46" s="833" t="b">
        <v>0</v>
      </c>
      <c r="E46" s="3599" t="s">
        <v>1661</v>
      </c>
      <c r="F46" s="3599"/>
      <c r="G46" s="3599"/>
      <c r="H46" s="3599"/>
      <c r="I46" s="3599"/>
      <c r="J46" s="3599"/>
      <c r="K46" s="3599"/>
      <c r="L46" s="3599"/>
      <c r="M46" s="3599"/>
      <c r="N46" s="3599"/>
      <c r="O46" s="3599"/>
      <c r="P46" s="3599"/>
      <c r="Q46" s="3599"/>
      <c r="R46" s="3599"/>
      <c r="S46" s="3599"/>
      <c r="T46" s="3599"/>
      <c r="U46" s="3599"/>
      <c r="V46" s="3599"/>
      <c r="W46" s="3599"/>
      <c r="X46" s="3599"/>
      <c r="Y46" s="3599"/>
      <c r="Z46" s="3599"/>
      <c r="AA46" s="3599"/>
      <c r="AB46" s="3599"/>
      <c r="AC46" s="3599"/>
      <c r="AD46" s="3599"/>
      <c r="AE46" s="3599"/>
      <c r="AF46" s="3599"/>
      <c r="AG46" s="1099"/>
      <c r="AH46" s="1100"/>
      <c r="AI46" s="1099"/>
      <c r="AJ46" s="1099"/>
      <c r="AK46" s="1099"/>
      <c r="AL46" s="1099"/>
      <c r="AM46" s="1099"/>
      <c r="AN46" s="1099"/>
      <c r="AO46" s="1099"/>
      <c r="AP46" s="1099"/>
      <c r="AQ46" s="1099"/>
    </row>
    <row r="47" spans="2:43" s="1101" customFormat="1" ht="16" customHeight="1" x14ac:dyDescent="0.35">
      <c r="B47" s="1097"/>
      <c r="C47" s="1050"/>
      <c r="D47" s="1124"/>
      <c r="E47" s="3599"/>
      <c r="F47" s="3599"/>
      <c r="G47" s="3599"/>
      <c r="H47" s="3599"/>
      <c r="I47" s="3599"/>
      <c r="J47" s="3599"/>
      <c r="K47" s="3599"/>
      <c r="L47" s="3599"/>
      <c r="M47" s="3599"/>
      <c r="N47" s="3599"/>
      <c r="O47" s="3599"/>
      <c r="P47" s="3599"/>
      <c r="Q47" s="3599"/>
      <c r="R47" s="3599"/>
      <c r="S47" s="3599"/>
      <c r="T47" s="3599"/>
      <c r="U47" s="3599"/>
      <c r="V47" s="3599"/>
      <c r="W47" s="3599"/>
      <c r="X47" s="3599"/>
      <c r="Y47" s="3599"/>
      <c r="Z47" s="3599"/>
      <c r="AA47" s="3599"/>
      <c r="AB47" s="3599"/>
      <c r="AC47" s="3599"/>
      <c r="AD47" s="3599"/>
      <c r="AE47" s="3599"/>
      <c r="AF47" s="3599"/>
      <c r="AG47" s="1099"/>
      <c r="AH47" s="1100"/>
      <c r="AI47" s="1099"/>
      <c r="AJ47" s="1099"/>
      <c r="AK47" s="1099"/>
      <c r="AL47" s="1099"/>
      <c r="AM47" s="1099"/>
      <c r="AN47" s="1099"/>
      <c r="AO47" s="1099"/>
      <c r="AP47" s="1099"/>
      <c r="AQ47" s="1099"/>
    </row>
    <row r="48" spans="2:43" s="1101" customFormat="1" ht="16" customHeight="1" x14ac:dyDescent="0.35">
      <c r="B48" s="1097"/>
      <c r="C48" s="1050" t="s">
        <v>160</v>
      </c>
      <c r="D48" s="833" t="b">
        <v>1</v>
      </c>
      <c r="E48" s="3599" t="s">
        <v>1662</v>
      </c>
      <c r="F48" s="3599"/>
      <c r="G48" s="3599"/>
      <c r="H48" s="3599"/>
      <c r="I48" s="3599"/>
      <c r="J48" s="3599"/>
      <c r="K48" s="3599"/>
      <c r="L48" s="3599"/>
      <c r="M48" s="3599"/>
      <c r="N48" s="3599"/>
      <c r="O48" s="3599"/>
      <c r="P48" s="3599"/>
      <c r="Q48" s="3599"/>
      <c r="R48" s="3599"/>
      <c r="S48" s="3599"/>
      <c r="T48" s="3599"/>
      <c r="U48" s="3599"/>
      <c r="V48" s="3599"/>
      <c r="W48" s="3599"/>
      <c r="X48" s="3599"/>
      <c r="Y48" s="3599"/>
      <c r="Z48" s="3599"/>
      <c r="AA48" s="3599"/>
      <c r="AB48" s="3599"/>
      <c r="AC48" s="3599"/>
      <c r="AD48" s="3599"/>
      <c r="AE48" s="3599"/>
      <c r="AF48" s="3599"/>
      <c r="AG48" s="1099"/>
      <c r="AH48" s="1100"/>
      <c r="AI48" s="1099"/>
      <c r="AJ48" s="1099"/>
      <c r="AK48" s="1099"/>
      <c r="AL48" s="1099"/>
      <c r="AM48" s="1099"/>
      <c r="AN48" s="1099"/>
      <c r="AO48" s="1099"/>
      <c r="AP48" s="1099"/>
      <c r="AQ48" s="1099"/>
    </row>
    <row r="49" spans="2:43" s="1101" customFormat="1" ht="16" customHeight="1" x14ac:dyDescent="0.35">
      <c r="B49" s="1097"/>
      <c r="C49" s="1050"/>
      <c r="D49" s="1124"/>
      <c r="E49" s="3599"/>
      <c r="F49" s="3599"/>
      <c r="G49" s="3599"/>
      <c r="H49" s="3599"/>
      <c r="I49" s="3599"/>
      <c r="J49" s="3599"/>
      <c r="K49" s="3599"/>
      <c r="L49" s="3599"/>
      <c r="M49" s="3599"/>
      <c r="N49" s="3599"/>
      <c r="O49" s="3599"/>
      <c r="P49" s="3599"/>
      <c r="Q49" s="3599"/>
      <c r="R49" s="3599"/>
      <c r="S49" s="3599"/>
      <c r="T49" s="3599"/>
      <c r="U49" s="3599"/>
      <c r="V49" s="3599"/>
      <c r="W49" s="3599"/>
      <c r="X49" s="3599"/>
      <c r="Y49" s="3599"/>
      <c r="Z49" s="3599"/>
      <c r="AA49" s="3599"/>
      <c r="AB49" s="3599"/>
      <c r="AC49" s="3599"/>
      <c r="AD49" s="3599"/>
      <c r="AE49" s="3599"/>
      <c r="AF49" s="3599"/>
      <c r="AG49" s="1099"/>
      <c r="AH49" s="1100"/>
      <c r="AI49" s="1099"/>
      <c r="AJ49" s="1099"/>
      <c r="AK49" s="1099"/>
      <c r="AL49" s="1099"/>
      <c r="AM49" s="1099"/>
      <c r="AN49" s="1099"/>
      <c r="AO49" s="1099"/>
      <c r="AP49" s="1099"/>
      <c r="AQ49" s="1099"/>
    </row>
    <row r="50" spans="2:43" s="1101" customFormat="1" ht="17" customHeight="1" x14ac:dyDescent="0.35">
      <c r="B50" s="1097"/>
      <c r="C50" s="1104" t="s">
        <v>158</v>
      </c>
      <c r="D50" s="833" t="b">
        <v>1</v>
      </c>
      <c r="E50" s="3667" t="s">
        <v>1663</v>
      </c>
      <c r="F50" s="3667"/>
      <c r="G50" s="3667"/>
      <c r="H50" s="3667"/>
      <c r="I50" s="3667"/>
      <c r="J50" s="3667"/>
      <c r="K50" s="3667"/>
      <c r="L50" s="3667"/>
      <c r="M50" s="3667"/>
      <c r="N50" s="3667"/>
      <c r="O50" s="3667"/>
      <c r="P50" s="3667"/>
      <c r="Q50" s="3667"/>
      <c r="R50" s="3667"/>
      <c r="S50" s="3667"/>
      <c r="T50" s="3667"/>
      <c r="U50" s="3667"/>
      <c r="V50" s="3667"/>
      <c r="W50" s="3667"/>
      <c r="X50" s="3667"/>
      <c r="Y50" s="3667"/>
      <c r="Z50" s="3667"/>
      <c r="AA50" s="3667"/>
      <c r="AB50" s="3667"/>
      <c r="AC50" s="3667"/>
      <c r="AD50" s="3667"/>
      <c r="AE50" s="3667"/>
      <c r="AF50" s="3667"/>
      <c r="AG50" s="1099"/>
      <c r="AH50" s="1100"/>
      <c r="AI50" s="1099"/>
      <c r="AJ50" s="1099"/>
      <c r="AK50" s="1099"/>
      <c r="AL50" s="1099"/>
      <c r="AM50" s="1099"/>
      <c r="AN50" s="1099"/>
      <c r="AO50" s="1099"/>
      <c r="AP50" s="1099"/>
      <c r="AQ50" s="1099"/>
    </row>
    <row r="51" spans="2:43" s="1101" customFormat="1" ht="17" customHeight="1" x14ac:dyDescent="0.35">
      <c r="B51" s="1097"/>
      <c r="C51" s="1104" t="s">
        <v>660</v>
      </c>
      <c r="D51" s="833" t="b">
        <v>1</v>
      </c>
      <c r="E51" s="3667" t="s">
        <v>864</v>
      </c>
      <c r="F51" s="3667"/>
      <c r="G51" s="3667"/>
      <c r="H51" s="3667"/>
      <c r="I51" s="3667"/>
      <c r="J51" s="3667"/>
      <c r="K51" s="3667"/>
      <c r="L51" s="3667"/>
      <c r="M51" s="3667"/>
      <c r="N51" s="3667"/>
      <c r="O51" s="3667"/>
      <c r="P51" s="3667"/>
      <c r="Q51" s="3667"/>
      <c r="R51" s="3667"/>
      <c r="S51" s="3667"/>
      <c r="T51" s="3667"/>
      <c r="U51" s="3667"/>
      <c r="V51" s="3667"/>
      <c r="W51" s="3667"/>
      <c r="X51" s="3667"/>
      <c r="Y51" s="3667"/>
      <c r="Z51" s="3667"/>
      <c r="AA51" s="3667"/>
      <c r="AB51" s="3667"/>
      <c r="AC51" s="3667"/>
      <c r="AD51" s="3667"/>
      <c r="AE51" s="3667"/>
      <c r="AF51" s="3667"/>
      <c r="AG51" s="1099"/>
      <c r="AH51" s="1100"/>
      <c r="AI51" s="1099"/>
      <c r="AJ51" s="1099"/>
      <c r="AK51" s="1099"/>
      <c r="AL51" s="1099"/>
      <c r="AM51" s="1099"/>
      <c r="AN51" s="1099"/>
      <c r="AO51" s="1099"/>
      <c r="AP51" s="1099"/>
      <c r="AQ51" s="1099"/>
    </row>
    <row r="52" spans="2:43" s="1101" customFormat="1" ht="17" customHeight="1" x14ac:dyDescent="0.35">
      <c r="B52" s="1097"/>
      <c r="C52" s="1104" t="s">
        <v>671</v>
      </c>
      <c r="D52" s="833" t="b">
        <v>0</v>
      </c>
      <c r="E52" s="3667" t="s">
        <v>1664</v>
      </c>
      <c r="F52" s="3667"/>
      <c r="G52" s="3667"/>
      <c r="H52" s="3667"/>
      <c r="I52" s="3667"/>
      <c r="J52" s="3667"/>
      <c r="K52" s="3667"/>
      <c r="L52" s="3667"/>
      <c r="M52" s="3667"/>
      <c r="N52" s="3667"/>
      <c r="O52" s="3667"/>
      <c r="P52" s="3667"/>
      <c r="Q52" s="3667"/>
      <c r="R52" s="3667"/>
      <c r="S52" s="3667"/>
      <c r="T52" s="3667"/>
      <c r="U52" s="3667"/>
      <c r="V52" s="3667"/>
      <c r="W52" s="3667"/>
      <c r="X52" s="3667"/>
      <c r="Y52" s="3667"/>
      <c r="Z52" s="3667"/>
      <c r="AA52" s="3667"/>
      <c r="AB52" s="3667"/>
      <c r="AC52" s="3667"/>
      <c r="AD52" s="3667"/>
      <c r="AE52" s="3667"/>
      <c r="AF52" s="3667"/>
      <c r="AG52" s="1099"/>
      <c r="AH52" s="1100"/>
      <c r="AI52" s="1099"/>
      <c r="AJ52" s="1099"/>
      <c r="AK52" s="1099"/>
      <c r="AL52" s="1099"/>
      <c r="AM52" s="1099"/>
      <c r="AN52" s="1099"/>
      <c r="AO52" s="1099"/>
      <c r="AP52" s="1099"/>
      <c r="AQ52" s="1099"/>
    </row>
    <row r="53" spans="2:43" s="1101" customFormat="1" ht="17" customHeight="1" x14ac:dyDescent="0.35">
      <c r="B53" s="1097"/>
      <c r="C53" s="1104" t="s">
        <v>672</v>
      </c>
      <c r="D53" s="833" t="b">
        <v>0</v>
      </c>
      <c r="E53" s="3667" t="s">
        <v>1665</v>
      </c>
      <c r="F53" s="3667"/>
      <c r="G53" s="3667"/>
      <c r="H53" s="3667"/>
      <c r="I53" s="3667"/>
      <c r="J53" s="3667"/>
      <c r="K53" s="3667"/>
      <c r="L53" s="3667"/>
      <c r="M53" s="3667"/>
      <c r="N53" s="3667"/>
      <c r="O53" s="3667"/>
      <c r="P53" s="3667"/>
      <c r="Q53" s="3667"/>
      <c r="R53" s="3667"/>
      <c r="S53" s="3667"/>
      <c r="T53" s="3667"/>
      <c r="U53" s="3667"/>
      <c r="V53" s="3667"/>
      <c r="W53" s="3667"/>
      <c r="X53" s="3667"/>
      <c r="Y53" s="3667"/>
      <c r="Z53" s="3667"/>
      <c r="AA53" s="3667"/>
      <c r="AB53" s="3667"/>
      <c r="AC53" s="3667"/>
      <c r="AD53" s="3667"/>
      <c r="AE53" s="3667"/>
      <c r="AF53" s="3667"/>
      <c r="AG53" s="1099"/>
      <c r="AH53" s="1100"/>
      <c r="AI53" s="1099"/>
      <c r="AJ53" s="1099"/>
      <c r="AK53" s="1099"/>
      <c r="AL53" s="1099"/>
      <c r="AM53" s="1099"/>
      <c r="AN53" s="1099"/>
      <c r="AO53" s="1099"/>
      <c r="AP53" s="1099"/>
      <c r="AQ53" s="1099"/>
    </row>
    <row r="54" spans="2:43" s="1101" customFormat="1" ht="17" customHeight="1" x14ac:dyDescent="0.35">
      <c r="B54" s="1097"/>
      <c r="C54" s="1104" t="s">
        <v>673</v>
      </c>
      <c r="D54" s="833" t="b">
        <v>0</v>
      </c>
      <c r="E54" s="3667" t="s">
        <v>1666</v>
      </c>
      <c r="F54" s="3667"/>
      <c r="G54" s="3667"/>
      <c r="H54" s="3667"/>
      <c r="I54" s="3667"/>
      <c r="J54" s="3667"/>
      <c r="K54" s="3667"/>
      <c r="L54" s="3667"/>
      <c r="M54" s="3667"/>
      <c r="N54" s="3667"/>
      <c r="O54" s="3667"/>
      <c r="P54" s="3667"/>
      <c r="Q54" s="3667"/>
      <c r="R54" s="3667"/>
      <c r="S54" s="3667"/>
      <c r="T54" s="3667"/>
      <c r="U54" s="3667"/>
      <c r="V54" s="3667"/>
      <c r="W54" s="3667"/>
      <c r="X54" s="3667"/>
      <c r="Y54" s="3667"/>
      <c r="Z54" s="3667"/>
      <c r="AA54" s="3667"/>
      <c r="AB54" s="3667"/>
      <c r="AC54" s="3667"/>
      <c r="AD54" s="3667"/>
      <c r="AE54" s="3667"/>
      <c r="AF54" s="3667"/>
      <c r="AG54" s="1099"/>
      <c r="AH54" s="1100"/>
      <c r="AI54" s="1099"/>
      <c r="AJ54" s="1099"/>
      <c r="AK54" s="1099"/>
      <c r="AL54" s="1099"/>
      <c r="AM54" s="1099"/>
      <c r="AN54" s="1099"/>
      <c r="AO54" s="1099"/>
      <c r="AP54" s="1099"/>
      <c r="AQ54" s="1099"/>
    </row>
    <row r="55" spans="2:43" ht="5" customHeight="1" thickBot="1" x14ac:dyDescent="0.4">
      <c r="B55" s="1084"/>
      <c r="C55" s="1105"/>
      <c r="D55" s="1105"/>
      <c r="E55" s="1105"/>
      <c r="F55" s="1105"/>
      <c r="G55" s="1105"/>
      <c r="H55" s="1105"/>
      <c r="I55" s="1105"/>
      <c r="J55" s="1105"/>
      <c r="K55" s="1105"/>
      <c r="L55" s="1105"/>
      <c r="M55" s="1105"/>
      <c r="N55" s="1105"/>
      <c r="O55" s="1105"/>
      <c r="P55" s="1105"/>
      <c r="Q55" s="1105"/>
      <c r="R55" s="1105"/>
      <c r="S55" s="1105"/>
      <c r="T55" s="1105"/>
      <c r="U55" s="1105"/>
      <c r="V55" s="1105"/>
      <c r="W55" s="1105"/>
      <c r="X55" s="1105"/>
      <c r="Y55" s="1105"/>
      <c r="Z55" s="1105"/>
      <c r="AA55" s="1105"/>
      <c r="AB55" s="1105"/>
      <c r="AC55" s="1105"/>
      <c r="AD55" s="1105"/>
      <c r="AE55" s="1105"/>
      <c r="AF55" s="1105"/>
      <c r="AG55" s="1105"/>
      <c r="AH55" s="1062"/>
    </row>
    <row r="56" spans="2:43" ht="30" customHeight="1" thickBot="1" x14ac:dyDescent="0.4">
      <c r="B56" s="1049"/>
      <c r="C56" s="1050" t="s">
        <v>674</v>
      </c>
      <c r="D56" s="3671" t="s">
        <v>1667</v>
      </c>
      <c r="E56" s="3671"/>
      <c r="F56" s="3671"/>
      <c r="G56" s="3671"/>
      <c r="H56" s="3671"/>
      <c r="I56" s="3671"/>
      <c r="J56" s="3671"/>
      <c r="K56" s="3671"/>
      <c r="L56" s="3671"/>
      <c r="M56" s="3671"/>
      <c r="N56" s="3671"/>
      <c r="O56" s="3671"/>
      <c r="P56" s="3671"/>
      <c r="Q56" s="3671"/>
      <c r="R56" s="3671"/>
      <c r="S56" s="3671"/>
      <c r="T56" s="3671"/>
      <c r="U56" s="3671"/>
      <c r="V56" s="3671"/>
      <c r="W56" s="3671"/>
      <c r="X56" s="3671"/>
      <c r="Y56" s="3671"/>
      <c r="Z56" s="3671"/>
      <c r="AA56" s="3671"/>
      <c r="AB56" s="3671"/>
      <c r="AC56" s="1115"/>
      <c r="AD56" s="3606"/>
      <c r="AE56" s="3607"/>
      <c r="AF56" s="3608"/>
      <c r="AG56" s="1052"/>
      <c r="AH56" s="1053"/>
    </row>
    <row r="57" spans="2:43" ht="5" customHeight="1" thickBot="1" x14ac:dyDescent="0.4">
      <c r="B57" s="1084"/>
      <c r="C57" s="1105"/>
      <c r="D57" s="1105"/>
      <c r="E57" s="1105"/>
      <c r="F57" s="1105"/>
      <c r="G57" s="1105"/>
      <c r="H57" s="1105"/>
      <c r="I57" s="1105"/>
      <c r="J57" s="1105"/>
      <c r="K57" s="1105"/>
      <c r="L57" s="1105"/>
      <c r="M57" s="1105"/>
      <c r="N57" s="1105"/>
      <c r="O57" s="1105"/>
      <c r="P57" s="1105"/>
      <c r="Q57" s="1105"/>
      <c r="R57" s="1105"/>
      <c r="S57" s="1105"/>
      <c r="T57" s="1105"/>
      <c r="U57" s="1105"/>
      <c r="V57" s="1105"/>
      <c r="W57" s="1105"/>
      <c r="X57" s="1105"/>
      <c r="Y57" s="1105"/>
      <c r="Z57" s="1105"/>
      <c r="AA57" s="1105"/>
      <c r="AB57" s="1105"/>
      <c r="AC57" s="1105"/>
      <c r="AD57" s="1105"/>
      <c r="AE57" s="1105"/>
      <c r="AF57" s="1105"/>
      <c r="AG57" s="1105"/>
      <c r="AH57" s="1062"/>
    </row>
    <row r="58" spans="2:43" ht="30" customHeight="1" thickBot="1" x14ac:dyDescent="0.4">
      <c r="B58" s="1049"/>
      <c r="C58" s="1050" t="s">
        <v>675</v>
      </c>
      <c r="D58" s="3554" t="s">
        <v>1668</v>
      </c>
      <c r="E58" s="3554"/>
      <c r="F58" s="3554"/>
      <c r="G58" s="3554"/>
      <c r="H58" s="3554"/>
      <c r="I58" s="3554"/>
      <c r="J58" s="3554"/>
      <c r="K58" s="3554"/>
      <c r="L58" s="3554"/>
      <c r="M58" s="3554"/>
      <c r="N58" s="3554"/>
      <c r="O58" s="3554"/>
      <c r="P58" s="3554"/>
      <c r="Q58" s="3554"/>
      <c r="R58" s="3554"/>
      <c r="S58" s="3554"/>
      <c r="T58" s="3554"/>
      <c r="U58" s="3554"/>
      <c r="V58" s="3554"/>
      <c r="W58" s="3554"/>
      <c r="X58" s="3554"/>
      <c r="Y58" s="3554"/>
      <c r="Z58" s="3554"/>
      <c r="AA58" s="3554"/>
      <c r="AB58" s="3554"/>
      <c r="AC58" s="1051"/>
      <c r="AD58" s="3606"/>
      <c r="AE58" s="3607"/>
      <c r="AF58" s="3608"/>
      <c r="AG58" s="1052"/>
      <c r="AH58" s="1053"/>
    </row>
    <row r="59" spans="2:43" ht="5" customHeight="1" thickBot="1" x14ac:dyDescent="0.4">
      <c r="B59" s="1084"/>
      <c r="C59" s="1105"/>
      <c r="D59" s="1105"/>
      <c r="E59" s="1105"/>
      <c r="F59" s="1105"/>
      <c r="G59" s="1105"/>
      <c r="H59" s="1105"/>
      <c r="I59" s="1105"/>
      <c r="J59" s="1105"/>
      <c r="K59" s="1105"/>
      <c r="L59" s="1105"/>
      <c r="M59" s="1105"/>
      <c r="N59" s="1105"/>
      <c r="O59" s="1105"/>
      <c r="P59" s="1105"/>
      <c r="Q59" s="1105"/>
      <c r="R59" s="1105"/>
      <c r="S59" s="1105"/>
      <c r="T59" s="1105"/>
      <c r="U59" s="1105"/>
      <c r="V59" s="1105"/>
      <c r="W59" s="1105"/>
      <c r="X59" s="1105"/>
      <c r="Y59" s="1105"/>
      <c r="Z59" s="1105"/>
      <c r="AA59" s="1105"/>
      <c r="AB59" s="1105"/>
      <c r="AC59" s="1105"/>
      <c r="AD59" s="1105"/>
      <c r="AE59" s="1105"/>
      <c r="AF59" s="1105"/>
      <c r="AG59" s="1105"/>
      <c r="AH59" s="1062"/>
    </row>
    <row r="60" spans="2:43" ht="30" customHeight="1" thickBot="1" x14ac:dyDescent="0.4">
      <c r="B60" s="1049"/>
      <c r="C60" s="1104" t="s">
        <v>676</v>
      </c>
      <c r="D60" s="3671" t="s">
        <v>1669</v>
      </c>
      <c r="E60" s="3671"/>
      <c r="F60" s="3671"/>
      <c r="G60" s="3671"/>
      <c r="H60" s="3671"/>
      <c r="I60" s="3671"/>
      <c r="J60" s="3671"/>
      <c r="K60" s="3671"/>
      <c r="L60" s="3671"/>
      <c r="M60" s="3671"/>
      <c r="N60" s="3671"/>
      <c r="O60" s="3671"/>
      <c r="P60" s="3671"/>
      <c r="Q60" s="3671"/>
      <c r="R60" s="3671"/>
      <c r="S60" s="3671"/>
      <c r="T60" s="3671"/>
      <c r="U60" s="3671"/>
      <c r="V60" s="3671"/>
      <c r="W60" s="3671"/>
      <c r="X60" s="3671"/>
      <c r="Y60" s="3671"/>
      <c r="Z60" s="3671"/>
      <c r="AA60" s="3671"/>
      <c r="AB60" s="3671"/>
      <c r="AC60" s="1115"/>
      <c r="AD60" s="3606"/>
      <c r="AE60" s="3607"/>
      <c r="AF60" s="3608"/>
      <c r="AG60" s="1052"/>
      <c r="AH60" s="1053"/>
    </row>
    <row r="61" spans="2:43" ht="5" customHeight="1" thickBot="1" x14ac:dyDescent="0.4">
      <c r="B61" s="1084"/>
      <c r="C61" s="1105"/>
      <c r="D61" s="1105"/>
      <c r="E61" s="1105"/>
      <c r="F61" s="1105"/>
      <c r="G61" s="1105"/>
      <c r="H61" s="1105"/>
      <c r="I61" s="1105"/>
      <c r="J61" s="1105"/>
      <c r="K61" s="1105"/>
      <c r="L61" s="1105"/>
      <c r="M61" s="1105"/>
      <c r="N61" s="1105"/>
      <c r="O61" s="1105"/>
      <c r="P61" s="1105"/>
      <c r="Q61" s="1105"/>
      <c r="R61" s="1105"/>
      <c r="S61" s="1105"/>
      <c r="T61" s="1105"/>
      <c r="U61" s="1105"/>
      <c r="V61" s="1105"/>
      <c r="W61" s="1105"/>
      <c r="X61" s="1105"/>
      <c r="Y61" s="1105"/>
      <c r="Z61" s="1105"/>
      <c r="AA61" s="1105"/>
      <c r="AB61" s="1105"/>
      <c r="AC61" s="1105"/>
      <c r="AD61" s="1105"/>
      <c r="AE61" s="1105"/>
      <c r="AF61" s="1105"/>
      <c r="AG61" s="1105"/>
      <c r="AH61" s="1062"/>
    </row>
    <row r="62" spans="2:43" ht="30" customHeight="1" thickBot="1" x14ac:dyDescent="0.4">
      <c r="B62" s="1049"/>
      <c r="C62" s="1050" t="s">
        <v>677</v>
      </c>
      <c r="D62" s="3554" t="s">
        <v>1670</v>
      </c>
      <c r="E62" s="3554"/>
      <c r="F62" s="3554"/>
      <c r="G62" s="3554"/>
      <c r="H62" s="3554"/>
      <c r="I62" s="3554"/>
      <c r="J62" s="3554"/>
      <c r="K62" s="3554"/>
      <c r="L62" s="3554"/>
      <c r="M62" s="3554"/>
      <c r="N62" s="3554"/>
      <c r="O62" s="3554"/>
      <c r="P62" s="3554"/>
      <c r="Q62" s="3554"/>
      <c r="R62" s="3554"/>
      <c r="S62" s="3554"/>
      <c r="T62" s="3554"/>
      <c r="U62" s="3554"/>
      <c r="V62" s="3554"/>
      <c r="W62" s="3554"/>
      <c r="X62" s="3554"/>
      <c r="Y62" s="3554"/>
      <c r="Z62" s="3554"/>
      <c r="AA62" s="3554"/>
      <c r="AB62" s="3554"/>
      <c r="AC62" s="1051"/>
      <c r="AD62" s="3606"/>
      <c r="AE62" s="3607"/>
      <c r="AF62" s="3608"/>
      <c r="AG62" s="1052"/>
      <c r="AH62" s="1053"/>
    </row>
    <row r="63" spans="2:43" ht="10" customHeight="1" thickBot="1" x14ac:dyDescent="0.4">
      <c r="B63" s="1035"/>
      <c r="C63" s="1036"/>
      <c r="D63" s="1037"/>
      <c r="E63" s="1038"/>
      <c r="F63" s="1038"/>
      <c r="G63" s="1038"/>
      <c r="H63" s="1038"/>
      <c r="I63" s="1038"/>
      <c r="J63" s="1038"/>
      <c r="K63" s="1039"/>
      <c r="L63" s="1039"/>
      <c r="M63" s="1039"/>
      <c r="N63" s="1039"/>
      <c r="O63" s="1039"/>
      <c r="P63" s="1039"/>
      <c r="Q63" s="1039"/>
      <c r="R63" s="1039"/>
      <c r="S63" s="1039"/>
      <c r="T63" s="1039"/>
      <c r="U63" s="1039"/>
      <c r="V63" s="1039"/>
      <c r="W63" s="1039"/>
      <c r="X63" s="1039"/>
      <c r="Y63" s="1039"/>
      <c r="Z63" s="1039"/>
      <c r="AA63" s="1039"/>
      <c r="AB63" s="1039"/>
      <c r="AC63" s="1039"/>
      <c r="AD63" s="1039"/>
      <c r="AE63" s="1039"/>
      <c r="AF63" s="1039"/>
      <c r="AG63" s="1039"/>
      <c r="AH63" s="1040"/>
      <c r="AK63" s="1132"/>
    </row>
    <row r="64" spans="2:43" ht="10" customHeight="1" thickTop="1" x14ac:dyDescent="0.35">
      <c r="B64" s="1118"/>
      <c r="C64" s="1098"/>
      <c r="E64" s="1052"/>
      <c r="F64" s="1052"/>
      <c r="G64" s="1052"/>
      <c r="H64" s="1052"/>
      <c r="I64" s="1052"/>
      <c r="J64" s="1052"/>
      <c r="K64" s="1041"/>
      <c r="L64" s="1041"/>
      <c r="M64" s="1041"/>
      <c r="N64" s="1041"/>
      <c r="O64" s="1041"/>
      <c r="P64" s="1041"/>
      <c r="Q64" s="1041"/>
      <c r="R64" s="1041"/>
      <c r="S64" s="1041"/>
      <c r="T64" s="1041"/>
      <c r="U64" s="1041"/>
      <c r="V64" s="1041"/>
      <c r="W64" s="1041"/>
      <c r="X64" s="1041"/>
      <c r="Y64" s="1041"/>
      <c r="Z64" s="1041"/>
      <c r="AA64" s="1041"/>
      <c r="AB64" s="1041"/>
      <c r="AC64" s="1041"/>
      <c r="AD64" s="1041"/>
      <c r="AE64" s="1041"/>
      <c r="AF64" s="1041"/>
    </row>
    <row r="65" spans="2:36" s="98" customFormat="1" ht="17.25" customHeight="1" x14ac:dyDescent="0.35">
      <c r="B65" s="3670" t="s">
        <v>1890</v>
      </c>
      <c r="C65" s="3670"/>
      <c r="D65" s="3670"/>
      <c r="E65" s="3670"/>
      <c r="F65" s="3670"/>
      <c r="G65" s="3670"/>
      <c r="H65" s="3670"/>
      <c r="I65" s="3670"/>
      <c r="J65" s="3670"/>
      <c r="K65" s="3670"/>
      <c r="L65" s="3670"/>
      <c r="M65" s="3670"/>
      <c r="N65" s="3670"/>
      <c r="O65" s="3670"/>
      <c r="P65" s="3670"/>
      <c r="Q65" s="3670"/>
      <c r="R65" s="3670"/>
      <c r="S65" s="3670"/>
      <c r="T65" s="3670"/>
      <c r="U65" s="3670"/>
      <c r="V65" s="3670"/>
      <c r="W65" s="3670"/>
      <c r="X65" s="3670"/>
      <c r="Y65" s="3670"/>
      <c r="Z65" s="3670"/>
      <c r="AA65" s="3670"/>
      <c r="AB65" s="3670"/>
      <c r="AC65" s="3670"/>
      <c r="AD65" s="3670"/>
    </row>
    <row r="66" spans="2:36" s="501" customFormat="1" ht="30.75" customHeight="1" x14ac:dyDescent="0.35"/>
    <row r="67" spans="2:36" s="73" customFormat="1" ht="14" x14ac:dyDescent="0.3">
      <c r="B67" s="74" t="s">
        <v>913</v>
      </c>
      <c r="V67" s="74" t="s">
        <v>846</v>
      </c>
    </row>
    <row r="68" spans="2:36" s="73" customFormat="1" ht="21.75" customHeight="1" x14ac:dyDescent="0.3">
      <c r="B68" s="74" t="s">
        <v>811</v>
      </c>
      <c r="F68" s="1482" t="str">
        <f>SchInfo!F38</f>
        <v>MELCHESIEDICK Q. BOLANIO/ March 17, 2023</v>
      </c>
      <c r="G68" s="1482"/>
      <c r="H68" s="1482"/>
      <c r="I68" s="1482"/>
      <c r="J68" s="1482"/>
      <c r="K68" s="1482"/>
      <c r="L68" s="1482"/>
      <c r="M68" s="1482"/>
      <c r="N68" s="1482"/>
      <c r="O68" s="545"/>
      <c r="P68" s="545"/>
      <c r="Q68" s="545"/>
      <c r="R68" s="545"/>
      <c r="S68" s="545"/>
      <c r="T68" s="545"/>
      <c r="U68" s="545"/>
      <c r="V68" s="1482" t="str">
        <f>Table39!Q37</f>
        <v>ELYN KENDRA D. DELA CRUZ  /  March 17, 2023</v>
      </c>
      <c r="W68" s="1482"/>
      <c r="X68" s="1482"/>
      <c r="Y68" s="1482"/>
      <c r="Z68" s="1482"/>
      <c r="AA68" s="1482"/>
      <c r="AB68" s="1482"/>
      <c r="AC68" s="1482"/>
      <c r="AD68" s="1482"/>
      <c r="AE68" s="1482"/>
      <c r="AF68" s="1482"/>
      <c r="AG68" s="1482"/>
      <c r="AH68" s="1482"/>
    </row>
    <row r="69" spans="2:36" s="68" customFormat="1" ht="14" customHeight="1" x14ac:dyDescent="0.3">
      <c r="B69" s="210"/>
      <c r="F69" s="1451" t="s">
        <v>779</v>
      </c>
      <c r="G69" s="1451"/>
      <c r="H69" s="1451"/>
      <c r="I69" s="1451"/>
      <c r="J69" s="1451"/>
      <c r="K69" s="1451"/>
      <c r="L69" s="1451"/>
      <c r="M69" s="1451"/>
      <c r="N69" s="1451"/>
      <c r="O69" s="63"/>
      <c r="P69" s="63"/>
      <c r="Q69" s="63"/>
      <c r="R69" s="63"/>
      <c r="S69" s="63"/>
      <c r="T69" s="63"/>
      <c r="U69" s="63"/>
      <c r="V69" s="1451" t="s">
        <v>779</v>
      </c>
      <c r="W69" s="1451"/>
      <c r="X69" s="1451"/>
      <c r="Y69" s="1451"/>
      <c r="Z69" s="1451"/>
      <c r="AA69" s="1451"/>
      <c r="AB69" s="1451"/>
      <c r="AC69" s="1451"/>
      <c r="AD69" s="1451"/>
      <c r="AE69" s="1451"/>
      <c r="AF69" s="1451"/>
      <c r="AG69" s="1451"/>
      <c r="AH69" s="1451"/>
      <c r="AI69" s="65"/>
      <c r="AJ69" s="65"/>
    </row>
    <row r="70" spans="2:36" s="73" customFormat="1" ht="21.75" customHeight="1" x14ac:dyDescent="0.3">
      <c r="B70" s="74" t="s">
        <v>784</v>
      </c>
      <c r="F70" s="1482" t="str">
        <f>SchInfo!F40</f>
        <v>Principal IV</v>
      </c>
      <c r="G70" s="1482"/>
      <c r="H70" s="1482"/>
      <c r="I70" s="1482"/>
      <c r="J70" s="1482"/>
      <c r="K70" s="1482"/>
      <c r="L70" s="1482"/>
      <c r="M70" s="1482"/>
      <c r="N70" s="1482"/>
      <c r="O70" s="545"/>
      <c r="P70" s="545"/>
      <c r="Q70" s="545"/>
      <c r="R70" s="545"/>
      <c r="S70" s="545"/>
      <c r="T70" s="545"/>
      <c r="U70" s="545"/>
      <c r="V70" s="74" t="s">
        <v>784</v>
      </c>
      <c r="Z70" s="1482" t="str">
        <f>Table39!U39</f>
        <v>Project Development Officer III</v>
      </c>
      <c r="AA70" s="1482"/>
      <c r="AB70" s="1482"/>
      <c r="AC70" s="1482"/>
      <c r="AD70" s="1482"/>
      <c r="AE70" s="1482"/>
      <c r="AF70" s="1482"/>
      <c r="AG70" s="1482"/>
      <c r="AH70" s="1482"/>
    </row>
    <row r="71" spans="2:36" s="501" customFormat="1" ht="30.75" customHeight="1" x14ac:dyDescent="0.35"/>
    <row r="72" spans="2:36" s="73" customFormat="1" ht="14" x14ac:dyDescent="0.3">
      <c r="L72" s="74" t="s">
        <v>922</v>
      </c>
    </row>
    <row r="73" spans="2:36" s="73" customFormat="1" ht="21.75" customHeight="1" x14ac:dyDescent="0.3">
      <c r="L73" s="1484" t="str">
        <f>SchInfo!R38</f>
        <v>MICHAEL T. JAMIS   /  March 17, 2023</v>
      </c>
      <c r="M73" s="1484"/>
      <c r="N73" s="1484"/>
      <c r="O73" s="1484"/>
      <c r="P73" s="1484"/>
      <c r="Q73" s="1484"/>
      <c r="R73" s="1484"/>
      <c r="S73" s="1484"/>
      <c r="T73" s="1484"/>
      <c r="U73" s="1484"/>
      <c r="V73" s="1484"/>
      <c r="W73" s="1484"/>
      <c r="X73" s="1484"/>
    </row>
    <row r="74" spans="2:36" s="68" customFormat="1" ht="14" customHeight="1" x14ac:dyDescent="0.3">
      <c r="L74" s="1485"/>
      <c r="M74" s="1485"/>
      <c r="N74" s="1485"/>
      <c r="O74" s="1485"/>
      <c r="P74" s="1485"/>
      <c r="Q74" s="1485"/>
      <c r="R74" s="1485"/>
      <c r="S74" s="1485"/>
      <c r="T74" s="1485"/>
      <c r="U74" s="1485"/>
      <c r="V74" s="1485"/>
      <c r="W74" s="1485"/>
      <c r="X74" s="1485"/>
    </row>
    <row r="75" spans="2:36" s="73" customFormat="1" ht="21.75" customHeight="1" x14ac:dyDescent="0.3">
      <c r="L75" s="1451" t="s">
        <v>779</v>
      </c>
      <c r="M75" s="1451"/>
      <c r="N75" s="1451"/>
      <c r="O75" s="1451"/>
      <c r="P75" s="1451"/>
      <c r="Q75" s="1451"/>
      <c r="R75" s="1451"/>
      <c r="S75" s="1451"/>
      <c r="T75" s="1451"/>
      <c r="U75" s="1451"/>
      <c r="V75" s="1451"/>
      <c r="W75" s="1451"/>
      <c r="X75" s="1451"/>
    </row>
    <row r="76" spans="2:36" x14ac:dyDescent="0.35">
      <c r="B76" s="501"/>
      <c r="C76" s="501"/>
      <c r="D76" s="501"/>
      <c r="E76" s="501"/>
      <c r="F76" s="501"/>
      <c r="G76" s="501"/>
      <c r="H76" s="501"/>
      <c r="I76" s="501"/>
      <c r="J76" s="501"/>
      <c r="K76" s="501"/>
      <c r="L76" s="501"/>
      <c r="M76" s="501"/>
      <c r="N76" s="501"/>
      <c r="O76" s="501"/>
      <c r="P76" s="501"/>
      <c r="Q76" s="501"/>
      <c r="R76" s="501"/>
      <c r="S76" s="501"/>
      <c r="T76" s="501"/>
      <c r="U76" s="501"/>
      <c r="V76" s="501"/>
      <c r="W76" s="501"/>
      <c r="X76" s="501"/>
      <c r="Y76" s="501"/>
      <c r="Z76" s="501"/>
      <c r="AA76" s="501"/>
      <c r="AB76" s="501"/>
      <c r="AC76" s="501"/>
      <c r="AD76" s="501"/>
      <c r="AE76" s="501"/>
      <c r="AF76" s="501"/>
      <c r="AG76" s="501"/>
      <c r="AH76" s="501"/>
    </row>
  </sheetData>
  <sheetProtection algorithmName="SHA-512" hashValue="Y5E5J9NOu3owZdUAha4ZWzgKKQsuNJv4DW0/tHVuG+QquPOQawuk1xvkPD47sKSgTPFsk/oPf91mPqqXvOkdNw==" saltValue="fbLrtyCXkUBTd0tmCup0KQ==" spinCount="100000" sheet="1" objects="1" scenarios="1"/>
  <mergeCells count="51">
    <mergeCell ref="E8:AF9"/>
    <mergeCell ref="E10:AF11"/>
    <mergeCell ref="E12:AF13"/>
    <mergeCell ref="E14:AF15"/>
    <mergeCell ref="B65:AD65"/>
    <mergeCell ref="AD60:AF60"/>
    <mergeCell ref="AD62:AF62"/>
    <mergeCell ref="D44:AF44"/>
    <mergeCell ref="D24:AF24"/>
    <mergeCell ref="D56:AB56"/>
    <mergeCell ref="D58:AB58"/>
    <mergeCell ref="D60:AB60"/>
    <mergeCell ref="D62:AB62"/>
    <mergeCell ref="E53:AF53"/>
    <mergeCell ref="E54:AF54"/>
    <mergeCell ref="AD56:AF56"/>
    <mergeCell ref="L75:X75"/>
    <mergeCell ref="E7:AF7"/>
    <mergeCell ref="Z70:AH70"/>
    <mergeCell ref="E28:P28"/>
    <mergeCell ref="F68:N68"/>
    <mergeCell ref="F69:N69"/>
    <mergeCell ref="F70:N70"/>
    <mergeCell ref="E33:P33"/>
    <mergeCell ref="E36:P36"/>
    <mergeCell ref="U29:AF29"/>
    <mergeCell ref="U32:AF33"/>
    <mergeCell ref="D16:AF16"/>
    <mergeCell ref="V68:AH68"/>
    <mergeCell ref="V69:AH69"/>
    <mergeCell ref="O22:T22"/>
    <mergeCell ref="AA22:AF22"/>
    <mergeCell ref="U34:AF35"/>
    <mergeCell ref="E34:P35"/>
    <mergeCell ref="E39:P41"/>
    <mergeCell ref="E42:P42"/>
    <mergeCell ref="U39:AF40"/>
    <mergeCell ref="U41:AF42"/>
    <mergeCell ref="U36:AF36"/>
    <mergeCell ref="E26:P27"/>
    <mergeCell ref="U26:AF28"/>
    <mergeCell ref="E29:P30"/>
    <mergeCell ref="E31:P32"/>
    <mergeCell ref="U30:AF31"/>
    <mergeCell ref="AD58:AF58"/>
    <mergeCell ref="E50:AF50"/>
    <mergeCell ref="E51:AF51"/>
    <mergeCell ref="L73:X74"/>
    <mergeCell ref="E46:AF47"/>
    <mergeCell ref="E48:AF49"/>
    <mergeCell ref="E52:AF52"/>
  </mergeCells>
  <dataValidations count="1">
    <dataValidation type="whole" allowBlank="1" showInputMessage="1" showErrorMessage="1" errorTitle="GJHSP SY 2022-2023" error="Please enter valid number between 0-99." sqref="AD56:AF56 AD58:AF58 AD60:AF60 AD62:AF62" xr:uid="{42F456B9-471A-41D0-8E10-4454D74A6960}">
      <formula1>0</formula1>
      <formula2>99</formula2>
    </dataValidation>
  </dataValidations>
  <printOptions horizontalCentered="1" verticalCentered="1"/>
  <pageMargins left="0.25" right="0.25" top="0.2" bottom="0.2" header="0" footer="0.1"/>
  <pageSetup paperSize="9" scale="21" orientation="portrait" r:id="rId1"/>
  <headerFooter>
    <oddFooter>&amp;L&amp;10&amp;F &amp;A&amp;R&amp;10Page 53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84993" r:id="rId4" name="Check Box 1">
              <controlPr defaultSize="0" autoFill="0" autoLine="0" autoPict="0">
                <anchor moveWithCells="1">
                  <from>
                    <xdr:col>3</xdr:col>
                    <xdr:colOff>25400</xdr:colOff>
                    <xdr:row>6</xdr:row>
                    <xdr:rowOff>38100</xdr:rowOff>
                  </from>
                  <to>
                    <xdr:col>4</xdr:col>
                    <xdr:colOff>222250</xdr:colOff>
                    <xdr:row>6</xdr:row>
                    <xdr:rowOff>260350</xdr:rowOff>
                  </to>
                </anchor>
              </controlPr>
            </control>
          </mc:Choice>
        </mc:AlternateContent>
        <mc:AlternateContent xmlns:mc="http://schemas.openxmlformats.org/markup-compatibility/2006">
          <mc:Choice Requires="x14">
            <control shapeId="84994" r:id="rId5" name="Check Box 2">
              <controlPr defaultSize="0" autoFill="0" autoLine="0" autoPict="0">
                <anchor moveWithCells="1">
                  <from>
                    <xdr:col>3</xdr:col>
                    <xdr:colOff>31750</xdr:colOff>
                    <xdr:row>6</xdr:row>
                    <xdr:rowOff>298450</xdr:rowOff>
                  </from>
                  <to>
                    <xdr:col>4</xdr:col>
                    <xdr:colOff>228600</xdr:colOff>
                    <xdr:row>8</xdr:row>
                    <xdr:rowOff>6350</xdr:rowOff>
                  </to>
                </anchor>
              </controlPr>
            </control>
          </mc:Choice>
        </mc:AlternateContent>
        <mc:AlternateContent xmlns:mc="http://schemas.openxmlformats.org/markup-compatibility/2006">
          <mc:Choice Requires="x14">
            <control shapeId="84995" r:id="rId6" name="Check Box 3">
              <controlPr defaultSize="0" autoFill="0" autoLine="0" autoPict="0">
                <anchor moveWithCells="1">
                  <from>
                    <xdr:col>3</xdr:col>
                    <xdr:colOff>25400</xdr:colOff>
                    <xdr:row>8</xdr:row>
                    <xdr:rowOff>177800</xdr:rowOff>
                  </from>
                  <to>
                    <xdr:col>4</xdr:col>
                    <xdr:colOff>222250</xdr:colOff>
                    <xdr:row>9</xdr:row>
                    <xdr:rowOff>196850</xdr:rowOff>
                  </to>
                </anchor>
              </controlPr>
            </control>
          </mc:Choice>
        </mc:AlternateContent>
        <mc:AlternateContent xmlns:mc="http://schemas.openxmlformats.org/markup-compatibility/2006">
          <mc:Choice Requires="x14">
            <control shapeId="84996" r:id="rId7" name="Check Box 4">
              <controlPr defaultSize="0" autoFill="0" autoLine="0" autoPict="0">
                <anchor moveWithCells="1">
                  <from>
                    <xdr:col>3</xdr:col>
                    <xdr:colOff>25400</xdr:colOff>
                    <xdr:row>10</xdr:row>
                    <xdr:rowOff>190500</xdr:rowOff>
                  </from>
                  <to>
                    <xdr:col>4</xdr:col>
                    <xdr:colOff>215900</xdr:colOff>
                    <xdr:row>12</xdr:row>
                    <xdr:rowOff>6350</xdr:rowOff>
                  </to>
                </anchor>
              </controlPr>
            </control>
          </mc:Choice>
        </mc:AlternateContent>
        <mc:AlternateContent xmlns:mc="http://schemas.openxmlformats.org/markup-compatibility/2006">
          <mc:Choice Requires="x14">
            <control shapeId="84997" r:id="rId8" name="Check Box 5">
              <controlPr defaultSize="0" autoFill="0" autoLine="0" autoPict="0">
                <anchor moveWithCells="1">
                  <from>
                    <xdr:col>3</xdr:col>
                    <xdr:colOff>31750</xdr:colOff>
                    <xdr:row>12</xdr:row>
                    <xdr:rowOff>196850</xdr:rowOff>
                  </from>
                  <to>
                    <xdr:col>4</xdr:col>
                    <xdr:colOff>228600</xdr:colOff>
                    <xdr:row>14</xdr:row>
                    <xdr:rowOff>12700</xdr:rowOff>
                  </to>
                </anchor>
              </controlPr>
            </control>
          </mc:Choice>
        </mc:AlternateContent>
        <mc:AlternateContent xmlns:mc="http://schemas.openxmlformats.org/markup-compatibility/2006">
          <mc:Choice Requires="x14">
            <control shapeId="84998" r:id="rId9" name="Check Box 6">
              <controlPr defaultSize="0" autoFill="0" autoLine="0" autoPict="0">
                <anchor moveWithCells="1">
                  <from>
                    <xdr:col>3</xdr:col>
                    <xdr:colOff>25400</xdr:colOff>
                    <xdr:row>17</xdr:row>
                    <xdr:rowOff>0</xdr:rowOff>
                  </from>
                  <to>
                    <xdr:col>4</xdr:col>
                    <xdr:colOff>215900</xdr:colOff>
                    <xdr:row>17</xdr:row>
                    <xdr:rowOff>222250</xdr:rowOff>
                  </to>
                </anchor>
              </controlPr>
            </control>
          </mc:Choice>
        </mc:AlternateContent>
        <mc:AlternateContent xmlns:mc="http://schemas.openxmlformats.org/markup-compatibility/2006">
          <mc:Choice Requires="x14">
            <control shapeId="84999" r:id="rId10" name="Check Box 7">
              <controlPr defaultSize="0" autoFill="0" autoLine="0" autoPict="0">
                <anchor moveWithCells="1">
                  <from>
                    <xdr:col>3</xdr:col>
                    <xdr:colOff>25400</xdr:colOff>
                    <xdr:row>18</xdr:row>
                    <xdr:rowOff>0</xdr:rowOff>
                  </from>
                  <to>
                    <xdr:col>4</xdr:col>
                    <xdr:colOff>215900</xdr:colOff>
                    <xdr:row>18</xdr:row>
                    <xdr:rowOff>222250</xdr:rowOff>
                  </to>
                </anchor>
              </controlPr>
            </control>
          </mc:Choice>
        </mc:AlternateContent>
        <mc:AlternateContent xmlns:mc="http://schemas.openxmlformats.org/markup-compatibility/2006">
          <mc:Choice Requires="x14">
            <control shapeId="85000" r:id="rId11" name="Check Box 8">
              <controlPr defaultSize="0" autoFill="0" autoLine="0" autoPict="0">
                <anchor moveWithCells="1">
                  <from>
                    <xdr:col>3</xdr:col>
                    <xdr:colOff>31750</xdr:colOff>
                    <xdr:row>18</xdr:row>
                    <xdr:rowOff>241300</xdr:rowOff>
                  </from>
                  <to>
                    <xdr:col>4</xdr:col>
                    <xdr:colOff>228600</xdr:colOff>
                    <xdr:row>19</xdr:row>
                    <xdr:rowOff>215900</xdr:rowOff>
                  </to>
                </anchor>
              </controlPr>
            </control>
          </mc:Choice>
        </mc:AlternateContent>
        <mc:AlternateContent xmlns:mc="http://schemas.openxmlformats.org/markup-compatibility/2006">
          <mc:Choice Requires="x14">
            <control shapeId="85001" r:id="rId12" name="Check Box 9">
              <controlPr defaultSize="0" autoFill="0" autoLine="0" autoPict="0">
                <anchor moveWithCells="1">
                  <from>
                    <xdr:col>3</xdr:col>
                    <xdr:colOff>31750</xdr:colOff>
                    <xdr:row>19</xdr:row>
                    <xdr:rowOff>241300</xdr:rowOff>
                  </from>
                  <to>
                    <xdr:col>4</xdr:col>
                    <xdr:colOff>228600</xdr:colOff>
                    <xdr:row>20</xdr:row>
                    <xdr:rowOff>215900</xdr:rowOff>
                  </to>
                </anchor>
              </controlPr>
            </control>
          </mc:Choice>
        </mc:AlternateContent>
        <mc:AlternateContent xmlns:mc="http://schemas.openxmlformats.org/markup-compatibility/2006">
          <mc:Choice Requires="x14">
            <control shapeId="85002" r:id="rId13" name="Check Box 10">
              <controlPr defaultSize="0" autoFill="0" autoLine="0" autoPict="0">
                <anchor moveWithCells="1">
                  <from>
                    <xdr:col>3</xdr:col>
                    <xdr:colOff>25400</xdr:colOff>
                    <xdr:row>21</xdr:row>
                    <xdr:rowOff>0</xdr:rowOff>
                  </from>
                  <to>
                    <xdr:col>4</xdr:col>
                    <xdr:colOff>222250</xdr:colOff>
                    <xdr:row>21</xdr:row>
                    <xdr:rowOff>222250</xdr:rowOff>
                  </to>
                </anchor>
              </controlPr>
            </control>
          </mc:Choice>
        </mc:AlternateContent>
        <mc:AlternateContent xmlns:mc="http://schemas.openxmlformats.org/markup-compatibility/2006">
          <mc:Choice Requires="x14">
            <control shapeId="85003" r:id="rId14" name="Check Box 11">
              <controlPr defaultSize="0" autoFill="0" autoLine="0" autoPict="0">
                <anchor moveWithCells="1">
                  <from>
                    <xdr:col>9</xdr:col>
                    <xdr:colOff>25400</xdr:colOff>
                    <xdr:row>17</xdr:row>
                    <xdr:rowOff>0</xdr:rowOff>
                  </from>
                  <to>
                    <xdr:col>10</xdr:col>
                    <xdr:colOff>222250</xdr:colOff>
                    <xdr:row>17</xdr:row>
                    <xdr:rowOff>222250</xdr:rowOff>
                  </to>
                </anchor>
              </controlPr>
            </control>
          </mc:Choice>
        </mc:AlternateContent>
        <mc:AlternateContent xmlns:mc="http://schemas.openxmlformats.org/markup-compatibility/2006">
          <mc:Choice Requires="x14">
            <control shapeId="85004" r:id="rId15" name="Check Box 12">
              <controlPr defaultSize="0" autoFill="0" autoLine="0" autoPict="0">
                <anchor moveWithCells="1">
                  <from>
                    <xdr:col>9</xdr:col>
                    <xdr:colOff>31750</xdr:colOff>
                    <xdr:row>18</xdr:row>
                    <xdr:rowOff>12700</xdr:rowOff>
                  </from>
                  <to>
                    <xdr:col>10</xdr:col>
                    <xdr:colOff>228600</xdr:colOff>
                    <xdr:row>18</xdr:row>
                    <xdr:rowOff>234950</xdr:rowOff>
                  </to>
                </anchor>
              </controlPr>
            </control>
          </mc:Choice>
        </mc:AlternateContent>
        <mc:AlternateContent xmlns:mc="http://schemas.openxmlformats.org/markup-compatibility/2006">
          <mc:Choice Requires="x14">
            <control shapeId="85005" r:id="rId16" name="Check Box 13">
              <controlPr defaultSize="0" autoFill="0" autoLine="0" autoPict="0">
                <anchor moveWithCells="1">
                  <from>
                    <xdr:col>9</xdr:col>
                    <xdr:colOff>25400</xdr:colOff>
                    <xdr:row>19</xdr:row>
                    <xdr:rowOff>6350</xdr:rowOff>
                  </from>
                  <to>
                    <xdr:col>10</xdr:col>
                    <xdr:colOff>222250</xdr:colOff>
                    <xdr:row>19</xdr:row>
                    <xdr:rowOff>228600</xdr:rowOff>
                  </to>
                </anchor>
              </controlPr>
            </control>
          </mc:Choice>
        </mc:AlternateContent>
        <mc:AlternateContent xmlns:mc="http://schemas.openxmlformats.org/markup-compatibility/2006">
          <mc:Choice Requires="x14">
            <control shapeId="85006" r:id="rId17" name="Check Box 14">
              <controlPr defaultSize="0" autoFill="0" autoLine="0" autoPict="0">
                <anchor moveWithCells="1">
                  <from>
                    <xdr:col>9</xdr:col>
                    <xdr:colOff>31750</xdr:colOff>
                    <xdr:row>19</xdr:row>
                    <xdr:rowOff>241300</xdr:rowOff>
                  </from>
                  <to>
                    <xdr:col>10</xdr:col>
                    <xdr:colOff>228600</xdr:colOff>
                    <xdr:row>20</xdr:row>
                    <xdr:rowOff>215900</xdr:rowOff>
                  </to>
                </anchor>
              </controlPr>
            </control>
          </mc:Choice>
        </mc:AlternateContent>
        <mc:AlternateContent xmlns:mc="http://schemas.openxmlformats.org/markup-compatibility/2006">
          <mc:Choice Requires="x14">
            <control shapeId="85007" r:id="rId18" name="Check Box 15">
              <controlPr defaultSize="0" autoFill="0" autoLine="0" autoPict="0">
                <anchor moveWithCells="1">
                  <from>
                    <xdr:col>9</xdr:col>
                    <xdr:colOff>31750</xdr:colOff>
                    <xdr:row>20</xdr:row>
                    <xdr:rowOff>241300</xdr:rowOff>
                  </from>
                  <to>
                    <xdr:col>10</xdr:col>
                    <xdr:colOff>228600</xdr:colOff>
                    <xdr:row>21</xdr:row>
                    <xdr:rowOff>215900</xdr:rowOff>
                  </to>
                </anchor>
              </controlPr>
            </control>
          </mc:Choice>
        </mc:AlternateContent>
        <mc:AlternateContent xmlns:mc="http://schemas.openxmlformats.org/markup-compatibility/2006">
          <mc:Choice Requires="x14">
            <control shapeId="85008" r:id="rId19" name="Check Box 16">
              <controlPr defaultSize="0" autoFill="0" autoLine="0" autoPict="0">
                <anchor moveWithCells="1">
                  <from>
                    <xdr:col>21</xdr:col>
                    <xdr:colOff>25400</xdr:colOff>
                    <xdr:row>17</xdr:row>
                    <xdr:rowOff>0</xdr:rowOff>
                  </from>
                  <to>
                    <xdr:col>22</xdr:col>
                    <xdr:colOff>222250</xdr:colOff>
                    <xdr:row>17</xdr:row>
                    <xdr:rowOff>222250</xdr:rowOff>
                  </to>
                </anchor>
              </controlPr>
            </control>
          </mc:Choice>
        </mc:AlternateContent>
        <mc:AlternateContent xmlns:mc="http://schemas.openxmlformats.org/markup-compatibility/2006">
          <mc:Choice Requires="x14">
            <control shapeId="85009" r:id="rId20" name="Check Box 17">
              <controlPr defaultSize="0" autoFill="0" autoLine="0" autoPict="0">
                <anchor moveWithCells="1">
                  <from>
                    <xdr:col>21</xdr:col>
                    <xdr:colOff>25400</xdr:colOff>
                    <xdr:row>18</xdr:row>
                    <xdr:rowOff>6350</xdr:rowOff>
                  </from>
                  <to>
                    <xdr:col>22</xdr:col>
                    <xdr:colOff>215900</xdr:colOff>
                    <xdr:row>18</xdr:row>
                    <xdr:rowOff>228600</xdr:rowOff>
                  </to>
                </anchor>
              </controlPr>
            </control>
          </mc:Choice>
        </mc:AlternateContent>
        <mc:AlternateContent xmlns:mc="http://schemas.openxmlformats.org/markup-compatibility/2006">
          <mc:Choice Requires="x14">
            <control shapeId="85010" r:id="rId21" name="Check Box 18">
              <controlPr defaultSize="0" autoFill="0" autoLine="0" autoPict="0">
                <anchor moveWithCells="1">
                  <from>
                    <xdr:col>21</xdr:col>
                    <xdr:colOff>31750</xdr:colOff>
                    <xdr:row>19</xdr:row>
                    <xdr:rowOff>12700</xdr:rowOff>
                  </from>
                  <to>
                    <xdr:col>22</xdr:col>
                    <xdr:colOff>228600</xdr:colOff>
                    <xdr:row>19</xdr:row>
                    <xdr:rowOff>234950</xdr:rowOff>
                  </to>
                </anchor>
              </controlPr>
            </control>
          </mc:Choice>
        </mc:AlternateContent>
        <mc:AlternateContent xmlns:mc="http://schemas.openxmlformats.org/markup-compatibility/2006">
          <mc:Choice Requires="x14">
            <control shapeId="85011" r:id="rId22" name="Check Box 19">
              <controlPr defaultSize="0" autoFill="0" autoLine="0" autoPict="0">
                <anchor moveWithCells="1">
                  <from>
                    <xdr:col>21</xdr:col>
                    <xdr:colOff>25400</xdr:colOff>
                    <xdr:row>20</xdr:row>
                    <xdr:rowOff>12700</xdr:rowOff>
                  </from>
                  <to>
                    <xdr:col>22</xdr:col>
                    <xdr:colOff>222250</xdr:colOff>
                    <xdr:row>20</xdr:row>
                    <xdr:rowOff>234950</xdr:rowOff>
                  </to>
                </anchor>
              </controlPr>
            </control>
          </mc:Choice>
        </mc:AlternateContent>
        <mc:AlternateContent xmlns:mc="http://schemas.openxmlformats.org/markup-compatibility/2006">
          <mc:Choice Requires="x14">
            <control shapeId="85012" r:id="rId23" name="Check Box 20">
              <controlPr defaultSize="0" autoFill="0" autoLine="0" autoPict="0">
                <anchor moveWithCells="1">
                  <from>
                    <xdr:col>21</xdr:col>
                    <xdr:colOff>25400</xdr:colOff>
                    <xdr:row>21</xdr:row>
                    <xdr:rowOff>12700</xdr:rowOff>
                  </from>
                  <to>
                    <xdr:col>22</xdr:col>
                    <xdr:colOff>222250</xdr:colOff>
                    <xdr:row>21</xdr:row>
                    <xdr:rowOff>234950</xdr:rowOff>
                  </to>
                </anchor>
              </controlPr>
            </control>
          </mc:Choice>
        </mc:AlternateContent>
        <mc:AlternateContent xmlns:mc="http://schemas.openxmlformats.org/markup-compatibility/2006">
          <mc:Choice Requires="x14">
            <control shapeId="85013" r:id="rId24" name="Check Box 21">
              <controlPr defaultSize="0" autoFill="0" autoLine="0" autoPict="0">
                <anchor moveWithCells="1">
                  <from>
                    <xdr:col>3</xdr:col>
                    <xdr:colOff>25400</xdr:colOff>
                    <xdr:row>24</xdr:row>
                    <xdr:rowOff>241300</xdr:rowOff>
                  </from>
                  <to>
                    <xdr:col>4</xdr:col>
                    <xdr:colOff>222250</xdr:colOff>
                    <xdr:row>26</xdr:row>
                    <xdr:rowOff>0</xdr:rowOff>
                  </to>
                </anchor>
              </controlPr>
            </control>
          </mc:Choice>
        </mc:AlternateContent>
        <mc:AlternateContent xmlns:mc="http://schemas.openxmlformats.org/markup-compatibility/2006">
          <mc:Choice Requires="x14">
            <control shapeId="85014" r:id="rId25" name="Check Box 22">
              <controlPr defaultSize="0" autoFill="0" autoLine="0" autoPict="0">
                <anchor moveWithCells="1">
                  <from>
                    <xdr:col>3</xdr:col>
                    <xdr:colOff>25400</xdr:colOff>
                    <xdr:row>26</xdr:row>
                    <xdr:rowOff>203200</xdr:rowOff>
                  </from>
                  <to>
                    <xdr:col>4</xdr:col>
                    <xdr:colOff>215900</xdr:colOff>
                    <xdr:row>28</xdr:row>
                    <xdr:rowOff>0</xdr:rowOff>
                  </to>
                </anchor>
              </controlPr>
            </control>
          </mc:Choice>
        </mc:AlternateContent>
        <mc:AlternateContent xmlns:mc="http://schemas.openxmlformats.org/markup-compatibility/2006">
          <mc:Choice Requires="x14">
            <control shapeId="85015" r:id="rId26" name="Check Box 23">
              <controlPr defaultSize="0" autoFill="0" autoLine="0" autoPict="0">
                <anchor moveWithCells="1">
                  <from>
                    <xdr:col>3</xdr:col>
                    <xdr:colOff>25400</xdr:colOff>
                    <xdr:row>28</xdr:row>
                    <xdr:rowOff>0</xdr:rowOff>
                  </from>
                  <to>
                    <xdr:col>4</xdr:col>
                    <xdr:colOff>215900</xdr:colOff>
                    <xdr:row>29</xdr:row>
                    <xdr:rowOff>6350</xdr:rowOff>
                  </to>
                </anchor>
              </controlPr>
            </control>
          </mc:Choice>
        </mc:AlternateContent>
        <mc:AlternateContent xmlns:mc="http://schemas.openxmlformats.org/markup-compatibility/2006">
          <mc:Choice Requires="x14">
            <control shapeId="85016" r:id="rId27" name="Check Box 24">
              <controlPr defaultSize="0" autoFill="0" autoLine="0" autoPict="0">
                <anchor moveWithCells="1">
                  <from>
                    <xdr:col>3</xdr:col>
                    <xdr:colOff>25400</xdr:colOff>
                    <xdr:row>30</xdr:row>
                    <xdr:rowOff>0</xdr:rowOff>
                  </from>
                  <to>
                    <xdr:col>4</xdr:col>
                    <xdr:colOff>222250</xdr:colOff>
                    <xdr:row>31</xdr:row>
                    <xdr:rowOff>6350</xdr:rowOff>
                  </to>
                </anchor>
              </controlPr>
            </control>
          </mc:Choice>
        </mc:AlternateContent>
        <mc:AlternateContent xmlns:mc="http://schemas.openxmlformats.org/markup-compatibility/2006">
          <mc:Choice Requires="x14">
            <control shapeId="85017" r:id="rId28" name="Check Box 25">
              <controlPr defaultSize="0" autoFill="0" autoLine="0" autoPict="0">
                <anchor moveWithCells="1">
                  <from>
                    <xdr:col>3</xdr:col>
                    <xdr:colOff>25400</xdr:colOff>
                    <xdr:row>31</xdr:row>
                    <xdr:rowOff>203200</xdr:rowOff>
                  </from>
                  <to>
                    <xdr:col>4</xdr:col>
                    <xdr:colOff>215900</xdr:colOff>
                    <xdr:row>33</xdr:row>
                    <xdr:rowOff>0</xdr:rowOff>
                  </to>
                </anchor>
              </controlPr>
            </control>
          </mc:Choice>
        </mc:AlternateContent>
        <mc:AlternateContent xmlns:mc="http://schemas.openxmlformats.org/markup-compatibility/2006">
          <mc:Choice Requires="x14">
            <control shapeId="85018" r:id="rId29" name="Check Box 26">
              <controlPr defaultSize="0" autoFill="0" autoLine="0" autoPict="0">
                <anchor moveWithCells="1">
                  <from>
                    <xdr:col>3</xdr:col>
                    <xdr:colOff>25400</xdr:colOff>
                    <xdr:row>32</xdr:row>
                    <xdr:rowOff>203200</xdr:rowOff>
                  </from>
                  <to>
                    <xdr:col>4</xdr:col>
                    <xdr:colOff>222250</xdr:colOff>
                    <xdr:row>34</xdr:row>
                    <xdr:rowOff>0</xdr:rowOff>
                  </to>
                </anchor>
              </controlPr>
            </control>
          </mc:Choice>
        </mc:AlternateContent>
        <mc:AlternateContent xmlns:mc="http://schemas.openxmlformats.org/markup-compatibility/2006">
          <mc:Choice Requires="x14">
            <control shapeId="85019" r:id="rId30" name="Check Box 27">
              <controlPr defaultSize="0" autoFill="0" autoLine="0" autoPict="0">
                <anchor moveWithCells="1">
                  <from>
                    <xdr:col>19</xdr:col>
                    <xdr:colOff>25400</xdr:colOff>
                    <xdr:row>24</xdr:row>
                    <xdr:rowOff>241300</xdr:rowOff>
                  </from>
                  <to>
                    <xdr:col>20</xdr:col>
                    <xdr:colOff>215900</xdr:colOff>
                    <xdr:row>26</xdr:row>
                    <xdr:rowOff>0</xdr:rowOff>
                  </to>
                </anchor>
              </controlPr>
            </control>
          </mc:Choice>
        </mc:AlternateContent>
        <mc:AlternateContent xmlns:mc="http://schemas.openxmlformats.org/markup-compatibility/2006">
          <mc:Choice Requires="x14">
            <control shapeId="85020" r:id="rId31" name="Check Box 28">
              <controlPr defaultSize="0" autoFill="0" autoLine="0" autoPict="0">
                <anchor moveWithCells="1">
                  <from>
                    <xdr:col>19</xdr:col>
                    <xdr:colOff>25400</xdr:colOff>
                    <xdr:row>27</xdr:row>
                    <xdr:rowOff>203200</xdr:rowOff>
                  </from>
                  <to>
                    <xdr:col>20</xdr:col>
                    <xdr:colOff>222250</xdr:colOff>
                    <xdr:row>29</xdr:row>
                    <xdr:rowOff>0</xdr:rowOff>
                  </to>
                </anchor>
              </controlPr>
            </control>
          </mc:Choice>
        </mc:AlternateContent>
        <mc:AlternateContent xmlns:mc="http://schemas.openxmlformats.org/markup-compatibility/2006">
          <mc:Choice Requires="x14">
            <control shapeId="85021" r:id="rId32" name="Check Box 29">
              <controlPr defaultSize="0" autoFill="0" autoLine="0" autoPict="0">
                <anchor moveWithCells="1">
                  <from>
                    <xdr:col>19</xdr:col>
                    <xdr:colOff>25400</xdr:colOff>
                    <xdr:row>28</xdr:row>
                    <xdr:rowOff>215900</xdr:rowOff>
                  </from>
                  <to>
                    <xdr:col>20</xdr:col>
                    <xdr:colOff>222250</xdr:colOff>
                    <xdr:row>30</xdr:row>
                    <xdr:rowOff>0</xdr:rowOff>
                  </to>
                </anchor>
              </controlPr>
            </control>
          </mc:Choice>
        </mc:AlternateContent>
        <mc:AlternateContent xmlns:mc="http://schemas.openxmlformats.org/markup-compatibility/2006">
          <mc:Choice Requires="x14">
            <control shapeId="85022" r:id="rId33" name="Check Box 30">
              <controlPr defaultSize="0" autoFill="0" autoLine="0" autoPict="0">
                <anchor moveWithCells="1">
                  <from>
                    <xdr:col>19</xdr:col>
                    <xdr:colOff>25400</xdr:colOff>
                    <xdr:row>30</xdr:row>
                    <xdr:rowOff>203200</xdr:rowOff>
                  </from>
                  <to>
                    <xdr:col>20</xdr:col>
                    <xdr:colOff>215900</xdr:colOff>
                    <xdr:row>32</xdr:row>
                    <xdr:rowOff>0</xdr:rowOff>
                  </to>
                </anchor>
              </controlPr>
            </control>
          </mc:Choice>
        </mc:AlternateContent>
        <mc:AlternateContent xmlns:mc="http://schemas.openxmlformats.org/markup-compatibility/2006">
          <mc:Choice Requires="x14">
            <control shapeId="85023" r:id="rId34" name="Check Box 31">
              <controlPr defaultSize="0" autoFill="0" autoLine="0" autoPict="0">
                <anchor moveWithCells="1">
                  <from>
                    <xdr:col>19</xdr:col>
                    <xdr:colOff>25400</xdr:colOff>
                    <xdr:row>32</xdr:row>
                    <xdr:rowOff>196850</xdr:rowOff>
                  </from>
                  <to>
                    <xdr:col>20</xdr:col>
                    <xdr:colOff>222250</xdr:colOff>
                    <xdr:row>33</xdr:row>
                    <xdr:rowOff>203200</xdr:rowOff>
                  </to>
                </anchor>
              </controlPr>
            </control>
          </mc:Choice>
        </mc:AlternateContent>
        <mc:AlternateContent xmlns:mc="http://schemas.openxmlformats.org/markup-compatibility/2006">
          <mc:Choice Requires="x14">
            <control shapeId="85024" r:id="rId35" name="Check Box 32">
              <controlPr defaultSize="0" autoFill="0" autoLine="0" autoPict="0">
                <anchor moveWithCells="1">
                  <from>
                    <xdr:col>19</xdr:col>
                    <xdr:colOff>25400</xdr:colOff>
                    <xdr:row>34</xdr:row>
                    <xdr:rowOff>196850</xdr:rowOff>
                  </from>
                  <to>
                    <xdr:col>20</xdr:col>
                    <xdr:colOff>222250</xdr:colOff>
                    <xdr:row>35</xdr:row>
                    <xdr:rowOff>203200</xdr:rowOff>
                  </to>
                </anchor>
              </controlPr>
            </control>
          </mc:Choice>
        </mc:AlternateContent>
        <mc:AlternateContent xmlns:mc="http://schemas.openxmlformats.org/markup-compatibility/2006">
          <mc:Choice Requires="x14">
            <control shapeId="85025" r:id="rId36" name="Check Box 33">
              <controlPr defaultSize="0" autoFill="0" autoLine="0" autoPict="0">
                <anchor moveWithCells="1">
                  <from>
                    <xdr:col>3</xdr:col>
                    <xdr:colOff>12700</xdr:colOff>
                    <xdr:row>34</xdr:row>
                    <xdr:rowOff>215900</xdr:rowOff>
                  </from>
                  <to>
                    <xdr:col>4</xdr:col>
                    <xdr:colOff>215900</xdr:colOff>
                    <xdr:row>36</xdr:row>
                    <xdr:rowOff>0</xdr:rowOff>
                  </to>
                </anchor>
              </controlPr>
            </control>
          </mc:Choice>
        </mc:AlternateContent>
        <mc:AlternateContent xmlns:mc="http://schemas.openxmlformats.org/markup-compatibility/2006">
          <mc:Choice Requires="x14">
            <control shapeId="85026" r:id="rId37" name="Check Box 34">
              <controlPr defaultSize="0" autoFill="0" autoLine="0" autoPict="0">
                <anchor moveWithCells="1">
                  <from>
                    <xdr:col>3</xdr:col>
                    <xdr:colOff>31750</xdr:colOff>
                    <xdr:row>37</xdr:row>
                    <xdr:rowOff>228600</xdr:rowOff>
                  </from>
                  <to>
                    <xdr:col>4</xdr:col>
                    <xdr:colOff>228600</xdr:colOff>
                    <xdr:row>38</xdr:row>
                    <xdr:rowOff>203200</xdr:rowOff>
                  </to>
                </anchor>
              </controlPr>
            </control>
          </mc:Choice>
        </mc:AlternateContent>
        <mc:AlternateContent xmlns:mc="http://schemas.openxmlformats.org/markup-compatibility/2006">
          <mc:Choice Requires="x14">
            <control shapeId="85027" r:id="rId38" name="Check Box 35">
              <controlPr defaultSize="0" autoFill="0" autoLine="0" autoPict="0">
                <anchor moveWithCells="1">
                  <from>
                    <xdr:col>19</xdr:col>
                    <xdr:colOff>25400</xdr:colOff>
                    <xdr:row>37</xdr:row>
                    <xdr:rowOff>241300</xdr:rowOff>
                  </from>
                  <to>
                    <xdr:col>20</xdr:col>
                    <xdr:colOff>222250</xdr:colOff>
                    <xdr:row>39</xdr:row>
                    <xdr:rowOff>0</xdr:rowOff>
                  </to>
                </anchor>
              </controlPr>
            </control>
          </mc:Choice>
        </mc:AlternateContent>
        <mc:AlternateContent xmlns:mc="http://schemas.openxmlformats.org/markup-compatibility/2006">
          <mc:Choice Requires="x14">
            <control shapeId="85028" r:id="rId39" name="Check Box 36">
              <controlPr defaultSize="0" autoFill="0" autoLine="0" autoPict="0">
                <anchor moveWithCells="1">
                  <from>
                    <xdr:col>19</xdr:col>
                    <xdr:colOff>25400</xdr:colOff>
                    <xdr:row>39</xdr:row>
                    <xdr:rowOff>196850</xdr:rowOff>
                  </from>
                  <to>
                    <xdr:col>20</xdr:col>
                    <xdr:colOff>215900</xdr:colOff>
                    <xdr:row>40</xdr:row>
                    <xdr:rowOff>203200</xdr:rowOff>
                  </to>
                </anchor>
              </controlPr>
            </control>
          </mc:Choice>
        </mc:AlternateContent>
        <mc:AlternateContent xmlns:mc="http://schemas.openxmlformats.org/markup-compatibility/2006">
          <mc:Choice Requires="x14">
            <control shapeId="85029" r:id="rId40" name="Check Box 37">
              <controlPr defaultSize="0" autoFill="0" autoLine="0" autoPict="0">
                <anchor moveWithCells="1">
                  <from>
                    <xdr:col>3</xdr:col>
                    <xdr:colOff>25400</xdr:colOff>
                    <xdr:row>40</xdr:row>
                    <xdr:rowOff>215900</xdr:rowOff>
                  </from>
                  <to>
                    <xdr:col>4</xdr:col>
                    <xdr:colOff>222250</xdr:colOff>
                    <xdr:row>42</xdr:row>
                    <xdr:rowOff>0</xdr:rowOff>
                  </to>
                </anchor>
              </controlPr>
            </control>
          </mc:Choice>
        </mc:AlternateContent>
        <mc:AlternateContent xmlns:mc="http://schemas.openxmlformats.org/markup-compatibility/2006">
          <mc:Choice Requires="x14">
            <control shapeId="85030" r:id="rId41" name="Check Box 38">
              <controlPr defaultSize="0" autoFill="0" autoLine="0" autoPict="0">
                <anchor moveWithCells="1">
                  <from>
                    <xdr:col>6</xdr:col>
                    <xdr:colOff>31750</xdr:colOff>
                    <xdr:row>44</xdr:row>
                    <xdr:rowOff>12700</xdr:rowOff>
                  </from>
                  <to>
                    <xdr:col>7</xdr:col>
                    <xdr:colOff>228600</xdr:colOff>
                    <xdr:row>45</xdr:row>
                    <xdr:rowOff>25400</xdr:rowOff>
                  </to>
                </anchor>
              </controlPr>
            </control>
          </mc:Choice>
        </mc:AlternateContent>
        <mc:AlternateContent xmlns:mc="http://schemas.openxmlformats.org/markup-compatibility/2006">
          <mc:Choice Requires="x14">
            <control shapeId="85031" r:id="rId42" name="Check Box 39">
              <controlPr defaultSize="0" autoFill="0" autoLine="0" autoPict="0">
                <anchor moveWithCells="1">
                  <from>
                    <xdr:col>11</xdr:col>
                    <xdr:colOff>31750</xdr:colOff>
                    <xdr:row>44</xdr:row>
                    <xdr:rowOff>12700</xdr:rowOff>
                  </from>
                  <to>
                    <xdr:col>12</xdr:col>
                    <xdr:colOff>228600</xdr:colOff>
                    <xdr:row>45</xdr:row>
                    <xdr:rowOff>25400</xdr:rowOff>
                  </to>
                </anchor>
              </controlPr>
            </control>
          </mc:Choice>
        </mc:AlternateContent>
        <mc:AlternateContent xmlns:mc="http://schemas.openxmlformats.org/markup-compatibility/2006">
          <mc:Choice Requires="x14">
            <control shapeId="85032" r:id="rId43" name="Check Box 40">
              <controlPr defaultSize="0" autoFill="0" autoLine="0" autoPict="0">
                <anchor moveWithCells="1">
                  <from>
                    <xdr:col>17</xdr:col>
                    <xdr:colOff>31750</xdr:colOff>
                    <xdr:row>44</xdr:row>
                    <xdr:rowOff>12700</xdr:rowOff>
                  </from>
                  <to>
                    <xdr:col>18</xdr:col>
                    <xdr:colOff>228600</xdr:colOff>
                    <xdr:row>45</xdr:row>
                    <xdr:rowOff>25400</xdr:rowOff>
                  </to>
                </anchor>
              </controlPr>
            </control>
          </mc:Choice>
        </mc:AlternateContent>
        <mc:AlternateContent xmlns:mc="http://schemas.openxmlformats.org/markup-compatibility/2006">
          <mc:Choice Requires="x14">
            <control shapeId="85033" r:id="rId44" name="Check Box 41">
              <controlPr defaultSize="0" autoFill="0" autoLine="0" autoPict="0">
                <anchor moveWithCells="1">
                  <from>
                    <xdr:col>22</xdr:col>
                    <xdr:colOff>31750</xdr:colOff>
                    <xdr:row>44</xdr:row>
                    <xdr:rowOff>12700</xdr:rowOff>
                  </from>
                  <to>
                    <xdr:col>23</xdr:col>
                    <xdr:colOff>228600</xdr:colOff>
                    <xdr:row>45</xdr:row>
                    <xdr:rowOff>25400</xdr:rowOff>
                  </to>
                </anchor>
              </controlPr>
            </control>
          </mc:Choice>
        </mc:AlternateContent>
        <mc:AlternateContent xmlns:mc="http://schemas.openxmlformats.org/markup-compatibility/2006">
          <mc:Choice Requires="x14">
            <control shapeId="85034" r:id="rId45" name="Check Box 42">
              <controlPr defaultSize="0" autoFill="0" autoLine="0" autoPict="0">
                <anchor moveWithCells="1">
                  <from>
                    <xdr:col>27</xdr:col>
                    <xdr:colOff>31750</xdr:colOff>
                    <xdr:row>44</xdr:row>
                    <xdr:rowOff>12700</xdr:rowOff>
                  </from>
                  <to>
                    <xdr:col>28</xdr:col>
                    <xdr:colOff>228600</xdr:colOff>
                    <xdr:row>45</xdr:row>
                    <xdr:rowOff>25400</xdr:rowOff>
                  </to>
                </anchor>
              </controlPr>
            </control>
          </mc:Choice>
        </mc:AlternateContent>
        <mc:AlternateContent xmlns:mc="http://schemas.openxmlformats.org/markup-compatibility/2006">
          <mc:Choice Requires="x14">
            <control shapeId="85035" r:id="rId46" name="Check Box 43">
              <controlPr defaultSize="0" autoFill="0" autoLine="0" autoPict="0">
                <anchor moveWithCells="1">
                  <from>
                    <xdr:col>3</xdr:col>
                    <xdr:colOff>25400</xdr:colOff>
                    <xdr:row>44</xdr:row>
                    <xdr:rowOff>254000</xdr:rowOff>
                  </from>
                  <to>
                    <xdr:col>4</xdr:col>
                    <xdr:colOff>215900</xdr:colOff>
                    <xdr:row>46</xdr:row>
                    <xdr:rowOff>25400</xdr:rowOff>
                  </to>
                </anchor>
              </controlPr>
            </control>
          </mc:Choice>
        </mc:AlternateContent>
        <mc:AlternateContent xmlns:mc="http://schemas.openxmlformats.org/markup-compatibility/2006">
          <mc:Choice Requires="x14">
            <control shapeId="85036" r:id="rId47" name="Check Box 44">
              <controlPr defaultSize="0" autoFill="0" autoLine="0" autoPict="0">
                <anchor moveWithCells="1">
                  <from>
                    <xdr:col>3</xdr:col>
                    <xdr:colOff>25400</xdr:colOff>
                    <xdr:row>46</xdr:row>
                    <xdr:rowOff>190500</xdr:rowOff>
                  </from>
                  <to>
                    <xdr:col>4</xdr:col>
                    <xdr:colOff>222250</xdr:colOff>
                    <xdr:row>48</xdr:row>
                    <xdr:rowOff>6350</xdr:rowOff>
                  </to>
                </anchor>
              </controlPr>
            </control>
          </mc:Choice>
        </mc:AlternateContent>
        <mc:AlternateContent xmlns:mc="http://schemas.openxmlformats.org/markup-compatibility/2006">
          <mc:Choice Requires="x14">
            <control shapeId="85037" r:id="rId48" name="Check Box 45">
              <controlPr defaultSize="0" autoFill="0" autoLine="0" autoPict="0">
                <anchor moveWithCells="1">
                  <from>
                    <xdr:col>3</xdr:col>
                    <xdr:colOff>31750</xdr:colOff>
                    <xdr:row>49</xdr:row>
                    <xdr:rowOff>0</xdr:rowOff>
                  </from>
                  <to>
                    <xdr:col>4</xdr:col>
                    <xdr:colOff>228600</xdr:colOff>
                    <xdr:row>50</xdr:row>
                    <xdr:rowOff>6350</xdr:rowOff>
                  </to>
                </anchor>
              </controlPr>
            </control>
          </mc:Choice>
        </mc:AlternateContent>
        <mc:AlternateContent xmlns:mc="http://schemas.openxmlformats.org/markup-compatibility/2006">
          <mc:Choice Requires="x14">
            <control shapeId="85038" r:id="rId49" name="Check Box 46">
              <controlPr defaultSize="0" autoFill="0" autoLine="0" autoPict="0">
                <anchor moveWithCells="1">
                  <from>
                    <xdr:col>3</xdr:col>
                    <xdr:colOff>31750</xdr:colOff>
                    <xdr:row>50</xdr:row>
                    <xdr:rowOff>0</xdr:rowOff>
                  </from>
                  <to>
                    <xdr:col>4</xdr:col>
                    <xdr:colOff>228600</xdr:colOff>
                    <xdr:row>51</xdr:row>
                    <xdr:rowOff>6350</xdr:rowOff>
                  </to>
                </anchor>
              </controlPr>
            </control>
          </mc:Choice>
        </mc:AlternateContent>
        <mc:AlternateContent xmlns:mc="http://schemas.openxmlformats.org/markup-compatibility/2006">
          <mc:Choice Requires="x14">
            <control shapeId="85039" r:id="rId50" name="Check Box 47">
              <controlPr defaultSize="0" autoFill="0" autoLine="0" autoPict="0">
                <anchor moveWithCells="1">
                  <from>
                    <xdr:col>3</xdr:col>
                    <xdr:colOff>31750</xdr:colOff>
                    <xdr:row>51</xdr:row>
                    <xdr:rowOff>0</xdr:rowOff>
                  </from>
                  <to>
                    <xdr:col>4</xdr:col>
                    <xdr:colOff>228600</xdr:colOff>
                    <xdr:row>52</xdr:row>
                    <xdr:rowOff>6350</xdr:rowOff>
                  </to>
                </anchor>
              </controlPr>
            </control>
          </mc:Choice>
        </mc:AlternateContent>
        <mc:AlternateContent xmlns:mc="http://schemas.openxmlformats.org/markup-compatibility/2006">
          <mc:Choice Requires="x14">
            <control shapeId="85040" r:id="rId51" name="Check Box 48">
              <controlPr defaultSize="0" autoFill="0" autoLine="0" autoPict="0">
                <anchor moveWithCells="1">
                  <from>
                    <xdr:col>3</xdr:col>
                    <xdr:colOff>31750</xdr:colOff>
                    <xdr:row>52</xdr:row>
                    <xdr:rowOff>0</xdr:rowOff>
                  </from>
                  <to>
                    <xdr:col>4</xdr:col>
                    <xdr:colOff>228600</xdr:colOff>
                    <xdr:row>53</xdr:row>
                    <xdr:rowOff>6350</xdr:rowOff>
                  </to>
                </anchor>
              </controlPr>
            </control>
          </mc:Choice>
        </mc:AlternateContent>
        <mc:AlternateContent xmlns:mc="http://schemas.openxmlformats.org/markup-compatibility/2006">
          <mc:Choice Requires="x14">
            <control shapeId="85041" r:id="rId52" name="Check Box 49">
              <controlPr defaultSize="0" autoFill="0" autoLine="0" autoPict="0">
                <anchor moveWithCells="1">
                  <from>
                    <xdr:col>3</xdr:col>
                    <xdr:colOff>31750</xdr:colOff>
                    <xdr:row>53</xdr:row>
                    <xdr:rowOff>0</xdr:rowOff>
                  </from>
                  <to>
                    <xdr:col>4</xdr:col>
                    <xdr:colOff>228600</xdr:colOff>
                    <xdr:row>54</xdr:row>
                    <xdr:rowOff>6350</xdr:rowOff>
                  </to>
                </anchor>
              </controlPr>
            </control>
          </mc:Choice>
        </mc:AlternateContent>
      </controls>
    </mc:Choice>
  </mc:AlternateContent>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2F250-049A-4064-A946-C079BD309E58}">
  <sheetPr>
    <pageSetUpPr fitToPage="1"/>
  </sheetPr>
  <dimension ref="B1:AX76"/>
  <sheetViews>
    <sheetView showGridLines="0" topLeftCell="D1" zoomScaleNormal="100" zoomScaleSheetLayoutView="100" workbookViewId="0">
      <selection activeCell="AA66" sqref="AA66"/>
    </sheetView>
  </sheetViews>
  <sheetFormatPr defaultColWidth="8" defaultRowHeight="15.5" x14ac:dyDescent="0.35"/>
  <cols>
    <col min="1" max="1" width="2.08203125" style="1041" customWidth="1"/>
    <col min="2" max="3" width="3.58203125" style="1041" customWidth="1"/>
    <col min="4" max="37" width="3.58203125" style="1042" customWidth="1"/>
    <col min="38" max="41" width="3.58203125" style="1041" customWidth="1"/>
    <col min="42" max="42" width="2.08203125" style="1041" customWidth="1"/>
    <col min="43" max="174" width="3.58203125" style="1041" customWidth="1"/>
    <col min="175" max="16384" width="8" style="1041"/>
  </cols>
  <sheetData>
    <row r="1" spans="4:50" ht="12" customHeight="1" x14ac:dyDescent="0.35"/>
    <row r="2" spans="4:50" ht="17" thickBot="1" x14ac:dyDescent="0.4">
      <c r="D2" s="1054" t="s">
        <v>1671</v>
      </c>
      <c r="E2" s="1041"/>
      <c r="F2" s="1041"/>
      <c r="G2" s="1041"/>
      <c r="H2" s="1041"/>
      <c r="I2" s="1041"/>
      <c r="J2" s="1041"/>
      <c r="K2" s="1041"/>
      <c r="L2" s="1041"/>
      <c r="M2" s="1041"/>
      <c r="N2" s="1041"/>
      <c r="O2" s="1041"/>
      <c r="P2" s="1041"/>
      <c r="Q2" s="1041"/>
      <c r="R2" s="1041"/>
      <c r="S2" s="1041"/>
      <c r="T2" s="1041"/>
      <c r="U2" s="1041"/>
      <c r="V2" s="1041"/>
      <c r="W2" s="1041"/>
      <c r="X2" s="1041"/>
      <c r="Y2" s="1041"/>
      <c r="Z2" s="1041"/>
      <c r="AA2" s="1041"/>
      <c r="AB2" s="1041"/>
      <c r="AC2" s="1041"/>
      <c r="AD2" s="1041"/>
      <c r="AE2" s="1041"/>
      <c r="AF2" s="1041"/>
      <c r="AG2" s="1041"/>
      <c r="AH2" s="1041"/>
      <c r="AI2" s="1041"/>
      <c r="AJ2" s="1041"/>
      <c r="AK2" s="1041"/>
    </row>
    <row r="3" spans="4:50" ht="5" customHeight="1" thickTop="1" x14ac:dyDescent="0.35">
      <c r="D3" s="1056"/>
      <c r="E3" s="1057"/>
      <c r="F3" s="1057"/>
      <c r="G3" s="1057"/>
      <c r="H3" s="1057"/>
      <c r="I3" s="1057"/>
      <c r="J3" s="1057"/>
      <c r="K3" s="1057"/>
      <c r="L3" s="1057"/>
      <c r="M3" s="1057"/>
      <c r="N3" s="1057"/>
      <c r="O3" s="1057"/>
      <c r="P3" s="1057"/>
      <c r="Q3" s="1057"/>
      <c r="R3" s="1057"/>
      <c r="S3" s="1057"/>
      <c r="T3" s="1057"/>
      <c r="U3" s="1057"/>
      <c r="V3" s="1057"/>
      <c r="W3" s="1057"/>
      <c r="X3" s="1057"/>
      <c r="Y3" s="1057"/>
      <c r="Z3" s="1057"/>
      <c r="AA3" s="1057"/>
      <c r="AB3" s="1057"/>
      <c r="AC3" s="1057"/>
      <c r="AD3" s="1057"/>
      <c r="AE3" s="1057"/>
      <c r="AF3" s="1057"/>
      <c r="AG3" s="1057"/>
      <c r="AH3" s="1057"/>
      <c r="AI3" s="1057"/>
      <c r="AJ3" s="1057"/>
      <c r="AK3" s="1057"/>
      <c r="AL3" s="1057"/>
      <c r="AM3" s="1058"/>
      <c r="AN3" s="1105"/>
      <c r="AO3" s="1105"/>
    </row>
    <row r="4" spans="4:50" s="1101" customFormat="1" ht="24.75" customHeight="1" x14ac:dyDescent="0.35">
      <c r="D4" s="1097"/>
      <c r="E4" s="1104" t="s">
        <v>150</v>
      </c>
      <c r="F4" s="833" t="b">
        <v>1</v>
      </c>
      <c r="G4" s="3592" t="s">
        <v>1672</v>
      </c>
      <c r="H4" s="3592"/>
      <c r="I4" s="3592"/>
      <c r="J4" s="3592"/>
      <c r="K4" s="3592"/>
      <c r="L4" s="3592"/>
      <c r="M4" s="3592"/>
      <c r="N4" s="3592"/>
      <c r="O4" s="3592"/>
      <c r="P4" s="3592"/>
      <c r="Q4" s="3592"/>
      <c r="R4" s="3592"/>
      <c r="S4" s="3592"/>
      <c r="T4" s="3592"/>
      <c r="U4" s="3592"/>
      <c r="V4" s="3592"/>
      <c r="W4" s="3592"/>
      <c r="X4" s="3592"/>
      <c r="Y4" s="3592"/>
      <c r="Z4" s="3592"/>
      <c r="AA4" s="3592"/>
      <c r="AB4" s="3592"/>
      <c r="AC4" s="3592"/>
      <c r="AD4" s="3592"/>
      <c r="AE4" s="3592"/>
      <c r="AF4" s="3592"/>
      <c r="AG4" s="3592"/>
      <c r="AH4" s="3592"/>
      <c r="AI4" s="3592"/>
      <c r="AJ4" s="3592"/>
      <c r="AK4" s="3592"/>
      <c r="AL4" s="1099"/>
      <c r="AM4" s="1100"/>
      <c r="AN4" s="1099"/>
      <c r="AO4" s="1099"/>
      <c r="AP4" s="1099"/>
      <c r="AQ4" s="1099"/>
      <c r="AR4" s="1099"/>
      <c r="AS4" s="1099"/>
      <c r="AT4" s="1099"/>
      <c r="AU4" s="1099"/>
      <c r="AV4" s="1099"/>
      <c r="AW4" s="1099"/>
      <c r="AX4" s="1099"/>
    </row>
    <row r="5" spans="4:50" s="1101" customFormat="1" ht="16" customHeight="1" x14ac:dyDescent="0.35">
      <c r="D5" s="1097"/>
      <c r="E5" s="1050" t="s">
        <v>151</v>
      </c>
      <c r="F5" s="833" t="b">
        <v>1</v>
      </c>
      <c r="G5" s="3599" t="s">
        <v>1674</v>
      </c>
      <c r="H5" s="3599"/>
      <c r="I5" s="3599"/>
      <c r="J5" s="3599"/>
      <c r="K5" s="3599"/>
      <c r="L5" s="3599"/>
      <c r="M5" s="3599"/>
      <c r="N5" s="3599"/>
      <c r="O5" s="3599"/>
      <c r="P5" s="3599"/>
      <c r="Q5" s="3599"/>
      <c r="R5" s="3599"/>
      <c r="S5" s="3599"/>
      <c r="T5" s="3599"/>
      <c r="U5" s="3599"/>
      <c r="V5" s="3599"/>
      <c r="W5" s="3599"/>
      <c r="X5" s="3599"/>
      <c r="Y5" s="3599"/>
      <c r="Z5" s="3599"/>
      <c r="AA5" s="3599"/>
      <c r="AB5" s="3599"/>
      <c r="AC5" s="3599"/>
      <c r="AD5" s="3599"/>
      <c r="AE5" s="3599"/>
      <c r="AF5" s="3599"/>
      <c r="AG5" s="3599"/>
      <c r="AH5" s="3599"/>
      <c r="AI5" s="3599"/>
      <c r="AJ5" s="3599"/>
      <c r="AK5" s="3599"/>
      <c r="AL5" s="1099"/>
      <c r="AM5" s="1100"/>
      <c r="AN5" s="1099"/>
      <c r="AO5" s="1099"/>
      <c r="AP5" s="1099"/>
      <c r="AQ5" s="1099"/>
      <c r="AR5" s="1099"/>
      <c r="AS5" s="1099"/>
      <c r="AT5" s="1099"/>
      <c r="AU5" s="1099"/>
      <c r="AV5" s="1099"/>
      <c r="AW5" s="1099"/>
      <c r="AX5" s="1099"/>
    </row>
    <row r="6" spans="4:50" s="1101" customFormat="1" ht="16" customHeight="1" x14ac:dyDescent="0.35">
      <c r="D6" s="1097"/>
      <c r="E6" s="1050"/>
      <c r="F6" s="1124"/>
      <c r="G6" s="3599"/>
      <c r="H6" s="3599"/>
      <c r="I6" s="3599"/>
      <c r="J6" s="3599"/>
      <c r="K6" s="3599"/>
      <c r="L6" s="3599"/>
      <c r="M6" s="3599"/>
      <c r="N6" s="3599"/>
      <c r="O6" s="3599"/>
      <c r="P6" s="3599"/>
      <c r="Q6" s="3599"/>
      <c r="R6" s="3599"/>
      <c r="S6" s="3599"/>
      <c r="T6" s="3599"/>
      <c r="U6" s="3599"/>
      <c r="V6" s="3599"/>
      <c r="W6" s="3599"/>
      <c r="X6" s="3599"/>
      <c r="Y6" s="3599"/>
      <c r="Z6" s="3599"/>
      <c r="AA6" s="3599"/>
      <c r="AB6" s="3599"/>
      <c r="AC6" s="3599"/>
      <c r="AD6" s="3599"/>
      <c r="AE6" s="3599"/>
      <c r="AF6" s="3599"/>
      <c r="AG6" s="3599"/>
      <c r="AH6" s="3599"/>
      <c r="AI6" s="3599"/>
      <c r="AJ6" s="3599"/>
      <c r="AK6" s="3599"/>
      <c r="AL6" s="1099"/>
      <c r="AM6" s="1100"/>
      <c r="AN6" s="1099"/>
      <c r="AO6" s="1099"/>
      <c r="AP6" s="1099"/>
      <c r="AQ6" s="1099"/>
      <c r="AR6" s="1099"/>
      <c r="AS6" s="1099"/>
      <c r="AT6" s="1099"/>
      <c r="AU6" s="1099"/>
      <c r="AV6" s="1099"/>
      <c r="AW6" s="1099"/>
      <c r="AX6" s="1099"/>
    </row>
    <row r="7" spans="4:50" s="1101" customFormat="1" ht="24.75" customHeight="1" x14ac:dyDescent="0.35">
      <c r="D7" s="1097"/>
      <c r="E7" s="1104" t="s">
        <v>152</v>
      </c>
      <c r="F7" s="833" t="b">
        <v>0</v>
      </c>
      <c r="G7" s="3592" t="s">
        <v>1673</v>
      </c>
      <c r="H7" s="3592"/>
      <c r="I7" s="3592"/>
      <c r="J7" s="3592"/>
      <c r="K7" s="3592"/>
      <c r="L7" s="3592"/>
      <c r="M7" s="3592"/>
      <c r="N7" s="3592"/>
      <c r="O7" s="3592"/>
      <c r="P7" s="3592"/>
      <c r="Q7" s="3592"/>
      <c r="R7" s="3592"/>
      <c r="S7" s="3592"/>
      <c r="T7" s="3592"/>
      <c r="U7" s="3592"/>
      <c r="V7" s="3592"/>
      <c r="W7" s="3592"/>
      <c r="X7" s="3592"/>
      <c r="Y7" s="3592"/>
      <c r="Z7" s="3592"/>
      <c r="AA7" s="3592"/>
      <c r="AB7" s="3592"/>
      <c r="AC7" s="3592"/>
      <c r="AD7" s="3592"/>
      <c r="AE7" s="3592"/>
      <c r="AF7" s="3592"/>
      <c r="AG7" s="3592"/>
      <c r="AH7" s="3592"/>
      <c r="AI7" s="3592"/>
      <c r="AJ7" s="3592"/>
      <c r="AK7" s="3592"/>
      <c r="AL7" s="1099"/>
      <c r="AM7" s="1100"/>
      <c r="AN7" s="1099"/>
      <c r="AO7" s="1099"/>
      <c r="AP7" s="1099"/>
      <c r="AQ7" s="1099"/>
      <c r="AR7" s="1099"/>
      <c r="AS7" s="1099"/>
      <c r="AT7" s="1099"/>
      <c r="AU7" s="1099"/>
      <c r="AV7" s="1099"/>
      <c r="AW7" s="1099"/>
      <c r="AX7" s="1099"/>
    </row>
    <row r="8" spans="4:50" ht="15.5" customHeight="1" x14ac:dyDescent="0.35">
      <c r="D8" s="1049"/>
      <c r="E8" s="1050" t="s">
        <v>155</v>
      </c>
      <c r="F8" s="3554" t="s">
        <v>1675</v>
      </c>
      <c r="G8" s="3554"/>
      <c r="H8" s="3554"/>
      <c r="I8" s="3554"/>
      <c r="J8" s="3554"/>
      <c r="K8" s="3554"/>
      <c r="L8" s="3554"/>
      <c r="M8" s="3554"/>
      <c r="N8" s="3554"/>
      <c r="O8" s="3554"/>
      <c r="P8" s="3554"/>
      <c r="Q8" s="3554"/>
      <c r="R8" s="3554"/>
      <c r="S8" s="3554"/>
      <c r="T8" s="3554"/>
      <c r="U8" s="3554"/>
      <c r="V8" s="3554"/>
      <c r="W8" s="3554"/>
      <c r="X8" s="3554"/>
      <c r="Y8" s="3554"/>
      <c r="Z8" s="3554"/>
      <c r="AA8" s="3554"/>
      <c r="AB8" s="3554"/>
      <c r="AC8" s="3554"/>
      <c r="AD8" s="3554"/>
      <c r="AE8" s="3554"/>
      <c r="AF8" s="3554"/>
      <c r="AG8" s="3554"/>
      <c r="AH8" s="3554"/>
      <c r="AI8" s="3554"/>
      <c r="AJ8" s="3554"/>
      <c r="AK8" s="3554"/>
      <c r="AM8" s="1077"/>
    </row>
    <row r="9" spans="4:50" ht="5" customHeight="1" thickBot="1" x14ac:dyDescent="0.4">
      <c r="D9" s="1084"/>
      <c r="E9" s="1105"/>
      <c r="F9" s="1105"/>
      <c r="G9" s="1105"/>
      <c r="H9" s="1105"/>
      <c r="I9" s="1105"/>
      <c r="J9" s="1105"/>
      <c r="K9" s="1105"/>
      <c r="L9" s="1105"/>
      <c r="M9" s="1105"/>
      <c r="N9" s="1105"/>
      <c r="O9" s="1105"/>
      <c r="P9" s="1105"/>
      <c r="Q9" s="1105"/>
      <c r="R9" s="1105"/>
      <c r="S9" s="1105"/>
      <c r="T9" s="1105"/>
      <c r="U9" s="1105"/>
      <c r="V9" s="1105"/>
      <c r="W9" s="1105"/>
      <c r="X9" s="1105"/>
      <c r="Y9" s="1105"/>
      <c r="Z9" s="1105"/>
      <c r="AA9" s="1105"/>
      <c r="AB9" s="1105"/>
      <c r="AC9" s="1105"/>
      <c r="AD9" s="1105"/>
      <c r="AE9" s="1105"/>
      <c r="AF9" s="1105"/>
      <c r="AG9" s="1105"/>
      <c r="AH9" s="1105"/>
      <c r="AI9" s="1105"/>
      <c r="AJ9" s="1105"/>
      <c r="AK9" s="1105"/>
      <c r="AM9" s="1077"/>
    </row>
    <row r="10" spans="4:50" s="1042" customFormat="1" ht="35" customHeight="1" thickTop="1" thickBot="1" x14ac:dyDescent="0.4">
      <c r="D10" s="1084"/>
      <c r="E10" s="1085"/>
      <c r="F10" s="1387" t="s">
        <v>1707</v>
      </c>
      <c r="G10" s="3674" t="s">
        <v>1704</v>
      </c>
      <c r="H10" s="3674"/>
      <c r="I10" s="3674"/>
      <c r="J10" s="3674"/>
      <c r="K10" s="3674"/>
      <c r="L10" s="3674"/>
      <c r="M10" s="3674"/>
      <c r="N10" s="3543" t="s">
        <v>339</v>
      </c>
      <c r="O10" s="3544"/>
      <c r="P10" s="3546"/>
      <c r="Q10" s="3544" t="s">
        <v>851</v>
      </c>
      <c r="R10" s="3544"/>
      <c r="S10" s="3547"/>
      <c r="T10" s="1111"/>
      <c r="U10" s="1111"/>
      <c r="V10" s="1111"/>
      <c r="W10" s="1111"/>
      <c r="X10" s="1387" t="s">
        <v>1705</v>
      </c>
      <c r="Y10" s="3674" t="s">
        <v>1706</v>
      </c>
      <c r="Z10" s="3674"/>
      <c r="AA10" s="3674"/>
      <c r="AB10" s="3674"/>
      <c r="AC10" s="3674"/>
      <c r="AD10" s="3674"/>
      <c r="AE10" s="3674"/>
      <c r="AF10" s="3543" t="s">
        <v>339</v>
      </c>
      <c r="AG10" s="3544"/>
      <c r="AH10" s="3546"/>
      <c r="AI10" s="3544" t="s">
        <v>851</v>
      </c>
      <c r="AJ10" s="3544"/>
      <c r="AK10" s="3547"/>
      <c r="AM10" s="1043"/>
    </row>
    <row r="11" spans="4:50" s="1042" customFormat="1" ht="19.5" customHeight="1" thickTop="1" x14ac:dyDescent="0.35">
      <c r="D11" s="1084"/>
      <c r="E11" s="1085"/>
      <c r="F11" s="3644" t="s">
        <v>1677</v>
      </c>
      <c r="G11" s="3645"/>
      <c r="H11" s="3645"/>
      <c r="I11" s="3645"/>
      <c r="J11" s="3645"/>
      <c r="K11" s="3645"/>
      <c r="L11" s="3645"/>
      <c r="M11" s="3645"/>
      <c r="N11" s="3682">
        <v>4</v>
      </c>
      <c r="O11" s="3683"/>
      <c r="P11" s="3684"/>
      <c r="Q11" s="3683">
        <v>0</v>
      </c>
      <c r="R11" s="3683"/>
      <c r="S11" s="3685"/>
      <c r="T11" s="1133"/>
      <c r="U11" s="1133"/>
      <c r="V11" s="1133"/>
      <c r="W11" s="1111"/>
      <c r="X11" s="3644" t="s">
        <v>1698</v>
      </c>
      <c r="Y11" s="3645"/>
      <c r="Z11" s="3645"/>
      <c r="AA11" s="3645"/>
      <c r="AB11" s="3645"/>
      <c r="AC11" s="3645"/>
      <c r="AD11" s="3645"/>
      <c r="AE11" s="3645"/>
      <c r="AF11" s="3682">
        <v>1</v>
      </c>
      <c r="AG11" s="3683"/>
      <c r="AH11" s="3684"/>
      <c r="AI11" s="3683">
        <v>0</v>
      </c>
      <c r="AJ11" s="3683"/>
      <c r="AK11" s="3685"/>
      <c r="AM11" s="1043"/>
    </row>
    <row r="12" spans="4:50" s="1042" customFormat="1" ht="19.5" customHeight="1" x14ac:dyDescent="0.35">
      <c r="D12" s="1044"/>
      <c r="E12" s="1045"/>
      <c r="F12" s="3675" t="s">
        <v>1678</v>
      </c>
      <c r="G12" s="3676"/>
      <c r="H12" s="3676"/>
      <c r="I12" s="3676"/>
      <c r="J12" s="3676"/>
      <c r="K12" s="3676"/>
      <c r="L12" s="3676"/>
      <c r="M12" s="3676"/>
      <c r="N12" s="3677">
        <v>0</v>
      </c>
      <c r="O12" s="3678"/>
      <c r="P12" s="3679"/>
      <c r="Q12" s="3678">
        <v>0</v>
      </c>
      <c r="R12" s="3678"/>
      <c r="S12" s="3704"/>
      <c r="T12" s="1113"/>
      <c r="U12" s="1113"/>
      <c r="V12" s="1113"/>
      <c r="W12" s="1111"/>
      <c r="X12" s="3675" t="s">
        <v>1699</v>
      </c>
      <c r="Y12" s="3676"/>
      <c r="Z12" s="3676"/>
      <c r="AA12" s="3676"/>
      <c r="AB12" s="3676"/>
      <c r="AC12" s="3676"/>
      <c r="AD12" s="3676"/>
      <c r="AE12" s="3676"/>
      <c r="AF12" s="3677">
        <v>0</v>
      </c>
      <c r="AG12" s="3678"/>
      <c r="AH12" s="3679"/>
      <c r="AI12" s="3678">
        <v>0</v>
      </c>
      <c r="AJ12" s="3678"/>
      <c r="AK12" s="3704"/>
      <c r="AM12" s="1043"/>
    </row>
    <row r="13" spans="4:50" s="1042" customFormat="1" ht="19.5" customHeight="1" x14ac:dyDescent="0.35">
      <c r="D13" s="1044"/>
      <c r="E13" s="1045"/>
      <c r="F13" s="3675" t="s">
        <v>853</v>
      </c>
      <c r="G13" s="3676"/>
      <c r="H13" s="3676"/>
      <c r="I13" s="3676"/>
      <c r="J13" s="3676"/>
      <c r="K13" s="3676"/>
      <c r="L13" s="3676"/>
      <c r="M13" s="3676"/>
      <c r="N13" s="3677">
        <v>0</v>
      </c>
      <c r="O13" s="3678"/>
      <c r="P13" s="3679"/>
      <c r="Q13" s="3678">
        <v>0</v>
      </c>
      <c r="R13" s="3678"/>
      <c r="S13" s="3704"/>
      <c r="T13" s="1113"/>
      <c r="U13" s="1113"/>
      <c r="V13" s="1113"/>
      <c r="W13" s="1111"/>
      <c r="X13" s="3675" t="s">
        <v>859</v>
      </c>
      <c r="Y13" s="3676"/>
      <c r="Z13" s="3676"/>
      <c r="AA13" s="3676"/>
      <c r="AB13" s="3676"/>
      <c r="AC13" s="3676"/>
      <c r="AD13" s="3676"/>
      <c r="AE13" s="3676"/>
      <c r="AF13" s="3677">
        <v>0</v>
      </c>
      <c r="AG13" s="3678"/>
      <c r="AH13" s="3679"/>
      <c r="AI13" s="3678">
        <v>0</v>
      </c>
      <c r="AJ13" s="3678"/>
      <c r="AK13" s="3704"/>
      <c r="AM13" s="1043"/>
    </row>
    <row r="14" spans="4:50" s="1042" customFormat="1" ht="19.5" customHeight="1" x14ac:dyDescent="0.35">
      <c r="D14" s="1044"/>
      <c r="E14" s="1045"/>
      <c r="F14" s="3675" t="s">
        <v>1679</v>
      </c>
      <c r="G14" s="3676"/>
      <c r="H14" s="3676"/>
      <c r="I14" s="3676"/>
      <c r="J14" s="3676"/>
      <c r="K14" s="3676"/>
      <c r="L14" s="3676"/>
      <c r="M14" s="3676"/>
      <c r="N14" s="3677">
        <v>0</v>
      </c>
      <c r="O14" s="3678"/>
      <c r="P14" s="3679"/>
      <c r="Q14" s="3678">
        <v>0</v>
      </c>
      <c r="R14" s="3678"/>
      <c r="S14" s="3704"/>
      <c r="T14" s="1113"/>
      <c r="U14" s="1113"/>
      <c r="V14" s="1113"/>
      <c r="W14" s="1111"/>
      <c r="X14" s="3675" t="s">
        <v>1700</v>
      </c>
      <c r="Y14" s="3676"/>
      <c r="Z14" s="3676"/>
      <c r="AA14" s="3676"/>
      <c r="AB14" s="3676"/>
      <c r="AC14" s="3676"/>
      <c r="AD14" s="3676"/>
      <c r="AE14" s="3676"/>
      <c r="AF14" s="3677">
        <v>0</v>
      </c>
      <c r="AG14" s="3678"/>
      <c r="AH14" s="3679"/>
      <c r="AI14" s="3678">
        <v>0</v>
      </c>
      <c r="AJ14" s="3678"/>
      <c r="AK14" s="3704"/>
      <c r="AM14" s="1043"/>
    </row>
    <row r="15" spans="4:50" s="1042" customFormat="1" ht="19.5" customHeight="1" x14ac:dyDescent="0.35">
      <c r="D15" s="1044"/>
      <c r="E15" s="1045"/>
      <c r="F15" s="3675" t="s">
        <v>1680</v>
      </c>
      <c r="G15" s="3676"/>
      <c r="H15" s="3676"/>
      <c r="I15" s="3676"/>
      <c r="J15" s="3676"/>
      <c r="K15" s="3676"/>
      <c r="L15" s="3676"/>
      <c r="M15" s="3676"/>
      <c r="N15" s="3677">
        <v>0</v>
      </c>
      <c r="O15" s="3678"/>
      <c r="P15" s="3679"/>
      <c r="Q15" s="3678">
        <v>0</v>
      </c>
      <c r="R15" s="3678"/>
      <c r="S15" s="3704"/>
      <c r="T15" s="1113"/>
      <c r="U15" s="1113"/>
      <c r="V15" s="1113"/>
      <c r="W15" s="1111"/>
      <c r="X15" s="3675" t="s">
        <v>1701</v>
      </c>
      <c r="Y15" s="3676"/>
      <c r="Z15" s="3676"/>
      <c r="AA15" s="3676"/>
      <c r="AB15" s="3676"/>
      <c r="AC15" s="3676"/>
      <c r="AD15" s="3676"/>
      <c r="AE15" s="3676"/>
      <c r="AF15" s="3677">
        <v>0</v>
      </c>
      <c r="AG15" s="3678"/>
      <c r="AH15" s="3679"/>
      <c r="AI15" s="3678">
        <v>0</v>
      </c>
      <c r="AJ15" s="3678"/>
      <c r="AK15" s="3704"/>
      <c r="AM15" s="1043"/>
    </row>
    <row r="16" spans="4:50" s="1042" customFormat="1" ht="19.5" customHeight="1" x14ac:dyDescent="0.35">
      <c r="D16" s="1044"/>
      <c r="E16" s="1045"/>
      <c r="F16" s="3675" t="s">
        <v>855</v>
      </c>
      <c r="G16" s="3676"/>
      <c r="H16" s="3676"/>
      <c r="I16" s="3676"/>
      <c r="J16" s="3676"/>
      <c r="K16" s="3676"/>
      <c r="L16" s="3676"/>
      <c r="M16" s="3676"/>
      <c r="N16" s="3677">
        <v>1</v>
      </c>
      <c r="O16" s="3678"/>
      <c r="P16" s="3679"/>
      <c r="Q16" s="3678">
        <v>0</v>
      </c>
      <c r="R16" s="3678"/>
      <c r="S16" s="3704"/>
      <c r="T16" s="1113"/>
      <c r="U16" s="1113"/>
      <c r="V16" s="1113"/>
      <c r="W16" s="1111"/>
      <c r="X16" s="3675"/>
      <c r="Y16" s="3676"/>
      <c r="Z16" s="3676"/>
      <c r="AA16" s="3676"/>
      <c r="AB16" s="3676"/>
      <c r="AC16" s="3676"/>
      <c r="AD16" s="3676"/>
      <c r="AE16" s="3676"/>
      <c r="AF16" s="3677"/>
      <c r="AG16" s="3678"/>
      <c r="AH16" s="3679"/>
      <c r="AI16" s="3678"/>
      <c r="AJ16" s="3678"/>
      <c r="AK16" s="3704"/>
      <c r="AM16" s="1043"/>
    </row>
    <row r="17" spans="4:39" s="1042" customFormat="1" ht="19.5" customHeight="1" x14ac:dyDescent="0.35">
      <c r="D17" s="1044"/>
      <c r="E17" s="1045"/>
      <c r="F17" s="3675" t="s">
        <v>857</v>
      </c>
      <c r="G17" s="3676"/>
      <c r="H17" s="3676"/>
      <c r="I17" s="3676"/>
      <c r="J17" s="3676"/>
      <c r="K17" s="3676"/>
      <c r="L17" s="3676"/>
      <c r="M17" s="3676"/>
      <c r="N17" s="3677">
        <v>0</v>
      </c>
      <c r="O17" s="3678"/>
      <c r="P17" s="3679"/>
      <c r="Q17" s="3678">
        <v>0</v>
      </c>
      <c r="R17" s="3678"/>
      <c r="S17" s="3704"/>
      <c r="T17" s="1113"/>
      <c r="U17" s="1113"/>
      <c r="V17" s="1113"/>
      <c r="W17" s="1111"/>
      <c r="X17" s="3675" t="s">
        <v>1702</v>
      </c>
      <c r="Y17" s="3676"/>
      <c r="Z17" s="3676"/>
      <c r="AA17" s="3676"/>
      <c r="AB17" s="3676"/>
      <c r="AC17" s="3676"/>
      <c r="AD17" s="3676"/>
      <c r="AE17" s="3676"/>
      <c r="AF17" s="3677">
        <v>0</v>
      </c>
      <c r="AG17" s="3678"/>
      <c r="AH17" s="3679"/>
      <c r="AI17" s="3678">
        <v>0</v>
      </c>
      <c r="AJ17" s="3678"/>
      <c r="AK17" s="3704"/>
      <c r="AM17" s="1043"/>
    </row>
    <row r="18" spans="4:39" s="1042" customFormat="1" ht="19.5" customHeight="1" x14ac:dyDescent="0.35">
      <c r="D18" s="1044"/>
      <c r="E18" s="1045"/>
      <c r="F18" s="3675" t="s">
        <v>859</v>
      </c>
      <c r="G18" s="3676"/>
      <c r="H18" s="3676"/>
      <c r="I18" s="3676"/>
      <c r="J18" s="3676"/>
      <c r="K18" s="3676"/>
      <c r="L18" s="3676"/>
      <c r="M18" s="3676"/>
      <c r="N18" s="3677">
        <v>0</v>
      </c>
      <c r="O18" s="3678"/>
      <c r="P18" s="3679"/>
      <c r="Q18" s="3678">
        <v>0</v>
      </c>
      <c r="R18" s="3678"/>
      <c r="S18" s="3704"/>
      <c r="T18" s="1113"/>
      <c r="U18" s="1113"/>
      <c r="V18" s="1113"/>
      <c r="W18" s="1111"/>
      <c r="X18" s="3675"/>
      <c r="Y18" s="3676"/>
      <c r="Z18" s="3676"/>
      <c r="AA18" s="3676"/>
      <c r="AB18" s="3676"/>
      <c r="AC18" s="3676"/>
      <c r="AD18" s="3676"/>
      <c r="AE18" s="3676"/>
      <c r="AF18" s="3677"/>
      <c r="AG18" s="3678"/>
      <c r="AH18" s="3679"/>
      <c r="AI18" s="3678"/>
      <c r="AJ18" s="3678"/>
      <c r="AK18" s="3704"/>
      <c r="AM18" s="1043"/>
    </row>
    <row r="19" spans="4:39" s="1042" customFormat="1" ht="19.5" customHeight="1" thickBot="1" x14ac:dyDescent="0.4">
      <c r="D19" s="1044"/>
      <c r="E19" s="1045"/>
      <c r="F19" s="3675" t="s">
        <v>1681</v>
      </c>
      <c r="G19" s="3676"/>
      <c r="H19" s="3676"/>
      <c r="I19" s="3676"/>
      <c r="J19" s="3676"/>
      <c r="K19" s="3676"/>
      <c r="L19" s="3676"/>
      <c r="M19" s="3676"/>
      <c r="N19" s="3677">
        <v>0</v>
      </c>
      <c r="O19" s="3678"/>
      <c r="P19" s="3679"/>
      <c r="Q19" s="3678">
        <v>0</v>
      </c>
      <c r="R19" s="3678"/>
      <c r="S19" s="3704"/>
      <c r="T19" s="1113"/>
      <c r="U19" s="1113"/>
      <c r="V19" s="1113"/>
      <c r="W19" s="1111"/>
      <c r="X19" s="3647" t="s">
        <v>1703</v>
      </c>
      <c r="Y19" s="3648"/>
      <c r="Z19" s="3648"/>
      <c r="AA19" s="3648"/>
      <c r="AB19" s="3648"/>
      <c r="AC19" s="3648"/>
      <c r="AD19" s="3648"/>
      <c r="AE19" s="3648"/>
      <c r="AF19" s="3600">
        <v>0</v>
      </c>
      <c r="AG19" s="3559"/>
      <c r="AH19" s="3714"/>
      <c r="AI19" s="3559">
        <v>0</v>
      </c>
      <c r="AJ19" s="3559"/>
      <c r="AK19" s="3713"/>
      <c r="AM19" s="1043"/>
    </row>
    <row r="20" spans="4:39" s="1042" customFormat="1" ht="19.5" customHeight="1" thickTop="1" x14ac:dyDescent="0.35">
      <c r="D20" s="1044"/>
      <c r="E20" s="1045"/>
      <c r="F20" s="3675" t="s">
        <v>1695</v>
      </c>
      <c r="G20" s="3676"/>
      <c r="H20" s="3676"/>
      <c r="I20" s="3676"/>
      <c r="J20" s="3676"/>
      <c r="K20" s="3676"/>
      <c r="L20" s="3676"/>
      <c r="M20" s="3676"/>
      <c r="N20" s="3677">
        <v>0</v>
      </c>
      <c r="O20" s="3678"/>
      <c r="P20" s="3679"/>
      <c r="Q20" s="3678">
        <v>0</v>
      </c>
      <c r="R20" s="3678"/>
      <c r="S20" s="3704"/>
      <c r="T20" s="1113"/>
      <c r="U20" s="1113"/>
      <c r="V20" s="1113"/>
      <c r="W20" s="1111"/>
      <c r="X20" s="1111"/>
      <c r="Y20" s="1111"/>
      <c r="Z20" s="1111"/>
      <c r="AA20" s="1111"/>
      <c r="AB20" s="1111"/>
      <c r="AC20" s="1111"/>
      <c r="AD20" s="1111"/>
      <c r="AE20" s="1111"/>
      <c r="AF20" s="1113"/>
      <c r="AG20" s="1113"/>
      <c r="AH20" s="1113"/>
      <c r="AI20" s="1113"/>
      <c r="AJ20" s="1113"/>
      <c r="AK20" s="1113"/>
      <c r="AM20" s="1043"/>
    </row>
    <row r="21" spans="4:39" s="1042" customFormat="1" ht="19.5" customHeight="1" x14ac:dyDescent="0.35">
      <c r="D21" s="1044"/>
      <c r="E21" s="1045"/>
      <c r="F21" s="3675"/>
      <c r="G21" s="3676"/>
      <c r="H21" s="3676"/>
      <c r="I21" s="3676"/>
      <c r="J21" s="3676"/>
      <c r="K21" s="3676"/>
      <c r="L21" s="3676"/>
      <c r="M21" s="3676"/>
      <c r="N21" s="3677"/>
      <c r="O21" s="3678"/>
      <c r="P21" s="3679"/>
      <c r="Q21" s="3678"/>
      <c r="R21" s="3678"/>
      <c r="S21" s="3704"/>
      <c r="T21" s="1113"/>
      <c r="U21" s="1113"/>
      <c r="V21" s="1113"/>
      <c r="W21" s="1111"/>
      <c r="X21" s="1111"/>
      <c r="Y21" s="1111"/>
      <c r="Z21" s="1111"/>
      <c r="AA21" s="1111"/>
      <c r="AB21" s="1111"/>
      <c r="AC21" s="1111"/>
      <c r="AD21" s="1111"/>
      <c r="AE21" s="1111"/>
      <c r="AF21" s="1113"/>
      <c r="AG21" s="1113"/>
      <c r="AH21" s="1113"/>
      <c r="AI21" s="1113"/>
      <c r="AJ21" s="1113"/>
      <c r="AK21" s="1113"/>
      <c r="AM21" s="1043"/>
    </row>
    <row r="22" spans="4:39" s="1042" customFormat="1" ht="19.5" customHeight="1" x14ac:dyDescent="0.35">
      <c r="D22" s="1044"/>
      <c r="E22" s="1045"/>
      <c r="F22" s="3675" t="s">
        <v>1693</v>
      </c>
      <c r="G22" s="3676"/>
      <c r="H22" s="3676"/>
      <c r="I22" s="3676"/>
      <c r="J22" s="3676"/>
      <c r="K22" s="3676"/>
      <c r="L22" s="3676"/>
      <c r="M22" s="3676"/>
      <c r="N22" s="3677">
        <v>0</v>
      </c>
      <c r="O22" s="3678"/>
      <c r="P22" s="3679"/>
      <c r="Q22" s="3678">
        <v>0</v>
      </c>
      <c r="R22" s="3678"/>
      <c r="S22" s="3704"/>
      <c r="T22" s="1113"/>
      <c r="U22" s="1113"/>
      <c r="V22" s="1113"/>
      <c r="W22" s="1111"/>
      <c r="X22" s="1111"/>
      <c r="Y22" s="1111"/>
      <c r="Z22" s="1111"/>
      <c r="AA22" s="1111"/>
      <c r="AB22" s="1111"/>
      <c r="AC22" s="1111"/>
      <c r="AD22" s="1111"/>
      <c r="AE22" s="1111"/>
      <c r="AF22" s="1113"/>
      <c r="AG22" s="1113"/>
      <c r="AH22" s="1113"/>
      <c r="AI22" s="1113"/>
      <c r="AJ22" s="1113"/>
      <c r="AK22" s="1113"/>
      <c r="AM22" s="1043"/>
    </row>
    <row r="23" spans="4:39" s="1042" customFormat="1" ht="19.5" customHeight="1" x14ac:dyDescent="0.35">
      <c r="D23" s="1044"/>
      <c r="E23" s="1045"/>
      <c r="F23" s="3675"/>
      <c r="G23" s="3676"/>
      <c r="H23" s="3676"/>
      <c r="I23" s="3676"/>
      <c r="J23" s="3676"/>
      <c r="K23" s="3676"/>
      <c r="L23" s="3676"/>
      <c r="M23" s="3676"/>
      <c r="N23" s="3677"/>
      <c r="O23" s="3678"/>
      <c r="P23" s="3679"/>
      <c r="Q23" s="3678"/>
      <c r="R23" s="3678"/>
      <c r="S23" s="3704"/>
      <c r="T23" s="1113"/>
      <c r="U23" s="1113"/>
      <c r="V23" s="1113"/>
      <c r="W23" s="1111"/>
      <c r="X23" s="1111"/>
      <c r="Y23" s="1111"/>
      <c r="Z23" s="1111"/>
      <c r="AA23" s="1111"/>
      <c r="AB23" s="1111"/>
      <c r="AC23" s="1111"/>
      <c r="AD23" s="1111"/>
      <c r="AE23" s="1111"/>
      <c r="AF23" s="1113"/>
      <c r="AG23" s="1113"/>
      <c r="AH23" s="1113"/>
      <c r="AI23" s="1113"/>
      <c r="AJ23" s="1113"/>
      <c r="AK23" s="1113"/>
      <c r="AM23" s="1043"/>
    </row>
    <row r="24" spans="4:39" s="1042" customFormat="1" ht="19.5" customHeight="1" x14ac:dyDescent="0.35">
      <c r="D24" s="1044"/>
      <c r="E24" s="1045"/>
      <c r="F24" s="3675" t="s">
        <v>1694</v>
      </c>
      <c r="G24" s="3676"/>
      <c r="H24" s="3676"/>
      <c r="I24" s="3676"/>
      <c r="J24" s="3676"/>
      <c r="K24" s="3676"/>
      <c r="L24" s="3676"/>
      <c r="M24" s="3676"/>
      <c r="N24" s="3677">
        <v>0</v>
      </c>
      <c r="O24" s="3678"/>
      <c r="P24" s="3679"/>
      <c r="Q24" s="3678">
        <v>0</v>
      </c>
      <c r="R24" s="3678"/>
      <c r="S24" s="3704"/>
      <c r="T24" s="1113"/>
      <c r="U24" s="1113"/>
      <c r="V24" s="1113"/>
      <c r="W24" s="1111"/>
      <c r="X24" s="1111"/>
      <c r="Y24" s="1111"/>
      <c r="Z24" s="1111"/>
      <c r="AA24" s="1111"/>
      <c r="AB24" s="1111"/>
      <c r="AC24" s="1111"/>
      <c r="AD24" s="1111"/>
      <c r="AE24" s="1111"/>
      <c r="AF24" s="1113"/>
      <c r="AG24" s="1113"/>
      <c r="AH24" s="1113"/>
      <c r="AI24" s="1113"/>
      <c r="AJ24" s="1113"/>
      <c r="AK24" s="1113"/>
      <c r="AM24" s="1043"/>
    </row>
    <row r="25" spans="4:39" s="1042" customFormat="1" ht="19.5" customHeight="1" x14ac:dyDescent="0.35">
      <c r="D25" s="1044"/>
      <c r="E25" s="1045"/>
      <c r="F25" s="3675"/>
      <c r="G25" s="3676"/>
      <c r="H25" s="3676"/>
      <c r="I25" s="3676"/>
      <c r="J25" s="3676"/>
      <c r="K25" s="3676"/>
      <c r="L25" s="3676"/>
      <c r="M25" s="3676"/>
      <c r="N25" s="3677"/>
      <c r="O25" s="3678"/>
      <c r="P25" s="3679"/>
      <c r="Q25" s="3678"/>
      <c r="R25" s="3678"/>
      <c r="S25" s="3704"/>
      <c r="T25" s="1113"/>
      <c r="U25" s="1113"/>
      <c r="V25" s="1113"/>
      <c r="W25" s="1111"/>
      <c r="X25" s="1111"/>
      <c r="Y25" s="1111"/>
      <c r="Z25" s="1111"/>
      <c r="AA25" s="1111"/>
      <c r="AB25" s="1111"/>
      <c r="AC25" s="1111"/>
      <c r="AD25" s="1111"/>
      <c r="AE25" s="1111"/>
      <c r="AF25" s="1113"/>
      <c r="AG25" s="1113"/>
      <c r="AH25" s="1113"/>
      <c r="AI25" s="1113"/>
      <c r="AJ25" s="1113"/>
      <c r="AK25" s="1113"/>
      <c r="AM25" s="1043"/>
    </row>
    <row r="26" spans="4:39" s="1042" customFormat="1" ht="19.5" customHeight="1" x14ac:dyDescent="0.35">
      <c r="D26" s="1044"/>
      <c r="E26" s="1045"/>
      <c r="F26" s="3675" t="s">
        <v>1682</v>
      </c>
      <c r="G26" s="3676"/>
      <c r="H26" s="3676"/>
      <c r="I26" s="3676"/>
      <c r="J26" s="3676"/>
      <c r="K26" s="3676"/>
      <c r="L26" s="3676"/>
      <c r="M26" s="3676"/>
      <c r="N26" s="3677">
        <v>0</v>
      </c>
      <c r="O26" s="3678"/>
      <c r="P26" s="3679"/>
      <c r="Q26" s="3678">
        <v>0</v>
      </c>
      <c r="R26" s="3678"/>
      <c r="S26" s="3704"/>
      <c r="T26" s="1113"/>
      <c r="U26" s="1113"/>
      <c r="V26" s="1113"/>
      <c r="W26" s="1111"/>
      <c r="X26" s="1111"/>
      <c r="Y26" s="1111"/>
      <c r="Z26" s="1111"/>
      <c r="AA26" s="1111"/>
      <c r="AB26" s="1111"/>
      <c r="AC26" s="1111"/>
      <c r="AD26" s="1111"/>
      <c r="AE26" s="1111"/>
      <c r="AF26" s="1113"/>
      <c r="AG26" s="1113"/>
      <c r="AH26" s="1113"/>
      <c r="AI26" s="1113"/>
      <c r="AJ26" s="1113"/>
      <c r="AK26" s="1113"/>
      <c r="AM26" s="1043"/>
    </row>
    <row r="27" spans="4:39" s="1042" customFormat="1" ht="19.5" customHeight="1" x14ac:dyDescent="0.35">
      <c r="D27" s="1044"/>
      <c r="E27" s="1045"/>
      <c r="F27" s="3675" t="s">
        <v>1683</v>
      </c>
      <c r="G27" s="3676"/>
      <c r="H27" s="3676"/>
      <c r="I27" s="3676"/>
      <c r="J27" s="3676"/>
      <c r="K27" s="3676"/>
      <c r="L27" s="3676"/>
      <c r="M27" s="3676"/>
      <c r="N27" s="3677">
        <v>0</v>
      </c>
      <c r="O27" s="3678"/>
      <c r="P27" s="3679"/>
      <c r="Q27" s="3678">
        <v>0</v>
      </c>
      <c r="R27" s="3678"/>
      <c r="S27" s="3704"/>
      <c r="T27" s="1113"/>
      <c r="U27" s="1113"/>
      <c r="V27" s="1113"/>
      <c r="W27" s="1111"/>
      <c r="X27" s="1111"/>
      <c r="Y27" s="1111"/>
      <c r="Z27" s="1111"/>
      <c r="AA27" s="1111"/>
      <c r="AB27" s="1111"/>
      <c r="AC27" s="1111"/>
      <c r="AD27" s="1111"/>
      <c r="AE27" s="1111"/>
      <c r="AF27" s="1113"/>
      <c r="AG27" s="1113"/>
      <c r="AH27" s="1113"/>
      <c r="AI27" s="1113"/>
      <c r="AJ27" s="1113"/>
      <c r="AK27" s="1113"/>
      <c r="AM27" s="1043"/>
    </row>
    <row r="28" spans="4:39" s="1042" customFormat="1" ht="19.5" customHeight="1" x14ac:dyDescent="0.35">
      <c r="D28" s="1044"/>
      <c r="E28" s="1045"/>
      <c r="F28" s="3675" t="s">
        <v>1684</v>
      </c>
      <c r="G28" s="3676"/>
      <c r="H28" s="3676"/>
      <c r="I28" s="3676"/>
      <c r="J28" s="3676"/>
      <c r="K28" s="3676"/>
      <c r="L28" s="3676"/>
      <c r="M28" s="3676"/>
      <c r="N28" s="3677">
        <v>0</v>
      </c>
      <c r="O28" s="3678"/>
      <c r="P28" s="3679"/>
      <c r="Q28" s="3678">
        <v>0</v>
      </c>
      <c r="R28" s="3678"/>
      <c r="S28" s="3704"/>
      <c r="T28" s="1113"/>
      <c r="U28" s="1113"/>
      <c r="V28" s="1113"/>
      <c r="W28" s="1111"/>
      <c r="X28" s="1111"/>
      <c r="Y28" s="1111"/>
      <c r="Z28" s="1111"/>
      <c r="AA28" s="1111"/>
      <c r="AB28" s="1111"/>
      <c r="AC28" s="1111"/>
      <c r="AD28" s="1111"/>
      <c r="AE28" s="1111"/>
      <c r="AF28" s="1113"/>
      <c r="AG28" s="1113"/>
      <c r="AH28" s="1113"/>
      <c r="AI28" s="1113"/>
      <c r="AJ28" s="1113"/>
      <c r="AK28" s="1113"/>
      <c r="AM28" s="1043"/>
    </row>
    <row r="29" spans="4:39" s="1042" customFormat="1" ht="19.5" customHeight="1" x14ac:dyDescent="0.35">
      <c r="D29" s="1044"/>
      <c r="E29" s="1045"/>
      <c r="F29" s="3675" t="s">
        <v>854</v>
      </c>
      <c r="G29" s="3676"/>
      <c r="H29" s="3676"/>
      <c r="I29" s="3676"/>
      <c r="J29" s="3676"/>
      <c r="K29" s="3676"/>
      <c r="L29" s="3676"/>
      <c r="M29" s="3676"/>
      <c r="N29" s="3677">
        <v>0</v>
      </c>
      <c r="O29" s="3678"/>
      <c r="P29" s="3679"/>
      <c r="Q29" s="3678">
        <v>0</v>
      </c>
      <c r="R29" s="3678"/>
      <c r="S29" s="3704"/>
      <c r="T29" s="1113"/>
      <c r="U29" s="1113"/>
      <c r="V29" s="1113"/>
      <c r="W29" s="1111"/>
      <c r="X29" s="1111"/>
      <c r="Y29" s="1111"/>
      <c r="Z29" s="1111"/>
      <c r="AA29" s="1111"/>
      <c r="AB29" s="1111"/>
      <c r="AC29" s="1111"/>
      <c r="AD29" s="1111"/>
      <c r="AE29" s="1111"/>
      <c r="AF29" s="1113"/>
      <c r="AG29" s="1113"/>
      <c r="AH29" s="1113"/>
      <c r="AI29" s="1113"/>
      <c r="AJ29" s="1113"/>
      <c r="AK29" s="1113"/>
      <c r="AM29" s="1043"/>
    </row>
    <row r="30" spans="4:39" s="1042" customFormat="1" ht="19.5" customHeight="1" x14ac:dyDescent="0.35">
      <c r="D30" s="1044"/>
      <c r="E30" s="1045"/>
      <c r="F30" s="3675" t="s">
        <v>1685</v>
      </c>
      <c r="G30" s="3676"/>
      <c r="H30" s="3676"/>
      <c r="I30" s="3676"/>
      <c r="J30" s="3676"/>
      <c r="K30" s="3676"/>
      <c r="L30" s="3676"/>
      <c r="M30" s="3676"/>
      <c r="N30" s="3677">
        <v>0</v>
      </c>
      <c r="O30" s="3678"/>
      <c r="P30" s="3679"/>
      <c r="Q30" s="3678">
        <v>0</v>
      </c>
      <c r="R30" s="3678"/>
      <c r="S30" s="3704"/>
      <c r="T30" s="1113"/>
      <c r="U30" s="1113"/>
      <c r="V30" s="1113"/>
      <c r="W30" s="1111"/>
      <c r="X30" s="1111"/>
      <c r="Y30" s="1111"/>
      <c r="Z30" s="1111"/>
      <c r="AA30" s="1111"/>
      <c r="AB30" s="1111"/>
      <c r="AC30" s="1111"/>
      <c r="AD30" s="1111"/>
      <c r="AE30" s="1111"/>
      <c r="AF30" s="1113"/>
      <c r="AG30" s="1113"/>
      <c r="AH30" s="1113"/>
      <c r="AI30" s="1113"/>
      <c r="AJ30" s="1113"/>
      <c r="AK30" s="1113"/>
      <c r="AM30" s="1043"/>
    </row>
    <row r="31" spans="4:39" s="1042" customFormat="1" ht="19.5" customHeight="1" x14ac:dyDescent="0.35">
      <c r="D31" s="1044"/>
      <c r="E31" s="1045"/>
      <c r="F31" s="3675" t="s">
        <v>1696</v>
      </c>
      <c r="G31" s="3676"/>
      <c r="H31" s="3676"/>
      <c r="I31" s="3676"/>
      <c r="J31" s="3676"/>
      <c r="K31" s="3676"/>
      <c r="L31" s="3676"/>
      <c r="M31" s="3676"/>
      <c r="N31" s="3677">
        <v>0</v>
      </c>
      <c r="O31" s="3678"/>
      <c r="P31" s="3679"/>
      <c r="Q31" s="3678">
        <v>0</v>
      </c>
      <c r="R31" s="3678"/>
      <c r="S31" s="3704"/>
      <c r="T31" s="1113"/>
      <c r="U31" s="1113"/>
      <c r="V31" s="1113"/>
      <c r="W31" s="1111"/>
      <c r="X31" s="1111"/>
      <c r="Y31" s="1111"/>
      <c r="Z31" s="1111"/>
      <c r="AA31" s="1111"/>
      <c r="AB31" s="1111"/>
      <c r="AC31" s="1111"/>
      <c r="AD31" s="1111"/>
      <c r="AE31" s="1111"/>
      <c r="AF31" s="1113"/>
      <c r="AG31" s="1113"/>
      <c r="AH31" s="1113"/>
      <c r="AI31" s="1113"/>
      <c r="AJ31" s="1113"/>
      <c r="AK31" s="1113"/>
      <c r="AM31" s="1043"/>
    </row>
    <row r="32" spans="4:39" s="1042" customFormat="1" ht="19.5" customHeight="1" x14ac:dyDescent="0.35">
      <c r="D32" s="1044"/>
      <c r="E32" s="1045"/>
      <c r="F32" s="3675"/>
      <c r="G32" s="3676"/>
      <c r="H32" s="3676"/>
      <c r="I32" s="3676"/>
      <c r="J32" s="3676"/>
      <c r="K32" s="3676"/>
      <c r="L32" s="3676"/>
      <c r="M32" s="3676"/>
      <c r="N32" s="3677"/>
      <c r="O32" s="3678"/>
      <c r="P32" s="3679"/>
      <c r="Q32" s="3678"/>
      <c r="R32" s="3678"/>
      <c r="S32" s="3704"/>
      <c r="T32" s="1113"/>
      <c r="U32" s="1113"/>
      <c r="V32" s="1113"/>
      <c r="W32" s="1111"/>
      <c r="X32" s="1111"/>
      <c r="Y32" s="1111"/>
      <c r="Z32" s="1111"/>
      <c r="AA32" s="1111"/>
      <c r="AB32" s="1111"/>
      <c r="AC32" s="1111"/>
      <c r="AD32" s="1111"/>
      <c r="AE32" s="1111"/>
      <c r="AF32" s="1113"/>
      <c r="AG32" s="1113"/>
      <c r="AH32" s="1113"/>
      <c r="AI32" s="1113"/>
      <c r="AJ32" s="1113"/>
      <c r="AK32" s="1113"/>
      <c r="AM32" s="1043"/>
    </row>
    <row r="33" spans="4:46" s="1042" customFormat="1" ht="19.5" customHeight="1" x14ac:dyDescent="0.35">
      <c r="D33" s="1044"/>
      <c r="E33" s="1045"/>
      <c r="F33" s="3675" t="s">
        <v>1686</v>
      </c>
      <c r="G33" s="3676"/>
      <c r="H33" s="3676"/>
      <c r="I33" s="3676"/>
      <c r="J33" s="3676"/>
      <c r="K33" s="3676"/>
      <c r="L33" s="3676"/>
      <c r="M33" s="3676"/>
      <c r="N33" s="3677">
        <v>0</v>
      </c>
      <c r="O33" s="3678"/>
      <c r="P33" s="3679"/>
      <c r="Q33" s="3678">
        <v>0</v>
      </c>
      <c r="R33" s="3678"/>
      <c r="S33" s="3704"/>
      <c r="T33" s="1113"/>
      <c r="U33" s="1113"/>
      <c r="V33" s="1113"/>
      <c r="W33" s="1111"/>
      <c r="X33" s="1111"/>
      <c r="Y33" s="1111"/>
      <c r="Z33" s="1111"/>
      <c r="AA33" s="1111"/>
      <c r="AB33" s="1111"/>
      <c r="AC33" s="1111"/>
      <c r="AD33" s="1111"/>
      <c r="AE33" s="1111"/>
      <c r="AF33" s="1113"/>
      <c r="AG33" s="1113"/>
      <c r="AH33" s="1113"/>
      <c r="AI33" s="1113"/>
      <c r="AJ33" s="1113"/>
      <c r="AK33" s="1113"/>
      <c r="AM33" s="1043"/>
    </row>
    <row r="34" spans="4:46" s="1042" customFormat="1" ht="19.5" customHeight="1" x14ac:dyDescent="0.35">
      <c r="D34" s="1044"/>
      <c r="E34" s="1045"/>
      <c r="F34" s="3675" t="s">
        <v>856</v>
      </c>
      <c r="G34" s="3676"/>
      <c r="H34" s="3676"/>
      <c r="I34" s="3676"/>
      <c r="J34" s="3676"/>
      <c r="K34" s="3676"/>
      <c r="L34" s="3676"/>
      <c r="M34" s="3676"/>
      <c r="N34" s="3677">
        <v>0</v>
      </c>
      <c r="O34" s="3678"/>
      <c r="P34" s="3679"/>
      <c r="Q34" s="3678">
        <v>0</v>
      </c>
      <c r="R34" s="3678"/>
      <c r="S34" s="3704"/>
      <c r="T34" s="1113"/>
      <c r="U34" s="1113"/>
      <c r="V34" s="1113"/>
      <c r="W34" s="1111"/>
      <c r="X34" s="1111"/>
      <c r="Y34" s="1111"/>
      <c r="Z34" s="1111"/>
      <c r="AA34" s="1111"/>
      <c r="AB34" s="1111"/>
      <c r="AC34" s="1111"/>
      <c r="AD34" s="1111"/>
      <c r="AE34" s="1111"/>
      <c r="AF34" s="1113"/>
      <c r="AG34" s="1113"/>
      <c r="AH34" s="1113"/>
      <c r="AI34" s="1113"/>
      <c r="AJ34" s="1113"/>
      <c r="AK34" s="1113"/>
      <c r="AM34" s="1043"/>
    </row>
    <row r="35" spans="4:46" s="1042" customFormat="1" ht="19.5" customHeight="1" x14ac:dyDescent="0.35">
      <c r="D35" s="1044"/>
      <c r="E35" s="1045"/>
      <c r="F35" s="3675" t="s">
        <v>1687</v>
      </c>
      <c r="G35" s="3676"/>
      <c r="H35" s="3676"/>
      <c r="I35" s="3676"/>
      <c r="J35" s="3676"/>
      <c r="K35" s="3676"/>
      <c r="L35" s="3676"/>
      <c r="M35" s="3676"/>
      <c r="N35" s="3677">
        <v>0</v>
      </c>
      <c r="O35" s="3678"/>
      <c r="P35" s="3679"/>
      <c r="Q35" s="3678">
        <v>0</v>
      </c>
      <c r="R35" s="3678"/>
      <c r="S35" s="3704"/>
      <c r="T35" s="1113"/>
      <c r="U35" s="1113"/>
      <c r="V35" s="1113"/>
      <c r="W35" s="1111"/>
      <c r="X35" s="1111"/>
      <c r="Y35" s="1111"/>
      <c r="Z35" s="1111"/>
      <c r="AA35" s="1111"/>
      <c r="AB35" s="1111"/>
      <c r="AC35" s="1111"/>
      <c r="AD35" s="1111"/>
      <c r="AE35" s="1111"/>
      <c r="AF35" s="1113"/>
      <c r="AG35" s="1113"/>
      <c r="AH35" s="1113"/>
      <c r="AI35" s="1113"/>
      <c r="AJ35" s="1113"/>
      <c r="AK35" s="1113"/>
      <c r="AM35" s="1043"/>
    </row>
    <row r="36" spans="4:46" s="1042" customFormat="1" ht="19.5" customHeight="1" x14ac:dyDescent="0.35">
      <c r="D36" s="1044"/>
      <c r="E36" s="1045"/>
      <c r="F36" s="3675" t="s">
        <v>858</v>
      </c>
      <c r="G36" s="3676"/>
      <c r="H36" s="3676"/>
      <c r="I36" s="3676"/>
      <c r="J36" s="3676"/>
      <c r="K36" s="3676"/>
      <c r="L36" s="3676"/>
      <c r="M36" s="3676"/>
      <c r="N36" s="3677">
        <v>0</v>
      </c>
      <c r="O36" s="3678"/>
      <c r="P36" s="3679"/>
      <c r="Q36" s="3678">
        <v>0</v>
      </c>
      <c r="R36" s="3678"/>
      <c r="S36" s="3704"/>
      <c r="T36" s="1113"/>
      <c r="U36" s="1113"/>
      <c r="V36" s="1113"/>
      <c r="W36" s="1111"/>
      <c r="X36" s="1111"/>
      <c r="Y36" s="1111"/>
      <c r="Z36" s="1111"/>
      <c r="AA36" s="1111"/>
      <c r="AB36" s="1111"/>
      <c r="AC36" s="1111"/>
      <c r="AD36" s="1111"/>
      <c r="AE36" s="1111"/>
      <c r="AF36" s="1113"/>
      <c r="AG36" s="1113"/>
      <c r="AH36" s="1113"/>
      <c r="AI36" s="1113"/>
      <c r="AJ36" s="1113"/>
      <c r="AK36" s="1113"/>
      <c r="AM36" s="1043"/>
    </row>
    <row r="37" spans="4:46" s="1042" customFormat="1" ht="19.5" customHeight="1" x14ac:dyDescent="0.35">
      <c r="D37" s="1044"/>
      <c r="E37" s="1045"/>
      <c r="F37" s="3675" t="s">
        <v>860</v>
      </c>
      <c r="G37" s="3676"/>
      <c r="H37" s="3676"/>
      <c r="I37" s="3676"/>
      <c r="J37" s="3676"/>
      <c r="K37" s="3676"/>
      <c r="L37" s="3676"/>
      <c r="M37" s="3676"/>
      <c r="N37" s="3677">
        <v>6</v>
      </c>
      <c r="O37" s="3678"/>
      <c r="P37" s="3679"/>
      <c r="Q37" s="3678">
        <v>0</v>
      </c>
      <c r="R37" s="3678"/>
      <c r="S37" s="3704"/>
      <c r="T37" s="1113"/>
      <c r="U37" s="1113"/>
      <c r="V37" s="1113"/>
      <c r="W37" s="1111"/>
      <c r="X37" s="1111"/>
      <c r="Y37" s="1111"/>
      <c r="Z37" s="1111"/>
      <c r="AA37" s="1111"/>
      <c r="AB37" s="1111"/>
      <c r="AC37" s="1111"/>
      <c r="AD37" s="1111"/>
      <c r="AE37" s="1111"/>
      <c r="AF37" s="1113"/>
      <c r="AG37" s="1113"/>
      <c r="AH37" s="1113"/>
      <c r="AI37" s="1113"/>
      <c r="AJ37" s="1113"/>
      <c r="AK37" s="1113"/>
      <c r="AM37" s="1043"/>
    </row>
    <row r="38" spans="4:46" s="1042" customFormat="1" ht="19.5" customHeight="1" x14ac:dyDescent="0.35">
      <c r="D38" s="1044"/>
      <c r="E38" s="1045"/>
      <c r="F38" s="3675" t="s">
        <v>1688</v>
      </c>
      <c r="G38" s="3676"/>
      <c r="H38" s="3676"/>
      <c r="I38" s="3676"/>
      <c r="J38" s="3676"/>
      <c r="K38" s="3676"/>
      <c r="L38" s="3676"/>
      <c r="M38" s="3676"/>
      <c r="N38" s="3677">
        <v>0</v>
      </c>
      <c r="O38" s="3678"/>
      <c r="P38" s="3679"/>
      <c r="Q38" s="3678">
        <v>0</v>
      </c>
      <c r="R38" s="3678"/>
      <c r="S38" s="3704"/>
      <c r="T38" s="1113"/>
      <c r="U38" s="1113"/>
      <c r="V38" s="1113"/>
      <c r="W38" s="1111"/>
      <c r="X38" s="1111"/>
      <c r="Y38" s="1111"/>
      <c r="Z38" s="1111"/>
      <c r="AA38" s="1111"/>
      <c r="AB38" s="1111"/>
      <c r="AC38" s="1111"/>
      <c r="AD38" s="1111"/>
      <c r="AE38" s="1111"/>
      <c r="AF38" s="1113"/>
      <c r="AG38" s="1113"/>
      <c r="AH38" s="1113"/>
      <c r="AI38" s="1113"/>
      <c r="AJ38" s="1113"/>
      <c r="AK38" s="1113"/>
      <c r="AM38" s="1043"/>
    </row>
    <row r="39" spans="4:46" s="1042" customFormat="1" ht="19.5" customHeight="1" x14ac:dyDescent="0.35">
      <c r="D39" s="1044"/>
      <c r="E39" s="1045"/>
      <c r="F39" s="3675" t="s">
        <v>1689</v>
      </c>
      <c r="G39" s="3676"/>
      <c r="H39" s="3676"/>
      <c r="I39" s="3676"/>
      <c r="J39" s="3676"/>
      <c r="K39" s="3676"/>
      <c r="L39" s="3676"/>
      <c r="M39" s="3676"/>
      <c r="N39" s="3677">
        <v>7</v>
      </c>
      <c r="O39" s="3678"/>
      <c r="P39" s="3679"/>
      <c r="Q39" s="3678">
        <v>0</v>
      </c>
      <c r="R39" s="3678"/>
      <c r="S39" s="3704"/>
      <c r="T39" s="1113"/>
      <c r="U39" s="1113"/>
      <c r="V39" s="1113"/>
      <c r="W39" s="1111"/>
      <c r="X39" s="1111"/>
      <c r="Y39" s="1111"/>
      <c r="Z39" s="1111"/>
      <c r="AA39" s="1111"/>
      <c r="AB39" s="1111"/>
      <c r="AC39" s="1111"/>
      <c r="AD39" s="1111"/>
      <c r="AE39" s="1111"/>
      <c r="AF39" s="1113"/>
      <c r="AG39" s="1113"/>
      <c r="AH39" s="1113"/>
      <c r="AI39" s="1113"/>
      <c r="AJ39" s="1113"/>
      <c r="AK39" s="1113"/>
      <c r="AM39" s="1043"/>
    </row>
    <row r="40" spans="4:46" s="1042" customFormat="1" ht="19.5" customHeight="1" x14ac:dyDescent="0.35">
      <c r="D40" s="1044"/>
      <c r="E40" s="1045"/>
      <c r="F40" s="3675" t="s">
        <v>1690</v>
      </c>
      <c r="G40" s="3676"/>
      <c r="H40" s="3676"/>
      <c r="I40" s="3676"/>
      <c r="J40" s="3676"/>
      <c r="K40" s="3676"/>
      <c r="L40" s="3676"/>
      <c r="M40" s="3676"/>
      <c r="N40" s="3677">
        <v>0</v>
      </c>
      <c r="O40" s="3678"/>
      <c r="P40" s="3679"/>
      <c r="Q40" s="3678">
        <v>0</v>
      </c>
      <c r="R40" s="3678"/>
      <c r="S40" s="3704"/>
      <c r="T40" s="1113"/>
      <c r="U40" s="1113"/>
      <c r="V40" s="1113"/>
      <c r="W40" s="1111"/>
      <c r="X40" s="1111"/>
      <c r="Y40" s="1111"/>
      <c r="Z40" s="1111"/>
      <c r="AA40" s="1111"/>
      <c r="AB40" s="1111"/>
      <c r="AC40" s="1111"/>
      <c r="AD40" s="1111"/>
      <c r="AE40" s="1111"/>
      <c r="AF40" s="1113"/>
      <c r="AG40" s="1113"/>
      <c r="AH40" s="1113"/>
      <c r="AI40" s="1113"/>
      <c r="AJ40" s="1113"/>
      <c r="AK40" s="1113"/>
      <c r="AM40" s="1043"/>
    </row>
    <row r="41" spans="4:46" s="1042" customFormat="1" ht="19.5" customHeight="1" x14ac:dyDescent="0.35">
      <c r="D41" s="1044"/>
      <c r="E41" s="1045"/>
      <c r="F41" s="3675" t="s">
        <v>1691</v>
      </c>
      <c r="G41" s="3676"/>
      <c r="H41" s="3676"/>
      <c r="I41" s="3676"/>
      <c r="J41" s="3676"/>
      <c r="K41" s="3676"/>
      <c r="L41" s="3676"/>
      <c r="M41" s="3676"/>
      <c r="N41" s="3677">
        <v>0</v>
      </c>
      <c r="O41" s="3678"/>
      <c r="P41" s="3679"/>
      <c r="Q41" s="3678">
        <v>0</v>
      </c>
      <c r="R41" s="3678"/>
      <c r="S41" s="3704"/>
      <c r="T41" s="1113"/>
      <c r="U41" s="1113"/>
      <c r="V41" s="1113"/>
      <c r="W41" s="1111"/>
      <c r="X41" s="1111"/>
      <c r="Y41" s="1111"/>
      <c r="Z41" s="1111"/>
      <c r="AA41" s="1111"/>
      <c r="AB41" s="1111"/>
      <c r="AC41" s="1111"/>
      <c r="AD41" s="1111"/>
      <c r="AE41" s="1111"/>
      <c r="AF41" s="1113"/>
      <c r="AG41" s="1113"/>
      <c r="AH41" s="1113"/>
      <c r="AI41" s="1113"/>
      <c r="AJ41" s="1113"/>
      <c r="AK41" s="1113"/>
      <c r="AM41" s="1043"/>
    </row>
    <row r="42" spans="4:46" s="1042" customFormat="1" ht="19.5" customHeight="1" x14ac:dyDescent="0.35">
      <c r="D42" s="1044"/>
      <c r="E42" s="1045"/>
      <c r="F42" s="3675" t="s">
        <v>1697</v>
      </c>
      <c r="G42" s="3676"/>
      <c r="H42" s="3676"/>
      <c r="I42" s="3676"/>
      <c r="J42" s="3676"/>
      <c r="K42" s="3676"/>
      <c r="L42" s="3676"/>
      <c r="M42" s="3676"/>
      <c r="N42" s="3677">
        <v>0</v>
      </c>
      <c r="O42" s="3678"/>
      <c r="P42" s="3679"/>
      <c r="Q42" s="3678">
        <v>0</v>
      </c>
      <c r="R42" s="3678"/>
      <c r="S42" s="3704"/>
      <c r="T42" s="1113"/>
      <c r="U42" s="1113"/>
      <c r="V42" s="1113"/>
      <c r="W42" s="1111"/>
      <c r="X42" s="1111"/>
      <c r="Y42" s="1111"/>
      <c r="Z42" s="1111"/>
      <c r="AA42" s="1111"/>
      <c r="AB42" s="1111"/>
      <c r="AC42" s="1111"/>
      <c r="AD42" s="1111"/>
      <c r="AE42" s="1111"/>
      <c r="AF42" s="1113"/>
      <c r="AG42" s="1113"/>
      <c r="AH42" s="1113"/>
      <c r="AI42" s="1113"/>
      <c r="AJ42" s="1113"/>
      <c r="AK42" s="1113"/>
      <c r="AM42" s="1043"/>
    </row>
    <row r="43" spans="4:46" s="1042" customFormat="1" ht="19.5" customHeight="1" x14ac:dyDescent="0.35">
      <c r="D43" s="1044"/>
      <c r="E43" s="1045"/>
      <c r="F43" s="3675"/>
      <c r="G43" s="3676"/>
      <c r="H43" s="3676"/>
      <c r="I43" s="3676"/>
      <c r="J43" s="3676"/>
      <c r="K43" s="3676"/>
      <c r="L43" s="3676"/>
      <c r="M43" s="3676"/>
      <c r="N43" s="3677"/>
      <c r="O43" s="3678"/>
      <c r="P43" s="3679"/>
      <c r="Q43" s="3678"/>
      <c r="R43" s="3678"/>
      <c r="S43" s="3704"/>
      <c r="T43" s="1113"/>
      <c r="U43" s="1113"/>
      <c r="V43" s="1113"/>
      <c r="W43" s="1111"/>
      <c r="X43" s="1111"/>
      <c r="Y43" s="1111"/>
      <c r="Z43" s="1111"/>
      <c r="AA43" s="1111"/>
      <c r="AB43" s="1111"/>
      <c r="AC43" s="1111"/>
      <c r="AD43" s="1111"/>
      <c r="AE43" s="1111"/>
      <c r="AF43" s="1113"/>
      <c r="AG43" s="1113"/>
      <c r="AH43" s="1113"/>
      <c r="AI43" s="1113"/>
      <c r="AJ43" s="1113"/>
      <c r="AK43" s="1113"/>
      <c r="AM43" s="1043"/>
    </row>
    <row r="44" spans="4:46" s="1042" customFormat="1" ht="19.5" customHeight="1" thickBot="1" x14ac:dyDescent="0.4">
      <c r="D44" s="1044"/>
      <c r="E44" s="1045"/>
      <c r="F44" s="3647" t="s">
        <v>1692</v>
      </c>
      <c r="G44" s="3648"/>
      <c r="H44" s="3648"/>
      <c r="I44" s="3648"/>
      <c r="J44" s="3648"/>
      <c r="K44" s="3648"/>
      <c r="L44" s="3648"/>
      <c r="M44" s="3648"/>
      <c r="N44" s="3718">
        <v>0</v>
      </c>
      <c r="O44" s="3715"/>
      <c r="P44" s="3719"/>
      <c r="Q44" s="3715">
        <v>0</v>
      </c>
      <c r="R44" s="3715"/>
      <c r="S44" s="3716"/>
      <c r="T44" s="1113"/>
      <c r="U44" s="1113"/>
      <c r="V44" s="1113"/>
      <c r="W44" s="1111"/>
      <c r="X44" s="1111"/>
      <c r="Y44" s="1111"/>
      <c r="Z44" s="1111"/>
      <c r="AA44" s="1111"/>
      <c r="AB44" s="1111"/>
      <c r="AC44" s="1111"/>
      <c r="AD44" s="1111"/>
      <c r="AE44" s="1111"/>
      <c r="AF44" s="1113"/>
      <c r="AG44" s="1113"/>
      <c r="AH44" s="1113"/>
      <c r="AI44" s="1113"/>
      <c r="AJ44" s="1113"/>
      <c r="AK44" s="1113"/>
      <c r="AM44" s="1043"/>
    </row>
    <row r="45" spans="4:46" s="1042" customFormat="1" ht="10" customHeight="1" thickTop="1" x14ac:dyDescent="0.35">
      <c r="D45" s="1044"/>
      <c r="E45" s="1045"/>
      <c r="F45" s="1111"/>
      <c r="G45" s="1111"/>
      <c r="H45" s="1111"/>
      <c r="I45" s="1111"/>
      <c r="J45" s="1111"/>
      <c r="K45" s="1111"/>
      <c r="L45" s="1111"/>
      <c r="M45" s="1111"/>
      <c r="N45" s="1111"/>
      <c r="O45" s="1113"/>
      <c r="P45" s="1113"/>
      <c r="Q45" s="1113"/>
      <c r="R45" s="1113"/>
      <c r="S45" s="1113"/>
      <c r="T45" s="1113"/>
      <c r="U45" s="1113"/>
      <c r="V45" s="1113"/>
      <c r="W45" s="1113"/>
      <c r="X45" s="1111"/>
      <c r="Y45" s="1111"/>
      <c r="Z45" s="1111"/>
      <c r="AA45" s="1111"/>
      <c r="AB45" s="1111"/>
      <c r="AC45" s="1111"/>
      <c r="AD45" s="1111"/>
      <c r="AE45" s="1111"/>
      <c r="AF45" s="1111"/>
      <c r="AG45" s="1113"/>
      <c r="AH45" s="1113"/>
      <c r="AI45" s="1113"/>
      <c r="AJ45" s="1113"/>
      <c r="AK45" s="1113"/>
      <c r="AL45" s="1113"/>
      <c r="AM45" s="1043"/>
    </row>
    <row r="46" spans="4:46" s="1392" customFormat="1" ht="35.5" customHeight="1" thickBot="1" x14ac:dyDescent="0.4">
      <c r="D46" s="1388"/>
      <c r="E46" s="1389" t="s">
        <v>156</v>
      </c>
      <c r="F46" s="3705" t="s">
        <v>12790</v>
      </c>
      <c r="G46" s="3705"/>
      <c r="H46" s="3705"/>
      <c r="I46" s="3705"/>
      <c r="J46" s="3705"/>
      <c r="K46" s="3705"/>
      <c r="L46" s="3705"/>
      <c r="M46" s="3705"/>
      <c r="N46" s="3705"/>
      <c r="O46" s="3705"/>
      <c r="P46" s="3705"/>
      <c r="Q46" s="3705"/>
      <c r="R46" s="3705"/>
      <c r="S46" s="3705"/>
      <c r="T46" s="3705"/>
      <c r="U46" s="3705"/>
      <c r="V46" s="3705"/>
      <c r="W46" s="3705"/>
      <c r="X46" s="3705"/>
      <c r="Y46" s="3705"/>
      <c r="Z46" s="3705"/>
      <c r="AA46" s="3705"/>
      <c r="AB46" s="3705"/>
      <c r="AC46" s="3705"/>
      <c r="AD46" s="3705"/>
      <c r="AE46" s="3705"/>
      <c r="AF46" s="3705"/>
      <c r="AG46" s="3705"/>
      <c r="AH46" s="3705"/>
      <c r="AI46" s="3705"/>
      <c r="AJ46" s="3705"/>
      <c r="AK46" s="3705"/>
      <c r="AL46" s="1390"/>
      <c r="AM46" s="1391"/>
      <c r="AN46" s="1390"/>
      <c r="AO46" s="1390"/>
      <c r="AP46" s="1390"/>
      <c r="AQ46" s="1390"/>
      <c r="AR46" s="1390"/>
      <c r="AS46" s="1390"/>
      <c r="AT46" s="1390"/>
    </row>
    <row r="47" spans="4:46" s="1132" customFormat="1" ht="19.75" customHeight="1" thickTop="1" thickBot="1" x14ac:dyDescent="0.4">
      <c r="D47" s="1136"/>
      <c r="E47" s="1393"/>
      <c r="F47" s="3686" t="s">
        <v>1676</v>
      </c>
      <c r="G47" s="3687"/>
      <c r="H47" s="3687"/>
      <c r="I47" s="3687"/>
      <c r="J47" s="3687"/>
      <c r="K47" s="3687"/>
      <c r="L47" s="3687"/>
      <c r="M47" s="3688"/>
      <c r="N47" s="3680" t="s">
        <v>248</v>
      </c>
      <c r="O47" s="3681" t="s">
        <v>249</v>
      </c>
      <c r="P47" s="3672" t="s">
        <v>249</v>
      </c>
      <c r="Q47" s="3673" t="s">
        <v>250</v>
      </c>
      <c r="R47" s="3680" t="s">
        <v>250</v>
      </c>
      <c r="S47" s="3681" t="s">
        <v>449</v>
      </c>
      <c r="T47" s="3672" t="s">
        <v>449</v>
      </c>
      <c r="U47" s="3673"/>
      <c r="V47" s="3680" t="s">
        <v>129</v>
      </c>
      <c r="W47" s="3681"/>
      <c r="X47" s="3672" t="s">
        <v>241</v>
      </c>
      <c r="Y47" s="3673"/>
      <c r="Z47" s="3680" t="s">
        <v>242</v>
      </c>
      <c r="AA47" s="3681"/>
      <c r="AB47" s="3672" t="s">
        <v>243</v>
      </c>
      <c r="AC47" s="3673"/>
      <c r="AD47" s="3680" t="s">
        <v>244</v>
      </c>
      <c r="AE47" s="3681"/>
      <c r="AF47" s="3672" t="s">
        <v>245</v>
      </c>
      <c r="AG47" s="3673"/>
      <c r="AH47" s="3672" t="s">
        <v>246</v>
      </c>
      <c r="AI47" s="3673"/>
      <c r="AJ47" s="3680" t="s">
        <v>247</v>
      </c>
      <c r="AK47" s="3701"/>
      <c r="AL47" s="1385"/>
      <c r="AM47" s="1139"/>
    </row>
    <row r="48" spans="4:46" s="1132" customFormat="1" ht="19.75" customHeight="1" thickTop="1" x14ac:dyDescent="0.35">
      <c r="D48" s="1136"/>
      <c r="E48" s="1393"/>
      <c r="F48" s="3707" t="s">
        <v>865</v>
      </c>
      <c r="G48" s="3708"/>
      <c r="H48" s="3708"/>
      <c r="I48" s="3708"/>
      <c r="J48" s="3708"/>
      <c r="K48" s="3708"/>
      <c r="L48" s="3708"/>
      <c r="M48" s="3709"/>
      <c r="N48" s="3726">
        <v>0</v>
      </c>
      <c r="O48" s="3703"/>
      <c r="P48" s="3697">
        <v>0</v>
      </c>
      <c r="Q48" s="3698"/>
      <c r="R48" s="3699">
        <v>0</v>
      </c>
      <c r="S48" s="3703"/>
      <c r="T48" s="3697">
        <v>0</v>
      </c>
      <c r="U48" s="3698"/>
      <c r="V48" s="3699">
        <v>0</v>
      </c>
      <c r="W48" s="3703"/>
      <c r="X48" s="3697">
        <v>1</v>
      </c>
      <c r="Y48" s="3698"/>
      <c r="Z48" s="3699">
        <v>0</v>
      </c>
      <c r="AA48" s="3703"/>
      <c r="AB48" s="3697">
        <v>0</v>
      </c>
      <c r="AC48" s="3698"/>
      <c r="AD48" s="3699">
        <v>0</v>
      </c>
      <c r="AE48" s="3703"/>
      <c r="AF48" s="3697">
        <v>0</v>
      </c>
      <c r="AG48" s="3698"/>
      <c r="AH48" s="3697">
        <v>0</v>
      </c>
      <c r="AI48" s="3698"/>
      <c r="AJ48" s="3699">
        <v>0</v>
      </c>
      <c r="AK48" s="3700"/>
      <c r="AL48" s="1394"/>
      <c r="AM48" s="1139"/>
    </row>
    <row r="49" spans="4:42" s="1132" customFormat="1" ht="19.75" customHeight="1" x14ac:dyDescent="0.35">
      <c r="D49" s="1136"/>
      <c r="E49" s="1393"/>
      <c r="F49" s="3710" t="s">
        <v>866</v>
      </c>
      <c r="G49" s="3711"/>
      <c r="H49" s="3711"/>
      <c r="I49" s="3711"/>
      <c r="J49" s="3711"/>
      <c r="K49" s="3711"/>
      <c r="L49" s="3711"/>
      <c r="M49" s="3712"/>
      <c r="N49" s="3717">
        <v>0</v>
      </c>
      <c r="O49" s="3702"/>
      <c r="P49" s="3693">
        <v>0</v>
      </c>
      <c r="Q49" s="3694"/>
      <c r="R49" s="3695">
        <v>0</v>
      </c>
      <c r="S49" s="3702"/>
      <c r="T49" s="3693">
        <v>0</v>
      </c>
      <c r="U49" s="3694"/>
      <c r="V49" s="3695">
        <v>0</v>
      </c>
      <c r="W49" s="3702"/>
      <c r="X49" s="3693">
        <v>1</v>
      </c>
      <c r="Y49" s="3694"/>
      <c r="Z49" s="3695">
        <v>0</v>
      </c>
      <c r="AA49" s="3702"/>
      <c r="AB49" s="3693">
        <v>0</v>
      </c>
      <c r="AC49" s="3694"/>
      <c r="AD49" s="3695">
        <v>0</v>
      </c>
      <c r="AE49" s="3702"/>
      <c r="AF49" s="3693">
        <v>0</v>
      </c>
      <c r="AG49" s="3694"/>
      <c r="AH49" s="3693">
        <v>0</v>
      </c>
      <c r="AI49" s="3694"/>
      <c r="AJ49" s="3695">
        <v>0</v>
      </c>
      <c r="AK49" s="3696"/>
      <c r="AL49" s="1394"/>
      <c r="AM49" s="1139"/>
    </row>
    <row r="50" spans="4:42" s="1132" customFormat="1" ht="19.75" customHeight="1" x14ac:dyDescent="0.35">
      <c r="D50" s="1136"/>
      <c r="E50" s="1393"/>
      <c r="F50" s="3710" t="s">
        <v>867</v>
      </c>
      <c r="G50" s="3711"/>
      <c r="H50" s="3711"/>
      <c r="I50" s="3711"/>
      <c r="J50" s="3711"/>
      <c r="K50" s="3711"/>
      <c r="L50" s="3711"/>
      <c r="M50" s="3712"/>
      <c r="N50" s="3717">
        <v>0</v>
      </c>
      <c r="O50" s="3702"/>
      <c r="P50" s="3693">
        <v>0</v>
      </c>
      <c r="Q50" s="3694"/>
      <c r="R50" s="3695">
        <v>0</v>
      </c>
      <c r="S50" s="3702"/>
      <c r="T50" s="3693">
        <v>0</v>
      </c>
      <c r="U50" s="3694"/>
      <c r="V50" s="3695">
        <v>0</v>
      </c>
      <c r="W50" s="3702"/>
      <c r="X50" s="3693">
        <v>0</v>
      </c>
      <c r="Y50" s="3694"/>
      <c r="Z50" s="3695">
        <v>0</v>
      </c>
      <c r="AA50" s="3702"/>
      <c r="AB50" s="3693">
        <v>0</v>
      </c>
      <c r="AC50" s="3694"/>
      <c r="AD50" s="3695">
        <v>0</v>
      </c>
      <c r="AE50" s="3702"/>
      <c r="AF50" s="3693">
        <v>0</v>
      </c>
      <c r="AG50" s="3694"/>
      <c r="AH50" s="3693">
        <v>0</v>
      </c>
      <c r="AI50" s="3694"/>
      <c r="AJ50" s="3695">
        <v>0</v>
      </c>
      <c r="AK50" s="3696"/>
      <c r="AL50" s="1394"/>
      <c r="AM50" s="1139"/>
    </row>
    <row r="51" spans="4:42" s="1132" customFormat="1" ht="19.75" customHeight="1" x14ac:dyDescent="0.35">
      <c r="D51" s="1136"/>
      <c r="E51" s="1393"/>
      <c r="F51" s="3710" t="s">
        <v>870</v>
      </c>
      <c r="G51" s="3711"/>
      <c r="H51" s="3711"/>
      <c r="I51" s="3711"/>
      <c r="J51" s="3711"/>
      <c r="K51" s="3711"/>
      <c r="L51" s="3711"/>
      <c r="M51" s="3712"/>
      <c r="N51" s="3717">
        <v>0</v>
      </c>
      <c r="O51" s="3702"/>
      <c r="P51" s="3693">
        <v>0</v>
      </c>
      <c r="Q51" s="3694"/>
      <c r="R51" s="3695">
        <v>0</v>
      </c>
      <c r="S51" s="3702"/>
      <c r="T51" s="3693">
        <v>0</v>
      </c>
      <c r="U51" s="3694"/>
      <c r="V51" s="3695">
        <v>0</v>
      </c>
      <c r="W51" s="3702"/>
      <c r="X51" s="3693">
        <v>0</v>
      </c>
      <c r="Y51" s="3694"/>
      <c r="Z51" s="3695">
        <v>0</v>
      </c>
      <c r="AA51" s="3702"/>
      <c r="AB51" s="3693">
        <v>0</v>
      </c>
      <c r="AC51" s="3694"/>
      <c r="AD51" s="3695">
        <v>0</v>
      </c>
      <c r="AE51" s="3702"/>
      <c r="AF51" s="3693">
        <v>0</v>
      </c>
      <c r="AG51" s="3694"/>
      <c r="AH51" s="3693">
        <v>0</v>
      </c>
      <c r="AI51" s="3694"/>
      <c r="AJ51" s="3695">
        <v>0</v>
      </c>
      <c r="AK51" s="3696"/>
      <c r="AL51" s="1394"/>
      <c r="AM51" s="1139"/>
    </row>
    <row r="52" spans="4:42" s="1132" customFormat="1" ht="19.75" customHeight="1" x14ac:dyDescent="0.35">
      <c r="D52" s="1136"/>
      <c r="E52" s="1393"/>
      <c r="F52" s="3710" t="s">
        <v>869</v>
      </c>
      <c r="G52" s="3711"/>
      <c r="H52" s="3711"/>
      <c r="I52" s="3711"/>
      <c r="J52" s="3711"/>
      <c r="K52" s="3711"/>
      <c r="L52" s="3711"/>
      <c r="M52" s="3712"/>
      <c r="N52" s="3717">
        <v>0</v>
      </c>
      <c r="O52" s="3702"/>
      <c r="P52" s="3693">
        <v>0</v>
      </c>
      <c r="Q52" s="3694"/>
      <c r="R52" s="3695">
        <v>0</v>
      </c>
      <c r="S52" s="3702"/>
      <c r="T52" s="3693">
        <v>0</v>
      </c>
      <c r="U52" s="3694"/>
      <c r="V52" s="3695">
        <v>0</v>
      </c>
      <c r="W52" s="3702"/>
      <c r="X52" s="3693">
        <v>0</v>
      </c>
      <c r="Y52" s="3694"/>
      <c r="Z52" s="3695">
        <v>0</v>
      </c>
      <c r="AA52" s="3702"/>
      <c r="AB52" s="3693">
        <v>0</v>
      </c>
      <c r="AC52" s="3694"/>
      <c r="AD52" s="3695">
        <v>0</v>
      </c>
      <c r="AE52" s="3702"/>
      <c r="AF52" s="3693">
        <v>0</v>
      </c>
      <c r="AG52" s="3694"/>
      <c r="AH52" s="3693">
        <v>0</v>
      </c>
      <c r="AI52" s="3694"/>
      <c r="AJ52" s="3695">
        <v>0</v>
      </c>
      <c r="AK52" s="3696"/>
      <c r="AL52" s="1394"/>
      <c r="AM52" s="1139"/>
    </row>
    <row r="53" spans="4:42" s="1132" customFormat="1" ht="19.75" customHeight="1" thickBot="1" x14ac:dyDescent="0.4">
      <c r="D53" s="1136"/>
      <c r="E53" s="1393"/>
      <c r="F53" s="3723" t="s">
        <v>868</v>
      </c>
      <c r="G53" s="3724"/>
      <c r="H53" s="3724"/>
      <c r="I53" s="3724"/>
      <c r="J53" s="3724"/>
      <c r="K53" s="3724"/>
      <c r="L53" s="3724"/>
      <c r="M53" s="3725"/>
      <c r="N53" s="3722">
        <v>0</v>
      </c>
      <c r="O53" s="3706"/>
      <c r="P53" s="3689">
        <v>0</v>
      </c>
      <c r="Q53" s="3690"/>
      <c r="R53" s="3691">
        <v>0</v>
      </c>
      <c r="S53" s="3706"/>
      <c r="T53" s="3689">
        <v>0</v>
      </c>
      <c r="U53" s="3690"/>
      <c r="V53" s="3691">
        <v>0</v>
      </c>
      <c r="W53" s="3706"/>
      <c r="X53" s="3689">
        <v>0</v>
      </c>
      <c r="Y53" s="3690"/>
      <c r="Z53" s="3691">
        <v>0</v>
      </c>
      <c r="AA53" s="3706"/>
      <c r="AB53" s="3689">
        <v>0</v>
      </c>
      <c r="AC53" s="3690"/>
      <c r="AD53" s="3691">
        <v>0</v>
      </c>
      <c r="AE53" s="3706"/>
      <c r="AF53" s="3689">
        <v>0</v>
      </c>
      <c r="AG53" s="3690"/>
      <c r="AH53" s="3689">
        <v>0</v>
      </c>
      <c r="AI53" s="3690"/>
      <c r="AJ53" s="3691">
        <v>0</v>
      </c>
      <c r="AK53" s="3692"/>
      <c r="AL53" s="1394"/>
      <c r="AM53" s="1139"/>
    </row>
    <row r="54" spans="4:42" s="1132" customFormat="1" ht="9" customHeight="1" thickTop="1" x14ac:dyDescent="0.35">
      <c r="D54" s="1136"/>
      <c r="E54" s="1393"/>
      <c r="F54" s="1395"/>
      <c r="I54" s="1143"/>
      <c r="J54" s="1143"/>
      <c r="K54" s="1143"/>
      <c r="L54" s="1143"/>
      <c r="M54" s="1143"/>
      <c r="N54" s="1143"/>
      <c r="O54" s="1394"/>
      <c r="P54" s="1394"/>
      <c r="Q54" s="1394"/>
      <c r="R54" s="1394"/>
      <c r="S54" s="1394"/>
      <c r="T54" s="1394"/>
      <c r="U54" s="1394"/>
      <c r="V54" s="1394"/>
      <c r="W54" s="1394"/>
      <c r="X54" s="1394"/>
      <c r="Y54" s="1394"/>
      <c r="Z54" s="1394"/>
      <c r="AA54" s="1394"/>
      <c r="AB54" s="1394"/>
      <c r="AC54" s="1394"/>
      <c r="AD54" s="1394"/>
      <c r="AE54" s="1394"/>
      <c r="AF54" s="1394"/>
      <c r="AG54" s="1394"/>
      <c r="AH54" s="1394"/>
      <c r="AI54" s="1394"/>
      <c r="AJ54" s="1394"/>
      <c r="AK54" s="1394"/>
      <c r="AL54" s="1394"/>
      <c r="AM54" s="1396"/>
      <c r="AN54" s="1394"/>
      <c r="AO54" s="1394"/>
      <c r="AP54" s="1394"/>
    </row>
    <row r="55" spans="4:42" ht="15.5" customHeight="1" x14ac:dyDescent="0.35">
      <c r="D55" s="1049"/>
      <c r="E55" s="1050" t="s">
        <v>157</v>
      </c>
      <c r="F55" s="3554" t="s">
        <v>1708</v>
      </c>
      <c r="G55" s="3554"/>
      <c r="H55" s="3554"/>
      <c r="I55" s="3554"/>
      <c r="J55" s="3554"/>
      <c r="K55" s="3554"/>
      <c r="L55" s="3554"/>
      <c r="M55" s="3554"/>
      <c r="N55" s="3554"/>
      <c r="O55" s="3554"/>
      <c r="P55" s="3554"/>
      <c r="Q55" s="3554"/>
      <c r="R55" s="3554"/>
      <c r="S55" s="3554"/>
      <c r="T55" s="3554"/>
      <c r="U55" s="3554"/>
      <c r="V55" s="3554"/>
      <c r="W55" s="3554"/>
      <c r="X55" s="3554"/>
      <c r="Y55" s="3554"/>
      <c r="Z55" s="3554"/>
      <c r="AA55" s="3554"/>
      <c r="AB55" s="3554"/>
      <c r="AC55" s="3554"/>
      <c r="AD55" s="3554"/>
      <c r="AE55" s="3554"/>
      <c r="AF55" s="3554"/>
      <c r="AG55" s="3554"/>
      <c r="AH55" s="3554"/>
      <c r="AI55" s="3554"/>
      <c r="AJ55" s="3554"/>
      <c r="AK55" s="3554"/>
      <c r="AL55" s="1052"/>
      <c r="AM55" s="1053"/>
      <c r="AN55" s="1052"/>
      <c r="AO55" s="1052"/>
    </row>
    <row r="56" spans="4:42" ht="5" customHeight="1" thickBot="1" x14ac:dyDescent="0.4">
      <c r="D56" s="1084"/>
      <c r="E56" s="1105"/>
      <c r="F56" s="1105"/>
      <c r="G56" s="1105"/>
      <c r="H56" s="1105"/>
      <c r="I56" s="1105"/>
      <c r="J56" s="1105"/>
      <c r="K56" s="1105"/>
      <c r="L56" s="1105"/>
      <c r="M56" s="1105"/>
      <c r="N56" s="1105"/>
      <c r="O56" s="1105"/>
      <c r="P56" s="1105"/>
      <c r="Q56" s="1105"/>
      <c r="R56" s="1105"/>
      <c r="S56" s="1105"/>
      <c r="T56" s="1105"/>
      <c r="U56" s="1105"/>
      <c r="V56" s="1105"/>
      <c r="W56" s="1105"/>
      <c r="X56" s="1105"/>
      <c r="Y56" s="1105"/>
      <c r="Z56" s="1105"/>
      <c r="AA56" s="1105"/>
      <c r="AB56" s="1105"/>
      <c r="AC56" s="1105"/>
      <c r="AD56" s="1105"/>
      <c r="AE56" s="1105"/>
      <c r="AF56" s="1105"/>
      <c r="AG56" s="1105"/>
      <c r="AH56" s="1105"/>
      <c r="AI56" s="1105"/>
      <c r="AJ56" s="1105"/>
      <c r="AK56" s="1105"/>
      <c r="AL56" s="1105"/>
      <c r="AM56" s="1062"/>
      <c r="AN56" s="1105"/>
      <c r="AO56" s="1105"/>
    </row>
    <row r="57" spans="4:42" s="1042" customFormat="1" ht="35" customHeight="1" thickTop="1" thickBot="1" x14ac:dyDescent="0.4">
      <c r="D57" s="1084"/>
      <c r="E57" s="1085"/>
      <c r="F57" s="3543" t="s">
        <v>898</v>
      </c>
      <c r="G57" s="3544"/>
      <c r="H57" s="3544"/>
      <c r="I57" s="3544"/>
      <c r="J57" s="3544"/>
      <c r="K57" s="3546"/>
      <c r="L57" s="3544" t="s">
        <v>899</v>
      </c>
      <c r="M57" s="3544"/>
      <c r="N57" s="3544"/>
      <c r="O57" s="3544"/>
      <c r="P57" s="3544"/>
      <c r="Q57" s="3547"/>
      <c r="R57" s="1111"/>
      <c r="S57" s="1085"/>
      <c r="T57" s="1085"/>
      <c r="U57" s="1085"/>
      <c r="V57" s="1085"/>
      <c r="W57" s="1085"/>
      <c r="X57" s="1111"/>
      <c r="Y57" s="1085"/>
      <c r="Z57" s="1085"/>
      <c r="AA57" s="1085"/>
      <c r="AB57" s="1085"/>
      <c r="AC57" s="1085"/>
      <c r="AD57" s="1085"/>
      <c r="AE57" s="1085"/>
      <c r="AF57" s="1085"/>
      <c r="AG57" s="1085"/>
      <c r="AH57" s="1085"/>
      <c r="AI57" s="1085"/>
      <c r="AJ57" s="1085"/>
      <c r="AK57" s="1085"/>
      <c r="AL57" s="1085"/>
      <c r="AM57" s="1086"/>
      <c r="AN57" s="1085"/>
      <c r="AO57" s="1085"/>
    </row>
    <row r="58" spans="4:42" s="1042" customFormat="1" ht="19.5" customHeight="1" thickBot="1" x14ac:dyDescent="0.4">
      <c r="D58" s="1044"/>
      <c r="E58" s="1045"/>
      <c r="F58" s="3522" t="s">
        <v>14</v>
      </c>
      <c r="G58" s="3514"/>
      <c r="H58" s="3516"/>
      <c r="I58" s="3517" t="s">
        <v>15</v>
      </c>
      <c r="J58" s="3514"/>
      <c r="K58" s="3515"/>
      <c r="L58" s="3514" t="s">
        <v>14</v>
      </c>
      <c r="M58" s="3514"/>
      <c r="N58" s="3516"/>
      <c r="O58" s="3517" t="s">
        <v>15</v>
      </c>
      <c r="P58" s="3514"/>
      <c r="Q58" s="3518"/>
      <c r="R58" s="1112"/>
      <c r="X58" s="1112"/>
      <c r="AM58" s="1043"/>
    </row>
    <row r="59" spans="4:42" s="1042" customFormat="1" ht="25" customHeight="1" thickTop="1" thickBot="1" x14ac:dyDescent="0.4">
      <c r="D59" s="1044"/>
      <c r="E59" s="1045"/>
      <c r="F59" s="3600">
        <v>18</v>
      </c>
      <c r="G59" s="3559"/>
      <c r="H59" s="3560"/>
      <c r="I59" s="3561">
        <v>54</v>
      </c>
      <c r="J59" s="3562"/>
      <c r="K59" s="3569"/>
      <c r="L59" s="3559">
        <v>7</v>
      </c>
      <c r="M59" s="3559"/>
      <c r="N59" s="3560"/>
      <c r="O59" s="3561">
        <v>7</v>
      </c>
      <c r="P59" s="3562"/>
      <c r="Q59" s="3563"/>
      <c r="R59" s="1114"/>
      <c r="X59" s="1114"/>
      <c r="AM59" s="1043"/>
    </row>
    <row r="60" spans="4:42" ht="5" customHeight="1" thickTop="1" x14ac:dyDescent="0.35">
      <c r="D60" s="1084"/>
      <c r="E60" s="1105"/>
      <c r="F60" s="1105"/>
      <c r="G60" s="1105"/>
      <c r="H60" s="1105"/>
      <c r="I60" s="1105"/>
      <c r="J60" s="1105"/>
      <c r="K60" s="1105"/>
      <c r="L60" s="1105"/>
      <c r="M60" s="1105"/>
      <c r="N60" s="1105"/>
      <c r="O60" s="1105"/>
      <c r="P60" s="1105"/>
      <c r="Q60" s="1105"/>
      <c r="R60" s="1105"/>
      <c r="S60" s="1105"/>
      <c r="T60" s="1105"/>
      <c r="U60" s="1105"/>
      <c r="V60" s="1105"/>
      <c r="W60" s="1105"/>
      <c r="X60" s="1105"/>
      <c r="Y60" s="1105"/>
      <c r="Z60" s="1105"/>
      <c r="AA60" s="1105"/>
      <c r="AB60" s="1105"/>
      <c r="AC60" s="1105"/>
      <c r="AD60" s="1105"/>
      <c r="AE60" s="1105"/>
      <c r="AF60" s="1105"/>
      <c r="AG60" s="1105"/>
      <c r="AH60" s="1105"/>
      <c r="AI60" s="1105"/>
      <c r="AJ60" s="1105"/>
      <c r="AK60" s="1105"/>
      <c r="AL60" s="1105"/>
      <c r="AM60" s="1062"/>
      <c r="AN60" s="1105"/>
      <c r="AO60" s="1105"/>
    </row>
    <row r="61" spans="4:42" ht="15.5" customHeight="1" x14ac:dyDescent="0.35">
      <c r="D61" s="1049"/>
      <c r="E61" s="1050" t="s">
        <v>159</v>
      </c>
      <c r="F61" s="3554" t="s">
        <v>1709</v>
      </c>
      <c r="G61" s="3554"/>
      <c r="H61" s="3554"/>
      <c r="I61" s="3554"/>
      <c r="J61" s="3554"/>
      <c r="K61" s="3554"/>
      <c r="L61" s="3554"/>
      <c r="M61" s="3554"/>
      <c r="N61" s="3554"/>
      <c r="O61" s="3554"/>
      <c r="P61" s="3554"/>
      <c r="Q61" s="3554"/>
      <c r="R61" s="3554"/>
      <c r="S61" s="3554"/>
      <c r="T61" s="3554"/>
      <c r="U61" s="3554"/>
      <c r="V61" s="3554"/>
      <c r="W61" s="3554"/>
      <c r="X61" s="3554"/>
      <c r="Y61" s="3554"/>
      <c r="Z61" s="3554"/>
      <c r="AA61" s="3554"/>
      <c r="AB61" s="3554"/>
      <c r="AC61" s="3554"/>
      <c r="AD61" s="3554"/>
      <c r="AE61" s="3554"/>
      <c r="AF61" s="3554"/>
      <c r="AG61" s="3554"/>
      <c r="AH61" s="3554"/>
      <c r="AI61" s="3554"/>
      <c r="AJ61" s="3554"/>
      <c r="AK61" s="3554"/>
      <c r="AL61" s="1052"/>
      <c r="AM61" s="1053"/>
      <c r="AN61" s="1052"/>
      <c r="AO61" s="1052"/>
    </row>
    <row r="62" spans="4:42" ht="5" customHeight="1" thickBot="1" x14ac:dyDescent="0.4">
      <c r="D62" s="1084"/>
      <c r="E62" s="1105"/>
      <c r="F62" s="1105"/>
      <c r="G62" s="1105"/>
      <c r="H62" s="1105"/>
      <c r="I62" s="1105"/>
      <c r="J62" s="1105"/>
      <c r="K62" s="1105"/>
      <c r="L62" s="1105"/>
      <c r="M62" s="1105"/>
      <c r="N62" s="1105"/>
      <c r="O62" s="1105"/>
      <c r="P62" s="1105"/>
      <c r="Q62" s="1105"/>
      <c r="R62" s="1105"/>
      <c r="S62" s="1105"/>
      <c r="T62" s="1105"/>
      <c r="U62" s="1105"/>
      <c r="V62" s="1105"/>
      <c r="W62" s="1105"/>
      <c r="X62" s="1105"/>
      <c r="Y62" s="1105"/>
      <c r="Z62" s="1105"/>
      <c r="AA62" s="1105"/>
      <c r="AB62" s="1105"/>
      <c r="AC62" s="1105"/>
      <c r="AD62" s="1105"/>
      <c r="AE62" s="1105"/>
      <c r="AF62" s="1105"/>
      <c r="AG62" s="1105"/>
      <c r="AH62" s="1105"/>
      <c r="AI62" s="1105"/>
      <c r="AJ62" s="1105"/>
      <c r="AK62" s="1105"/>
      <c r="AL62" s="1105"/>
      <c r="AM62" s="1062"/>
      <c r="AN62" s="1105"/>
      <c r="AO62" s="1105"/>
    </row>
    <row r="63" spans="4:42" s="1042" customFormat="1" ht="59" customHeight="1" thickTop="1" thickBot="1" x14ac:dyDescent="0.4">
      <c r="D63" s="1084"/>
      <c r="E63" s="1085"/>
      <c r="F63" s="3543" t="s">
        <v>1748</v>
      </c>
      <c r="G63" s="3544"/>
      <c r="H63" s="3544"/>
      <c r="I63" s="3544"/>
      <c r="J63" s="3544"/>
      <c r="K63" s="3544"/>
      <c r="L63" s="3545" t="s">
        <v>1710</v>
      </c>
      <c r="M63" s="3544"/>
      <c r="N63" s="3544"/>
      <c r="O63" s="3544"/>
      <c r="P63" s="3544"/>
      <c r="Q63" s="3546"/>
      <c r="R63" s="3545" t="s">
        <v>1711</v>
      </c>
      <c r="S63" s="3544"/>
      <c r="T63" s="3544"/>
      <c r="U63" s="3544"/>
      <c r="V63" s="3544"/>
      <c r="W63" s="3546"/>
      <c r="X63" s="3544" t="s">
        <v>1712</v>
      </c>
      <c r="Y63" s="3544"/>
      <c r="Z63" s="3544"/>
      <c r="AA63" s="3544"/>
      <c r="AB63" s="3544"/>
      <c r="AC63" s="3547"/>
      <c r="AD63" s="1085"/>
      <c r="AE63" s="1085"/>
      <c r="AF63" s="1085"/>
      <c r="AG63" s="1085"/>
      <c r="AH63" s="1085"/>
      <c r="AI63" s="1085"/>
      <c r="AJ63" s="1085"/>
      <c r="AK63" s="1085"/>
      <c r="AL63" s="1085"/>
      <c r="AM63" s="1086"/>
    </row>
    <row r="64" spans="4:42" s="1042" customFormat="1" ht="19.5" customHeight="1" thickBot="1" x14ac:dyDescent="0.4">
      <c r="D64" s="1044"/>
      <c r="E64" s="1045"/>
      <c r="F64" s="3522" t="s">
        <v>14</v>
      </c>
      <c r="G64" s="3514"/>
      <c r="H64" s="3516"/>
      <c r="I64" s="3514" t="s">
        <v>15</v>
      </c>
      <c r="J64" s="3514"/>
      <c r="K64" s="3514"/>
      <c r="L64" s="3523" t="s">
        <v>14</v>
      </c>
      <c r="M64" s="3514" t="s">
        <v>15</v>
      </c>
      <c r="N64" s="3516"/>
      <c r="O64" s="3514" t="s">
        <v>15</v>
      </c>
      <c r="P64" s="3514"/>
      <c r="Q64" s="3515"/>
      <c r="R64" s="3523" t="s">
        <v>14</v>
      </c>
      <c r="S64" s="3514" t="s">
        <v>15</v>
      </c>
      <c r="T64" s="3516"/>
      <c r="U64" s="3514" t="s">
        <v>15</v>
      </c>
      <c r="V64" s="3514"/>
      <c r="W64" s="3515"/>
      <c r="X64" s="3514" t="s">
        <v>14</v>
      </c>
      <c r="Y64" s="3514" t="s">
        <v>15</v>
      </c>
      <c r="Z64" s="3516"/>
      <c r="AA64" s="3517" t="s">
        <v>15</v>
      </c>
      <c r="AB64" s="3514"/>
      <c r="AC64" s="3518"/>
      <c r="AM64" s="1043"/>
    </row>
    <row r="65" spans="2:41" s="1042" customFormat="1" ht="30" customHeight="1" thickTop="1" thickBot="1" x14ac:dyDescent="0.4">
      <c r="D65" s="1044"/>
      <c r="E65" s="1045"/>
      <c r="F65" s="3600">
        <v>0</v>
      </c>
      <c r="G65" s="3559"/>
      <c r="H65" s="3560"/>
      <c r="I65" s="3561">
        <v>0</v>
      </c>
      <c r="J65" s="3562"/>
      <c r="K65" s="3562"/>
      <c r="L65" s="3598">
        <v>25</v>
      </c>
      <c r="M65" s="3559"/>
      <c r="N65" s="3560"/>
      <c r="O65" s="3562">
        <v>23</v>
      </c>
      <c r="P65" s="3562"/>
      <c r="Q65" s="3569"/>
      <c r="R65" s="3598">
        <v>0</v>
      </c>
      <c r="S65" s="3559"/>
      <c r="T65" s="3560"/>
      <c r="U65" s="3562">
        <v>2</v>
      </c>
      <c r="V65" s="3562"/>
      <c r="W65" s="3569"/>
      <c r="X65" s="3559">
        <v>0</v>
      </c>
      <c r="Y65" s="3559"/>
      <c r="Z65" s="3560"/>
      <c r="AA65" s="3561">
        <v>0</v>
      </c>
      <c r="AB65" s="3562"/>
      <c r="AC65" s="3563"/>
      <c r="AM65" s="1043"/>
    </row>
    <row r="66" spans="2:41" s="1042" customFormat="1" ht="5" customHeight="1" thickTop="1" x14ac:dyDescent="0.35">
      <c r="D66" s="1044"/>
      <c r="E66" s="1045"/>
      <c r="F66" s="1046"/>
      <c r="G66" s="1046"/>
      <c r="H66" s="1046"/>
      <c r="I66" s="1047"/>
      <c r="J66" s="1047"/>
      <c r="K66" s="1047"/>
      <c r="L66" s="1048"/>
      <c r="M66" s="1048"/>
      <c r="N66" s="1048"/>
      <c r="O66" s="1047"/>
      <c r="P66" s="1047"/>
      <c r="Q66" s="1047"/>
      <c r="R66" s="1048"/>
      <c r="S66" s="1048"/>
      <c r="T66" s="1048"/>
      <c r="U66" s="1047"/>
      <c r="V66" s="1047"/>
      <c r="W66" s="1047"/>
      <c r="X66" s="1048"/>
      <c r="Y66" s="1048"/>
      <c r="Z66" s="1048"/>
      <c r="AA66" s="1047"/>
      <c r="AB66" s="1047"/>
      <c r="AC66" s="1047"/>
      <c r="AM66" s="1043"/>
    </row>
    <row r="67" spans="2:41" s="1042" customFormat="1" ht="34" customHeight="1" x14ac:dyDescent="0.35">
      <c r="D67" s="1044"/>
      <c r="E67" s="1045"/>
      <c r="F67" s="417" t="s">
        <v>171</v>
      </c>
      <c r="G67" s="1046"/>
      <c r="H67" s="1046"/>
      <c r="I67" s="3542" t="s">
        <v>1930</v>
      </c>
      <c r="J67" s="3542"/>
      <c r="K67" s="3542"/>
      <c r="L67" s="3542"/>
      <c r="M67" s="3542"/>
      <c r="N67" s="3542"/>
      <c r="O67" s="3542"/>
      <c r="P67" s="3542"/>
      <c r="Q67" s="3542"/>
      <c r="R67" s="3542"/>
      <c r="S67" s="3542"/>
      <c r="T67" s="3542"/>
      <c r="U67" s="3542"/>
      <c r="V67" s="3542"/>
      <c r="W67" s="3542"/>
      <c r="X67" s="3542"/>
      <c r="Y67" s="3542"/>
      <c r="Z67" s="3542"/>
      <c r="AA67" s="3542"/>
      <c r="AB67" s="3542"/>
      <c r="AC67" s="3542"/>
      <c r="AM67" s="1043"/>
    </row>
    <row r="68" spans="2:41" ht="10" customHeight="1" thickBot="1" x14ac:dyDescent="0.4">
      <c r="D68" s="1035"/>
      <c r="E68" s="1036"/>
      <c r="F68" s="1037"/>
      <c r="G68" s="1038"/>
      <c r="H68" s="1038"/>
      <c r="I68" s="1038"/>
      <c r="J68" s="1038"/>
      <c r="K68" s="1038"/>
      <c r="L68" s="1038"/>
      <c r="M68" s="1039"/>
      <c r="N68" s="1039"/>
      <c r="O68" s="1039"/>
      <c r="P68" s="1039"/>
      <c r="Q68" s="1039"/>
      <c r="R68" s="1039"/>
      <c r="S68" s="1039"/>
      <c r="T68" s="1039"/>
      <c r="U68" s="1039"/>
      <c r="V68" s="1039"/>
      <c r="W68" s="1039"/>
      <c r="X68" s="1039"/>
      <c r="Y68" s="1039"/>
      <c r="Z68" s="1039"/>
      <c r="AA68" s="1039"/>
      <c r="AB68" s="1039"/>
      <c r="AC68" s="1039"/>
      <c r="AD68" s="1039"/>
      <c r="AE68" s="1039"/>
      <c r="AF68" s="1039"/>
      <c r="AG68" s="1039"/>
      <c r="AH68" s="1039"/>
      <c r="AI68" s="1039"/>
      <c r="AJ68" s="1039"/>
      <c r="AK68" s="1039"/>
      <c r="AL68" s="1039"/>
      <c r="AM68" s="1040"/>
    </row>
    <row r="69" spans="2:41" ht="10" customHeight="1" thickTop="1" x14ac:dyDescent="0.35">
      <c r="D69" s="1118"/>
      <c r="E69" s="1098"/>
      <c r="G69" s="1052"/>
      <c r="H69" s="1052"/>
      <c r="I69" s="1052"/>
      <c r="J69" s="1052"/>
      <c r="K69" s="1052"/>
      <c r="L69" s="1052"/>
      <c r="M69" s="1041"/>
      <c r="N69" s="1041"/>
      <c r="O69" s="1041"/>
      <c r="P69" s="1041"/>
      <c r="Q69" s="1041"/>
      <c r="R69" s="1041"/>
      <c r="S69" s="1041"/>
      <c r="T69" s="1041"/>
      <c r="U69" s="1041"/>
      <c r="V69" s="1041"/>
      <c r="W69" s="1041"/>
      <c r="X69" s="1041"/>
      <c r="Y69" s="1041"/>
      <c r="Z69" s="1041"/>
      <c r="AA69" s="1041"/>
      <c r="AB69" s="1041"/>
      <c r="AC69" s="1041"/>
      <c r="AD69" s="1041"/>
      <c r="AE69" s="1041"/>
      <c r="AF69" s="1041"/>
      <c r="AG69" s="1041"/>
      <c r="AH69" s="1041"/>
      <c r="AI69" s="1041"/>
      <c r="AJ69" s="1041"/>
      <c r="AK69" s="1041"/>
    </row>
    <row r="70" spans="2:41" s="98" customFormat="1" ht="17.25" customHeight="1" x14ac:dyDescent="0.35">
      <c r="D70" s="3670" t="s">
        <v>1890</v>
      </c>
      <c r="E70" s="3670"/>
      <c r="F70" s="3670"/>
      <c r="G70" s="3670"/>
      <c r="H70" s="3670"/>
      <c r="I70" s="3670"/>
      <c r="J70" s="3670"/>
      <c r="K70" s="3670"/>
      <c r="L70" s="3670"/>
      <c r="M70" s="3670"/>
      <c r="N70" s="3670"/>
      <c r="O70" s="3670"/>
      <c r="P70" s="3670"/>
      <c r="Q70" s="3670"/>
      <c r="R70" s="3670"/>
      <c r="S70" s="3670"/>
      <c r="T70" s="3670"/>
      <c r="U70" s="3670"/>
      <c r="V70" s="3670"/>
      <c r="W70" s="3670"/>
      <c r="X70" s="3670"/>
      <c r="Y70" s="3670"/>
      <c r="Z70" s="3670"/>
      <c r="AA70" s="3670"/>
      <c r="AB70" s="3670"/>
      <c r="AC70" s="3670"/>
      <c r="AD70" s="3670"/>
      <c r="AE70" s="3670"/>
      <c r="AF70" s="3670"/>
    </row>
    <row r="71" spans="2:41" s="501" customFormat="1" ht="30.75" customHeight="1" x14ac:dyDescent="0.35"/>
    <row r="72" spans="2:41" s="73" customFormat="1" ht="14" x14ac:dyDescent="0.3">
      <c r="B72" s="74" t="s">
        <v>913</v>
      </c>
      <c r="P72" s="74" t="s">
        <v>846</v>
      </c>
      <c r="AD72" s="74" t="s">
        <v>922</v>
      </c>
    </row>
    <row r="73" spans="2:41" s="73" customFormat="1" ht="21.75" customHeight="1" x14ac:dyDescent="0.3">
      <c r="B73" s="74" t="s">
        <v>811</v>
      </c>
      <c r="F73" s="1482" t="str">
        <f>SchInfo!F38</f>
        <v>MELCHESIEDICK Q. BOLANIO/ March 17, 2023</v>
      </c>
      <c r="G73" s="1482"/>
      <c r="H73" s="1482"/>
      <c r="I73" s="1482"/>
      <c r="J73" s="1482"/>
      <c r="K73" s="1482"/>
      <c r="L73" s="1482"/>
      <c r="M73" s="1482"/>
      <c r="P73" s="1482" t="str">
        <f>Table39!Q37</f>
        <v>ELYN KENDRA D. DELA CRUZ  /  March 17, 2023</v>
      </c>
      <c r="Q73" s="1482"/>
      <c r="R73" s="1482"/>
      <c r="S73" s="1482"/>
      <c r="T73" s="1482"/>
      <c r="U73" s="1482"/>
      <c r="V73" s="1482"/>
      <c r="W73" s="1482"/>
      <c r="X73" s="1482"/>
      <c r="Y73" s="1482"/>
      <c r="Z73" s="1482"/>
      <c r="AA73" s="1482"/>
      <c r="AD73" s="3720" t="str">
        <f>SchInfo!R38</f>
        <v>MICHAEL T. JAMIS   /  March 17, 2023</v>
      </c>
      <c r="AE73" s="3720"/>
      <c r="AF73" s="3720"/>
      <c r="AG73" s="3720"/>
      <c r="AH73" s="3720"/>
      <c r="AI73" s="3720"/>
      <c r="AJ73" s="3720"/>
      <c r="AK73" s="3720"/>
      <c r="AL73" s="3720"/>
      <c r="AM73" s="3720"/>
      <c r="AN73" s="3720"/>
      <c r="AO73" s="3720"/>
    </row>
    <row r="74" spans="2:41" s="68" customFormat="1" ht="14" customHeight="1" x14ac:dyDescent="0.3">
      <c r="B74" s="210"/>
      <c r="F74" s="1451" t="s">
        <v>779</v>
      </c>
      <c r="G74" s="1451"/>
      <c r="H74" s="1451"/>
      <c r="I74" s="1451"/>
      <c r="J74" s="1451"/>
      <c r="K74" s="1451"/>
      <c r="L74" s="1451"/>
      <c r="M74" s="1451"/>
      <c r="N74" s="65"/>
      <c r="O74" s="65"/>
      <c r="P74" s="1451" t="s">
        <v>779</v>
      </c>
      <c r="Q74" s="1451"/>
      <c r="R74" s="1451"/>
      <c r="S74" s="1451"/>
      <c r="T74" s="1451"/>
      <c r="U74" s="1451"/>
      <c r="V74" s="1451"/>
      <c r="W74" s="1451"/>
      <c r="X74" s="1451"/>
      <c r="Y74" s="1451"/>
      <c r="Z74" s="1451"/>
      <c r="AA74" s="1451"/>
      <c r="AB74" s="65"/>
      <c r="AC74" s="65"/>
      <c r="AD74" s="3721"/>
      <c r="AE74" s="3721"/>
      <c r="AF74" s="3721"/>
      <c r="AG74" s="3721"/>
      <c r="AH74" s="3721"/>
      <c r="AI74" s="3721"/>
      <c r="AJ74" s="3721"/>
      <c r="AK74" s="3721"/>
      <c r="AL74" s="3721"/>
      <c r="AM74" s="3721"/>
      <c r="AN74" s="3721"/>
      <c r="AO74" s="3721"/>
    </row>
    <row r="75" spans="2:41" s="73" customFormat="1" ht="21.75" customHeight="1" x14ac:dyDescent="0.3">
      <c r="B75" s="74" t="s">
        <v>784</v>
      </c>
      <c r="F75" s="1482" t="str">
        <f>SchInfo!F40</f>
        <v>Principal IV</v>
      </c>
      <c r="G75" s="1482"/>
      <c r="H75" s="1482"/>
      <c r="I75" s="1482"/>
      <c r="J75" s="1482"/>
      <c r="K75" s="1482"/>
      <c r="L75" s="1482"/>
      <c r="M75" s="1482"/>
      <c r="P75" s="74" t="s">
        <v>784</v>
      </c>
      <c r="T75" s="1482" t="str">
        <f>Table39!U39</f>
        <v>Project Development Officer III</v>
      </c>
      <c r="U75" s="1482"/>
      <c r="V75" s="1482"/>
      <c r="W75" s="1482"/>
      <c r="X75" s="1482"/>
      <c r="Y75" s="1482"/>
      <c r="Z75" s="1482"/>
      <c r="AA75" s="1482"/>
      <c r="AD75" s="1451" t="s">
        <v>779</v>
      </c>
      <c r="AE75" s="1451"/>
      <c r="AF75" s="1451"/>
      <c r="AG75" s="1451"/>
      <c r="AH75" s="1451"/>
      <c r="AI75" s="1451"/>
      <c r="AJ75" s="1451"/>
      <c r="AK75" s="1451"/>
      <c r="AL75" s="1451"/>
      <c r="AM75" s="1451"/>
      <c r="AN75" s="1451"/>
      <c r="AO75" s="1451"/>
    </row>
    <row r="76" spans="2:41" x14ac:dyDescent="0.35">
      <c r="D76" s="501"/>
      <c r="E76" s="501"/>
      <c r="F76" s="501"/>
      <c r="G76" s="501"/>
      <c r="H76" s="501"/>
      <c r="I76" s="501"/>
      <c r="J76" s="501"/>
      <c r="K76" s="501"/>
      <c r="L76" s="501"/>
      <c r="M76" s="501"/>
      <c r="N76" s="501"/>
      <c r="O76" s="501"/>
      <c r="P76" s="501"/>
      <c r="Q76" s="501"/>
      <c r="R76" s="501"/>
      <c r="S76" s="501"/>
      <c r="T76" s="501"/>
      <c r="U76" s="501"/>
      <c r="V76" s="501"/>
      <c r="W76" s="501"/>
      <c r="X76" s="501"/>
      <c r="Y76" s="501"/>
      <c r="Z76" s="501"/>
      <c r="AA76" s="501"/>
      <c r="AB76" s="501"/>
      <c r="AC76" s="501"/>
      <c r="AD76" s="501"/>
      <c r="AE76" s="501"/>
      <c r="AF76" s="501"/>
      <c r="AG76" s="501"/>
      <c r="AH76" s="501"/>
      <c r="AI76" s="501"/>
      <c r="AJ76" s="501"/>
      <c r="AK76" s="501"/>
      <c r="AL76" s="501"/>
      <c r="AM76" s="501"/>
      <c r="AN76" s="501"/>
      <c r="AO76" s="501"/>
    </row>
  </sheetData>
  <sheetProtection algorithmName="SHA-512" hashValue="OZt3i1t+BiEIUx+N3zfTRV5xD60StTTdBwomTS/ojp3kdj7+WwlEQ+No1zOALHQVh4P8mu+oOt5HxQTFce1AMA==" saltValue="24bfqsIcRuC0WJdKGt/jiA==" spinCount="100000" sheet="1" objects="1" scenarios="1"/>
  <mergeCells count="252">
    <mergeCell ref="I67:AC67"/>
    <mergeCell ref="O65:Q65"/>
    <mergeCell ref="R65:T65"/>
    <mergeCell ref="U65:W65"/>
    <mergeCell ref="X65:Z65"/>
    <mergeCell ref="AA65:AC65"/>
    <mergeCell ref="X63:AC63"/>
    <mergeCell ref="F64:H64"/>
    <mergeCell ref="I64:K64"/>
    <mergeCell ref="L64:N64"/>
    <mergeCell ref="O64:Q64"/>
    <mergeCell ref="R64:T64"/>
    <mergeCell ref="U64:W64"/>
    <mergeCell ref="X64:Z64"/>
    <mergeCell ref="AA64:AC64"/>
    <mergeCell ref="G5:AK6"/>
    <mergeCell ref="D70:AF70"/>
    <mergeCell ref="F63:K63"/>
    <mergeCell ref="L63:Q63"/>
    <mergeCell ref="R63:W63"/>
    <mergeCell ref="F8:AK8"/>
    <mergeCell ref="O58:Q58"/>
    <mergeCell ref="O59:Q59"/>
    <mergeCell ref="F55:AK55"/>
    <mergeCell ref="F61:AK61"/>
    <mergeCell ref="F51:M51"/>
    <mergeCell ref="F52:M52"/>
    <mergeCell ref="F53:M53"/>
    <mergeCell ref="N50:O50"/>
    <mergeCell ref="P50:Q50"/>
    <mergeCell ref="R50:S50"/>
    <mergeCell ref="T50:U50"/>
    <mergeCell ref="N51:O51"/>
    <mergeCell ref="P51:Q51"/>
    <mergeCell ref="R51:S51"/>
    <mergeCell ref="T51:U51"/>
    <mergeCell ref="N48:O48"/>
    <mergeCell ref="P48:Q48"/>
    <mergeCell ref="R48:S48"/>
    <mergeCell ref="AD73:AO74"/>
    <mergeCell ref="AD75:AO75"/>
    <mergeCell ref="P73:AA73"/>
    <mergeCell ref="P74:AA74"/>
    <mergeCell ref="T75:AA75"/>
    <mergeCell ref="F75:M75"/>
    <mergeCell ref="F74:M74"/>
    <mergeCell ref="N52:O52"/>
    <mergeCell ref="P52:Q52"/>
    <mergeCell ref="R52:S52"/>
    <mergeCell ref="T52:U52"/>
    <mergeCell ref="N53:O53"/>
    <mergeCell ref="P53:Q53"/>
    <mergeCell ref="R53:S53"/>
    <mergeCell ref="T53:U53"/>
    <mergeCell ref="F73:M73"/>
    <mergeCell ref="F65:H65"/>
    <mergeCell ref="I65:K65"/>
    <mergeCell ref="L65:N65"/>
    <mergeCell ref="L58:N58"/>
    <mergeCell ref="F57:K57"/>
    <mergeCell ref="L57:Q57"/>
    <mergeCell ref="F59:H59"/>
    <mergeCell ref="I59:K59"/>
    <mergeCell ref="T48:U48"/>
    <mergeCell ref="N49:O49"/>
    <mergeCell ref="P49:Q49"/>
    <mergeCell ref="R49:S49"/>
    <mergeCell ref="T49:U49"/>
    <mergeCell ref="Q22:S23"/>
    <mergeCell ref="F24:M25"/>
    <mergeCell ref="N24:P25"/>
    <mergeCell ref="Q24:S25"/>
    <mergeCell ref="F31:M32"/>
    <mergeCell ref="N31:P32"/>
    <mergeCell ref="Q31:S32"/>
    <mergeCell ref="N29:P29"/>
    <mergeCell ref="Q29:S29"/>
    <mergeCell ref="F30:M30"/>
    <mergeCell ref="N30:P30"/>
    <mergeCell ref="Q30:S30"/>
    <mergeCell ref="Q26:S26"/>
    <mergeCell ref="F27:M27"/>
    <mergeCell ref="N27:P27"/>
    <mergeCell ref="Q27:S27"/>
    <mergeCell ref="F28:M28"/>
    <mergeCell ref="F44:M44"/>
    <mergeCell ref="N44:P44"/>
    <mergeCell ref="Q44:S44"/>
    <mergeCell ref="F42:M43"/>
    <mergeCell ref="N42:P43"/>
    <mergeCell ref="Q42:S43"/>
    <mergeCell ref="F36:M36"/>
    <mergeCell ref="N36:P36"/>
    <mergeCell ref="Q36:S36"/>
    <mergeCell ref="F37:M37"/>
    <mergeCell ref="N37:P37"/>
    <mergeCell ref="Q37:S37"/>
    <mergeCell ref="F38:M38"/>
    <mergeCell ref="N38:P38"/>
    <mergeCell ref="Q38:S38"/>
    <mergeCell ref="F41:M41"/>
    <mergeCell ref="N41:P41"/>
    <mergeCell ref="Q41:S41"/>
    <mergeCell ref="F39:M39"/>
    <mergeCell ref="N39:P39"/>
    <mergeCell ref="Q39:S39"/>
    <mergeCell ref="F40:M40"/>
    <mergeCell ref="N40:P40"/>
    <mergeCell ref="Q40:S40"/>
    <mergeCell ref="X14:AE14"/>
    <mergeCell ref="AF14:AH14"/>
    <mergeCell ref="AI14:AK14"/>
    <mergeCell ref="AI19:AK19"/>
    <mergeCell ref="X17:AE18"/>
    <mergeCell ref="AF15:AH16"/>
    <mergeCell ref="AI15:AK16"/>
    <mergeCell ref="AF17:AH18"/>
    <mergeCell ref="F35:M35"/>
    <mergeCell ref="N35:P35"/>
    <mergeCell ref="Q35:S35"/>
    <mergeCell ref="F33:M33"/>
    <mergeCell ref="N33:P33"/>
    <mergeCell ref="Q33:S33"/>
    <mergeCell ref="F34:M34"/>
    <mergeCell ref="N34:P34"/>
    <mergeCell ref="Q34:S34"/>
    <mergeCell ref="F29:M29"/>
    <mergeCell ref="X19:AE19"/>
    <mergeCell ref="AF19:AH19"/>
    <mergeCell ref="N28:P28"/>
    <mergeCell ref="Q28:S28"/>
    <mergeCell ref="AI17:AK18"/>
    <mergeCell ref="X15:AE16"/>
    <mergeCell ref="AF10:AH10"/>
    <mergeCell ref="AI10:AK10"/>
    <mergeCell ref="X11:AE11"/>
    <mergeCell ref="AF11:AH11"/>
    <mergeCell ref="AI11:AK11"/>
    <mergeCell ref="X12:AE12"/>
    <mergeCell ref="AF12:AH12"/>
    <mergeCell ref="AI12:AK12"/>
    <mergeCell ref="X13:AE13"/>
    <mergeCell ref="AF13:AH13"/>
    <mergeCell ref="AI13:AK13"/>
    <mergeCell ref="F58:H58"/>
    <mergeCell ref="I58:K58"/>
    <mergeCell ref="L59:N59"/>
    <mergeCell ref="F46:AK46"/>
    <mergeCell ref="V53:W53"/>
    <mergeCell ref="X53:Y53"/>
    <mergeCell ref="Z53:AA53"/>
    <mergeCell ref="AB53:AC53"/>
    <mergeCell ref="AD53:AE53"/>
    <mergeCell ref="AF53:AG53"/>
    <mergeCell ref="V52:W52"/>
    <mergeCell ref="X52:Y52"/>
    <mergeCell ref="Z52:AA52"/>
    <mergeCell ref="AB52:AC52"/>
    <mergeCell ref="AD52:AE52"/>
    <mergeCell ref="AF52:AG52"/>
    <mergeCell ref="V51:W51"/>
    <mergeCell ref="X51:Y51"/>
    <mergeCell ref="F48:M48"/>
    <mergeCell ref="F49:M49"/>
    <mergeCell ref="F50:M50"/>
    <mergeCell ref="N47:O47"/>
    <mergeCell ref="P47:Q47"/>
    <mergeCell ref="R47:S47"/>
    <mergeCell ref="Q14:S14"/>
    <mergeCell ref="Q15:S15"/>
    <mergeCell ref="Q16:S16"/>
    <mergeCell ref="Q17:S17"/>
    <mergeCell ref="G10:M10"/>
    <mergeCell ref="F26:M26"/>
    <mergeCell ref="N26:P26"/>
    <mergeCell ref="F22:M23"/>
    <mergeCell ref="N22:P23"/>
    <mergeCell ref="F12:M12"/>
    <mergeCell ref="N12:P12"/>
    <mergeCell ref="Q12:S12"/>
    <mergeCell ref="F13:M13"/>
    <mergeCell ref="N13:P13"/>
    <mergeCell ref="Q13:S13"/>
    <mergeCell ref="F20:M21"/>
    <mergeCell ref="N20:P21"/>
    <mergeCell ref="Q20:S21"/>
    <mergeCell ref="N18:P18"/>
    <mergeCell ref="Q18:S18"/>
    <mergeCell ref="F19:M19"/>
    <mergeCell ref="N19:P19"/>
    <mergeCell ref="Q19:S19"/>
    <mergeCell ref="Z51:AA51"/>
    <mergeCell ref="AB51:AC51"/>
    <mergeCell ref="AD51:AE51"/>
    <mergeCell ref="AF51:AG51"/>
    <mergeCell ref="V50:W50"/>
    <mergeCell ref="X50:Y50"/>
    <mergeCell ref="Z50:AA50"/>
    <mergeCell ref="AB50:AC50"/>
    <mergeCell ref="AD50:AE50"/>
    <mergeCell ref="AF50:AG50"/>
    <mergeCell ref="AH48:AI48"/>
    <mergeCell ref="AJ48:AK48"/>
    <mergeCell ref="AF47:AG47"/>
    <mergeCell ref="AH47:AI47"/>
    <mergeCell ref="AJ47:AK47"/>
    <mergeCell ref="V49:W49"/>
    <mergeCell ref="X49:Y49"/>
    <mergeCell ref="Z49:AA49"/>
    <mergeCell ref="AB49:AC49"/>
    <mergeCell ref="AD49:AE49"/>
    <mergeCell ref="AF49:AG49"/>
    <mergeCell ref="V48:W48"/>
    <mergeCell ref="X48:Y48"/>
    <mergeCell ref="Z48:AA48"/>
    <mergeCell ref="AB48:AC48"/>
    <mergeCell ref="AD48:AE48"/>
    <mergeCell ref="AF48:AG48"/>
    <mergeCell ref="AH53:AI53"/>
    <mergeCell ref="AJ53:AK53"/>
    <mergeCell ref="AH52:AI52"/>
    <mergeCell ref="AJ52:AK52"/>
    <mergeCell ref="AH51:AI51"/>
    <mergeCell ref="AJ51:AK51"/>
    <mergeCell ref="AH50:AI50"/>
    <mergeCell ref="AJ50:AK50"/>
    <mergeCell ref="AH49:AI49"/>
    <mergeCell ref="AJ49:AK49"/>
    <mergeCell ref="T47:U47"/>
    <mergeCell ref="G4:AK4"/>
    <mergeCell ref="G7:AK7"/>
    <mergeCell ref="Y10:AE10"/>
    <mergeCell ref="F16:M16"/>
    <mergeCell ref="N16:P16"/>
    <mergeCell ref="F17:M17"/>
    <mergeCell ref="N17:P17"/>
    <mergeCell ref="F14:M14"/>
    <mergeCell ref="N14:P14"/>
    <mergeCell ref="F15:M15"/>
    <mergeCell ref="N15:P15"/>
    <mergeCell ref="V47:W47"/>
    <mergeCell ref="X47:Y47"/>
    <mergeCell ref="Z47:AA47"/>
    <mergeCell ref="AB47:AC47"/>
    <mergeCell ref="AD47:AE47"/>
    <mergeCell ref="N10:P10"/>
    <mergeCell ref="Q10:S10"/>
    <mergeCell ref="F11:M11"/>
    <mergeCell ref="N11:P11"/>
    <mergeCell ref="Q11:S11"/>
    <mergeCell ref="F47:M47"/>
    <mergeCell ref="F18:M18"/>
  </mergeCells>
  <dataValidations count="4">
    <dataValidation type="whole" allowBlank="1" showInputMessage="1" showErrorMessage="1" errorTitle="GJHSP SY 2022-2023" error="Please enter valid number between 0-99." sqref="N48:AK53" xr:uid="{8D3621F1-0C27-459D-A6A6-6FBD5C821918}">
      <formula1>0</formula1>
      <formula2>99</formula2>
    </dataValidation>
    <dataValidation type="whole" allowBlank="1" showInputMessage="1" showErrorMessage="1" errorTitle="GJHSP SY 2022-2023" error="Please enter valid number between 0-20,000." sqref="F65:AC65 N19:S19" xr:uid="{F287641E-BF8A-4ABB-A9FE-FFD841BE9FEF}">
      <formula1>0</formula1>
      <formula2>20000</formula2>
    </dataValidation>
    <dataValidation type="whole" allowBlank="1" showInputMessage="1" showErrorMessage="1" errorTitle="GJHSP SY 2022-2023" error="Please enter valid number between 0-999." sqref="F59:Q59 AF11:AK19 N11:S18 N20:S21 N24:S44" xr:uid="{51110722-195B-42B0-97D8-1B6C23057CD7}">
      <formula1>0</formula1>
      <formula2>999</formula2>
    </dataValidation>
    <dataValidation type="whole" allowBlank="1" showInputMessage="1" showErrorMessage="1" errorTitle="GJHSP SY 2022-2023" error="Please enter valid number between 0-20000." sqref="N22:S23" xr:uid="{64CE8C10-4806-452B-AAD9-87CC842F1B6F}">
      <formula1>0</formula1>
      <formula2>20000</formula2>
    </dataValidation>
  </dataValidations>
  <printOptions horizontalCentered="1" verticalCentered="1"/>
  <pageMargins left="0.25" right="0.25" top="0.2" bottom="0.2" header="0" footer="0.1"/>
  <pageSetup paperSize="9" scale="48" orientation="portrait" r:id="rId1"/>
  <headerFooter>
    <oddFooter>&amp;L&amp;10&amp;F &amp;A&amp;R&amp;10Page 54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86017" r:id="rId4" name="Check Box 1">
              <controlPr defaultSize="0" autoFill="0" autoLine="0" autoPict="0">
                <anchor moveWithCells="1">
                  <from>
                    <xdr:col>5</xdr:col>
                    <xdr:colOff>31750</xdr:colOff>
                    <xdr:row>3</xdr:row>
                    <xdr:rowOff>63500</xdr:rowOff>
                  </from>
                  <to>
                    <xdr:col>6</xdr:col>
                    <xdr:colOff>31750</xdr:colOff>
                    <xdr:row>3</xdr:row>
                    <xdr:rowOff>254000</xdr:rowOff>
                  </to>
                </anchor>
              </controlPr>
            </control>
          </mc:Choice>
        </mc:AlternateContent>
        <mc:AlternateContent xmlns:mc="http://schemas.openxmlformats.org/markup-compatibility/2006">
          <mc:Choice Requires="x14">
            <control shapeId="86018" r:id="rId5" name="Check Box 2">
              <controlPr defaultSize="0" autoFill="0" autoLine="0" autoPict="0">
                <anchor moveWithCells="1">
                  <from>
                    <xdr:col>5</xdr:col>
                    <xdr:colOff>25400</xdr:colOff>
                    <xdr:row>4</xdr:row>
                    <xdr:rowOff>0</xdr:rowOff>
                  </from>
                  <to>
                    <xdr:col>6</xdr:col>
                    <xdr:colOff>25400</xdr:colOff>
                    <xdr:row>4</xdr:row>
                    <xdr:rowOff>196850</xdr:rowOff>
                  </to>
                </anchor>
              </controlPr>
            </control>
          </mc:Choice>
        </mc:AlternateContent>
        <mc:AlternateContent xmlns:mc="http://schemas.openxmlformats.org/markup-compatibility/2006">
          <mc:Choice Requires="x14">
            <control shapeId="86019" r:id="rId6" name="Check Box 3">
              <controlPr defaultSize="0" autoFill="0" autoLine="0" autoPict="0">
                <anchor moveWithCells="1">
                  <from>
                    <xdr:col>5</xdr:col>
                    <xdr:colOff>25400</xdr:colOff>
                    <xdr:row>6</xdr:row>
                    <xdr:rowOff>82550</xdr:rowOff>
                  </from>
                  <to>
                    <xdr:col>6</xdr:col>
                    <xdr:colOff>6350</xdr:colOff>
                    <xdr:row>6</xdr:row>
                    <xdr:rowOff>222250</xdr:rowOff>
                  </to>
                </anchor>
              </controlPr>
            </control>
          </mc:Choice>
        </mc:AlternateContent>
      </controls>
    </mc:Choice>
  </mc:AlternateContent>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692B2-4B0B-4035-92DB-EAD74EE533FD}">
  <sheetPr>
    <pageSetUpPr fitToPage="1"/>
  </sheetPr>
  <dimension ref="B1:AY68"/>
  <sheetViews>
    <sheetView showGridLines="0" topLeftCell="A22" zoomScaleNormal="100" zoomScaleSheetLayoutView="100" workbookViewId="0">
      <selection activeCell="R55" sqref="R55:T55"/>
    </sheetView>
  </sheetViews>
  <sheetFormatPr defaultColWidth="8" defaultRowHeight="15.5" x14ac:dyDescent="0.35"/>
  <cols>
    <col min="1" max="1" width="2.08203125" style="1041" customWidth="1"/>
    <col min="2" max="3" width="3.58203125" style="1041" customWidth="1"/>
    <col min="4" max="38" width="3.58203125" style="1042" customWidth="1"/>
    <col min="39" max="41" width="3.58203125" style="1041" customWidth="1"/>
    <col min="42" max="42" width="2.08203125" style="1041" customWidth="1"/>
    <col min="43" max="174" width="3.58203125" style="1041" customWidth="1"/>
    <col min="175" max="16384" width="8" style="1041"/>
  </cols>
  <sheetData>
    <row r="1" spans="3:51" ht="12" customHeight="1" x14ac:dyDescent="0.35">
      <c r="C1" s="1042"/>
      <c r="AL1" s="1041"/>
    </row>
    <row r="2" spans="3:51" ht="17" thickBot="1" x14ac:dyDescent="0.4">
      <c r="C2" s="1054" t="s">
        <v>1746</v>
      </c>
      <c r="D2" s="1041"/>
      <c r="E2" s="1041"/>
      <c r="F2" s="1041"/>
      <c r="G2" s="1041"/>
      <c r="H2" s="1041"/>
      <c r="I2" s="1041"/>
      <c r="J2" s="1041"/>
      <c r="K2" s="1041"/>
      <c r="L2" s="1041"/>
      <c r="M2" s="1041"/>
      <c r="N2" s="1041"/>
      <c r="O2" s="1041"/>
      <c r="P2" s="1041"/>
      <c r="Q2" s="1041"/>
      <c r="R2" s="1041"/>
      <c r="S2" s="1041"/>
      <c r="T2" s="1041"/>
      <c r="U2" s="1041"/>
      <c r="V2" s="1041"/>
      <c r="W2" s="1041"/>
      <c r="X2" s="1041"/>
      <c r="Y2" s="1041"/>
      <c r="Z2" s="1041"/>
      <c r="AA2" s="1041"/>
      <c r="AB2" s="1041"/>
      <c r="AC2" s="1041"/>
      <c r="AD2" s="1041"/>
      <c r="AE2" s="1041"/>
      <c r="AF2" s="1041"/>
      <c r="AG2" s="1041"/>
      <c r="AH2" s="1041"/>
      <c r="AI2" s="1041"/>
      <c r="AJ2" s="1041"/>
      <c r="AK2" s="1041"/>
      <c r="AL2" s="1041"/>
    </row>
    <row r="3" spans="3:51" ht="5" customHeight="1" thickTop="1" x14ac:dyDescent="0.35">
      <c r="C3" s="1056"/>
      <c r="D3" s="1057"/>
      <c r="E3" s="1057"/>
      <c r="F3" s="1057"/>
      <c r="G3" s="1057"/>
      <c r="H3" s="1057"/>
      <c r="I3" s="1057"/>
      <c r="J3" s="1057"/>
      <c r="K3" s="1057"/>
      <c r="L3" s="1057"/>
      <c r="M3" s="1057"/>
      <c r="N3" s="1057"/>
      <c r="O3" s="1057"/>
      <c r="P3" s="1057"/>
      <c r="Q3" s="1057"/>
      <c r="R3" s="1057"/>
      <c r="S3" s="1057"/>
      <c r="T3" s="1057"/>
      <c r="U3" s="1057"/>
      <c r="V3" s="1057"/>
      <c r="W3" s="1057"/>
      <c r="X3" s="1057"/>
      <c r="Y3" s="1057"/>
      <c r="Z3" s="1057"/>
      <c r="AA3" s="1057"/>
      <c r="AB3" s="1057"/>
      <c r="AC3" s="1057"/>
      <c r="AD3" s="1057"/>
      <c r="AE3" s="1057"/>
      <c r="AF3" s="1057"/>
      <c r="AG3" s="1057"/>
      <c r="AH3" s="1057"/>
      <c r="AI3" s="1057"/>
      <c r="AJ3" s="1057"/>
      <c r="AK3" s="1057"/>
      <c r="AL3" s="1057"/>
      <c r="AM3" s="1057"/>
      <c r="AN3" s="1058"/>
      <c r="AO3" s="1105"/>
      <c r="AP3" s="1105"/>
    </row>
    <row r="4" spans="3:51" s="1101" customFormat="1" ht="24.75" customHeight="1" thickBot="1" x14ac:dyDescent="0.4">
      <c r="C4" s="1097"/>
      <c r="D4" s="1104" t="s">
        <v>150</v>
      </c>
      <c r="E4" s="833" t="b">
        <v>1</v>
      </c>
      <c r="F4" s="3592" t="s">
        <v>1713</v>
      </c>
      <c r="G4" s="3592"/>
      <c r="H4" s="3592"/>
      <c r="I4" s="3592"/>
      <c r="J4" s="3592"/>
      <c r="K4" s="3592"/>
      <c r="L4" s="3592"/>
      <c r="M4" s="3592"/>
      <c r="N4" s="3592"/>
      <c r="O4" s="3592"/>
      <c r="P4" s="3592"/>
      <c r="Q4" s="3592"/>
      <c r="R4" s="3592"/>
      <c r="S4" s="3592"/>
      <c r="T4" s="3592"/>
      <c r="U4" s="3592"/>
      <c r="V4" s="3592"/>
      <c r="W4" s="3592"/>
      <c r="X4" s="3592"/>
      <c r="Y4" s="3592"/>
      <c r="Z4" s="3592"/>
      <c r="AA4" s="3592"/>
      <c r="AB4" s="3592"/>
      <c r="AC4" s="3592"/>
      <c r="AD4" s="3592"/>
      <c r="AE4" s="3592"/>
      <c r="AF4" s="3592"/>
      <c r="AG4" s="3592"/>
      <c r="AH4" s="3592"/>
      <c r="AI4" s="3592"/>
      <c r="AJ4" s="3592"/>
      <c r="AK4" s="3592"/>
      <c r="AL4" s="1172"/>
      <c r="AM4" s="1172"/>
      <c r="AN4" s="1100"/>
      <c r="AO4" s="1099"/>
      <c r="AP4" s="1099"/>
      <c r="AQ4" s="1099"/>
      <c r="AR4" s="1099"/>
      <c r="AS4" s="1099"/>
      <c r="AT4" s="1099"/>
      <c r="AU4" s="1099"/>
      <c r="AV4" s="1099"/>
      <c r="AW4" s="1099"/>
      <c r="AX4" s="1099"/>
      <c r="AY4" s="1099"/>
    </row>
    <row r="5" spans="3:51" ht="30" customHeight="1" thickBot="1" x14ac:dyDescent="0.4">
      <c r="C5" s="1049"/>
      <c r="D5" s="1050" t="s">
        <v>151</v>
      </c>
      <c r="E5" s="3525" t="s">
        <v>1668</v>
      </c>
      <c r="F5" s="3525"/>
      <c r="G5" s="3525"/>
      <c r="H5" s="3525"/>
      <c r="I5" s="3525"/>
      <c r="J5" s="3525"/>
      <c r="K5" s="3525"/>
      <c r="L5" s="3525"/>
      <c r="M5" s="3525"/>
      <c r="N5" s="3525"/>
      <c r="O5" s="3525"/>
      <c r="P5" s="3525"/>
      <c r="Q5" s="3525"/>
      <c r="R5" s="3525"/>
      <c r="S5" s="3525"/>
      <c r="T5" s="3525"/>
      <c r="U5" s="3525"/>
      <c r="V5" s="3525"/>
      <c r="W5" s="3525"/>
      <c r="X5" s="3525"/>
      <c r="Y5" s="3525"/>
      <c r="Z5" s="3525"/>
      <c r="AA5" s="3525"/>
      <c r="AB5" s="3525"/>
      <c r="AC5" s="3525"/>
      <c r="AD5" s="3525"/>
      <c r="AE5" s="3525"/>
      <c r="AF5" s="3525"/>
      <c r="AG5" s="3525"/>
      <c r="AH5" s="1115"/>
      <c r="AI5" s="3606"/>
      <c r="AJ5" s="3607"/>
      <c r="AK5" s="3608"/>
      <c r="AL5" s="1041"/>
      <c r="AN5" s="1053"/>
    </row>
    <row r="6" spans="3:51" ht="5" customHeight="1" x14ac:dyDescent="0.35">
      <c r="C6" s="1049"/>
      <c r="D6" s="1050"/>
      <c r="E6" s="1051"/>
      <c r="F6" s="1051"/>
      <c r="G6" s="1051"/>
      <c r="H6" s="1051"/>
      <c r="I6" s="1051"/>
      <c r="J6" s="1051"/>
      <c r="K6" s="1051"/>
      <c r="L6" s="1051"/>
      <c r="M6" s="1051"/>
      <c r="N6" s="1051"/>
      <c r="O6" s="1051"/>
      <c r="P6" s="1051"/>
      <c r="Q6" s="1051"/>
      <c r="R6" s="1051"/>
      <c r="S6" s="1051"/>
      <c r="T6" s="1051"/>
      <c r="U6" s="1051"/>
      <c r="V6" s="1051"/>
      <c r="W6" s="1051"/>
      <c r="X6" s="1051"/>
      <c r="Y6" s="1051"/>
      <c r="Z6" s="1051"/>
      <c r="AA6" s="1051"/>
      <c r="AB6" s="1051"/>
      <c r="AC6" s="1051"/>
      <c r="AD6" s="1051"/>
      <c r="AE6" s="1051"/>
      <c r="AF6" s="1051"/>
      <c r="AG6" s="1051"/>
      <c r="AH6" s="1051"/>
      <c r="AI6" s="1041"/>
      <c r="AJ6" s="1171"/>
      <c r="AK6" s="1171"/>
      <c r="AL6" s="1171"/>
      <c r="AM6" s="1171"/>
      <c r="AN6" s="1053"/>
    </row>
    <row r="7" spans="3:51" s="1101" customFormat="1" ht="16" customHeight="1" x14ac:dyDescent="0.35">
      <c r="C7" s="1097"/>
      <c r="D7" s="1050" t="s">
        <v>152</v>
      </c>
      <c r="E7" s="833" t="b">
        <v>0</v>
      </c>
      <c r="F7" s="3667" t="s">
        <v>1714</v>
      </c>
      <c r="G7" s="3667"/>
      <c r="H7" s="3667"/>
      <c r="I7" s="3667"/>
      <c r="J7" s="3667"/>
      <c r="K7" s="3667"/>
      <c r="L7" s="3667"/>
      <c r="M7" s="3667"/>
      <c r="N7" s="3667"/>
      <c r="O7" s="3667"/>
      <c r="P7" s="3667"/>
      <c r="Q7" s="3667"/>
      <c r="R7" s="3667"/>
      <c r="S7" s="3667"/>
      <c r="T7" s="3667"/>
      <c r="U7" s="3667"/>
      <c r="V7" s="3667"/>
      <c r="W7" s="3667"/>
      <c r="X7" s="3667"/>
      <c r="Y7" s="3667"/>
      <c r="Z7" s="3667"/>
      <c r="AA7" s="3667"/>
      <c r="AB7" s="3667"/>
      <c r="AC7" s="3667"/>
      <c r="AD7" s="3667"/>
      <c r="AE7" s="3667"/>
      <c r="AF7" s="3667"/>
      <c r="AG7" s="3667"/>
      <c r="AH7" s="3667"/>
      <c r="AI7" s="3667"/>
      <c r="AJ7" s="3667"/>
      <c r="AK7" s="3667"/>
      <c r="AL7" s="1116"/>
      <c r="AM7" s="1116"/>
      <c r="AN7" s="1100"/>
      <c r="AO7" s="1099"/>
      <c r="AP7" s="1099"/>
      <c r="AQ7" s="1099"/>
      <c r="AR7" s="1099"/>
      <c r="AS7" s="1099"/>
      <c r="AT7" s="1099"/>
      <c r="AU7" s="1099"/>
      <c r="AV7" s="1099"/>
      <c r="AW7" s="1099"/>
    </row>
    <row r="8" spans="3:51" s="1101" customFormat="1" ht="16" customHeight="1" x14ac:dyDescent="0.35">
      <c r="C8" s="1097"/>
      <c r="D8" s="1050"/>
      <c r="E8" s="1124"/>
      <c r="F8" s="3780"/>
      <c r="G8" s="3780"/>
      <c r="H8" s="3780"/>
      <c r="I8" s="3780"/>
      <c r="J8" s="3780"/>
      <c r="K8" s="3780"/>
      <c r="L8" s="3780"/>
      <c r="M8" s="3780"/>
      <c r="N8" s="3780"/>
      <c r="O8" s="3780"/>
      <c r="P8" s="3780"/>
      <c r="Q8" s="3780"/>
      <c r="R8" s="3780"/>
      <c r="S8" s="3780"/>
      <c r="T8" s="3780"/>
      <c r="U8" s="3780"/>
      <c r="V8" s="3780"/>
      <c r="W8" s="3780"/>
      <c r="X8" s="3780"/>
      <c r="Y8" s="3780"/>
      <c r="Z8" s="3780"/>
      <c r="AA8" s="3780"/>
      <c r="AB8" s="3780"/>
      <c r="AC8" s="3780"/>
      <c r="AD8" s="3780"/>
      <c r="AE8" s="3780"/>
      <c r="AF8" s="3780"/>
      <c r="AG8" s="3780"/>
      <c r="AH8" s="3780"/>
      <c r="AI8" s="3780"/>
      <c r="AJ8" s="3780"/>
      <c r="AK8" s="3780"/>
      <c r="AL8" s="1116"/>
      <c r="AM8" s="1116"/>
      <c r="AN8" s="1100"/>
      <c r="AO8" s="1099"/>
      <c r="AP8" s="1099"/>
      <c r="AQ8" s="1099"/>
      <c r="AR8" s="1099"/>
      <c r="AS8" s="1099"/>
      <c r="AT8" s="1099"/>
      <c r="AU8" s="1099"/>
      <c r="AV8" s="1099"/>
      <c r="AW8" s="1099"/>
    </row>
    <row r="9" spans="3:51" ht="5" customHeight="1" x14ac:dyDescent="0.35">
      <c r="C9" s="1084"/>
      <c r="D9" s="1105"/>
      <c r="E9" s="1105"/>
      <c r="F9" s="1105"/>
      <c r="G9" s="1105"/>
      <c r="H9" s="1105"/>
      <c r="I9" s="1105"/>
      <c r="J9" s="1105"/>
      <c r="K9" s="1105"/>
      <c r="L9" s="1105"/>
      <c r="M9" s="1105"/>
      <c r="N9" s="1105"/>
      <c r="O9" s="1105"/>
      <c r="P9" s="1105"/>
      <c r="Q9" s="1105"/>
      <c r="R9" s="1105"/>
      <c r="S9" s="1105"/>
      <c r="T9" s="1105"/>
      <c r="U9" s="1105"/>
      <c r="V9" s="1105"/>
      <c r="W9" s="1105"/>
      <c r="X9" s="1105"/>
      <c r="Y9" s="1105"/>
      <c r="Z9" s="1105"/>
      <c r="AA9" s="1105"/>
      <c r="AB9" s="1105"/>
      <c r="AC9" s="1105"/>
      <c r="AD9" s="1105"/>
      <c r="AE9" s="1105"/>
      <c r="AF9" s="1105"/>
      <c r="AG9" s="1105"/>
      <c r="AH9" s="1105"/>
      <c r="AI9" s="1105"/>
      <c r="AJ9" s="1105"/>
      <c r="AK9" s="1105"/>
      <c r="AL9" s="1105"/>
      <c r="AM9" s="1105"/>
      <c r="AN9" s="1077"/>
    </row>
    <row r="10" spans="3:51" ht="15.5" customHeight="1" x14ac:dyDescent="0.35">
      <c r="C10" s="1049"/>
      <c r="D10" s="1050" t="s">
        <v>155</v>
      </c>
      <c r="E10" s="3554" t="s">
        <v>1715</v>
      </c>
      <c r="F10" s="3554"/>
      <c r="G10" s="3554"/>
      <c r="H10" s="3554"/>
      <c r="I10" s="3554"/>
      <c r="J10" s="3554"/>
      <c r="K10" s="3554"/>
      <c r="L10" s="3554"/>
      <c r="M10" s="3554"/>
      <c r="N10" s="3554"/>
      <c r="O10" s="3554"/>
      <c r="P10" s="3554"/>
      <c r="Q10" s="3554"/>
      <c r="R10" s="3554"/>
      <c r="S10" s="3554"/>
      <c r="T10" s="3554"/>
      <c r="U10" s="3554"/>
      <c r="V10" s="3554"/>
      <c r="W10" s="3554"/>
      <c r="X10" s="3554"/>
      <c r="Y10" s="3554"/>
      <c r="Z10" s="3554"/>
      <c r="AA10" s="3554"/>
      <c r="AB10" s="3554"/>
      <c r="AC10" s="3554"/>
      <c r="AD10" s="3554"/>
      <c r="AE10" s="3554"/>
      <c r="AF10" s="3554"/>
      <c r="AG10" s="3554"/>
      <c r="AH10" s="3554"/>
      <c r="AI10" s="3554"/>
      <c r="AJ10" s="3554"/>
      <c r="AK10" s="3554"/>
      <c r="AL10" s="1051"/>
      <c r="AM10" s="1051"/>
      <c r="AN10" s="1077"/>
    </row>
    <row r="11" spans="3:51" ht="15.5" customHeight="1" thickBot="1" x14ac:dyDescent="0.35">
      <c r="C11" s="1084"/>
      <c r="D11" s="1105"/>
      <c r="E11" s="1149" t="s">
        <v>1716</v>
      </c>
      <c r="F11" s="1105"/>
      <c r="G11" s="1105"/>
      <c r="H11" s="1105"/>
      <c r="I11" s="1105"/>
      <c r="J11" s="1105"/>
      <c r="K11" s="1105"/>
      <c r="L11" s="1105"/>
      <c r="M11" s="1105"/>
      <c r="N11" s="1105"/>
      <c r="O11" s="1105"/>
      <c r="P11" s="1105"/>
      <c r="Q11" s="1105"/>
      <c r="R11" s="1105"/>
      <c r="S11" s="1105"/>
      <c r="T11" s="1105"/>
      <c r="U11" s="1105"/>
      <c r="V11" s="1105"/>
      <c r="W11" s="1105"/>
      <c r="X11" s="1105"/>
      <c r="Y11" s="1105"/>
      <c r="Z11" s="1149" t="s">
        <v>1727</v>
      </c>
      <c r="AA11" s="1105"/>
      <c r="AB11" s="1105"/>
      <c r="AC11" s="1105"/>
      <c r="AD11" s="1105"/>
      <c r="AE11" s="1105"/>
      <c r="AF11" s="1105"/>
      <c r="AG11" s="1105"/>
      <c r="AH11" s="1105"/>
      <c r="AI11" s="1105"/>
      <c r="AJ11" s="1105"/>
      <c r="AK11" s="1105"/>
      <c r="AL11" s="1105"/>
      <c r="AM11" s="1105"/>
      <c r="AN11" s="1077"/>
    </row>
    <row r="12" spans="3:51" s="1042" customFormat="1" ht="65" customHeight="1" thickTop="1" thickBot="1" x14ac:dyDescent="0.4">
      <c r="C12" s="1084"/>
      <c r="D12" s="1085"/>
      <c r="E12" s="3543" t="s">
        <v>1850</v>
      </c>
      <c r="F12" s="3544"/>
      <c r="G12" s="3544"/>
      <c r="H12" s="3544"/>
      <c r="I12" s="3544"/>
      <c r="J12" s="3544"/>
      <c r="K12" s="3544"/>
      <c r="L12" s="3547"/>
      <c r="M12" s="3543" t="s">
        <v>1717</v>
      </c>
      <c r="N12" s="3544"/>
      <c r="O12" s="3544"/>
      <c r="P12" s="3546"/>
      <c r="Q12" s="3544" t="s">
        <v>1718</v>
      </c>
      <c r="R12" s="3544"/>
      <c r="S12" s="3544"/>
      <c r="T12" s="3547"/>
      <c r="U12" s="1133"/>
      <c r="V12" s="1133"/>
      <c r="W12" s="1133"/>
      <c r="X12" s="1111"/>
      <c r="Y12" s="1111"/>
      <c r="Z12" s="3543" t="s">
        <v>1850</v>
      </c>
      <c r="AA12" s="3544"/>
      <c r="AB12" s="3544"/>
      <c r="AC12" s="3544"/>
      <c r="AD12" s="3544"/>
      <c r="AE12" s="3544"/>
      <c r="AF12" s="3544"/>
      <c r="AG12" s="3547"/>
      <c r="AH12" s="3544" t="s">
        <v>1717</v>
      </c>
      <c r="AI12" s="3544"/>
      <c r="AJ12" s="3544"/>
      <c r="AK12" s="3547"/>
      <c r="AN12" s="1043"/>
    </row>
    <row r="13" spans="3:51" s="1042" customFormat="1" ht="19.5" customHeight="1" thickTop="1" x14ac:dyDescent="0.35">
      <c r="C13" s="1084"/>
      <c r="D13" s="1085"/>
      <c r="E13" s="3644" t="s">
        <v>1719</v>
      </c>
      <c r="F13" s="3645"/>
      <c r="G13" s="3645"/>
      <c r="H13" s="3645"/>
      <c r="I13" s="3645"/>
      <c r="J13" s="3645"/>
      <c r="K13" s="3645"/>
      <c r="L13" s="3646"/>
      <c r="M13" s="3736">
        <v>0</v>
      </c>
      <c r="N13" s="3737"/>
      <c r="O13" s="3737"/>
      <c r="P13" s="3738"/>
      <c r="Q13" s="3739"/>
      <c r="R13" s="3739"/>
      <c r="S13" s="3739"/>
      <c r="T13" s="3740"/>
      <c r="U13" s="1133"/>
      <c r="V13" s="1133"/>
      <c r="W13" s="1133"/>
      <c r="X13" s="1133"/>
      <c r="Y13" s="1111"/>
      <c r="Z13" s="3644" t="s">
        <v>1728</v>
      </c>
      <c r="AA13" s="3645"/>
      <c r="AB13" s="3645"/>
      <c r="AC13" s="3645"/>
      <c r="AD13" s="3645"/>
      <c r="AE13" s="3645"/>
      <c r="AF13" s="3645"/>
      <c r="AG13" s="3646"/>
      <c r="AH13" s="3737">
        <v>0</v>
      </c>
      <c r="AI13" s="3737"/>
      <c r="AJ13" s="3737"/>
      <c r="AK13" s="3741"/>
      <c r="AN13" s="1043"/>
    </row>
    <row r="14" spans="3:51" s="1042" customFormat="1" ht="19.5" customHeight="1" x14ac:dyDescent="0.35">
      <c r="C14" s="1044"/>
      <c r="D14" s="1045"/>
      <c r="E14" s="3675"/>
      <c r="F14" s="3676"/>
      <c r="G14" s="3676"/>
      <c r="H14" s="3676"/>
      <c r="I14" s="3676"/>
      <c r="J14" s="3676"/>
      <c r="K14" s="3676"/>
      <c r="L14" s="3727"/>
      <c r="M14" s="3730"/>
      <c r="N14" s="3731"/>
      <c r="O14" s="3731"/>
      <c r="P14" s="3732"/>
      <c r="Q14" s="3728"/>
      <c r="R14" s="3728"/>
      <c r="S14" s="3728"/>
      <c r="T14" s="3729"/>
      <c r="U14" s="1133"/>
      <c r="V14" s="1133"/>
      <c r="W14" s="1133"/>
      <c r="X14" s="1113"/>
      <c r="Y14" s="1111"/>
      <c r="Z14" s="3675" t="s">
        <v>1729</v>
      </c>
      <c r="AA14" s="3676"/>
      <c r="AB14" s="3676"/>
      <c r="AC14" s="3676"/>
      <c r="AD14" s="3676"/>
      <c r="AE14" s="3676"/>
      <c r="AF14" s="3676"/>
      <c r="AG14" s="3727"/>
      <c r="AH14" s="3731">
        <v>0</v>
      </c>
      <c r="AI14" s="3731"/>
      <c r="AJ14" s="3731"/>
      <c r="AK14" s="3735"/>
      <c r="AN14" s="1043"/>
    </row>
    <row r="15" spans="3:51" s="1042" customFormat="1" ht="19.5" customHeight="1" x14ac:dyDescent="0.35">
      <c r="C15" s="1044"/>
      <c r="D15" s="1045"/>
      <c r="E15" s="3675" t="s">
        <v>1720</v>
      </c>
      <c r="F15" s="3676"/>
      <c r="G15" s="3676"/>
      <c r="H15" s="3676"/>
      <c r="I15" s="3676"/>
      <c r="J15" s="3676"/>
      <c r="K15" s="3676"/>
      <c r="L15" s="3727"/>
      <c r="M15" s="3730">
        <v>0</v>
      </c>
      <c r="N15" s="3731"/>
      <c r="O15" s="3731"/>
      <c r="P15" s="3732"/>
      <c r="Q15" s="3728"/>
      <c r="R15" s="3728"/>
      <c r="S15" s="3728"/>
      <c r="T15" s="3729"/>
      <c r="U15" s="1046"/>
      <c r="V15" s="1046"/>
      <c r="W15" s="1046"/>
      <c r="X15" s="1113"/>
      <c r="Y15" s="1111"/>
      <c r="Z15" s="3675" t="s">
        <v>1723</v>
      </c>
      <c r="AA15" s="3676"/>
      <c r="AB15" s="3676"/>
      <c r="AC15" s="3676"/>
      <c r="AD15" s="3676"/>
      <c r="AE15" s="3676"/>
      <c r="AF15" s="3676"/>
      <c r="AG15" s="3727"/>
      <c r="AH15" s="3731">
        <v>0</v>
      </c>
      <c r="AI15" s="3731"/>
      <c r="AJ15" s="3731"/>
      <c r="AK15" s="3735"/>
      <c r="AN15" s="1043"/>
    </row>
    <row r="16" spans="3:51" s="1042" customFormat="1" ht="19.5" customHeight="1" x14ac:dyDescent="0.35">
      <c r="C16" s="1044"/>
      <c r="D16" s="1045"/>
      <c r="E16" s="3675"/>
      <c r="F16" s="3676"/>
      <c r="G16" s="3676"/>
      <c r="H16" s="3676"/>
      <c r="I16" s="3676"/>
      <c r="J16" s="3676"/>
      <c r="K16" s="3676"/>
      <c r="L16" s="3727"/>
      <c r="M16" s="3730"/>
      <c r="N16" s="3731"/>
      <c r="O16" s="3731"/>
      <c r="P16" s="3732"/>
      <c r="Q16" s="3728"/>
      <c r="R16" s="3728"/>
      <c r="S16" s="3728"/>
      <c r="T16" s="3729"/>
      <c r="U16" s="1046"/>
      <c r="V16" s="1046"/>
      <c r="W16" s="1046"/>
      <c r="X16" s="1113"/>
      <c r="Y16" s="1111"/>
      <c r="Z16" s="3675" t="s">
        <v>1724</v>
      </c>
      <c r="AA16" s="3676"/>
      <c r="AB16" s="3676"/>
      <c r="AC16" s="3676"/>
      <c r="AD16" s="3676"/>
      <c r="AE16" s="3676"/>
      <c r="AF16" s="3676"/>
      <c r="AG16" s="3727"/>
      <c r="AH16" s="3678">
        <v>0</v>
      </c>
      <c r="AI16" s="3678"/>
      <c r="AJ16" s="3678"/>
      <c r="AK16" s="3704"/>
      <c r="AN16" s="1043"/>
    </row>
    <row r="17" spans="3:42" s="1042" customFormat="1" ht="19.5" customHeight="1" x14ac:dyDescent="0.35">
      <c r="C17" s="1044"/>
      <c r="D17" s="1045"/>
      <c r="E17" s="3675" t="s">
        <v>1721</v>
      </c>
      <c r="F17" s="3676"/>
      <c r="G17" s="3676"/>
      <c r="H17" s="3676"/>
      <c r="I17" s="3676"/>
      <c r="J17" s="3676"/>
      <c r="K17" s="3676"/>
      <c r="L17" s="3727"/>
      <c r="M17" s="3730">
        <v>0</v>
      </c>
      <c r="N17" s="3731"/>
      <c r="O17" s="3731"/>
      <c r="P17" s="3732"/>
      <c r="Q17" s="3728"/>
      <c r="R17" s="3728"/>
      <c r="S17" s="3728"/>
      <c r="T17" s="3729"/>
      <c r="U17" s="1046"/>
      <c r="V17" s="1046"/>
      <c r="W17" s="1046"/>
      <c r="X17" s="1113"/>
      <c r="Y17" s="1111"/>
      <c r="Z17" s="3675" t="s">
        <v>1725</v>
      </c>
      <c r="AA17" s="3676"/>
      <c r="AB17" s="3676"/>
      <c r="AC17" s="3676"/>
      <c r="AD17" s="3676"/>
      <c r="AE17" s="3676"/>
      <c r="AF17" s="3676"/>
      <c r="AG17" s="3727"/>
      <c r="AH17" s="3731">
        <v>0</v>
      </c>
      <c r="AI17" s="3731"/>
      <c r="AJ17" s="3731"/>
      <c r="AK17" s="3735"/>
      <c r="AN17" s="1043"/>
    </row>
    <row r="18" spans="3:42" s="1042" customFormat="1" ht="19.5" customHeight="1" x14ac:dyDescent="0.35">
      <c r="C18" s="1044"/>
      <c r="D18" s="1045"/>
      <c r="E18" s="3675"/>
      <c r="F18" s="3676"/>
      <c r="G18" s="3676"/>
      <c r="H18" s="3676"/>
      <c r="I18" s="3676"/>
      <c r="J18" s="3676"/>
      <c r="K18" s="3676"/>
      <c r="L18" s="3727"/>
      <c r="M18" s="3730"/>
      <c r="N18" s="3731"/>
      <c r="O18" s="3731"/>
      <c r="P18" s="3732"/>
      <c r="Q18" s="3728"/>
      <c r="R18" s="3728"/>
      <c r="S18" s="3728"/>
      <c r="T18" s="3729"/>
      <c r="U18" s="1046"/>
      <c r="V18" s="1046"/>
      <c r="W18" s="1046"/>
      <c r="X18" s="1113"/>
      <c r="Y18" s="1111"/>
      <c r="Z18" s="3675" t="s">
        <v>1726</v>
      </c>
      <c r="AA18" s="3676"/>
      <c r="AB18" s="3676"/>
      <c r="AC18" s="3676"/>
      <c r="AD18" s="3676"/>
      <c r="AE18" s="3676"/>
      <c r="AF18" s="3676"/>
      <c r="AG18" s="3727"/>
      <c r="AH18" s="3731">
        <v>0</v>
      </c>
      <c r="AI18" s="3731"/>
      <c r="AJ18" s="3731"/>
      <c r="AK18" s="3735"/>
      <c r="AN18" s="1043"/>
    </row>
    <row r="19" spans="3:42" s="1042" customFormat="1" ht="19.5" customHeight="1" x14ac:dyDescent="0.35">
      <c r="C19" s="1044"/>
      <c r="D19" s="1045"/>
      <c r="E19" s="3675" t="s">
        <v>1722</v>
      </c>
      <c r="F19" s="3676"/>
      <c r="G19" s="3676"/>
      <c r="H19" s="3676"/>
      <c r="I19" s="3676"/>
      <c r="J19" s="3676"/>
      <c r="K19" s="3676"/>
      <c r="L19" s="3727"/>
      <c r="M19" s="3730">
        <v>0</v>
      </c>
      <c r="N19" s="3731"/>
      <c r="O19" s="3731"/>
      <c r="P19" s="3732"/>
      <c r="Q19" s="3728"/>
      <c r="R19" s="3728"/>
      <c r="S19" s="3728"/>
      <c r="T19" s="3729"/>
      <c r="U19" s="1046"/>
      <c r="V19" s="1046"/>
      <c r="W19" s="1046"/>
      <c r="X19" s="1113"/>
      <c r="Y19" s="1111"/>
      <c r="Z19" s="3675"/>
      <c r="AA19" s="3676"/>
      <c r="AB19" s="3676"/>
      <c r="AC19" s="3676"/>
      <c r="AD19" s="3676"/>
      <c r="AE19" s="3676"/>
      <c r="AF19" s="3676"/>
      <c r="AG19" s="3727"/>
      <c r="AH19" s="3731"/>
      <c r="AI19" s="3731"/>
      <c r="AJ19" s="3731"/>
      <c r="AK19" s="3735"/>
      <c r="AN19" s="1043"/>
    </row>
    <row r="20" spans="3:42" s="1042" customFormat="1" ht="19.5" customHeight="1" x14ac:dyDescent="0.35">
      <c r="C20" s="1044"/>
      <c r="D20" s="1045"/>
      <c r="E20" s="3675"/>
      <c r="F20" s="3676"/>
      <c r="G20" s="3676"/>
      <c r="H20" s="3676"/>
      <c r="I20" s="3676"/>
      <c r="J20" s="3676"/>
      <c r="K20" s="3676"/>
      <c r="L20" s="3727"/>
      <c r="M20" s="3730"/>
      <c r="N20" s="3731"/>
      <c r="O20" s="3731"/>
      <c r="P20" s="3732"/>
      <c r="Q20" s="3728"/>
      <c r="R20" s="3728"/>
      <c r="S20" s="3728"/>
      <c r="T20" s="3729"/>
      <c r="U20" s="1046"/>
      <c r="V20" s="1046"/>
      <c r="W20" s="1046"/>
      <c r="X20" s="1113"/>
      <c r="Y20" s="1111"/>
      <c r="Z20" s="3675" t="s">
        <v>1730</v>
      </c>
      <c r="AA20" s="3676"/>
      <c r="AB20" s="3676"/>
      <c r="AC20" s="3676"/>
      <c r="AD20" s="3676"/>
      <c r="AE20" s="3676"/>
      <c r="AF20" s="3676"/>
      <c r="AG20" s="3727"/>
      <c r="AH20" s="3731">
        <v>0</v>
      </c>
      <c r="AI20" s="3731"/>
      <c r="AJ20" s="3731"/>
      <c r="AK20" s="3735"/>
      <c r="AN20" s="1043"/>
    </row>
    <row r="21" spans="3:42" s="1042" customFormat="1" ht="19.5" customHeight="1" x14ac:dyDescent="0.35">
      <c r="C21" s="1044"/>
      <c r="D21" s="1045"/>
      <c r="E21" s="3675" t="s">
        <v>1723</v>
      </c>
      <c r="F21" s="3676"/>
      <c r="G21" s="3676"/>
      <c r="H21" s="3676"/>
      <c r="I21" s="3676"/>
      <c r="J21" s="3676"/>
      <c r="K21" s="3676"/>
      <c r="L21" s="3727"/>
      <c r="M21" s="3730">
        <v>0</v>
      </c>
      <c r="N21" s="3731"/>
      <c r="O21" s="3731"/>
      <c r="P21" s="3732"/>
      <c r="Q21" s="3728"/>
      <c r="R21" s="3728"/>
      <c r="S21" s="3728"/>
      <c r="T21" s="3729"/>
      <c r="U21" s="1046"/>
      <c r="V21" s="1046"/>
      <c r="W21" s="1046"/>
      <c r="X21" s="1113"/>
      <c r="Y21" s="1111"/>
      <c r="Z21" s="3675" t="s">
        <v>1731</v>
      </c>
      <c r="AA21" s="3676"/>
      <c r="AB21" s="3676"/>
      <c r="AC21" s="3676"/>
      <c r="AD21" s="3676"/>
      <c r="AE21" s="3676"/>
      <c r="AF21" s="3676"/>
      <c r="AG21" s="3727"/>
      <c r="AH21" s="3731">
        <v>0</v>
      </c>
      <c r="AI21" s="3731"/>
      <c r="AJ21" s="3731"/>
      <c r="AK21" s="3735"/>
      <c r="AN21" s="1043"/>
    </row>
    <row r="22" spans="3:42" s="1042" customFormat="1" ht="19.5" customHeight="1" x14ac:dyDescent="0.35">
      <c r="C22" s="1044"/>
      <c r="D22" s="1045"/>
      <c r="E22" s="3675" t="s">
        <v>1724</v>
      </c>
      <c r="F22" s="3676"/>
      <c r="G22" s="3676"/>
      <c r="H22" s="3676"/>
      <c r="I22" s="3676"/>
      <c r="J22" s="3676"/>
      <c r="K22" s="3676"/>
      <c r="L22" s="3727"/>
      <c r="M22" s="3677">
        <v>0</v>
      </c>
      <c r="N22" s="3678"/>
      <c r="O22" s="3678"/>
      <c r="P22" s="3679"/>
      <c r="Q22" s="3728"/>
      <c r="R22" s="3728"/>
      <c r="S22" s="3728"/>
      <c r="T22" s="3729"/>
      <c r="U22" s="1046"/>
      <c r="V22" s="1046"/>
      <c r="W22" s="1046"/>
      <c r="X22" s="1113"/>
      <c r="Y22" s="1111"/>
      <c r="Z22" s="3675"/>
      <c r="AA22" s="3676"/>
      <c r="AB22" s="3676"/>
      <c r="AC22" s="3676"/>
      <c r="AD22" s="3676"/>
      <c r="AE22" s="3676"/>
      <c r="AF22" s="3676"/>
      <c r="AG22" s="3727"/>
      <c r="AH22" s="3731"/>
      <c r="AI22" s="3731"/>
      <c r="AJ22" s="3731"/>
      <c r="AK22" s="3735"/>
      <c r="AN22" s="1043"/>
    </row>
    <row r="23" spans="3:42" s="1042" customFormat="1" ht="19.5" customHeight="1" thickBot="1" x14ac:dyDescent="0.4">
      <c r="C23" s="1044"/>
      <c r="D23" s="1045"/>
      <c r="E23" s="3675" t="s">
        <v>1725</v>
      </c>
      <c r="F23" s="3676"/>
      <c r="G23" s="3676"/>
      <c r="H23" s="3676"/>
      <c r="I23" s="3676"/>
      <c r="J23" s="3676"/>
      <c r="K23" s="3676"/>
      <c r="L23" s="3727"/>
      <c r="M23" s="3730">
        <v>0</v>
      </c>
      <c r="N23" s="3731"/>
      <c r="O23" s="3731"/>
      <c r="P23" s="3732"/>
      <c r="Q23" s="3728"/>
      <c r="R23" s="3728"/>
      <c r="S23" s="3728"/>
      <c r="T23" s="3729"/>
      <c r="U23" s="1046"/>
      <c r="V23" s="1046"/>
      <c r="W23" s="1046"/>
      <c r="X23" s="1113"/>
      <c r="Y23" s="1111"/>
      <c r="Z23" s="3647" t="s">
        <v>1732</v>
      </c>
      <c r="AA23" s="3648"/>
      <c r="AB23" s="3648"/>
      <c r="AC23" s="3648"/>
      <c r="AD23" s="3648"/>
      <c r="AE23" s="3648"/>
      <c r="AF23" s="3648"/>
      <c r="AG23" s="3649"/>
      <c r="AH23" s="3733">
        <v>0</v>
      </c>
      <c r="AI23" s="3733"/>
      <c r="AJ23" s="3733"/>
      <c r="AK23" s="3734"/>
      <c r="AN23" s="1043"/>
    </row>
    <row r="24" spans="3:42" s="1042" customFormat="1" ht="19.5" customHeight="1" thickTop="1" x14ac:dyDescent="0.35">
      <c r="C24" s="1044"/>
      <c r="D24" s="1045"/>
      <c r="E24" s="3742" t="s">
        <v>1726</v>
      </c>
      <c r="F24" s="3743"/>
      <c r="G24" s="3743"/>
      <c r="H24" s="3743"/>
      <c r="I24" s="3743"/>
      <c r="J24" s="3743"/>
      <c r="K24" s="3743"/>
      <c r="L24" s="3744"/>
      <c r="M24" s="3745">
        <v>0</v>
      </c>
      <c r="N24" s="3746"/>
      <c r="O24" s="3746"/>
      <c r="P24" s="3747"/>
      <c r="Q24" s="3750"/>
      <c r="R24" s="3750"/>
      <c r="S24" s="3750"/>
      <c r="T24" s="3751"/>
      <c r="U24" s="1046"/>
      <c r="V24" s="1046"/>
      <c r="W24" s="1046"/>
      <c r="X24" s="1113"/>
      <c r="Y24" s="1111"/>
      <c r="Z24" s="1111"/>
      <c r="AA24" s="1111"/>
      <c r="AB24" s="1111"/>
      <c r="AC24" s="1111"/>
      <c r="AD24" s="1111"/>
      <c r="AE24" s="1111"/>
      <c r="AF24" s="1111"/>
      <c r="AG24" s="1111"/>
      <c r="AH24" s="1113"/>
      <c r="AI24" s="1113"/>
      <c r="AJ24" s="1113"/>
      <c r="AK24" s="1113"/>
      <c r="AL24" s="1113"/>
      <c r="AM24" s="1113"/>
      <c r="AN24" s="1043"/>
    </row>
    <row r="25" spans="3:42" s="1042" customFormat="1" ht="19.5" customHeight="1" thickBot="1" x14ac:dyDescent="0.4">
      <c r="C25" s="1044"/>
      <c r="D25" s="1045"/>
      <c r="E25" s="3647"/>
      <c r="F25" s="3648"/>
      <c r="G25" s="3648"/>
      <c r="H25" s="3648"/>
      <c r="I25" s="3648"/>
      <c r="J25" s="3648"/>
      <c r="K25" s="3648"/>
      <c r="L25" s="3649"/>
      <c r="M25" s="3748"/>
      <c r="N25" s="3733"/>
      <c r="O25" s="3733"/>
      <c r="P25" s="3749"/>
      <c r="Q25" s="3752"/>
      <c r="R25" s="3752"/>
      <c r="S25" s="3752"/>
      <c r="T25" s="3753"/>
      <c r="U25" s="1046"/>
      <c r="V25" s="1046"/>
      <c r="W25" s="1046"/>
      <c r="X25" s="1113"/>
      <c r="Y25" s="1111"/>
      <c r="Z25" s="1111"/>
      <c r="AA25" s="1111"/>
      <c r="AB25" s="1111"/>
      <c r="AC25" s="1111"/>
      <c r="AD25" s="1111"/>
      <c r="AE25" s="1111"/>
      <c r="AF25" s="1111"/>
      <c r="AG25" s="1111"/>
      <c r="AH25" s="1113"/>
      <c r="AI25" s="1113"/>
      <c r="AJ25" s="1113"/>
      <c r="AK25" s="1113"/>
      <c r="AL25" s="1113"/>
      <c r="AM25" s="1113"/>
      <c r="AN25" s="1043"/>
    </row>
    <row r="26" spans="3:42" s="1042" customFormat="1" ht="10" customHeight="1" thickTop="1" x14ac:dyDescent="0.35">
      <c r="C26" s="1044"/>
      <c r="D26" s="1045"/>
      <c r="E26" s="1111"/>
      <c r="F26" s="1111"/>
      <c r="G26" s="1111"/>
      <c r="H26" s="1111"/>
      <c r="I26" s="1111"/>
      <c r="J26" s="1111"/>
      <c r="K26" s="1111"/>
      <c r="L26" s="1111"/>
      <c r="M26" s="1111"/>
      <c r="N26" s="1111"/>
      <c r="O26" s="1113"/>
      <c r="P26" s="1113"/>
      <c r="Q26" s="1113"/>
      <c r="R26" s="1113"/>
      <c r="S26" s="1113"/>
      <c r="T26" s="1113"/>
      <c r="U26" s="1113"/>
      <c r="V26" s="1113"/>
      <c r="W26" s="1113"/>
      <c r="X26" s="1111"/>
      <c r="Y26" s="1111"/>
      <c r="Z26" s="1111"/>
      <c r="AA26" s="1111"/>
      <c r="AB26" s="1111"/>
      <c r="AC26" s="1111"/>
      <c r="AD26" s="1111"/>
      <c r="AE26" s="1111"/>
      <c r="AF26" s="1111"/>
      <c r="AG26" s="1111"/>
      <c r="AH26" s="1113"/>
      <c r="AI26" s="1113"/>
      <c r="AJ26" s="1113"/>
      <c r="AK26" s="1113"/>
      <c r="AL26" s="1113"/>
      <c r="AM26" s="1113"/>
      <c r="AN26" s="1043"/>
    </row>
    <row r="27" spans="3:42" ht="15.5" customHeight="1" x14ac:dyDescent="0.35">
      <c r="C27" s="1049"/>
      <c r="D27" s="1050" t="s">
        <v>156</v>
      </c>
      <c r="E27" s="3759" t="s">
        <v>1927</v>
      </c>
      <c r="F27" s="3759"/>
      <c r="G27" s="3759"/>
      <c r="H27" s="3759"/>
      <c r="I27" s="3759"/>
      <c r="J27" s="3759"/>
      <c r="K27" s="3759"/>
      <c r="L27" s="3759"/>
      <c r="M27" s="3759"/>
      <c r="N27" s="3759"/>
      <c r="O27" s="3759"/>
      <c r="P27" s="3759"/>
      <c r="Q27" s="3759"/>
      <c r="R27" s="3759"/>
      <c r="S27" s="3759"/>
      <c r="T27" s="3759"/>
      <c r="U27" s="3759"/>
      <c r="V27" s="3759"/>
      <c r="W27" s="1150"/>
      <c r="X27" s="1150"/>
      <c r="Y27" s="1150"/>
      <c r="Z27" s="1150"/>
      <c r="AA27" s="1150"/>
      <c r="AB27" s="1150"/>
      <c r="AC27" s="1051"/>
      <c r="AD27" s="1051"/>
      <c r="AE27" s="1051"/>
      <c r="AF27" s="1051"/>
      <c r="AG27" s="1051"/>
      <c r="AH27" s="1051"/>
      <c r="AI27" s="1051"/>
      <c r="AJ27" s="1052"/>
      <c r="AK27" s="1052"/>
      <c r="AL27" s="1052"/>
      <c r="AM27" s="1052"/>
      <c r="AN27" s="1053"/>
      <c r="AO27" s="1052"/>
      <c r="AP27" s="1052"/>
    </row>
    <row r="28" spans="3:42" ht="5" customHeight="1" thickBot="1" x14ac:dyDescent="0.4">
      <c r="C28" s="1084"/>
      <c r="D28" s="1105"/>
      <c r="E28" s="1105"/>
      <c r="F28" s="1105"/>
      <c r="G28" s="1105"/>
      <c r="H28" s="1105"/>
      <c r="I28" s="1105"/>
      <c r="J28" s="1105"/>
      <c r="K28" s="1105"/>
      <c r="L28" s="1105"/>
      <c r="M28" s="1105"/>
      <c r="N28" s="1105"/>
      <c r="O28" s="1105"/>
      <c r="P28" s="1105"/>
      <c r="Q28" s="1105"/>
      <c r="R28" s="1105"/>
      <c r="S28" s="1105"/>
      <c r="T28" s="1105"/>
      <c r="U28" s="1105"/>
      <c r="V28" s="1105"/>
      <c r="W28" s="1105"/>
      <c r="X28" s="1105"/>
      <c r="Y28" s="1105"/>
      <c r="Z28" s="1105"/>
      <c r="AA28" s="1105"/>
      <c r="AB28" s="1105"/>
      <c r="AC28" s="1105"/>
      <c r="AD28" s="1105"/>
      <c r="AE28" s="1105"/>
      <c r="AF28" s="1105"/>
      <c r="AG28" s="1105"/>
      <c r="AH28" s="1105"/>
      <c r="AI28" s="1105"/>
      <c r="AJ28" s="1105"/>
      <c r="AK28" s="1105"/>
      <c r="AL28" s="1105"/>
      <c r="AM28" s="1105"/>
      <c r="AN28" s="1062"/>
      <c r="AO28" s="1105"/>
      <c r="AP28" s="1105"/>
    </row>
    <row r="29" spans="3:42" s="44" customFormat="1" ht="19.5" customHeight="1" thickTop="1" thickBot="1" x14ac:dyDescent="0.4">
      <c r="C29" s="412"/>
      <c r="E29" s="1969" t="s">
        <v>627</v>
      </c>
      <c r="F29" s="1970"/>
      <c r="G29" s="1970"/>
      <c r="H29" s="1970"/>
      <c r="I29" s="1970"/>
      <c r="J29" s="1970"/>
      <c r="K29" s="1970"/>
      <c r="L29" s="1970"/>
      <c r="M29" s="1970"/>
      <c r="N29" s="2135"/>
      <c r="O29" s="3593" t="s">
        <v>898</v>
      </c>
      <c r="P29" s="3594"/>
      <c r="Q29" s="3594"/>
      <c r="R29" s="3594"/>
      <c r="S29" s="3594"/>
      <c r="T29" s="3597"/>
      <c r="AO29" s="412"/>
    </row>
    <row r="30" spans="3:42" s="44" customFormat="1" ht="19.5" customHeight="1" thickBot="1" x14ac:dyDescent="0.4">
      <c r="C30" s="412"/>
      <c r="E30" s="2287"/>
      <c r="F30" s="2288"/>
      <c r="G30" s="2288"/>
      <c r="H30" s="2288"/>
      <c r="I30" s="2288"/>
      <c r="J30" s="2288"/>
      <c r="K30" s="2288"/>
      <c r="L30" s="2288"/>
      <c r="M30" s="2288"/>
      <c r="N30" s="2531"/>
      <c r="O30" s="2287" t="s">
        <v>14</v>
      </c>
      <c r="P30" s="2288"/>
      <c r="Q30" s="2646"/>
      <c r="R30" s="2560" t="s">
        <v>15</v>
      </c>
      <c r="S30" s="2288"/>
      <c r="T30" s="2531"/>
      <c r="AO30" s="412"/>
    </row>
    <row r="31" spans="3:42" s="44" customFormat="1" ht="34" customHeight="1" thickTop="1" x14ac:dyDescent="0.35">
      <c r="C31" s="412"/>
      <c r="E31" s="1151" t="s">
        <v>150</v>
      </c>
      <c r="F31" s="3772" t="s">
        <v>1921</v>
      </c>
      <c r="G31" s="3772"/>
      <c r="H31" s="3772"/>
      <c r="I31" s="3772"/>
      <c r="J31" s="3772"/>
      <c r="K31" s="3772"/>
      <c r="L31" s="3772"/>
      <c r="M31" s="3772"/>
      <c r="N31" s="3773"/>
      <c r="O31" s="3781">
        <v>1</v>
      </c>
      <c r="P31" s="3782"/>
      <c r="Q31" s="3783"/>
      <c r="R31" s="3784">
        <v>0</v>
      </c>
      <c r="S31" s="3782"/>
      <c r="T31" s="3785"/>
      <c r="AO31" s="412"/>
    </row>
    <row r="32" spans="3:42" s="44" customFormat="1" ht="35.5" customHeight="1" thickBot="1" x14ac:dyDescent="0.4">
      <c r="C32" s="412"/>
      <c r="E32" s="1152" t="s">
        <v>151</v>
      </c>
      <c r="F32" s="3778" t="s">
        <v>1922</v>
      </c>
      <c r="G32" s="3778"/>
      <c r="H32" s="3778"/>
      <c r="I32" s="3778"/>
      <c r="J32" s="3778"/>
      <c r="K32" s="3778"/>
      <c r="L32" s="3778"/>
      <c r="M32" s="3778"/>
      <c r="N32" s="3779"/>
      <c r="O32" s="3786">
        <v>1</v>
      </c>
      <c r="P32" s="3787"/>
      <c r="Q32" s="3788"/>
      <c r="R32" s="3789">
        <v>0</v>
      </c>
      <c r="S32" s="3787"/>
      <c r="T32" s="3790"/>
      <c r="AO32" s="412"/>
    </row>
    <row r="33" spans="3:49" s="1042" customFormat="1" ht="10" customHeight="1" thickTop="1" x14ac:dyDescent="0.35">
      <c r="C33" s="1044"/>
      <c r="D33" s="1045"/>
      <c r="E33" s="1111"/>
      <c r="F33" s="1111"/>
      <c r="G33" s="1111"/>
      <c r="H33" s="1111"/>
      <c r="I33" s="1111"/>
      <c r="J33" s="1111"/>
      <c r="K33" s="1111"/>
      <c r="L33" s="1111"/>
      <c r="M33" s="1111"/>
      <c r="N33" s="1111"/>
      <c r="O33" s="1113"/>
      <c r="P33" s="1113"/>
      <c r="Q33" s="1113"/>
      <c r="R33" s="1113"/>
      <c r="S33" s="1113"/>
      <c r="T33" s="1113"/>
      <c r="U33" s="1113"/>
      <c r="V33" s="1113"/>
      <c r="W33" s="1113"/>
      <c r="X33" s="1111"/>
      <c r="Y33" s="1111"/>
      <c r="Z33" s="1111"/>
      <c r="AA33" s="1111"/>
      <c r="AB33" s="1111"/>
      <c r="AC33" s="1111"/>
      <c r="AD33" s="1111"/>
      <c r="AE33" s="1111"/>
      <c r="AF33" s="1111"/>
      <c r="AG33" s="1111"/>
      <c r="AH33" s="1113"/>
      <c r="AI33" s="1113"/>
      <c r="AJ33" s="1113"/>
      <c r="AK33" s="1113"/>
      <c r="AL33" s="1113"/>
      <c r="AM33" s="1113"/>
      <c r="AN33" s="1043"/>
    </row>
    <row r="34" spans="3:49" s="1101" customFormat="1" ht="16" customHeight="1" x14ac:dyDescent="0.35">
      <c r="C34" s="1097"/>
      <c r="D34" s="1050" t="s">
        <v>157</v>
      </c>
      <c r="E34" s="833" t="b">
        <v>0</v>
      </c>
      <c r="F34" s="3667" t="s">
        <v>1733</v>
      </c>
      <c r="G34" s="3667"/>
      <c r="H34" s="3667"/>
      <c r="I34" s="3667"/>
      <c r="J34" s="3667"/>
      <c r="K34" s="3667"/>
      <c r="L34" s="3667"/>
      <c r="M34" s="3667"/>
      <c r="N34" s="3667"/>
      <c r="O34" s="3667"/>
      <c r="P34" s="3667"/>
      <c r="Q34" s="3667"/>
      <c r="R34" s="3667"/>
      <c r="S34" s="3667"/>
      <c r="T34" s="3667"/>
      <c r="U34" s="3667"/>
      <c r="V34" s="3667"/>
      <c r="W34" s="3667"/>
      <c r="X34" s="3667"/>
      <c r="Y34" s="3667"/>
      <c r="Z34" s="3667"/>
      <c r="AA34" s="3667"/>
      <c r="AB34" s="3667"/>
      <c r="AC34" s="3667"/>
      <c r="AD34" s="3667"/>
      <c r="AE34" s="3667"/>
      <c r="AF34" s="3667"/>
      <c r="AG34" s="3667"/>
      <c r="AH34" s="3667"/>
      <c r="AI34" s="3667"/>
      <c r="AJ34" s="3667"/>
      <c r="AK34" s="3667"/>
      <c r="AL34" s="3667"/>
      <c r="AM34" s="1116"/>
      <c r="AN34" s="1100"/>
      <c r="AO34" s="1099"/>
      <c r="AP34" s="1099"/>
      <c r="AQ34" s="1099"/>
      <c r="AR34" s="1099"/>
      <c r="AS34" s="1099"/>
      <c r="AT34" s="1099"/>
      <c r="AU34" s="1099"/>
      <c r="AV34" s="1099"/>
      <c r="AW34" s="1099"/>
    </row>
    <row r="35" spans="3:49" s="1101" customFormat="1" ht="16" customHeight="1" x14ac:dyDescent="0.35">
      <c r="C35" s="1097"/>
      <c r="D35" s="1050"/>
      <c r="E35" s="1124"/>
      <c r="F35" s="3667"/>
      <c r="G35" s="3667"/>
      <c r="H35" s="3667"/>
      <c r="I35" s="3667"/>
      <c r="J35" s="3667"/>
      <c r="K35" s="3667"/>
      <c r="L35" s="3667"/>
      <c r="M35" s="3667"/>
      <c r="N35" s="3667"/>
      <c r="O35" s="3667"/>
      <c r="P35" s="3667"/>
      <c r="Q35" s="3667"/>
      <c r="R35" s="3667"/>
      <c r="S35" s="3667"/>
      <c r="T35" s="3667"/>
      <c r="U35" s="3667"/>
      <c r="V35" s="3667"/>
      <c r="W35" s="3667"/>
      <c r="X35" s="3667"/>
      <c r="Y35" s="3667"/>
      <c r="Z35" s="3667"/>
      <c r="AA35" s="3667"/>
      <c r="AB35" s="3667"/>
      <c r="AC35" s="3667"/>
      <c r="AD35" s="3667"/>
      <c r="AE35" s="3667"/>
      <c r="AF35" s="3667"/>
      <c r="AG35" s="3667"/>
      <c r="AH35" s="3667"/>
      <c r="AI35" s="3667"/>
      <c r="AJ35" s="3667"/>
      <c r="AK35" s="3667"/>
      <c r="AL35" s="3667"/>
      <c r="AM35" s="1116"/>
      <c r="AN35" s="1100"/>
      <c r="AO35" s="1099"/>
      <c r="AP35" s="1099"/>
      <c r="AQ35" s="1099"/>
      <c r="AR35" s="1099"/>
      <c r="AS35" s="1099"/>
      <c r="AT35" s="1099"/>
      <c r="AU35" s="1099"/>
      <c r="AV35" s="1099"/>
      <c r="AW35" s="1099"/>
    </row>
    <row r="36" spans="3:49" s="1101" customFormat="1" ht="16" customHeight="1" x14ac:dyDescent="0.35">
      <c r="C36" s="1097"/>
      <c r="D36" s="1050" t="s">
        <v>159</v>
      </c>
      <c r="E36" s="833" t="b">
        <v>0</v>
      </c>
      <c r="F36" s="3667" t="s">
        <v>1734</v>
      </c>
      <c r="G36" s="3667"/>
      <c r="H36" s="3667"/>
      <c r="I36" s="3667"/>
      <c r="J36" s="3667"/>
      <c r="K36" s="3667"/>
      <c r="L36" s="3667"/>
      <c r="M36" s="3667"/>
      <c r="N36" s="3667"/>
      <c r="O36" s="3667"/>
      <c r="P36" s="3667"/>
      <c r="Q36" s="3667"/>
      <c r="R36" s="3667"/>
      <c r="S36" s="3667"/>
      <c r="T36" s="3667"/>
      <c r="U36" s="3667"/>
      <c r="V36" s="3667"/>
      <c r="W36" s="3667"/>
      <c r="X36" s="3667"/>
      <c r="Y36" s="3667"/>
      <c r="Z36" s="3667"/>
      <c r="AA36" s="3667"/>
      <c r="AB36" s="3667"/>
      <c r="AC36" s="3667"/>
      <c r="AD36" s="3667"/>
      <c r="AE36" s="3667"/>
      <c r="AF36" s="3667"/>
      <c r="AG36" s="3667"/>
      <c r="AH36" s="3667"/>
      <c r="AI36" s="3667"/>
      <c r="AJ36" s="3667"/>
      <c r="AK36" s="3667"/>
      <c r="AL36" s="3667"/>
      <c r="AM36" s="1116"/>
      <c r="AN36" s="1100"/>
      <c r="AO36" s="1099"/>
      <c r="AP36" s="1099"/>
      <c r="AQ36" s="1099"/>
      <c r="AR36" s="1099"/>
      <c r="AS36" s="1099"/>
      <c r="AT36" s="1099"/>
      <c r="AU36" s="1099"/>
      <c r="AV36" s="1099"/>
      <c r="AW36" s="1099"/>
    </row>
    <row r="37" spans="3:49" s="1101" customFormat="1" ht="16" customHeight="1" x14ac:dyDescent="0.35">
      <c r="C37" s="1097"/>
      <c r="D37" s="1050"/>
      <c r="E37" s="1124"/>
      <c r="F37" s="3667"/>
      <c r="G37" s="3667"/>
      <c r="H37" s="3667"/>
      <c r="I37" s="3667"/>
      <c r="J37" s="3667"/>
      <c r="K37" s="3667"/>
      <c r="L37" s="3667"/>
      <c r="M37" s="3667"/>
      <c r="N37" s="3667"/>
      <c r="O37" s="3667"/>
      <c r="P37" s="3667"/>
      <c r="Q37" s="3667"/>
      <c r="R37" s="3667"/>
      <c r="S37" s="3667"/>
      <c r="T37" s="3667"/>
      <c r="U37" s="3667"/>
      <c r="V37" s="3667"/>
      <c r="W37" s="3667"/>
      <c r="X37" s="3667"/>
      <c r="Y37" s="3667"/>
      <c r="Z37" s="3667"/>
      <c r="AA37" s="3667"/>
      <c r="AB37" s="3667"/>
      <c r="AC37" s="3667"/>
      <c r="AD37" s="3667"/>
      <c r="AE37" s="3667"/>
      <c r="AF37" s="3667"/>
      <c r="AG37" s="3667"/>
      <c r="AH37" s="3667"/>
      <c r="AI37" s="3667"/>
      <c r="AJ37" s="3667"/>
      <c r="AK37" s="3667"/>
      <c r="AL37" s="3667"/>
      <c r="AM37" s="1116"/>
      <c r="AN37" s="1100"/>
      <c r="AO37" s="1099"/>
      <c r="AP37" s="1099"/>
      <c r="AQ37" s="1099"/>
      <c r="AR37" s="1099"/>
      <c r="AS37" s="1099"/>
      <c r="AT37" s="1099"/>
      <c r="AU37" s="1099"/>
      <c r="AV37" s="1099"/>
      <c r="AW37" s="1099"/>
    </row>
    <row r="38" spans="3:49" ht="5" customHeight="1" x14ac:dyDescent="0.35">
      <c r="C38" s="1084"/>
      <c r="D38" s="1105"/>
      <c r="E38" s="1105"/>
      <c r="F38" s="1105"/>
      <c r="G38" s="1105"/>
      <c r="H38" s="1105"/>
      <c r="I38" s="1105"/>
      <c r="J38" s="1105"/>
      <c r="K38" s="1105"/>
      <c r="L38" s="1105"/>
      <c r="M38" s="1105"/>
      <c r="N38" s="1105"/>
      <c r="O38" s="1105"/>
      <c r="P38" s="1105"/>
      <c r="Q38" s="1105"/>
      <c r="R38" s="1105"/>
      <c r="S38" s="1105"/>
      <c r="T38" s="1105"/>
      <c r="U38" s="1105"/>
      <c r="V38" s="1105"/>
      <c r="W38" s="1105"/>
      <c r="X38" s="1105"/>
      <c r="Y38" s="1105"/>
      <c r="Z38" s="1105"/>
      <c r="AA38" s="1105"/>
      <c r="AB38" s="1105"/>
      <c r="AC38" s="1105"/>
      <c r="AD38" s="1105"/>
      <c r="AE38" s="1105"/>
      <c r="AF38" s="1105"/>
      <c r="AG38" s="1105"/>
      <c r="AH38" s="1105"/>
      <c r="AI38" s="1105"/>
      <c r="AJ38" s="1105"/>
      <c r="AK38" s="1105"/>
      <c r="AL38" s="1105"/>
      <c r="AM38" s="1105"/>
      <c r="AN38" s="1077"/>
    </row>
    <row r="39" spans="3:49" ht="32" customHeight="1" thickBot="1" x14ac:dyDescent="0.4">
      <c r="C39" s="1049"/>
      <c r="D39" s="1050" t="s">
        <v>153</v>
      </c>
      <c r="E39" s="3554" t="s">
        <v>1859</v>
      </c>
      <c r="F39" s="3554"/>
      <c r="G39" s="3554"/>
      <c r="H39" s="3554"/>
      <c r="I39" s="3554"/>
      <c r="J39" s="3554"/>
      <c r="K39" s="3554"/>
      <c r="L39" s="3554"/>
      <c r="M39" s="3554"/>
      <c r="N39" s="3554"/>
      <c r="O39" s="3554"/>
      <c r="P39" s="3554"/>
      <c r="Q39" s="3554"/>
      <c r="R39" s="3554"/>
      <c r="S39" s="3554"/>
      <c r="T39" s="3554"/>
      <c r="U39" s="1051"/>
      <c r="V39" s="1051"/>
      <c r="W39" s="1051"/>
      <c r="X39" s="1051"/>
      <c r="Y39" s="1050" t="s">
        <v>160</v>
      </c>
      <c r="Z39" s="3554" t="s">
        <v>1860</v>
      </c>
      <c r="AA39" s="3554"/>
      <c r="AB39" s="3554"/>
      <c r="AC39" s="3554"/>
      <c r="AD39" s="3554"/>
      <c r="AE39" s="3554"/>
      <c r="AF39" s="3554"/>
      <c r="AG39" s="3554"/>
      <c r="AH39" s="3554"/>
      <c r="AI39" s="3554"/>
      <c r="AJ39" s="3554"/>
      <c r="AK39" s="3554"/>
      <c r="AL39" s="3554"/>
      <c r="AM39" s="3554"/>
      <c r="AN39" s="1077"/>
    </row>
    <row r="40" spans="3:49" s="1042" customFormat="1" ht="19.5" customHeight="1" thickTop="1" thickBot="1" x14ac:dyDescent="0.4">
      <c r="C40" s="1084"/>
      <c r="D40" s="1085"/>
      <c r="E40" s="3543" t="s">
        <v>1741</v>
      </c>
      <c r="F40" s="3544"/>
      <c r="G40" s="3544"/>
      <c r="H40" s="3544"/>
      <c r="I40" s="3544"/>
      <c r="J40" s="3544"/>
      <c r="K40" s="3544"/>
      <c r="L40" s="3547"/>
      <c r="M40" s="3544" t="s">
        <v>1742</v>
      </c>
      <c r="N40" s="3544"/>
      <c r="O40" s="3544"/>
      <c r="P40" s="3544"/>
      <c r="Q40" s="3547"/>
      <c r="X40" s="1133"/>
      <c r="Y40" s="1111"/>
      <c r="Z40" s="3543" t="s">
        <v>883</v>
      </c>
      <c r="AA40" s="3544"/>
      <c r="AB40" s="3544"/>
      <c r="AC40" s="3544"/>
      <c r="AD40" s="3544"/>
      <c r="AE40" s="3544"/>
      <c r="AF40" s="3544"/>
      <c r="AG40" s="3547"/>
      <c r="AH40" s="3544" t="s">
        <v>1742</v>
      </c>
      <c r="AI40" s="3544"/>
      <c r="AJ40" s="3544"/>
      <c r="AK40" s="3544"/>
      <c r="AL40" s="3547"/>
      <c r="AN40" s="1043"/>
    </row>
    <row r="41" spans="3:49" s="1042" customFormat="1" ht="19.5" customHeight="1" thickTop="1" x14ac:dyDescent="0.35">
      <c r="C41" s="1084"/>
      <c r="D41" s="1085"/>
      <c r="E41" s="1173" t="b">
        <v>0</v>
      </c>
      <c r="F41" s="3758" t="s">
        <v>1735</v>
      </c>
      <c r="G41" s="3758"/>
      <c r="H41" s="3758"/>
      <c r="I41" s="3758"/>
      <c r="J41" s="3758"/>
      <c r="K41" s="3758"/>
      <c r="L41" s="1153"/>
      <c r="M41" s="3736">
        <v>0</v>
      </c>
      <c r="N41" s="3737"/>
      <c r="O41" s="3737"/>
      <c r="P41" s="3737"/>
      <c r="Q41" s="3741"/>
      <c r="R41" s="1175" t="str">
        <f>IF(AND(sch_implemented_classshifting=TRUE,sch_implemented_classshifting_days=0),"Please indicate no. of days","")</f>
        <v/>
      </c>
      <c r="X41" s="1133"/>
      <c r="Y41" s="1133"/>
      <c r="Z41" s="1173" t="b">
        <v>0</v>
      </c>
      <c r="AA41" s="3758" t="s">
        <v>862</v>
      </c>
      <c r="AB41" s="3758"/>
      <c r="AC41" s="3758"/>
      <c r="AD41" s="3758"/>
      <c r="AE41" s="3758"/>
      <c r="AF41" s="3758"/>
      <c r="AG41" s="1153"/>
      <c r="AH41" s="3737">
        <v>0</v>
      </c>
      <c r="AI41" s="3737"/>
      <c r="AJ41" s="3737"/>
      <c r="AK41" s="3737"/>
      <c r="AL41" s="3741"/>
      <c r="AM41" s="1175" t="str">
        <f>IF(AND(sch_implemented_eimpact=TRUE,sch_implemented_eimpact_days=0),"Please indicate no. of days","")</f>
        <v/>
      </c>
      <c r="AN41" s="1043"/>
    </row>
    <row r="42" spans="3:49" s="1042" customFormat="1" ht="19.5" customHeight="1" x14ac:dyDescent="0.35">
      <c r="C42" s="1044"/>
      <c r="D42" s="1045"/>
      <c r="E42" s="1088" t="b">
        <v>0</v>
      </c>
      <c r="F42" s="3754" t="s">
        <v>1736</v>
      </c>
      <c r="G42" s="3754"/>
      <c r="H42" s="3754"/>
      <c r="I42" s="3754"/>
      <c r="J42" s="3754"/>
      <c r="K42" s="3754"/>
      <c r="L42" s="1154"/>
      <c r="M42" s="3730">
        <v>0</v>
      </c>
      <c r="N42" s="3731"/>
      <c r="O42" s="3731"/>
      <c r="P42" s="3731"/>
      <c r="Q42" s="3735"/>
      <c r="R42" s="1175" t="str">
        <f>IF(AND(sch_implemented_makeupclass=TRUE,sch_implemented_makeupclass_days=0),"Please indicate no. of days","")</f>
        <v/>
      </c>
      <c r="X42" s="1133"/>
      <c r="Y42" s="1113"/>
      <c r="Z42" s="1088" t="b">
        <v>0</v>
      </c>
      <c r="AA42" s="3754" t="s">
        <v>1743</v>
      </c>
      <c r="AB42" s="3754"/>
      <c r="AC42" s="3754"/>
      <c r="AD42" s="3754"/>
      <c r="AE42" s="3754"/>
      <c r="AF42" s="3754"/>
      <c r="AG42" s="1154"/>
      <c r="AH42" s="3731">
        <v>0</v>
      </c>
      <c r="AI42" s="3731"/>
      <c r="AJ42" s="3731"/>
      <c r="AK42" s="3731"/>
      <c r="AL42" s="3735"/>
      <c r="AM42" s="1175" t="str">
        <f>IF(AND(sch_implemented_homeschool=TRUE,sch_implemented_homeschool_days=0),"Please indicate no. of days","")</f>
        <v/>
      </c>
      <c r="AN42" s="1043"/>
    </row>
    <row r="43" spans="3:49" s="1042" customFormat="1" ht="19.5" customHeight="1" x14ac:dyDescent="0.35">
      <c r="C43" s="1044"/>
      <c r="D43" s="1045"/>
      <c r="E43" s="1088" t="b">
        <v>1</v>
      </c>
      <c r="F43" s="3754" t="s">
        <v>1737</v>
      </c>
      <c r="G43" s="3754"/>
      <c r="H43" s="3754"/>
      <c r="I43" s="3754"/>
      <c r="J43" s="3754"/>
      <c r="K43" s="3754"/>
      <c r="L43" s="1154"/>
      <c r="M43" s="3730">
        <v>3</v>
      </c>
      <c r="N43" s="3731"/>
      <c r="O43" s="3731"/>
      <c r="P43" s="3731"/>
      <c r="Q43" s="3735"/>
      <c r="R43" s="1175" t="str">
        <f>IF(AND(sch_implemented_modular=TRUE,sch_implemented_modular_days=0),"Please indicate no. of days","")</f>
        <v/>
      </c>
      <c r="X43" s="1046"/>
      <c r="Y43" s="1113"/>
      <c r="Z43" s="1088" t="b">
        <v>0</v>
      </c>
      <c r="AA43" s="3754" t="s">
        <v>863</v>
      </c>
      <c r="AB43" s="3754"/>
      <c r="AC43" s="3754"/>
      <c r="AD43" s="3754"/>
      <c r="AE43" s="3754"/>
      <c r="AF43" s="3754"/>
      <c r="AG43" s="1154"/>
      <c r="AH43" s="3731">
        <v>0</v>
      </c>
      <c r="AI43" s="3731"/>
      <c r="AJ43" s="3731"/>
      <c r="AK43" s="3731"/>
      <c r="AL43" s="3735"/>
      <c r="AM43" s="1175" t="str">
        <f>IF(AND(sch_implemented_misosa=TRUE,sch_implemented_misosa_days=0),"Please indicate no. of days","")</f>
        <v/>
      </c>
      <c r="AN43" s="1043"/>
    </row>
    <row r="44" spans="3:49" s="1042" customFormat="1" ht="19.5" customHeight="1" x14ac:dyDescent="0.35">
      <c r="C44" s="1044"/>
      <c r="D44" s="1045"/>
      <c r="E44" s="1088" t="b">
        <v>0</v>
      </c>
      <c r="F44" s="3754" t="s">
        <v>1738</v>
      </c>
      <c r="G44" s="3754"/>
      <c r="H44" s="3754"/>
      <c r="I44" s="3754"/>
      <c r="J44" s="3754"/>
      <c r="K44" s="3754"/>
      <c r="L44" s="1154"/>
      <c r="M44" s="3730">
        <v>0</v>
      </c>
      <c r="N44" s="3731"/>
      <c r="O44" s="3731"/>
      <c r="P44" s="3731"/>
      <c r="Q44" s="3735"/>
      <c r="R44" s="1175" t="str">
        <f>IF(AND(sch_implemented_online=TRUE,sch_implemented_onlinelearning_days=0),"Please indicate no. of days","")</f>
        <v/>
      </c>
      <c r="X44" s="1046"/>
      <c r="Y44" s="1113"/>
      <c r="Z44" s="1088" t="b">
        <v>0</v>
      </c>
      <c r="AA44" s="3754" t="s">
        <v>1744</v>
      </c>
      <c r="AB44" s="3754"/>
      <c r="AC44" s="3754"/>
      <c r="AD44" s="3754"/>
      <c r="AE44" s="3754"/>
      <c r="AF44" s="3754"/>
      <c r="AG44" s="1154"/>
      <c r="AH44" s="3731">
        <v>0</v>
      </c>
      <c r="AI44" s="3731"/>
      <c r="AJ44" s="3731"/>
      <c r="AK44" s="3731"/>
      <c r="AL44" s="3735"/>
      <c r="AM44" s="1175" t="str">
        <f>IF(AND(sch_implemented_nightschool=TRUE,sch_implemented_nightschool_days=0),"Please indicate no. of days","")</f>
        <v/>
      </c>
      <c r="AN44" s="1043"/>
    </row>
    <row r="45" spans="3:49" s="1042" customFormat="1" ht="19.5" customHeight="1" x14ac:dyDescent="0.35">
      <c r="C45" s="1044"/>
      <c r="D45" s="1045"/>
      <c r="E45" s="1088" t="b">
        <v>0</v>
      </c>
      <c r="F45" s="3754" t="s">
        <v>1739</v>
      </c>
      <c r="G45" s="3754"/>
      <c r="H45" s="3754"/>
      <c r="I45" s="3754"/>
      <c r="J45" s="3754"/>
      <c r="K45" s="3754"/>
      <c r="L45" s="1154"/>
      <c r="M45" s="3730">
        <v>0</v>
      </c>
      <c r="N45" s="3731"/>
      <c r="O45" s="3731"/>
      <c r="P45" s="3731"/>
      <c r="Q45" s="3735"/>
      <c r="R45" s="1175" t="str">
        <f>IF(AND(sch_implemented_peergroup=TRUE,sch_implemented_peergrouplearning_days=0),"Please indicate no. of days","")</f>
        <v/>
      </c>
      <c r="X45" s="1046"/>
      <c r="Y45" s="1113"/>
      <c r="Z45" s="1174" t="b">
        <v>0</v>
      </c>
      <c r="AA45" s="3755" t="s">
        <v>1745</v>
      </c>
      <c r="AB45" s="3755"/>
      <c r="AC45" s="3755"/>
      <c r="AD45" s="3755"/>
      <c r="AE45" s="3755"/>
      <c r="AF45" s="3755"/>
      <c r="AG45" s="1155"/>
      <c r="AH45" s="3746">
        <v>0</v>
      </c>
      <c r="AI45" s="3746"/>
      <c r="AJ45" s="3746"/>
      <c r="AK45" s="3746"/>
      <c r="AL45" s="3757"/>
      <c r="AM45" s="1175" t="str">
        <f>IF(AND(sch_implemented_openhighschool=TRUE,sch_implemented_openhighschool_days=0),"Please indicate no. of days","")</f>
        <v/>
      </c>
      <c r="AN45" s="1043"/>
    </row>
    <row r="46" spans="3:49" s="1042" customFormat="1" ht="19.5" customHeight="1" thickBot="1" x14ac:dyDescent="0.4">
      <c r="C46" s="1044"/>
      <c r="D46" s="1045"/>
      <c r="E46" s="1090" t="b">
        <v>0</v>
      </c>
      <c r="F46" s="3756" t="s">
        <v>1740</v>
      </c>
      <c r="G46" s="3756"/>
      <c r="H46" s="3756"/>
      <c r="I46" s="3756"/>
      <c r="J46" s="3756"/>
      <c r="K46" s="3756"/>
      <c r="L46" s="1157"/>
      <c r="M46" s="3748">
        <v>0</v>
      </c>
      <c r="N46" s="3733"/>
      <c r="O46" s="3733"/>
      <c r="P46" s="3733"/>
      <c r="Q46" s="3734"/>
      <c r="R46" s="1175" t="str">
        <f>IF(AND(sch_implemented_programmed=TRUE,sch_implemented_programmedteaching_days=0),"Please indicate no. of days","")</f>
        <v/>
      </c>
      <c r="X46" s="1046"/>
      <c r="Y46" s="1113"/>
      <c r="Z46" s="1156"/>
      <c r="AA46" s="3756"/>
      <c r="AB46" s="3756"/>
      <c r="AC46" s="3756"/>
      <c r="AD46" s="3756"/>
      <c r="AE46" s="3756"/>
      <c r="AF46" s="3756"/>
      <c r="AG46" s="1157"/>
      <c r="AH46" s="3733"/>
      <c r="AI46" s="3733"/>
      <c r="AJ46" s="3733"/>
      <c r="AK46" s="3733"/>
      <c r="AL46" s="3734"/>
      <c r="AM46" s="1176"/>
      <c r="AN46" s="1043"/>
    </row>
    <row r="47" spans="3:49" ht="5" customHeight="1" thickTop="1" x14ac:dyDescent="0.35">
      <c r="C47" s="1084"/>
      <c r="D47" s="1105"/>
      <c r="E47" s="1105"/>
      <c r="F47" s="1105"/>
      <c r="G47" s="1105"/>
      <c r="H47" s="1105"/>
      <c r="I47" s="1105"/>
      <c r="J47" s="1105"/>
      <c r="K47" s="1105"/>
      <c r="L47" s="1105"/>
      <c r="M47" s="1105"/>
      <c r="N47" s="1105"/>
      <c r="O47" s="1105"/>
      <c r="P47" s="1105"/>
      <c r="Q47" s="1105"/>
      <c r="R47" s="1105"/>
      <c r="S47" s="1105"/>
      <c r="T47" s="1105"/>
      <c r="U47" s="1105"/>
      <c r="V47" s="1105"/>
      <c r="W47" s="1105"/>
      <c r="X47" s="1105"/>
      <c r="Y47" s="1105"/>
      <c r="Z47" s="1105"/>
      <c r="AA47" s="1105"/>
      <c r="AB47" s="1105"/>
      <c r="AC47" s="1105"/>
      <c r="AD47" s="1105"/>
      <c r="AE47" s="1105"/>
      <c r="AF47" s="1105"/>
      <c r="AG47" s="1105"/>
      <c r="AH47" s="1105"/>
      <c r="AI47" s="1105"/>
      <c r="AJ47" s="1105"/>
      <c r="AK47" s="1105"/>
      <c r="AL47" s="1105"/>
      <c r="AM47" s="1105"/>
      <c r="AN47" s="1062"/>
      <c r="AO47" s="1105"/>
      <c r="AP47" s="1105"/>
    </row>
    <row r="48" spans="3:49" ht="5" customHeight="1" x14ac:dyDescent="0.35">
      <c r="C48" s="1084"/>
      <c r="D48" s="1105"/>
      <c r="E48" s="1105"/>
      <c r="F48" s="1105"/>
      <c r="G48" s="1105"/>
      <c r="H48" s="1105"/>
      <c r="I48" s="1105"/>
      <c r="J48" s="1105"/>
      <c r="K48" s="1105"/>
      <c r="L48" s="1105"/>
      <c r="M48" s="1105"/>
      <c r="N48" s="1105"/>
      <c r="O48" s="1105"/>
      <c r="P48" s="1105"/>
      <c r="Q48" s="1105"/>
      <c r="R48" s="1105"/>
      <c r="S48" s="1105"/>
      <c r="T48" s="1105"/>
      <c r="U48" s="1105"/>
      <c r="V48" s="1105"/>
      <c r="W48" s="1105"/>
      <c r="X48" s="1105"/>
      <c r="Y48" s="1105"/>
      <c r="Z48" s="1105"/>
      <c r="AA48" s="1105"/>
      <c r="AB48" s="1105"/>
      <c r="AC48" s="1105"/>
      <c r="AD48" s="1105"/>
      <c r="AE48" s="1105"/>
      <c r="AF48" s="1105"/>
      <c r="AG48" s="1105"/>
      <c r="AH48" s="1105"/>
      <c r="AI48" s="1105"/>
      <c r="AJ48" s="1105"/>
      <c r="AK48" s="1105"/>
      <c r="AL48" s="1105"/>
      <c r="AM48" s="1105"/>
      <c r="AN48" s="1062"/>
      <c r="AO48" s="1105"/>
      <c r="AP48" s="1105"/>
    </row>
    <row r="49" spans="2:41" s="1101" customFormat="1" x14ac:dyDescent="0.35">
      <c r="C49" s="1158"/>
      <c r="D49" s="1159" t="s">
        <v>154</v>
      </c>
      <c r="E49" s="3759" t="s">
        <v>1916</v>
      </c>
      <c r="F49" s="3759"/>
      <c r="G49" s="3759"/>
      <c r="H49" s="3759"/>
      <c r="I49" s="3759"/>
      <c r="J49" s="3759"/>
      <c r="K49" s="3759"/>
      <c r="L49" s="3759"/>
      <c r="M49" s="3759"/>
      <c r="N49" s="3759"/>
      <c r="O49" s="3759"/>
      <c r="P49" s="3759"/>
      <c r="Q49" s="3759"/>
      <c r="R49" s="3759"/>
      <c r="S49" s="3759"/>
      <c r="T49" s="3759"/>
      <c r="U49" s="3759"/>
      <c r="V49" s="3759"/>
      <c r="W49" s="3759"/>
      <c r="X49" s="3759"/>
      <c r="Y49" s="3759"/>
      <c r="Z49" s="3759"/>
      <c r="AA49" s="3759"/>
      <c r="AB49" s="3759"/>
      <c r="AC49" s="1051"/>
      <c r="AO49" s="1158"/>
    </row>
    <row r="50" spans="2:41" s="1101" customFormat="1" ht="5" customHeight="1" thickBot="1" x14ac:dyDescent="0.4">
      <c r="C50" s="1158"/>
      <c r="E50" s="1160"/>
      <c r="F50" s="1161"/>
      <c r="G50" s="1162"/>
      <c r="H50" s="1162"/>
      <c r="I50" s="1162"/>
      <c r="J50" s="1162"/>
      <c r="K50" s="1162"/>
      <c r="L50" s="1162"/>
      <c r="M50" s="1162"/>
      <c r="N50" s="1162"/>
      <c r="O50" s="1162"/>
      <c r="P50" s="1162"/>
      <c r="Q50" s="1162"/>
      <c r="R50" s="1162"/>
      <c r="S50" s="1162"/>
      <c r="T50" s="1162"/>
      <c r="U50" s="1162"/>
      <c r="V50" s="1162"/>
      <c r="W50" s="1162"/>
      <c r="X50" s="1162"/>
      <c r="Y50" s="1162"/>
      <c r="Z50" s="1162"/>
      <c r="AA50" s="1162"/>
      <c r="AB50" s="1162"/>
      <c r="AC50" s="1162"/>
      <c r="AD50" s="1162"/>
      <c r="AE50" s="1162"/>
      <c r="AF50" s="1163"/>
      <c r="AG50" s="1163"/>
      <c r="AH50" s="1163"/>
      <c r="AI50" s="1163"/>
      <c r="AJ50" s="1163"/>
      <c r="AK50" s="1163"/>
      <c r="AL50" s="1163"/>
      <c r="AO50" s="1158"/>
    </row>
    <row r="51" spans="2:41" s="44" customFormat="1" ht="61" customHeight="1" thickTop="1" thickBot="1" x14ac:dyDescent="0.4">
      <c r="C51" s="412"/>
      <c r="E51" s="1969" t="s">
        <v>627</v>
      </c>
      <c r="F51" s="1970"/>
      <c r="G51" s="1970"/>
      <c r="H51" s="1970"/>
      <c r="I51" s="1970"/>
      <c r="J51" s="1970"/>
      <c r="K51" s="1970"/>
      <c r="L51" s="1970"/>
      <c r="M51" s="1970"/>
      <c r="N51" s="2135"/>
      <c r="O51" s="3593" t="s">
        <v>1748</v>
      </c>
      <c r="P51" s="3594"/>
      <c r="Q51" s="3594"/>
      <c r="R51" s="3594"/>
      <c r="S51" s="3594"/>
      <c r="T51" s="3595"/>
      <c r="U51" s="3594" t="s">
        <v>1710</v>
      </c>
      <c r="V51" s="3594"/>
      <c r="W51" s="3594"/>
      <c r="X51" s="3594"/>
      <c r="Y51" s="3594"/>
      <c r="Z51" s="3594"/>
      <c r="AA51" s="3596" t="s">
        <v>1711</v>
      </c>
      <c r="AB51" s="3594"/>
      <c r="AC51" s="3594"/>
      <c r="AD51" s="3594"/>
      <c r="AE51" s="3594"/>
      <c r="AF51" s="3595"/>
      <c r="AG51" s="3594" t="s">
        <v>1712</v>
      </c>
      <c r="AH51" s="3594"/>
      <c r="AI51" s="3594"/>
      <c r="AJ51" s="3594"/>
      <c r="AK51" s="3594"/>
      <c r="AL51" s="3597"/>
      <c r="AM51" s="412"/>
      <c r="AO51" s="412"/>
    </row>
    <row r="52" spans="2:41" s="44" customFormat="1" ht="19.5" customHeight="1" thickBot="1" x14ac:dyDescent="0.4">
      <c r="C52" s="412"/>
      <c r="E52" s="2287"/>
      <c r="F52" s="2288"/>
      <c r="G52" s="2288"/>
      <c r="H52" s="2288"/>
      <c r="I52" s="2288"/>
      <c r="J52" s="2288"/>
      <c r="K52" s="2288"/>
      <c r="L52" s="2288"/>
      <c r="M52" s="2288"/>
      <c r="N52" s="2531"/>
      <c r="O52" s="2287" t="s">
        <v>14</v>
      </c>
      <c r="P52" s="2288"/>
      <c r="Q52" s="2646"/>
      <c r="R52" s="2560" t="s">
        <v>15</v>
      </c>
      <c r="S52" s="2288"/>
      <c r="T52" s="2289"/>
      <c r="U52" s="2288" t="s">
        <v>14</v>
      </c>
      <c r="V52" s="2288"/>
      <c r="W52" s="2646"/>
      <c r="X52" s="2560" t="s">
        <v>15</v>
      </c>
      <c r="Y52" s="2288"/>
      <c r="Z52" s="2288"/>
      <c r="AA52" s="2559" t="s">
        <v>14</v>
      </c>
      <c r="AB52" s="2288"/>
      <c r="AC52" s="2646"/>
      <c r="AD52" s="2560" t="s">
        <v>15</v>
      </c>
      <c r="AE52" s="2288"/>
      <c r="AF52" s="2289"/>
      <c r="AG52" s="2288" t="s">
        <v>14</v>
      </c>
      <c r="AH52" s="2288"/>
      <c r="AI52" s="2646"/>
      <c r="AJ52" s="2560" t="s">
        <v>15</v>
      </c>
      <c r="AK52" s="2288"/>
      <c r="AL52" s="2531"/>
      <c r="AO52" s="412"/>
    </row>
    <row r="53" spans="2:41" s="44" customFormat="1" ht="62.5" customHeight="1" thickTop="1" x14ac:dyDescent="0.35">
      <c r="C53" s="412"/>
      <c r="E53" s="1164" t="s">
        <v>150</v>
      </c>
      <c r="F53" s="3767" t="s">
        <v>1917</v>
      </c>
      <c r="G53" s="3767"/>
      <c r="H53" s="3767"/>
      <c r="I53" s="3767"/>
      <c r="J53" s="3767"/>
      <c r="K53" s="3767"/>
      <c r="L53" s="3767"/>
      <c r="M53" s="3767"/>
      <c r="N53" s="3768"/>
      <c r="O53" s="3760">
        <v>0</v>
      </c>
      <c r="P53" s="3761"/>
      <c r="Q53" s="3762"/>
      <c r="R53" s="3763">
        <v>0</v>
      </c>
      <c r="S53" s="3761"/>
      <c r="T53" s="3764"/>
      <c r="U53" s="3761">
        <v>0</v>
      </c>
      <c r="V53" s="3761"/>
      <c r="W53" s="3762"/>
      <c r="X53" s="3763">
        <v>0</v>
      </c>
      <c r="Y53" s="3761"/>
      <c r="Z53" s="3761"/>
      <c r="AA53" s="3765">
        <v>0</v>
      </c>
      <c r="AB53" s="3761"/>
      <c r="AC53" s="3762"/>
      <c r="AD53" s="3763">
        <v>0</v>
      </c>
      <c r="AE53" s="3761"/>
      <c r="AF53" s="3764"/>
      <c r="AG53" s="3761">
        <v>0</v>
      </c>
      <c r="AH53" s="3761"/>
      <c r="AI53" s="3762"/>
      <c r="AJ53" s="3763">
        <v>0</v>
      </c>
      <c r="AK53" s="3761"/>
      <c r="AL53" s="3766"/>
      <c r="AO53" s="412"/>
    </row>
    <row r="54" spans="2:41" s="44" customFormat="1" ht="34" customHeight="1" x14ac:dyDescent="0.35">
      <c r="C54" s="412"/>
      <c r="E54" s="1151" t="s">
        <v>151</v>
      </c>
      <c r="F54" s="3772" t="s">
        <v>1918</v>
      </c>
      <c r="G54" s="3772"/>
      <c r="H54" s="3772"/>
      <c r="I54" s="3772"/>
      <c r="J54" s="3772"/>
      <c r="K54" s="3772"/>
      <c r="L54" s="3772"/>
      <c r="M54" s="3772"/>
      <c r="N54" s="3773"/>
      <c r="O54" s="3769">
        <v>0</v>
      </c>
      <c r="P54" s="2567"/>
      <c r="Q54" s="2578"/>
      <c r="R54" s="2581">
        <v>0</v>
      </c>
      <c r="S54" s="2567"/>
      <c r="T54" s="3770"/>
      <c r="U54" s="2567">
        <v>0</v>
      </c>
      <c r="V54" s="2567"/>
      <c r="W54" s="2578"/>
      <c r="X54" s="2581">
        <v>0</v>
      </c>
      <c r="Y54" s="2567"/>
      <c r="Z54" s="2567"/>
      <c r="AA54" s="2577">
        <v>0</v>
      </c>
      <c r="AB54" s="2567"/>
      <c r="AC54" s="2578"/>
      <c r="AD54" s="2581">
        <v>0</v>
      </c>
      <c r="AE54" s="2567"/>
      <c r="AF54" s="3770"/>
      <c r="AG54" s="2567">
        <v>0</v>
      </c>
      <c r="AH54" s="2567"/>
      <c r="AI54" s="2578"/>
      <c r="AJ54" s="2581">
        <v>0</v>
      </c>
      <c r="AK54" s="2567"/>
      <c r="AL54" s="3771"/>
      <c r="AO54" s="412"/>
    </row>
    <row r="55" spans="2:41" s="44" customFormat="1" ht="51.5" customHeight="1" x14ac:dyDescent="0.35">
      <c r="C55" s="412"/>
      <c r="E55" s="1151" t="s">
        <v>152</v>
      </c>
      <c r="F55" s="3772" t="s">
        <v>1919</v>
      </c>
      <c r="G55" s="3772"/>
      <c r="H55" s="3772"/>
      <c r="I55" s="3772"/>
      <c r="J55" s="3772"/>
      <c r="K55" s="3772"/>
      <c r="L55" s="3772"/>
      <c r="M55" s="3772"/>
      <c r="N55" s="3773"/>
      <c r="O55" s="3769">
        <v>0</v>
      </c>
      <c r="P55" s="2567"/>
      <c r="Q55" s="2578"/>
      <c r="R55" s="2581">
        <v>0</v>
      </c>
      <c r="S55" s="2567"/>
      <c r="T55" s="3770"/>
      <c r="U55" s="2567">
        <v>0</v>
      </c>
      <c r="V55" s="2567"/>
      <c r="W55" s="2578"/>
      <c r="X55" s="2581">
        <v>0</v>
      </c>
      <c r="Y55" s="2567"/>
      <c r="Z55" s="2567"/>
      <c r="AA55" s="2577">
        <v>0</v>
      </c>
      <c r="AB55" s="2567"/>
      <c r="AC55" s="2578"/>
      <c r="AD55" s="2581">
        <v>0</v>
      </c>
      <c r="AE55" s="2567"/>
      <c r="AF55" s="3770"/>
      <c r="AG55" s="2567">
        <v>0</v>
      </c>
      <c r="AH55" s="2567"/>
      <c r="AI55" s="2578"/>
      <c r="AJ55" s="2581">
        <v>0</v>
      </c>
      <c r="AK55" s="2567"/>
      <c r="AL55" s="3771"/>
      <c r="AN55" s="405"/>
      <c r="AO55" s="681"/>
    </row>
    <row r="56" spans="2:41" s="44" customFormat="1" ht="35.5" customHeight="1" thickBot="1" x14ac:dyDescent="0.4">
      <c r="C56" s="412"/>
      <c r="E56" s="1165"/>
      <c r="F56" s="1166" t="s">
        <v>1915</v>
      </c>
      <c r="G56" s="3778" t="s">
        <v>1928</v>
      </c>
      <c r="H56" s="3778"/>
      <c r="I56" s="3778"/>
      <c r="J56" s="3778"/>
      <c r="K56" s="3778"/>
      <c r="L56" s="3778"/>
      <c r="M56" s="3778"/>
      <c r="N56" s="3779"/>
      <c r="O56" s="3791">
        <v>0</v>
      </c>
      <c r="P56" s="3774"/>
      <c r="Q56" s="3775"/>
      <c r="R56" s="3776">
        <v>0</v>
      </c>
      <c r="S56" s="3774"/>
      <c r="T56" s="3792"/>
      <c r="U56" s="3774">
        <v>0</v>
      </c>
      <c r="V56" s="3774"/>
      <c r="W56" s="3775"/>
      <c r="X56" s="3776">
        <v>0</v>
      </c>
      <c r="Y56" s="3774"/>
      <c r="Z56" s="3774"/>
      <c r="AA56" s="3793">
        <v>0</v>
      </c>
      <c r="AB56" s="3774"/>
      <c r="AC56" s="3775"/>
      <c r="AD56" s="3776">
        <v>0</v>
      </c>
      <c r="AE56" s="3774"/>
      <c r="AF56" s="3792"/>
      <c r="AG56" s="3774">
        <v>0</v>
      </c>
      <c r="AH56" s="3774"/>
      <c r="AI56" s="3775"/>
      <c r="AJ56" s="3776">
        <v>0</v>
      </c>
      <c r="AK56" s="3774"/>
      <c r="AL56" s="3777"/>
      <c r="AN56" s="405"/>
      <c r="AO56" s="681"/>
    </row>
    <row r="57" spans="2:41" s="44" customFormat="1" ht="19.5" customHeight="1" thickTop="1" x14ac:dyDescent="0.35">
      <c r="C57" s="412"/>
      <c r="E57" s="681"/>
      <c r="G57" s="1169"/>
      <c r="H57" s="1169"/>
      <c r="I57" s="1169"/>
      <c r="J57" s="1169"/>
      <c r="K57" s="1169"/>
      <c r="L57" s="1169"/>
      <c r="M57" s="1169"/>
      <c r="N57" s="681"/>
      <c r="O57" s="548" t="str">
        <f>IF(learners_referral_m_excluding&gt;learners_pss_m_excluding,"Items in 3a must be less or equal to item in 3.",IF(learners_referral_f_excluding&gt;learners_pss_f_excluding,"Items in 3a must be less or equal to item in 3.",IF(learners_referral_m_ip&gt;learners_pss_m_ip,"Items in 3a must be less or equal to item in 3.",IF(learners_referral_f_ip&gt;learners_pss_f_ip,"Items in 3a must be less or equal to item in 3.",IF(learners_referral_f_muslim&gt;learners_pss_f_muslim,"Items in 3a must be less or equal to item in 3.",IF(learners_referral_m_pwd&gt;learners_pss_m_pwd,"Items in 3a must be less or equal to item in 3.",IF(learners_referral_m_muslim&gt;learners_pss_m_muslim,"Items in 3a must be less or equal to item in 3.",IF(learners_referral_f_pwd&gt;learners_pss_f_pwd,"Items in 3a must be less or equal to item in 3.",""))))))))</f>
        <v/>
      </c>
      <c r="P57" s="1095"/>
      <c r="Q57" s="1095"/>
      <c r="R57" s="1095"/>
      <c r="S57" s="1095"/>
      <c r="U57" s="1095"/>
      <c r="W57" s="681"/>
      <c r="Z57" s="1095"/>
      <c r="AC57" s="1095"/>
      <c r="AF57" s="681"/>
      <c r="AJ57" s="1095"/>
      <c r="AN57" s="405"/>
      <c r="AO57" s="681"/>
    </row>
    <row r="58" spans="2:41" s="1042" customFormat="1" ht="34" customHeight="1" x14ac:dyDescent="0.35">
      <c r="C58" s="1044"/>
      <c r="D58" s="1045"/>
      <c r="E58" s="417" t="s">
        <v>303</v>
      </c>
      <c r="F58" s="1046"/>
      <c r="G58" s="1046"/>
      <c r="H58" s="1170" t="s">
        <v>150</v>
      </c>
      <c r="I58" s="3542" t="s">
        <v>1932</v>
      </c>
      <c r="J58" s="3542"/>
      <c r="K58" s="3542"/>
      <c r="L58" s="3542"/>
      <c r="M58" s="3542"/>
      <c r="N58" s="3542"/>
      <c r="O58" s="3542"/>
      <c r="P58" s="3542"/>
      <c r="Q58" s="3542"/>
      <c r="R58" s="3542"/>
      <c r="S58" s="3542"/>
      <c r="T58" s="3542"/>
      <c r="U58" s="3542"/>
      <c r="V58" s="3542"/>
      <c r="W58" s="3542"/>
      <c r="X58" s="3542"/>
      <c r="Y58" s="3542"/>
      <c r="Z58" s="3542"/>
      <c r="AA58" s="3542"/>
      <c r="AB58" s="3542"/>
      <c r="AC58" s="3542"/>
      <c r="AD58" s="3542"/>
      <c r="AE58" s="3542"/>
      <c r="AF58" s="3542"/>
      <c r="AG58" s="3542"/>
      <c r="AH58" s="3542"/>
      <c r="AI58" s="3542"/>
      <c r="AJ58" s="3542"/>
      <c r="AK58" s="3542"/>
      <c r="AL58" s="3542"/>
      <c r="AN58" s="1043"/>
      <c r="AO58" s="681"/>
    </row>
    <row r="59" spans="2:41" s="1042" customFormat="1" ht="34" customHeight="1" x14ac:dyDescent="0.35">
      <c r="C59" s="1044"/>
      <c r="D59" s="1045"/>
      <c r="E59" s="417"/>
      <c r="F59" s="1046"/>
      <c r="G59" s="1046"/>
      <c r="H59" s="1170" t="s">
        <v>151</v>
      </c>
      <c r="I59" s="3542" t="s">
        <v>1931</v>
      </c>
      <c r="J59" s="3542"/>
      <c r="K59" s="3542"/>
      <c r="L59" s="3542"/>
      <c r="M59" s="3542"/>
      <c r="N59" s="3542"/>
      <c r="O59" s="3542"/>
      <c r="P59" s="3542"/>
      <c r="Q59" s="3542"/>
      <c r="R59" s="3542"/>
      <c r="S59" s="3542"/>
      <c r="T59" s="3542"/>
      <c r="U59" s="3542"/>
      <c r="V59" s="3542"/>
      <c r="W59" s="3542"/>
      <c r="X59" s="3542"/>
      <c r="Y59" s="3542"/>
      <c r="Z59" s="3542"/>
      <c r="AA59" s="3542"/>
      <c r="AB59" s="3542"/>
      <c r="AC59" s="3542"/>
      <c r="AD59" s="3542"/>
      <c r="AE59" s="3542"/>
      <c r="AF59" s="3542"/>
      <c r="AG59" s="3542"/>
      <c r="AH59" s="3542"/>
      <c r="AI59" s="3542"/>
      <c r="AJ59" s="3542"/>
      <c r="AK59" s="3542"/>
      <c r="AL59" s="3542"/>
      <c r="AN59" s="1043"/>
    </row>
    <row r="60" spans="2:41" ht="10" customHeight="1" thickBot="1" x14ac:dyDescent="0.4">
      <c r="C60" s="1035"/>
      <c r="D60" s="1036"/>
      <c r="E60" s="1037"/>
      <c r="F60" s="1038"/>
      <c r="G60" s="1038"/>
      <c r="H60" s="1038"/>
      <c r="I60" s="1038"/>
      <c r="J60" s="1038"/>
      <c r="K60" s="1038"/>
      <c r="L60" s="1039"/>
      <c r="M60" s="1039"/>
      <c r="N60" s="1039"/>
      <c r="O60" s="1039"/>
      <c r="P60" s="1039"/>
      <c r="Q60" s="1039"/>
      <c r="R60" s="1039"/>
      <c r="S60" s="1039"/>
      <c r="T60" s="1039"/>
      <c r="U60" s="1039"/>
      <c r="V60" s="1039"/>
      <c r="W60" s="1039"/>
      <c r="X60" s="1039"/>
      <c r="Y60" s="1039"/>
      <c r="Z60" s="1039"/>
      <c r="AA60" s="1039"/>
      <c r="AB60" s="1039"/>
      <c r="AC60" s="1039"/>
      <c r="AD60" s="1039"/>
      <c r="AE60" s="1039"/>
      <c r="AF60" s="1039"/>
      <c r="AG60" s="1039"/>
      <c r="AH60" s="1039"/>
      <c r="AI60" s="1039"/>
      <c r="AJ60" s="1039"/>
      <c r="AK60" s="1039"/>
      <c r="AL60" s="1039"/>
      <c r="AM60" s="1039"/>
      <c r="AN60" s="1040"/>
    </row>
    <row r="61" spans="2:41" ht="10" customHeight="1" thickTop="1" x14ac:dyDescent="0.35">
      <c r="C61" s="1118"/>
      <c r="D61" s="1098"/>
      <c r="F61" s="1052"/>
      <c r="G61" s="1052"/>
      <c r="H61" s="1052"/>
      <c r="I61" s="1052"/>
      <c r="J61" s="1052"/>
      <c r="K61" s="1052"/>
      <c r="L61" s="1041"/>
      <c r="M61" s="1041"/>
      <c r="N61" s="1041"/>
      <c r="O61" s="1041"/>
      <c r="P61" s="1041"/>
      <c r="Q61" s="1041"/>
      <c r="R61" s="1041"/>
      <c r="S61" s="1041"/>
      <c r="T61" s="1041"/>
      <c r="U61" s="1041"/>
      <c r="V61" s="1041"/>
      <c r="W61" s="1041"/>
      <c r="X61" s="1041"/>
      <c r="Y61" s="1041"/>
      <c r="Z61" s="1041"/>
      <c r="AA61" s="1041"/>
      <c r="AB61" s="1041"/>
      <c r="AC61" s="1041"/>
      <c r="AD61" s="1041"/>
      <c r="AE61" s="1041"/>
      <c r="AF61" s="1041"/>
      <c r="AG61" s="1041"/>
      <c r="AH61" s="1041"/>
      <c r="AI61" s="1041"/>
      <c r="AJ61" s="1041"/>
      <c r="AK61" s="1041"/>
      <c r="AL61" s="1041"/>
    </row>
    <row r="62" spans="2:41" s="399" customFormat="1" ht="16.5" x14ac:dyDescent="0.35">
      <c r="C62" s="85" t="s">
        <v>1286</v>
      </c>
      <c r="D62" s="1001"/>
      <c r="E62" s="997"/>
      <c r="F62" s="997"/>
      <c r="G62" s="997"/>
      <c r="H62" s="997"/>
      <c r="I62" s="997"/>
      <c r="J62" s="997"/>
      <c r="K62" s="997"/>
      <c r="L62" s="997"/>
      <c r="M62" s="997"/>
      <c r="N62" s="997"/>
      <c r="O62" s="997"/>
      <c r="P62" s="997"/>
      <c r="Q62" s="997"/>
      <c r="R62" s="997"/>
      <c r="S62" s="997"/>
      <c r="T62" s="997"/>
      <c r="U62" s="997"/>
    </row>
    <row r="63" spans="2:41" s="501" customFormat="1" ht="30.75" customHeight="1" x14ac:dyDescent="0.35"/>
    <row r="64" spans="2:41" s="73" customFormat="1" ht="14" x14ac:dyDescent="0.3">
      <c r="B64" s="74" t="s">
        <v>913</v>
      </c>
      <c r="P64" s="74" t="s">
        <v>846</v>
      </c>
      <c r="AD64" s="74" t="s">
        <v>922</v>
      </c>
    </row>
    <row r="65" spans="2:41" s="73" customFormat="1" ht="21.75" customHeight="1" x14ac:dyDescent="0.3">
      <c r="B65" s="74" t="s">
        <v>811</v>
      </c>
      <c r="F65" s="1482" t="str">
        <f>SchInfo!F38</f>
        <v>MELCHESIEDICK Q. BOLANIO/ March 17, 2023</v>
      </c>
      <c r="G65" s="1482"/>
      <c r="H65" s="1482"/>
      <c r="I65" s="1482"/>
      <c r="J65" s="1482"/>
      <c r="K65" s="1482"/>
      <c r="L65" s="1482"/>
      <c r="M65" s="1482"/>
      <c r="P65" s="1482" t="str">
        <f>Table39!Q37</f>
        <v>ELYN KENDRA D. DELA CRUZ  /  March 17, 2023</v>
      </c>
      <c r="Q65" s="1482"/>
      <c r="R65" s="1482"/>
      <c r="S65" s="1482"/>
      <c r="T65" s="1482"/>
      <c r="U65" s="1482"/>
      <c r="V65" s="1482"/>
      <c r="W65" s="1482"/>
      <c r="X65" s="1482"/>
      <c r="Y65" s="1482"/>
      <c r="Z65" s="1482"/>
      <c r="AA65" s="1482"/>
      <c r="AD65" s="3720" t="str">
        <f>SchInfo!R38</f>
        <v>MICHAEL T. JAMIS   /  March 17, 2023</v>
      </c>
      <c r="AE65" s="3720"/>
      <c r="AF65" s="3720"/>
      <c r="AG65" s="3720"/>
      <c r="AH65" s="3720"/>
      <c r="AI65" s="3720"/>
      <c r="AJ65" s="3720"/>
      <c r="AK65" s="3720"/>
      <c r="AL65" s="3720"/>
      <c r="AM65" s="3720"/>
      <c r="AN65" s="3720"/>
      <c r="AO65" s="3720"/>
    </row>
    <row r="66" spans="2:41" s="68" customFormat="1" ht="14" customHeight="1" x14ac:dyDescent="0.3">
      <c r="B66" s="210"/>
      <c r="F66" s="1451" t="s">
        <v>779</v>
      </c>
      <c r="G66" s="1451"/>
      <c r="H66" s="1451"/>
      <c r="I66" s="1451"/>
      <c r="J66" s="1451"/>
      <c r="K66" s="1451"/>
      <c r="L66" s="1451"/>
      <c r="M66" s="1451"/>
      <c r="N66" s="65"/>
      <c r="O66" s="65"/>
      <c r="P66" s="1451" t="s">
        <v>779</v>
      </c>
      <c r="Q66" s="1451"/>
      <c r="R66" s="1451"/>
      <c r="S66" s="1451"/>
      <c r="T66" s="1451"/>
      <c r="U66" s="1451"/>
      <c r="V66" s="1451"/>
      <c r="W66" s="1451"/>
      <c r="X66" s="1451"/>
      <c r="Y66" s="1451"/>
      <c r="Z66" s="1451"/>
      <c r="AA66" s="1451"/>
      <c r="AB66" s="65"/>
      <c r="AC66" s="65"/>
      <c r="AD66" s="3721"/>
      <c r="AE66" s="3721"/>
      <c r="AF66" s="3721"/>
      <c r="AG66" s="3721"/>
      <c r="AH66" s="3721"/>
      <c r="AI66" s="3721"/>
      <c r="AJ66" s="3721"/>
      <c r="AK66" s="3721"/>
      <c r="AL66" s="3721"/>
      <c r="AM66" s="3721"/>
      <c r="AN66" s="3721"/>
      <c r="AO66" s="3721"/>
    </row>
    <row r="67" spans="2:41" s="73" customFormat="1" ht="21.75" customHeight="1" x14ac:dyDescent="0.3">
      <c r="B67" s="74" t="s">
        <v>784</v>
      </c>
      <c r="F67" s="1482" t="str">
        <f>SchInfo!F40</f>
        <v>Principal IV</v>
      </c>
      <c r="G67" s="1482"/>
      <c r="H67" s="1482"/>
      <c r="I67" s="1482"/>
      <c r="J67" s="1482"/>
      <c r="K67" s="1482"/>
      <c r="L67" s="1482"/>
      <c r="M67" s="1482"/>
      <c r="P67" s="74" t="s">
        <v>784</v>
      </c>
      <c r="V67" s="1482" t="str">
        <f>Table39!U39</f>
        <v>Project Development Officer III</v>
      </c>
      <c r="W67" s="1482"/>
      <c r="X67" s="1482"/>
      <c r="Y67" s="1482"/>
      <c r="Z67" s="1482"/>
      <c r="AA67" s="1482"/>
      <c r="AD67" s="1451" t="s">
        <v>779</v>
      </c>
      <c r="AE67" s="1451"/>
      <c r="AF67" s="1451"/>
      <c r="AG67" s="1451"/>
      <c r="AH67" s="1451"/>
      <c r="AI67" s="1451"/>
      <c r="AJ67" s="1451"/>
      <c r="AK67" s="1451"/>
      <c r="AL67" s="1451"/>
      <c r="AM67" s="1451"/>
      <c r="AN67" s="1451"/>
      <c r="AO67" s="1451"/>
    </row>
    <row r="68" spans="2:41" x14ac:dyDescent="0.35">
      <c r="D68" s="1041"/>
      <c r="E68" s="1041"/>
      <c r="F68" s="1041"/>
      <c r="G68" s="1041"/>
      <c r="H68" s="1041"/>
      <c r="I68" s="1041"/>
      <c r="J68" s="1041"/>
      <c r="K68" s="1041"/>
      <c r="L68" s="1041"/>
      <c r="M68" s="1041"/>
      <c r="N68" s="501"/>
      <c r="O68" s="501"/>
      <c r="P68" s="1041"/>
      <c r="Q68" s="1041"/>
      <c r="R68" s="1041"/>
      <c r="S68" s="1041"/>
      <c r="T68" s="1041"/>
      <c r="U68" s="1041"/>
      <c r="V68" s="1041"/>
      <c r="W68" s="1041"/>
      <c r="X68" s="1041"/>
      <c r="Y68" s="1041"/>
      <c r="Z68" s="1041"/>
      <c r="AA68" s="1041"/>
      <c r="AB68" s="501"/>
      <c r="AC68" s="501"/>
      <c r="AD68" s="1041"/>
      <c r="AE68" s="1041"/>
      <c r="AF68" s="1041"/>
      <c r="AG68" s="1041"/>
      <c r="AH68" s="1041"/>
      <c r="AI68" s="1041"/>
      <c r="AJ68" s="1041"/>
      <c r="AK68" s="1041"/>
      <c r="AL68" s="1041"/>
    </row>
  </sheetData>
  <sheetProtection algorithmName="SHA-512" hashValue="vLtWf//HuuQh+hIyi6OF9PWGBRD7/L3lkVCu4n+YH2Cp75DWV9O9ag95l5CIHm+atU33SgB+fbSRB20w34ixMA==" saltValue="/solnTsSscWDw1pDAtrFSw==" spinCount="100000" sheet="1" objects="1" scenarios="1"/>
  <mergeCells count="153">
    <mergeCell ref="F7:AK8"/>
    <mergeCell ref="F4:AK4"/>
    <mergeCell ref="E5:AG5"/>
    <mergeCell ref="I58:AL58"/>
    <mergeCell ref="I59:AL59"/>
    <mergeCell ref="F34:AL35"/>
    <mergeCell ref="F36:AL37"/>
    <mergeCell ref="E27:V27"/>
    <mergeCell ref="E29:N30"/>
    <mergeCell ref="O29:T29"/>
    <mergeCell ref="O30:Q30"/>
    <mergeCell ref="R30:T30"/>
    <mergeCell ref="F31:N31"/>
    <mergeCell ref="O31:Q31"/>
    <mergeCell ref="R31:T31"/>
    <mergeCell ref="F32:N32"/>
    <mergeCell ref="O32:Q32"/>
    <mergeCell ref="R32:T32"/>
    <mergeCell ref="O56:Q56"/>
    <mergeCell ref="R56:T56"/>
    <mergeCell ref="U56:W56"/>
    <mergeCell ref="X56:Z56"/>
    <mergeCell ref="AA56:AC56"/>
    <mergeCell ref="AD56:AF56"/>
    <mergeCell ref="AG56:AI56"/>
    <mergeCell ref="AJ56:AL56"/>
    <mergeCell ref="G56:N56"/>
    <mergeCell ref="O55:Q55"/>
    <mergeCell ref="R55:T55"/>
    <mergeCell ref="U55:W55"/>
    <mergeCell ref="X55:Z55"/>
    <mergeCell ref="AA55:AC55"/>
    <mergeCell ref="AD55:AF55"/>
    <mergeCell ref="AG55:AI55"/>
    <mergeCell ref="AJ55:AL55"/>
    <mergeCell ref="F55:N55"/>
    <mergeCell ref="AJ53:AL53"/>
    <mergeCell ref="F53:N53"/>
    <mergeCell ref="O54:Q54"/>
    <mergeCell ref="R54:T54"/>
    <mergeCell ref="U54:W54"/>
    <mergeCell ref="X54:Z54"/>
    <mergeCell ref="AA54:AC54"/>
    <mergeCell ref="AD54:AF54"/>
    <mergeCell ref="AG54:AI54"/>
    <mergeCell ref="AJ54:AL54"/>
    <mergeCell ref="F54:N54"/>
    <mergeCell ref="AD65:AO66"/>
    <mergeCell ref="AD67:AO67"/>
    <mergeCell ref="F67:M67"/>
    <mergeCell ref="V67:AA67"/>
    <mergeCell ref="F65:M65"/>
    <mergeCell ref="P65:AA65"/>
    <mergeCell ref="F66:M66"/>
    <mergeCell ref="P66:AA66"/>
    <mergeCell ref="AG51:AL51"/>
    <mergeCell ref="O52:Q52"/>
    <mergeCell ref="R52:T52"/>
    <mergeCell ref="U52:W52"/>
    <mergeCell ref="X52:Z52"/>
    <mergeCell ref="AA52:AC52"/>
    <mergeCell ref="AD52:AF52"/>
    <mergeCell ref="AG52:AI52"/>
    <mergeCell ref="AJ52:AL52"/>
    <mergeCell ref="O53:Q53"/>
    <mergeCell ref="R53:T53"/>
    <mergeCell ref="U53:W53"/>
    <mergeCell ref="X53:Z53"/>
    <mergeCell ref="AA53:AC53"/>
    <mergeCell ref="AD53:AF53"/>
    <mergeCell ref="AG53:AI53"/>
    <mergeCell ref="AA41:AF41"/>
    <mergeCell ref="AH41:AL41"/>
    <mergeCell ref="F42:K42"/>
    <mergeCell ref="M42:Q42"/>
    <mergeCell ref="AA42:AF42"/>
    <mergeCell ref="E49:AB49"/>
    <mergeCell ref="E51:N52"/>
    <mergeCell ref="O51:T51"/>
    <mergeCell ref="U51:Z51"/>
    <mergeCell ref="AA51:AF51"/>
    <mergeCell ref="E21:L21"/>
    <mergeCell ref="M21:P21"/>
    <mergeCell ref="Q21:T21"/>
    <mergeCell ref="Z21:AG22"/>
    <mergeCell ref="AH21:AK22"/>
    <mergeCell ref="E24:L25"/>
    <mergeCell ref="M24:P25"/>
    <mergeCell ref="Q24:T25"/>
    <mergeCell ref="F45:K45"/>
    <mergeCell ref="M45:Q45"/>
    <mergeCell ref="AA45:AF46"/>
    <mergeCell ref="AH45:AL46"/>
    <mergeCell ref="F46:K46"/>
    <mergeCell ref="M46:Q46"/>
    <mergeCell ref="F43:K43"/>
    <mergeCell ref="M43:Q43"/>
    <mergeCell ref="AA43:AF43"/>
    <mergeCell ref="AH43:AL43"/>
    <mergeCell ref="F44:K44"/>
    <mergeCell ref="M44:Q44"/>
    <mergeCell ref="AA44:AF44"/>
    <mergeCell ref="AH44:AL44"/>
    <mergeCell ref="F41:K41"/>
    <mergeCell ref="M41:Q41"/>
    <mergeCell ref="Q13:T14"/>
    <mergeCell ref="Z13:AG13"/>
    <mergeCell ref="AH13:AK13"/>
    <mergeCell ref="Z14:AG14"/>
    <mergeCell ref="AH14:AK14"/>
    <mergeCell ref="AH42:AL42"/>
    <mergeCell ref="E39:T39"/>
    <mergeCell ref="Z39:AM39"/>
    <mergeCell ref="E40:L40"/>
    <mergeCell ref="M40:Q40"/>
    <mergeCell ref="Z40:AG40"/>
    <mergeCell ref="AH40:AL40"/>
    <mergeCell ref="E17:L18"/>
    <mergeCell ref="M17:P18"/>
    <mergeCell ref="Q17:T18"/>
    <mergeCell ref="Z17:AG17"/>
    <mergeCell ref="AH17:AK17"/>
    <mergeCell ref="Z18:AG19"/>
    <mergeCell ref="AH18:AK19"/>
    <mergeCell ref="E19:L20"/>
    <mergeCell ref="M19:P20"/>
    <mergeCell ref="Q19:T20"/>
    <mergeCell ref="Z20:AG20"/>
    <mergeCell ref="AH20:AK20"/>
    <mergeCell ref="E22:L22"/>
    <mergeCell ref="M22:P22"/>
    <mergeCell ref="Q22:T22"/>
    <mergeCell ref="E23:L23"/>
    <mergeCell ref="M23:P23"/>
    <mergeCell ref="Q23:T23"/>
    <mergeCell ref="Z23:AG23"/>
    <mergeCell ref="AH23:AK23"/>
    <mergeCell ref="AI5:AK5"/>
    <mergeCell ref="E10:AK10"/>
    <mergeCell ref="E12:L12"/>
    <mergeCell ref="M12:P12"/>
    <mergeCell ref="Q12:T12"/>
    <mergeCell ref="Z12:AG12"/>
    <mergeCell ref="AH12:AK12"/>
    <mergeCell ref="E15:L16"/>
    <mergeCell ref="M15:P16"/>
    <mergeCell ref="Q15:T16"/>
    <mergeCell ref="Z15:AG15"/>
    <mergeCell ref="AH15:AK15"/>
    <mergeCell ref="Z16:AG16"/>
    <mergeCell ref="AH16:AK16"/>
    <mergeCell ref="E13:L14"/>
    <mergeCell ref="M13:P14"/>
  </mergeCells>
  <dataValidations count="6">
    <dataValidation type="whole" allowBlank="1" showInputMessage="1" showErrorMessage="1" errorTitle="GJSHP SY 2022-2023" error="Please enter valid number between 0-99." sqref="AI5:AK5" xr:uid="{15465C49-3F0F-48E4-B3A9-FC5357ACBE11}">
      <formula1>0</formula1>
      <formula2>99</formula2>
    </dataValidation>
    <dataValidation type="whole" allowBlank="1" showInputMessage="1" showErrorMessage="1" errorTitle="GJHSP SY 2022-2023" error="Please enter valid number between 0-999." sqref="AH13:AK15 AH17:AK23 M13:P21 M23:P25" xr:uid="{FA8D6934-4F30-4A8E-90CF-CE4244AC4C6F}">
      <formula1>0</formula1>
      <formula2>999</formula2>
    </dataValidation>
    <dataValidation type="whole" allowBlank="1" showInputMessage="1" showErrorMessage="1" errorTitle="GJHSP SY 2022-2023" error="Please enter valid number between 0-999" sqref="O31:T32" xr:uid="{EA68FABC-6D33-4F75-9ED9-10DC2E5B6D94}">
      <formula1>0</formula1>
      <formula2>999</formula2>
    </dataValidation>
    <dataValidation type="date" allowBlank="1" showInputMessage="1" showErrorMessage="1" errorTitle="GJHSP SY 2022-2023" error="Please enter valid date between June 01, 2021 - May 31, 2022 (in MM/DD/YYYY or DD/YY/YYYY depending on your computer's setting)" sqref="Q13:T25" xr:uid="{9DEB7A17-BAA1-41A1-87B2-DF02DBA4C3A2}">
      <formula1>44348</formula1>
      <formula2>44712</formula2>
    </dataValidation>
    <dataValidation type="whole" allowBlank="1" showInputMessage="1" showErrorMessage="1" errorTitle="GJHSP SY 2022-2023" error="Please enter valid number between 0-365." sqref="M41:Q46 AH41:AL46" xr:uid="{39355805-9065-4123-A988-E6F6835027D8}">
      <formula1>0</formula1>
      <formula2>365</formula2>
    </dataValidation>
    <dataValidation type="whole" allowBlank="1" showInputMessage="1" showErrorMessage="1" errorTitle="GJHSP SY 2022-2023" error="Please enter valid number between 0-20,000." sqref="O53:AL56 AH16:AK16 M22:P22" xr:uid="{4BF35A80-4C52-4FEB-A0E2-1DBE13662778}">
      <formula1>0</formula1>
      <formula2>20000</formula2>
    </dataValidation>
  </dataValidations>
  <printOptions horizontalCentered="1" verticalCentered="1"/>
  <pageMargins left="0.25" right="0.25" top="0.2" bottom="0.2" header="0" footer="0.1"/>
  <pageSetup paperSize="9" scale="24" orientation="portrait" r:id="rId1"/>
  <headerFooter>
    <oddFooter>&amp;L&amp;10&amp;F &amp;A&amp;R&amp;10Page 55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87041" r:id="rId4" name="Check Box 1">
              <controlPr defaultSize="0" autoFill="0" autoLine="0" autoPict="0">
                <anchor moveWithCells="1">
                  <from>
                    <xdr:col>4</xdr:col>
                    <xdr:colOff>25400</xdr:colOff>
                    <xdr:row>32</xdr:row>
                    <xdr:rowOff>114300</xdr:rowOff>
                  </from>
                  <to>
                    <xdr:col>5</xdr:col>
                    <xdr:colOff>101600</xdr:colOff>
                    <xdr:row>34</xdr:row>
                    <xdr:rowOff>6350</xdr:rowOff>
                  </to>
                </anchor>
              </controlPr>
            </control>
          </mc:Choice>
        </mc:AlternateContent>
        <mc:AlternateContent xmlns:mc="http://schemas.openxmlformats.org/markup-compatibility/2006">
          <mc:Choice Requires="x14">
            <control shapeId="87042" r:id="rId5" name="Check Box 2">
              <controlPr defaultSize="0" autoFill="0" autoLine="0" autoPict="0">
                <anchor moveWithCells="1">
                  <from>
                    <xdr:col>4</xdr:col>
                    <xdr:colOff>25400</xdr:colOff>
                    <xdr:row>34</xdr:row>
                    <xdr:rowOff>196850</xdr:rowOff>
                  </from>
                  <to>
                    <xdr:col>5</xdr:col>
                    <xdr:colOff>101600</xdr:colOff>
                    <xdr:row>36</xdr:row>
                    <xdr:rowOff>12700</xdr:rowOff>
                  </to>
                </anchor>
              </controlPr>
            </control>
          </mc:Choice>
        </mc:AlternateContent>
        <mc:AlternateContent xmlns:mc="http://schemas.openxmlformats.org/markup-compatibility/2006">
          <mc:Choice Requires="x14">
            <control shapeId="87043" r:id="rId6" name="Check Box 3">
              <controlPr defaultSize="0" autoFill="0" autoLine="0" autoPict="0">
                <anchor moveWithCells="1">
                  <from>
                    <xdr:col>4</xdr:col>
                    <xdr:colOff>31750</xdr:colOff>
                    <xdr:row>40</xdr:row>
                    <xdr:rowOff>12700</xdr:rowOff>
                  </from>
                  <to>
                    <xdr:col>5</xdr:col>
                    <xdr:colOff>107950</xdr:colOff>
                    <xdr:row>40</xdr:row>
                    <xdr:rowOff>234950</xdr:rowOff>
                  </to>
                </anchor>
              </controlPr>
            </control>
          </mc:Choice>
        </mc:AlternateContent>
        <mc:AlternateContent xmlns:mc="http://schemas.openxmlformats.org/markup-compatibility/2006">
          <mc:Choice Requires="x14">
            <control shapeId="87044" r:id="rId7" name="Check Box 4">
              <controlPr defaultSize="0" autoFill="0" autoLine="0" autoPict="0">
                <anchor moveWithCells="1">
                  <from>
                    <xdr:col>4</xdr:col>
                    <xdr:colOff>31750</xdr:colOff>
                    <xdr:row>41</xdr:row>
                    <xdr:rowOff>12700</xdr:rowOff>
                  </from>
                  <to>
                    <xdr:col>5</xdr:col>
                    <xdr:colOff>107950</xdr:colOff>
                    <xdr:row>41</xdr:row>
                    <xdr:rowOff>234950</xdr:rowOff>
                  </to>
                </anchor>
              </controlPr>
            </control>
          </mc:Choice>
        </mc:AlternateContent>
        <mc:AlternateContent xmlns:mc="http://schemas.openxmlformats.org/markup-compatibility/2006">
          <mc:Choice Requires="x14">
            <control shapeId="87045" r:id="rId8" name="Check Box 5">
              <controlPr defaultSize="0" autoFill="0" autoLine="0" autoPict="0">
                <anchor moveWithCells="1">
                  <from>
                    <xdr:col>4</xdr:col>
                    <xdr:colOff>31750</xdr:colOff>
                    <xdr:row>42</xdr:row>
                    <xdr:rowOff>12700</xdr:rowOff>
                  </from>
                  <to>
                    <xdr:col>5</xdr:col>
                    <xdr:colOff>107950</xdr:colOff>
                    <xdr:row>42</xdr:row>
                    <xdr:rowOff>234950</xdr:rowOff>
                  </to>
                </anchor>
              </controlPr>
            </control>
          </mc:Choice>
        </mc:AlternateContent>
        <mc:AlternateContent xmlns:mc="http://schemas.openxmlformats.org/markup-compatibility/2006">
          <mc:Choice Requires="x14">
            <control shapeId="87046" r:id="rId9" name="Check Box 6">
              <controlPr defaultSize="0" autoFill="0" autoLine="0" autoPict="0">
                <anchor moveWithCells="1">
                  <from>
                    <xdr:col>4</xdr:col>
                    <xdr:colOff>31750</xdr:colOff>
                    <xdr:row>43</xdr:row>
                    <xdr:rowOff>12700</xdr:rowOff>
                  </from>
                  <to>
                    <xdr:col>5</xdr:col>
                    <xdr:colOff>107950</xdr:colOff>
                    <xdr:row>43</xdr:row>
                    <xdr:rowOff>234950</xdr:rowOff>
                  </to>
                </anchor>
              </controlPr>
            </control>
          </mc:Choice>
        </mc:AlternateContent>
        <mc:AlternateContent xmlns:mc="http://schemas.openxmlformats.org/markup-compatibility/2006">
          <mc:Choice Requires="x14">
            <control shapeId="87047" r:id="rId10" name="Check Box 7">
              <controlPr defaultSize="0" autoFill="0" autoLine="0" autoPict="0">
                <anchor moveWithCells="1">
                  <from>
                    <xdr:col>4</xdr:col>
                    <xdr:colOff>31750</xdr:colOff>
                    <xdr:row>44</xdr:row>
                    <xdr:rowOff>12700</xdr:rowOff>
                  </from>
                  <to>
                    <xdr:col>5</xdr:col>
                    <xdr:colOff>107950</xdr:colOff>
                    <xdr:row>44</xdr:row>
                    <xdr:rowOff>234950</xdr:rowOff>
                  </to>
                </anchor>
              </controlPr>
            </control>
          </mc:Choice>
        </mc:AlternateContent>
        <mc:AlternateContent xmlns:mc="http://schemas.openxmlformats.org/markup-compatibility/2006">
          <mc:Choice Requires="x14">
            <control shapeId="87048" r:id="rId11" name="Check Box 8">
              <controlPr defaultSize="0" autoFill="0" autoLine="0" autoPict="0">
                <anchor moveWithCells="1">
                  <from>
                    <xdr:col>4</xdr:col>
                    <xdr:colOff>31750</xdr:colOff>
                    <xdr:row>45</xdr:row>
                    <xdr:rowOff>12700</xdr:rowOff>
                  </from>
                  <to>
                    <xdr:col>5</xdr:col>
                    <xdr:colOff>107950</xdr:colOff>
                    <xdr:row>45</xdr:row>
                    <xdr:rowOff>234950</xdr:rowOff>
                  </to>
                </anchor>
              </controlPr>
            </control>
          </mc:Choice>
        </mc:AlternateContent>
        <mc:AlternateContent xmlns:mc="http://schemas.openxmlformats.org/markup-compatibility/2006">
          <mc:Choice Requires="x14">
            <control shapeId="87049" r:id="rId12" name="Check Box 9">
              <controlPr defaultSize="0" autoFill="0" autoLine="0" autoPict="0">
                <anchor moveWithCells="1">
                  <from>
                    <xdr:col>25</xdr:col>
                    <xdr:colOff>31750</xdr:colOff>
                    <xdr:row>40</xdr:row>
                    <xdr:rowOff>12700</xdr:rowOff>
                  </from>
                  <to>
                    <xdr:col>26</xdr:col>
                    <xdr:colOff>107950</xdr:colOff>
                    <xdr:row>40</xdr:row>
                    <xdr:rowOff>234950</xdr:rowOff>
                  </to>
                </anchor>
              </controlPr>
            </control>
          </mc:Choice>
        </mc:AlternateContent>
        <mc:AlternateContent xmlns:mc="http://schemas.openxmlformats.org/markup-compatibility/2006">
          <mc:Choice Requires="x14">
            <control shapeId="87050" r:id="rId13" name="Check Box 10">
              <controlPr defaultSize="0" autoFill="0" autoLine="0" autoPict="0">
                <anchor moveWithCells="1">
                  <from>
                    <xdr:col>25</xdr:col>
                    <xdr:colOff>31750</xdr:colOff>
                    <xdr:row>41</xdr:row>
                    <xdr:rowOff>12700</xdr:rowOff>
                  </from>
                  <to>
                    <xdr:col>26</xdr:col>
                    <xdr:colOff>107950</xdr:colOff>
                    <xdr:row>41</xdr:row>
                    <xdr:rowOff>234950</xdr:rowOff>
                  </to>
                </anchor>
              </controlPr>
            </control>
          </mc:Choice>
        </mc:AlternateContent>
        <mc:AlternateContent xmlns:mc="http://schemas.openxmlformats.org/markup-compatibility/2006">
          <mc:Choice Requires="x14">
            <control shapeId="87051" r:id="rId14" name="Check Box 11">
              <controlPr defaultSize="0" autoFill="0" autoLine="0" autoPict="0">
                <anchor moveWithCells="1">
                  <from>
                    <xdr:col>25</xdr:col>
                    <xdr:colOff>31750</xdr:colOff>
                    <xdr:row>42</xdr:row>
                    <xdr:rowOff>12700</xdr:rowOff>
                  </from>
                  <to>
                    <xdr:col>26</xdr:col>
                    <xdr:colOff>107950</xdr:colOff>
                    <xdr:row>42</xdr:row>
                    <xdr:rowOff>234950</xdr:rowOff>
                  </to>
                </anchor>
              </controlPr>
            </control>
          </mc:Choice>
        </mc:AlternateContent>
        <mc:AlternateContent xmlns:mc="http://schemas.openxmlformats.org/markup-compatibility/2006">
          <mc:Choice Requires="x14">
            <control shapeId="87052" r:id="rId15" name="Check Box 12">
              <controlPr defaultSize="0" autoFill="0" autoLine="0" autoPict="0">
                <anchor moveWithCells="1">
                  <from>
                    <xdr:col>25</xdr:col>
                    <xdr:colOff>31750</xdr:colOff>
                    <xdr:row>43</xdr:row>
                    <xdr:rowOff>12700</xdr:rowOff>
                  </from>
                  <to>
                    <xdr:col>26</xdr:col>
                    <xdr:colOff>107950</xdr:colOff>
                    <xdr:row>43</xdr:row>
                    <xdr:rowOff>234950</xdr:rowOff>
                  </to>
                </anchor>
              </controlPr>
            </control>
          </mc:Choice>
        </mc:AlternateContent>
        <mc:AlternateContent xmlns:mc="http://schemas.openxmlformats.org/markup-compatibility/2006">
          <mc:Choice Requires="x14">
            <control shapeId="87053" r:id="rId16" name="Check Box 13">
              <controlPr defaultSize="0" autoFill="0" autoLine="0" autoPict="0">
                <anchor moveWithCells="1">
                  <from>
                    <xdr:col>25</xdr:col>
                    <xdr:colOff>31750</xdr:colOff>
                    <xdr:row>44</xdr:row>
                    <xdr:rowOff>12700</xdr:rowOff>
                  </from>
                  <to>
                    <xdr:col>26</xdr:col>
                    <xdr:colOff>107950</xdr:colOff>
                    <xdr:row>44</xdr:row>
                    <xdr:rowOff>234950</xdr:rowOff>
                  </to>
                </anchor>
              </controlPr>
            </control>
          </mc:Choice>
        </mc:AlternateContent>
        <mc:AlternateContent xmlns:mc="http://schemas.openxmlformats.org/markup-compatibility/2006">
          <mc:Choice Requires="x14">
            <control shapeId="87054" r:id="rId17" name="Check Box 14">
              <controlPr defaultSize="0" autoFill="0" autoLine="0" autoPict="0">
                <anchor moveWithCells="1">
                  <from>
                    <xdr:col>4</xdr:col>
                    <xdr:colOff>31750</xdr:colOff>
                    <xdr:row>3</xdr:row>
                    <xdr:rowOff>12700</xdr:rowOff>
                  </from>
                  <to>
                    <xdr:col>5</xdr:col>
                    <xdr:colOff>107950</xdr:colOff>
                    <xdr:row>3</xdr:row>
                    <xdr:rowOff>234950</xdr:rowOff>
                  </to>
                </anchor>
              </controlPr>
            </control>
          </mc:Choice>
        </mc:AlternateContent>
        <mc:AlternateContent xmlns:mc="http://schemas.openxmlformats.org/markup-compatibility/2006">
          <mc:Choice Requires="x14">
            <control shapeId="87055" r:id="rId18" name="Check Box 15">
              <controlPr defaultSize="0" autoFill="0" autoLine="0" autoPict="0">
                <anchor moveWithCells="1">
                  <from>
                    <xdr:col>4</xdr:col>
                    <xdr:colOff>31750</xdr:colOff>
                    <xdr:row>6</xdr:row>
                    <xdr:rowOff>12700</xdr:rowOff>
                  </from>
                  <to>
                    <xdr:col>5</xdr:col>
                    <xdr:colOff>107950</xdr:colOff>
                    <xdr:row>7</xdr:row>
                    <xdr:rowOff>31750</xdr:rowOff>
                  </to>
                </anchor>
              </controlPr>
            </control>
          </mc:Choice>
        </mc:AlternateContent>
      </controls>
    </mc:Choice>
  </mc:AlternateContent>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BE7E8-652C-4909-9BD1-09094C29E059}">
  <sheetPr>
    <pageSetUpPr fitToPage="1"/>
  </sheetPr>
  <dimension ref="B1:BE40"/>
  <sheetViews>
    <sheetView showGridLines="0" zoomScaleNormal="100" zoomScaleSheetLayoutView="100" workbookViewId="0">
      <selection activeCell="AB16" sqref="AB16"/>
    </sheetView>
  </sheetViews>
  <sheetFormatPr defaultColWidth="8" defaultRowHeight="15.5" x14ac:dyDescent="0.35"/>
  <cols>
    <col min="1" max="1" width="2.08203125" style="1178" customWidth="1"/>
    <col min="2" max="28" width="3.58203125" style="1186" customWidth="1"/>
    <col min="29" max="53" width="3.58203125" style="1178" customWidth="1"/>
    <col min="54" max="54" width="2.08203125" style="1178" customWidth="1"/>
    <col min="55" max="126" width="3.58203125" style="1178" customWidth="1"/>
    <col min="127" max="16384" width="8" style="1178"/>
  </cols>
  <sheetData>
    <row r="1" spans="2:55" ht="12" customHeight="1" x14ac:dyDescent="0.35"/>
    <row r="2" spans="2:55" ht="17" thickBot="1" x14ac:dyDescent="0.4">
      <c r="B2" s="1207" t="s">
        <v>1747</v>
      </c>
      <c r="C2" s="1178"/>
      <c r="D2" s="1178"/>
      <c r="AB2" s="1178"/>
    </row>
    <row r="3" spans="2:55" ht="5" customHeight="1" thickTop="1" thickBot="1" x14ac:dyDescent="0.4">
      <c r="B3" s="1208"/>
      <c r="C3" s="1209"/>
      <c r="D3" s="1209"/>
      <c r="E3" s="1209"/>
      <c r="F3" s="1209"/>
      <c r="G3" s="1209"/>
      <c r="H3" s="1209"/>
      <c r="I3" s="1209"/>
      <c r="J3" s="1209"/>
      <c r="K3" s="1209"/>
      <c r="L3" s="1209"/>
      <c r="M3" s="1209"/>
      <c r="N3" s="1209"/>
      <c r="O3" s="1209"/>
      <c r="P3" s="1209"/>
      <c r="Q3" s="1209"/>
      <c r="R3" s="1209"/>
      <c r="S3" s="1209"/>
      <c r="T3" s="1209"/>
      <c r="U3" s="1209"/>
      <c r="V3" s="1209"/>
      <c r="W3" s="1209"/>
      <c r="X3" s="1209"/>
      <c r="Y3" s="1209"/>
      <c r="Z3" s="1210"/>
      <c r="AA3" s="1210"/>
      <c r="AB3" s="1210"/>
      <c r="AC3" s="1210"/>
      <c r="AD3" s="1210"/>
      <c r="AE3" s="1209"/>
      <c r="AF3" s="1209"/>
      <c r="AG3" s="1209"/>
      <c r="AH3" s="1209"/>
      <c r="AI3" s="1209"/>
      <c r="AJ3" s="1209"/>
      <c r="AK3" s="1209"/>
      <c r="AL3" s="1209"/>
      <c r="AM3" s="1209"/>
      <c r="AN3" s="1209"/>
      <c r="AO3" s="1209"/>
      <c r="AP3" s="1209"/>
      <c r="AQ3" s="1209"/>
      <c r="AR3" s="1209"/>
      <c r="AS3" s="1209"/>
      <c r="AT3" s="1209"/>
      <c r="AU3" s="1209"/>
      <c r="AV3" s="1209"/>
      <c r="AW3" s="1209"/>
      <c r="AX3" s="1209"/>
      <c r="AY3" s="1209"/>
      <c r="AZ3" s="1209"/>
      <c r="BA3" s="1211"/>
    </row>
    <row r="4" spans="2:55" ht="16" customHeight="1" thickBot="1" x14ac:dyDescent="0.4">
      <c r="B4" s="1177"/>
      <c r="C4" s="1050" t="s">
        <v>150</v>
      </c>
      <c r="D4" s="3843" t="s">
        <v>1920</v>
      </c>
      <c r="E4" s="3843"/>
      <c r="F4" s="3843"/>
      <c r="G4" s="3843"/>
      <c r="H4" s="3843"/>
      <c r="I4" s="3843"/>
      <c r="J4" s="3843"/>
      <c r="K4" s="3843"/>
      <c r="L4" s="3843"/>
      <c r="M4" s="3843"/>
      <c r="N4" s="3843"/>
      <c r="O4" s="3843"/>
      <c r="P4" s="3843"/>
      <c r="Q4" s="3843"/>
      <c r="R4" s="3843"/>
      <c r="S4" s="3843"/>
      <c r="T4" s="3843"/>
      <c r="U4" s="3843"/>
      <c r="V4" s="3843"/>
      <c r="W4" s="3843"/>
      <c r="X4" s="3843"/>
      <c r="Y4" s="3843"/>
      <c r="Z4" s="3843"/>
      <c r="AA4" s="1206"/>
      <c r="AB4" s="1206"/>
      <c r="AC4" s="1206"/>
      <c r="AD4" s="1193"/>
      <c r="AE4" s="1191" t="s">
        <v>151</v>
      </c>
      <c r="AF4" s="3795" t="s">
        <v>1749</v>
      </c>
      <c r="AG4" s="3795"/>
      <c r="AH4" s="3795"/>
      <c r="AI4" s="3795"/>
      <c r="AJ4" s="3795"/>
      <c r="AK4" s="3795"/>
      <c r="AL4" s="3795"/>
      <c r="AM4" s="3795"/>
      <c r="AN4" s="3795"/>
      <c r="AO4" s="3795"/>
      <c r="AP4" s="3795"/>
      <c r="AQ4" s="3795"/>
      <c r="AR4" s="3795"/>
      <c r="AS4" s="3795"/>
      <c r="AT4" s="3795"/>
      <c r="AU4" s="3795"/>
      <c r="AV4" s="1192"/>
      <c r="AW4" s="3796"/>
      <c r="AX4" s="3797"/>
      <c r="AY4" s="3798"/>
      <c r="AZ4" s="1192"/>
      <c r="BA4" s="1205"/>
      <c r="BB4" s="1192"/>
      <c r="BC4" s="1192"/>
    </row>
    <row r="5" spans="2:55" ht="16" customHeight="1" thickTop="1" thickBot="1" x14ac:dyDescent="0.4">
      <c r="B5" s="1177"/>
      <c r="C5" s="1105"/>
      <c r="D5" s="1969" t="s">
        <v>627</v>
      </c>
      <c r="E5" s="1970"/>
      <c r="F5" s="1970"/>
      <c r="G5" s="1970"/>
      <c r="H5" s="1970"/>
      <c r="I5" s="1970"/>
      <c r="J5" s="1970"/>
      <c r="K5" s="1970"/>
      <c r="L5" s="1970"/>
      <c r="M5" s="2135"/>
      <c r="N5" s="3543" t="s">
        <v>898</v>
      </c>
      <c r="O5" s="3544"/>
      <c r="P5" s="3544"/>
      <c r="Q5" s="3544"/>
      <c r="R5" s="3544"/>
      <c r="S5" s="3546"/>
      <c r="T5" s="3545" t="s">
        <v>899</v>
      </c>
      <c r="U5" s="3544"/>
      <c r="V5" s="3544"/>
      <c r="W5" s="3544"/>
      <c r="X5" s="3544"/>
      <c r="Y5" s="3547"/>
      <c r="Z5" s="1193"/>
      <c r="AA5" s="1193"/>
      <c r="AB5" s="1193"/>
      <c r="AC5" s="1193"/>
      <c r="AD5" s="1193"/>
      <c r="AE5" s="1191"/>
      <c r="AF5" s="3795"/>
      <c r="AG5" s="3795"/>
      <c r="AH5" s="3795"/>
      <c r="AI5" s="3795"/>
      <c r="AJ5" s="3795"/>
      <c r="AK5" s="3795"/>
      <c r="AL5" s="3795"/>
      <c r="AM5" s="3795"/>
      <c r="AN5" s="3795"/>
      <c r="AO5" s="3795"/>
      <c r="AP5" s="3795"/>
      <c r="AQ5" s="3795"/>
      <c r="AR5" s="3795"/>
      <c r="AS5" s="3795"/>
      <c r="AT5" s="3795"/>
      <c r="AU5" s="3795"/>
      <c r="AV5" s="1193"/>
      <c r="AW5" s="3799"/>
      <c r="AX5" s="3800"/>
      <c r="AY5" s="3801"/>
      <c r="AZ5" s="1193"/>
      <c r="BA5" s="1194"/>
      <c r="BB5" s="1193"/>
      <c r="BC5" s="1193"/>
    </row>
    <row r="6" spans="2:55" ht="5" customHeight="1" thickBot="1" x14ac:dyDescent="0.4">
      <c r="B6" s="1177"/>
      <c r="C6" s="44"/>
      <c r="D6" s="1972"/>
      <c r="E6" s="1973"/>
      <c r="F6" s="1973"/>
      <c r="G6" s="1973"/>
      <c r="H6" s="1973"/>
      <c r="I6" s="1973"/>
      <c r="J6" s="1973"/>
      <c r="K6" s="1973"/>
      <c r="L6" s="1973"/>
      <c r="M6" s="2137"/>
      <c r="N6" s="3638"/>
      <c r="O6" s="3615"/>
      <c r="P6" s="3615"/>
      <c r="Q6" s="3615"/>
      <c r="R6" s="3615"/>
      <c r="S6" s="3865"/>
      <c r="T6" s="3869"/>
      <c r="U6" s="3615"/>
      <c r="V6" s="3615"/>
      <c r="W6" s="3615"/>
      <c r="X6" s="3615"/>
      <c r="Y6" s="3639"/>
      <c r="Z6" s="1193"/>
      <c r="AA6" s="1193"/>
      <c r="AB6" s="1193"/>
      <c r="AC6" s="1193"/>
      <c r="AD6" s="1193"/>
      <c r="AE6" s="1191"/>
      <c r="AF6" s="1192"/>
      <c r="AG6" s="1192"/>
      <c r="AH6" s="1192"/>
      <c r="AI6" s="1192"/>
      <c r="AJ6" s="1192"/>
      <c r="AK6" s="1192"/>
      <c r="AL6" s="1192"/>
      <c r="AM6" s="1192"/>
      <c r="AN6" s="1192"/>
      <c r="AO6" s="1192"/>
      <c r="AP6" s="1192"/>
      <c r="AQ6" s="1192"/>
      <c r="AR6" s="1192"/>
      <c r="AS6" s="1192"/>
      <c r="AT6" s="1192"/>
      <c r="AU6" s="1192"/>
      <c r="AV6" s="1193"/>
      <c r="AW6" s="1193"/>
      <c r="AX6" s="1193"/>
      <c r="AY6" s="1193"/>
      <c r="AZ6" s="1193"/>
      <c r="BA6" s="1194"/>
      <c r="BB6" s="1193"/>
      <c r="BC6" s="1193"/>
    </row>
    <row r="7" spans="2:55" ht="16" customHeight="1" thickBot="1" x14ac:dyDescent="0.4">
      <c r="B7" s="1177"/>
      <c r="C7" s="44"/>
      <c r="D7" s="1972"/>
      <c r="E7" s="1973"/>
      <c r="F7" s="1973"/>
      <c r="G7" s="1973"/>
      <c r="H7" s="1973"/>
      <c r="I7" s="1973"/>
      <c r="J7" s="1973"/>
      <c r="K7" s="1973"/>
      <c r="L7" s="1973"/>
      <c r="M7" s="2137"/>
      <c r="N7" s="3866"/>
      <c r="O7" s="3867"/>
      <c r="P7" s="3867"/>
      <c r="Q7" s="3867"/>
      <c r="R7" s="3867"/>
      <c r="S7" s="3868"/>
      <c r="T7" s="3870"/>
      <c r="U7" s="3867"/>
      <c r="V7" s="3867"/>
      <c r="W7" s="3867"/>
      <c r="X7" s="3867"/>
      <c r="Y7" s="3871"/>
      <c r="Z7" s="1193"/>
      <c r="AA7" s="1193"/>
      <c r="AB7" s="1193"/>
      <c r="AC7" s="1193"/>
      <c r="AD7" s="1193"/>
      <c r="AE7" s="1191" t="s">
        <v>152</v>
      </c>
      <c r="AF7" s="3795" t="s">
        <v>1750</v>
      </c>
      <c r="AG7" s="3795"/>
      <c r="AH7" s="3795"/>
      <c r="AI7" s="3795"/>
      <c r="AJ7" s="3795"/>
      <c r="AK7" s="3795"/>
      <c r="AL7" s="3795"/>
      <c r="AM7" s="3795"/>
      <c r="AN7" s="3795"/>
      <c r="AO7" s="3795"/>
      <c r="AP7" s="3795"/>
      <c r="AQ7" s="3795"/>
      <c r="AR7" s="3795"/>
      <c r="AS7" s="3795"/>
      <c r="AT7" s="3795"/>
      <c r="AU7" s="3795"/>
      <c r="AV7" s="1192"/>
      <c r="AW7" s="3796"/>
      <c r="AX7" s="3797"/>
      <c r="AY7" s="3798"/>
      <c r="AZ7" s="1192"/>
      <c r="BA7" s="1205"/>
      <c r="BB7" s="1192"/>
      <c r="BC7" s="1192"/>
    </row>
    <row r="8" spans="2:55" s="1186" customFormat="1" ht="16" customHeight="1" thickBot="1" x14ac:dyDescent="0.4">
      <c r="B8" s="1198"/>
      <c r="C8" s="44"/>
      <c r="D8" s="2287"/>
      <c r="E8" s="2288"/>
      <c r="F8" s="2288"/>
      <c r="G8" s="2288"/>
      <c r="H8" s="2288"/>
      <c r="I8" s="2288"/>
      <c r="J8" s="2288"/>
      <c r="K8" s="2288"/>
      <c r="L8" s="2288"/>
      <c r="M8" s="2531"/>
      <c r="N8" s="3872" t="s">
        <v>14</v>
      </c>
      <c r="O8" s="3873"/>
      <c r="P8" s="3874"/>
      <c r="Q8" s="3875" t="s">
        <v>15</v>
      </c>
      <c r="R8" s="3873"/>
      <c r="S8" s="3876"/>
      <c r="T8" s="3877" t="s">
        <v>14</v>
      </c>
      <c r="U8" s="3873"/>
      <c r="V8" s="3874"/>
      <c r="W8" s="3875" t="s">
        <v>15</v>
      </c>
      <c r="X8" s="3873"/>
      <c r="Y8" s="3878"/>
      <c r="Z8" s="1193"/>
      <c r="AA8" s="1193"/>
      <c r="AB8" s="1193"/>
      <c r="AC8" s="1111"/>
      <c r="AD8" s="1111"/>
      <c r="AE8" s="1191"/>
      <c r="AF8" s="3795"/>
      <c r="AG8" s="3795"/>
      <c r="AH8" s="3795"/>
      <c r="AI8" s="3795"/>
      <c r="AJ8" s="3795"/>
      <c r="AK8" s="3795"/>
      <c r="AL8" s="3795"/>
      <c r="AM8" s="3795"/>
      <c r="AN8" s="3795"/>
      <c r="AO8" s="3795"/>
      <c r="AP8" s="3795"/>
      <c r="AQ8" s="3795"/>
      <c r="AR8" s="3795"/>
      <c r="AS8" s="3795"/>
      <c r="AT8" s="3795"/>
      <c r="AU8" s="3795"/>
      <c r="AV8" s="1193"/>
      <c r="AW8" s="3799"/>
      <c r="AX8" s="3800"/>
      <c r="AY8" s="3801"/>
      <c r="AZ8" s="1193"/>
      <c r="BA8" s="1194"/>
      <c r="BB8" s="1193"/>
      <c r="BC8" s="1193"/>
    </row>
    <row r="9" spans="2:55" s="1186" customFormat="1" ht="5" customHeight="1" thickTop="1" x14ac:dyDescent="0.35">
      <c r="B9" s="1198"/>
      <c r="C9" s="44"/>
      <c r="D9" s="3881" t="s">
        <v>150</v>
      </c>
      <c r="E9" s="3879" t="s">
        <v>1918</v>
      </c>
      <c r="F9" s="3879"/>
      <c r="G9" s="3879"/>
      <c r="H9" s="3879"/>
      <c r="I9" s="3879"/>
      <c r="J9" s="3879"/>
      <c r="K9" s="3879"/>
      <c r="L9" s="3879"/>
      <c r="M9" s="3880"/>
      <c r="N9" s="3844">
        <v>0</v>
      </c>
      <c r="O9" s="3845"/>
      <c r="P9" s="3846"/>
      <c r="Q9" s="3853">
        <v>0</v>
      </c>
      <c r="R9" s="3845"/>
      <c r="S9" s="3854"/>
      <c r="T9" s="3859">
        <v>0</v>
      </c>
      <c r="U9" s="3845"/>
      <c r="V9" s="3846"/>
      <c r="W9" s="3853">
        <v>0</v>
      </c>
      <c r="X9" s="3845"/>
      <c r="Y9" s="3862"/>
      <c r="Z9" s="1111"/>
      <c r="AA9" s="1111"/>
      <c r="AB9" s="1111"/>
      <c r="AC9" s="1111"/>
      <c r="AD9" s="1111"/>
      <c r="AE9" s="1191"/>
      <c r="AF9" s="1192"/>
      <c r="AG9" s="1192"/>
      <c r="AH9" s="1192"/>
      <c r="AI9" s="1192"/>
      <c r="AJ9" s="1192"/>
      <c r="AK9" s="1192"/>
      <c r="AL9" s="1192"/>
      <c r="AM9" s="1192"/>
      <c r="AN9" s="1192"/>
      <c r="AO9" s="1192"/>
      <c r="AP9" s="1192"/>
      <c r="AQ9" s="1192"/>
      <c r="AR9" s="1192"/>
      <c r="AS9" s="1192"/>
      <c r="AT9" s="1192"/>
      <c r="AU9" s="1192"/>
      <c r="AV9" s="1193"/>
      <c r="AW9" s="1193"/>
      <c r="AX9" s="1193"/>
      <c r="AY9" s="1193"/>
      <c r="AZ9" s="1193"/>
      <c r="BA9" s="1194"/>
      <c r="BB9" s="1193"/>
      <c r="BC9" s="1193"/>
    </row>
    <row r="10" spans="2:55" s="1186" customFormat="1" ht="16" customHeight="1" x14ac:dyDescent="0.35">
      <c r="B10" s="1198"/>
      <c r="C10" s="44"/>
      <c r="D10" s="3882"/>
      <c r="E10" s="3827"/>
      <c r="F10" s="3827"/>
      <c r="G10" s="3827"/>
      <c r="H10" s="3827"/>
      <c r="I10" s="3827"/>
      <c r="J10" s="3827"/>
      <c r="K10" s="3827"/>
      <c r="L10" s="3827"/>
      <c r="M10" s="3828"/>
      <c r="N10" s="3847"/>
      <c r="O10" s="3848"/>
      <c r="P10" s="3849"/>
      <c r="Q10" s="3855"/>
      <c r="R10" s="3848"/>
      <c r="S10" s="3856"/>
      <c r="T10" s="3860"/>
      <c r="U10" s="3848"/>
      <c r="V10" s="3849"/>
      <c r="W10" s="3855"/>
      <c r="X10" s="3848"/>
      <c r="Y10" s="3863"/>
      <c r="Z10" s="1111"/>
      <c r="AA10" s="1111"/>
      <c r="AB10" s="1111"/>
      <c r="AC10" s="1111"/>
      <c r="AD10" s="1111"/>
      <c r="AE10" s="1191" t="s">
        <v>155</v>
      </c>
      <c r="AF10" s="833" t="b">
        <v>0</v>
      </c>
      <c r="AG10" s="3794" t="s">
        <v>1751</v>
      </c>
      <c r="AH10" s="3794"/>
      <c r="AI10" s="3794"/>
      <c r="AJ10" s="3794"/>
      <c r="AK10" s="3794"/>
      <c r="AL10" s="3794"/>
      <c r="AM10" s="3794"/>
      <c r="AN10" s="3794"/>
      <c r="AO10" s="3794"/>
      <c r="AP10" s="3794"/>
      <c r="AQ10" s="3794"/>
      <c r="AR10" s="3794"/>
      <c r="AS10" s="3794"/>
      <c r="AT10" s="3794"/>
      <c r="AU10" s="3794"/>
      <c r="AV10" s="3794"/>
      <c r="AW10" s="3794"/>
      <c r="AX10" s="3794"/>
      <c r="AY10" s="3794"/>
      <c r="AZ10" s="1195"/>
      <c r="BA10" s="1196"/>
      <c r="BB10" s="1195"/>
      <c r="BC10" s="1195"/>
    </row>
    <row r="11" spans="2:55" s="1186" customFormat="1" ht="16" customHeight="1" x14ac:dyDescent="0.35">
      <c r="B11" s="1198"/>
      <c r="C11" s="44"/>
      <c r="D11" s="3883"/>
      <c r="E11" s="3829"/>
      <c r="F11" s="3829"/>
      <c r="G11" s="3829"/>
      <c r="H11" s="3829"/>
      <c r="I11" s="3829"/>
      <c r="J11" s="3829"/>
      <c r="K11" s="3829"/>
      <c r="L11" s="3829"/>
      <c r="M11" s="3830"/>
      <c r="N11" s="3850"/>
      <c r="O11" s="3851"/>
      <c r="P11" s="3852"/>
      <c r="Q11" s="3857"/>
      <c r="R11" s="3851"/>
      <c r="S11" s="3858"/>
      <c r="T11" s="3861"/>
      <c r="U11" s="3851"/>
      <c r="V11" s="3852"/>
      <c r="W11" s="3857"/>
      <c r="X11" s="3851"/>
      <c r="Y11" s="3864"/>
      <c r="Z11" s="1111"/>
      <c r="AA11" s="1111"/>
      <c r="AB11" s="1111"/>
      <c r="AC11" s="1111"/>
      <c r="AD11" s="1111"/>
      <c r="AE11" s="1191"/>
      <c r="AF11" s="1098"/>
      <c r="AG11" s="3794"/>
      <c r="AH11" s="3794"/>
      <c r="AI11" s="3794"/>
      <c r="AJ11" s="3794"/>
      <c r="AK11" s="3794"/>
      <c r="AL11" s="3794"/>
      <c r="AM11" s="3794"/>
      <c r="AN11" s="3794"/>
      <c r="AO11" s="3794"/>
      <c r="AP11" s="3794"/>
      <c r="AQ11" s="3794"/>
      <c r="AR11" s="3794"/>
      <c r="AS11" s="3794"/>
      <c r="AT11" s="3794"/>
      <c r="AU11" s="3794"/>
      <c r="AV11" s="3794"/>
      <c r="AW11" s="3794"/>
      <c r="AX11" s="3794"/>
      <c r="AY11" s="3794"/>
      <c r="AZ11" s="1195"/>
      <c r="BA11" s="1196"/>
      <c r="BB11" s="1195"/>
      <c r="BC11" s="1195"/>
    </row>
    <row r="12" spans="2:55" s="1186" customFormat="1" ht="16" customHeight="1" x14ac:dyDescent="0.35">
      <c r="B12" s="1198"/>
      <c r="C12" s="44"/>
      <c r="D12" s="1199" t="s">
        <v>151</v>
      </c>
      <c r="E12" s="3825" t="s">
        <v>1919</v>
      </c>
      <c r="F12" s="3825"/>
      <c r="G12" s="3825"/>
      <c r="H12" s="3825"/>
      <c r="I12" s="3825"/>
      <c r="J12" s="3825"/>
      <c r="K12" s="3825"/>
      <c r="L12" s="3825"/>
      <c r="M12" s="3826"/>
      <c r="N12" s="3822">
        <v>0</v>
      </c>
      <c r="O12" s="3805"/>
      <c r="P12" s="3814"/>
      <c r="Q12" s="3804">
        <v>0</v>
      </c>
      <c r="R12" s="3805"/>
      <c r="S12" s="3819"/>
      <c r="T12" s="3813">
        <v>0</v>
      </c>
      <c r="U12" s="3805"/>
      <c r="V12" s="3814"/>
      <c r="W12" s="3804">
        <v>0</v>
      </c>
      <c r="X12" s="3805"/>
      <c r="Y12" s="3806"/>
      <c r="Z12" s="1111"/>
      <c r="AA12" s="1111"/>
      <c r="AB12" s="1111"/>
      <c r="AC12" s="1111"/>
      <c r="AD12" s="1111"/>
      <c r="AE12" s="1191" t="s">
        <v>156</v>
      </c>
      <c r="AF12" s="833" t="b">
        <v>0</v>
      </c>
      <c r="AG12" s="3794" t="s">
        <v>1752</v>
      </c>
      <c r="AH12" s="3794"/>
      <c r="AI12" s="3794"/>
      <c r="AJ12" s="3794"/>
      <c r="AK12" s="3794"/>
      <c r="AL12" s="3794"/>
      <c r="AM12" s="3794"/>
      <c r="AN12" s="3794"/>
      <c r="AO12" s="3794"/>
      <c r="AP12" s="3794"/>
      <c r="AQ12" s="3794"/>
      <c r="AR12" s="3794"/>
      <c r="AS12" s="3794"/>
      <c r="AT12" s="3794"/>
      <c r="AU12" s="3794"/>
      <c r="AV12" s="3794"/>
      <c r="AW12" s="3794"/>
      <c r="AX12" s="3794"/>
      <c r="AY12" s="3794"/>
      <c r="AZ12" s="1195"/>
      <c r="BA12" s="1196"/>
      <c r="BB12" s="1195"/>
      <c r="BC12" s="1195"/>
    </row>
    <row r="13" spans="2:55" s="1186" customFormat="1" ht="16" customHeight="1" x14ac:dyDescent="0.35">
      <c r="B13" s="1200"/>
      <c r="C13" s="44"/>
      <c r="D13" s="1201"/>
      <c r="E13" s="3827"/>
      <c r="F13" s="3827"/>
      <c r="G13" s="3827"/>
      <c r="H13" s="3827"/>
      <c r="I13" s="3827"/>
      <c r="J13" s="3827"/>
      <c r="K13" s="3827"/>
      <c r="L13" s="3827"/>
      <c r="M13" s="3828"/>
      <c r="N13" s="3823"/>
      <c r="O13" s="3808"/>
      <c r="P13" s="3816"/>
      <c r="Q13" s="3807"/>
      <c r="R13" s="3808"/>
      <c r="S13" s="3820"/>
      <c r="T13" s="3815"/>
      <c r="U13" s="3808"/>
      <c r="V13" s="3816"/>
      <c r="W13" s="3807"/>
      <c r="X13" s="3808"/>
      <c r="Y13" s="3809"/>
      <c r="AA13" s="1112"/>
      <c r="AB13" s="1112"/>
      <c r="AC13" s="1112"/>
      <c r="AD13" s="1112"/>
      <c r="AE13" s="1197"/>
      <c r="AF13" s="1117"/>
      <c r="AG13" s="3794"/>
      <c r="AH13" s="3794"/>
      <c r="AI13" s="3794"/>
      <c r="AJ13" s="3794"/>
      <c r="AK13" s="3794"/>
      <c r="AL13" s="3794"/>
      <c r="AM13" s="3794"/>
      <c r="AN13" s="3794"/>
      <c r="AO13" s="3794"/>
      <c r="AP13" s="3794"/>
      <c r="AQ13" s="3794"/>
      <c r="AR13" s="3794"/>
      <c r="AS13" s="3794"/>
      <c r="AT13" s="3794"/>
      <c r="AU13" s="3794"/>
      <c r="AV13" s="3794"/>
      <c r="AW13" s="3794"/>
      <c r="AX13" s="3794"/>
      <c r="AY13" s="3794"/>
      <c r="AZ13" s="1195"/>
      <c r="BA13" s="1196"/>
      <c r="BB13" s="1195"/>
      <c r="BC13" s="1195"/>
    </row>
    <row r="14" spans="2:55" s="1186" customFormat="1" ht="16" customHeight="1" x14ac:dyDescent="0.35">
      <c r="B14" s="1200"/>
      <c r="C14" s="44"/>
      <c r="D14" s="1164"/>
      <c r="E14" s="3829"/>
      <c r="F14" s="3829"/>
      <c r="G14" s="3829"/>
      <c r="H14" s="3829"/>
      <c r="I14" s="3829"/>
      <c r="J14" s="3829"/>
      <c r="K14" s="3829"/>
      <c r="L14" s="3829"/>
      <c r="M14" s="3830"/>
      <c r="N14" s="3824"/>
      <c r="O14" s="3811"/>
      <c r="P14" s="3818"/>
      <c r="Q14" s="3810"/>
      <c r="R14" s="3811"/>
      <c r="S14" s="3821"/>
      <c r="T14" s="3817"/>
      <c r="U14" s="3811"/>
      <c r="V14" s="3818"/>
      <c r="W14" s="3810"/>
      <c r="X14" s="3811"/>
      <c r="Y14" s="3812"/>
      <c r="AA14" s="1113"/>
      <c r="AB14" s="1113"/>
      <c r="AC14" s="1113"/>
      <c r="AD14" s="1113"/>
      <c r="AE14" s="1191" t="s">
        <v>157</v>
      </c>
      <c r="AF14" s="833" t="b">
        <v>0</v>
      </c>
      <c r="AG14" s="3794" t="s">
        <v>1753</v>
      </c>
      <c r="AH14" s="3794"/>
      <c r="AI14" s="3794"/>
      <c r="AJ14" s="3794"/>
      <c r="AK14" s="3794"/>
      <c r="AL14" s="3794"/>
      <c r="AM14" s="3794"/>
      <c r="AN14" s="3794"/>
      <c r="AO14" s="3794"/>
      <c r="AP14" s="3794"/>
      <c r="AQ14" s="3794"/>
      <c r="AR14" s="3794"/>
      <c r="AS14" s="3794"/>
      <c r="AT14" s="3794"/>
      <c r="AU14" s="3794"/>
      <c r="AV14" s="3794"/>
      <c r="AW14" s="3794"/>
      <c r="AX14" s="3794"/>
      <c r="AY14" s="3794"/>
      <c r="AZ14" s="1195"/>
      <c r="BA14" s="1196"/>
      <c r="BB14" s="1195"/>
      <c r="BC14" s="1195"/>
    </row>
    <row r="15" spans="2:55" s="1186" customFormat="1" ht="16" customHeight="1" x14ac:dyDescent="0.35">
      <c r="B15" s="1200"/>
      <c r="C15" s="44"/>
      <c r="D15" s="1199"/>
      <c r="E15" s="1202" t="s">
        <v>817</v>
      </c>
      <c r="F15" s="3825" t="s">
        <v>1928</v>
      </c>
      <c r="G15" s="3825"/>
      <c r="H15" s="3825"/>
      <c r="I15" s="3825"/>
      <c r="J15" s="3825"/>
      <c r="K15" s="3825"/>
      <c r="L15" s="3825"/>
      <c r="M15" s="3826"/>
      <c r="N15" s="3822">
        <v>0</v>
      </c>
      <c r="O15" s="3805"/>
      <c r="P15" s="3814"/>
      <c r="Q15" s="3804">
        <v>0</v>
      </c>
      <c r="R15" s="3805"/>
      <c r="S15" s="3805"/>
      <c r="T15" s="3813">
        <v>0</v>
      </c>
      <c r="U15" s="3805"/>
      <c r="V15" s="3814"/>
      <c r="W15" s="3804">
        <v>0</v>
      </c>
      <c r="X15" s="3805"/>
      <c r="Y15" s="3806"/>
      <c r="AA15" s="1113"/>
      <c r="AB15" s="1113"/>
      <c r="AC15" s="1113"/>
      <c r="AD15" s="1113"/>
      <c r="AG15" s="3794"/>
      <c r="AH15" s="3794"/>
      <c r="AI15" s="3794"/>
      <c r="AJ15" s="3794"/>
      <c r="AK15" s="3794"/>
      <c r="AL15" s="3794"/>
      <c r="AM15" s="3794"/>
      <c r="AN15" s="3794"/>
      <c r="AO15" s="3794"/>
      <c r="AP15" s="3794"/>
      <c r="AQ15" s="3794"/>
      <c r="AR15" s="3794"/>
      <c r="AS15" s="3794"/>
      <c r="AT15" s="3794"/>
      <c r="AU15" s="3794"/>
      <c r="AV15" s="3794"/>
      <c r="AW15" s="3794"/>
      <c r="AX15" s="3794"/>
      <c r="AY15" s="3794"/>
      <c r="AZ15" s="1195"/>
      <c r="BA15" s="1196"/>
      <c r="BB15" s="1195"/>
      <c r="BC15" s="1195"/>
    </row>
    <row r="16" spans="2:55" ht="16" customHeight="1" x14ac:dyDescent="0.35">
      <c r="B16" s="1177"/>
      <c r="C16" s="44"/>
      <c r="D16" s="1203"/>
      <c r="E16" s="1169"/>
      <c r="F16" s="3827"/>
      <c r="G16" s="3827"/>
      <c r="H16" s="3827"/>
      <c r="I16" s="3827"/>
      <c r="J16" s="3827"/>
      <c r="K16" s="3827"/>
      <c r="L16" s="3827"/>
      <c r="M16" s="3828"/>
      <c r="N16" s="3823"/>
      <c r="O16" s="3808"/>
      <c r="P16" s="3816"/>
      <c r="Q16" s="3807"/>
      <c r="R16" s="3808"/>
      <c r="S16" s="3808"/>
      <c r="T16" s="3815"/>
      <c r="U16" s="3808"/>
      <c r="V16" s="3816"/>
      <c r="W16" s="3807"/>
      <c r="X16" s="3808"/>
      <c r="Y16" s="3809"/>
      <c r="AA16" s="1193"/>
      <c r="AB16" s="1193"/>
      <c r="AC16" s="1193"/>
      <c r="AD16" s="1193"/>
      <c r="AE16" s="1191" t="s">
        <v>159</v>
      </c>
      <c r="AF16" s="833" t="b">
        <v>0</v>
      </c>
      <c r="AG16" s="3794" t="s">
        <v>1754</v>
      </c>
      <c r="AH16" s="3794"/>
      <c r="AI16" s="3794"/>
      <c r="AJ16" s="3794"/>
      <c r="AK16" s="3794"/>
      <c r="AL16" s="3794"/>
      <c r="AM16" s="3794"/>
      <c r="AN16" s="3794"/>
      <c r="AO16" s="3794"/>
      <c r="AP16" s="3794"/>
      <c r="AQ16" s="3794"/>
      <c r="AR16" s="3794"/>
      <c r="AS16" s="3794"/>
      <c r="AT16" s="3794"/>
      <c r="AU16" s="3794"/>
      <c r="AV16" s="3794"/>
      <c r="AW16" s="3794"/>
      <c r="AX16" s="3794"/>
      <c r="AY16" s="3794"/>
      <c r="AZ16" s="1195"/>
      <c r="BA16" s="1196"/>
      <c r="BB16" s="1195"/>
      <c r="BC16" s="1195"/>
    </row>
    <row r="17" spans="2:55" ht="5" customHeight="1" thickBot="1" x14ac:dyDescent="0.4">
      <c r="B17" s="1177"/>
      <c r="C17" s="44"/>
      <c r="D17" s="1204"/>
      <c r="E17" s="1182"/>
      <c r="F17" s="3841"/>
      <c r="G17" s="3841"/>
      <c r="H17" s="3841"/>
      <c r="I17" s="3841"/>
      <c r="J17" s="3841"/>
      <c r="K17" s="3841"/>
      <c r="L17" s="3841"/>
      <c r="M17" s="3842"/>
      <c r="N17" s="3835"/>
      <c r="O17" s="3836"/>
      <c r="P17" s="3837"/>
      <c r="Q17" s="3838"/>
      <c r="R17" s="3836"/>
      <c r="S17" s="3836"/>
      <c r="T17" s="3839"/>
      <c r="U17" s="3836"/>
      <c r="V17" s="3837"/>
      <c r="W17" s="3838"/>
      <c r="X17" s="3836"/>
      <c r="Y17" s="3840"/>
      <c r="Z17" s="1193"/>
      <c r="AA17" s="1193"/>
      <c r="AB17" s="1193"/>
      <c r="AC17" s="1193"/>
      <c r="AD17" s="1193"/>
      <c r="AE17" s="1191"/>
      <c r="AF17" s="1098"/>
      <c r="AG17" s="3794"/>
      <c r="AH17" s="3794"/>
      <c r="AI17" s="3794"/>
      <c r="AJ17" s="3794"/>
      <c r="AK17" s="3794"/>
      <c r="AL17" s="3794"/>
      <c r="AM17" s="3794"/>
      <c r="AN17" s="3794"/>
      <c r="AO17" s="3794"/>
      <c r="AP17" s="3794"/>
      <c r="AQ17" s="3794"/>
      <c r="AR17" s="3794"/>
      <c r="AS17" s="3794"/>
      <c r="AT17" s="3794"/>
      <c r="AU17" s="3794"/>
      <c r="AV17" s="3794"/>
      <c r="AW17" s="3794"/>
      <c r="AX17" s="3794"/>
      <c r="AY17" s="3794"/>
      <c r="AZ17" s="1195"/>
      <c r="BA17" s="1196"/>
      <c r="BB17" s="1195"/>
      <c r="BC17" s="1195"/>
    </row>
    <row r="18" spans="2:55" ht="11" customHeight="1" thickTop="1" x14ac:dyDescent="0.35">
      <c r="B18" s="1177"/>
      <c r="C18" s="44"/>
      <c r="D18" s="3831" t="s">
        <v>171</v>
      </c>
      <c r="E18" s="3831"/>
      <c r="F18" s="3831"/>
      <c r="G18" s="3833" t="s">
        <v>1943</v>
      </c>
      <c r="H18" s="3833"/>
      <c r="I18" s="3833"/>
      <c r="J18" s="3833"/>
      <c r="K18" s="3833"/>
      <c r="L18" s="3833"/>
      <c r="M18" s="3833"/>
      <c r="N18" s="3833"/>
      <c r="O18" s="3833"/>
      <c r="P18" s="3833"/>
      <c r="Q18" s="3833"/>
      <c r="R18" s="3833"/>
      <c r="S18" s="3833"/>
      <c r="T18" s="3833"/>
      <c r="U18" s="3833"/>
      <c r="V18" s="3833"/>
      <c r="W18" s="3833"/>
      <c r="X18" s="3833"/>
      <c r="Y18" s="3833"/>
      <c r="Z18" s="1178"/>
      <c r="AA18" s="1178"/>
      <c r="AB18" s="1178"/>
      <c r="AG18" s="3802"/>
      <c r="AH18" s="3802"/>
      <c r="AI18" s="3802"/>
      <c r="AJ18" s="3802"/>
      <c r="AK18" s="3802"/>
      <c r="AL18" s="3802"/>
      <c r="AM18" s="3802"/>
      <c r="AN18" s="3802"/>
      <c r="AO18" s="3802"/>
      <c r="AP18" s="3802"/>
      <c r="AQ18" s="3802"/>
      <c r="AR18" s="3802"/>
      <c r="AS18" s="3802"/>
      <c r="AT18" s="3802"/>
      <c r="AU18" s="3802"/>
      <c r="AV18" s="3802"/>
      <c r="AW18" s="3802"/>
      <c r="AX18" s="3802"/>
      <c r="AY18" s="3802"/>
      <c r="BA18" s="1179"/>
    </row>
    <row r="19" spans="2:55" ht="12.5" customHeight="1" x14ac:dyDescent="0.35">
      <c r="B19" s="1177"/>
      <c r="C19" s="44"/>
      <c r="D19" s="3832"/>
      <c r="E19" s="3832"/>
      <c r="F19" s="3832"/>
      <c r="G19" s="3834"/>
      <c r="H19" s="3834"/>
      <c r="I19" s="3834"/>
      <c r="J19" s="3834"/>
      <c r="K19" s="3834"/>
      <c r="L19" s="3834"/>
      <c r="M19" s="3834"/>
      <c r="N19" s="3834"/>
      <c r="O19" s="3834"/>
      <c r="P19" s="3834"/>
      <c r="Q19" s="3834"/>
      <c r="R19" s="3834"/>
      <c r="S19" s="3834"/>
      <c r="T19" s="3834"/>
      <c r="U19" s="3834"/>
      <c r="V19" s="3834"/>
      <c r="W19" s="3834"/>
      <c r="X19" s="3834"/>
      <c r="Y19" s="3834"/>
      <c r="Z19" s="1416" t="str">
        <f>IF(disaster_response_referral_teaching_m&gt;disaster_response_pss_teaching_m, "Items in 2a must be less or equal to item in 2.","")</f>
        <v/>
      </c>
      <c r="AA19" s="1178"/>
      <c r="AB19" s="1178"/>
      <c r="AG19" s="3802"/>
      <c r="AH19" s="3802"/>
      <c r="AI19" s="3802"/>
      <c r="AJ19" s="3802"/>
      <c r="AK19" s="3802"/>
      <c r="AL19" s="3802"/>
      <c r="AM19" s="3802"/>
      <c r="AN19" s="3802"/>
      <c r="AO19" s="3802"/>
      <c r="AP19" s="3802"/>
      <c r="AQ19" s="3802"/>
      <c r="AR19" s="3802"/>
      <c r="AS19" s="3802"/>
      <c r="AT19" s="3802"/>
      <c r="AU19" s="3802"/>
      <c r="AV19" s="3802"/>
      <c r="AW19" s="3802"/>
      <c r="AX19" s="3802"/>
      <c r="AY19" s="3802"/>
      <c r="BA19" s="1179"/>
    </row>
    <row r="20" spans="2:55" ht="11" customHeight="1" x14ac:dyDescent="0.35">
      <c r="B20" s="1177"/>
      <c r="C20" s="44"/>
      <c r="D20" s="417"/>
      <c r="E20" s="417"/>
      <c r="F20" s="417"/>
      <c r="G20" s="3834"/>
      <c r="H20" s="3834"/>
      <c r="I20" s="3834"/>
      <c r="J20" s="3834"/>
      <c r="K20" s="3834"/>
      <c r="L20" s="3834"/>
      <c r="M20" s="3834"/>
      <c r="N20" s="3834"/>
      <c r="O20" s="3834"/>
      <c r="P20" s="3834"/>
      <c r="Q20" s="3834"/>
      <c r="R20" s="3834"/>
      <c r="S20" s="3834"/>
      <c r="T20" s="3834"/>
      <c r="U20" s="3834"/>
      <c r="V20" s="3834"/>
      <c r="W20" s="3834"/>
      <c r="X20" s="3834"/>
      <c r="Y20" s="3834"/>
      <c r="Z20" s="1416" t="str">
        <f>IF(disaster_response_referral_teaching_f&gt;disaster_response_pss_teaching_f, "Items in 2a must be less or equal to item in 2.","")</f>
        <v/>
      </c>
      <c r="AA20" s="1178"/>
      <c r="AB20" s="1178"/>
      <c r="AG20" s="3802"/>
      <c r="AH20" s="3802"/>
      <c r="AI20" s="3802"/>
      <c r="AJ20" s="3802"/>
      <c r="AK20" s="3802"/>
      <c r="AL20" s="3802"/>
      <c r="AM20" s="3802"/>
      <c r="AN20" s="3802"/>
      <c r="AO20" s="3802"/>
      <c r="AP20" s="3802"/>
      <c r="AQ20" s="3802"/>
      <c r="AR20" s="3802"/>
      <c r="AS20" s="3802"/>
      <c r="AT20" s="3802"/>
      <c r="AU20" s="3802"/>
      <c r="AV20" s="3802"/>
      <c r="AW20" s="3802"/>
      <c r="AX20" s="3802"/>
      <c r="AY20" s="3802"/>
      <c r="BA20" s="1179"/>
    </row>
    <row r="21" spans="2:55" ht="11" customHeight="1" x14ac:dyDescent="0.35">
      <c r="B21" s="1177"/>
      <c r="C21" s="44"/>
      <c r="D21" s="1168"/>
      <c r="E21" s="1169"/>
      <c r="F21" s="1169"/>
      <c r="G21" s="3834"/>
      <c r="H21" s="3834"/>
      <c r="I21" s="3834"/>
      <c r="J21" s="3834"/>
      <c r="K21" s="3834"/>
      <c r="L21" s="3834"/>
      <c r="M21" s="3834"/>
      <c r="N21" s="3834"/>
      <c r="O21" s="3834"/>
      <c r="P21" s="3834"/>
      <c r="Q21" s="3834"/>
      <c r="R21" s="3834"/>
      <c r="S21" s="3834"/>
      <c r="T21" s="3834"/>
      <c r="U21" s="3834"/>
      <c r="V21" s="3834"/>
      <c r="W21" s="3834"/>
      <c r="X21" s="3834"/>
      <c r="Y21" s="3834"/>
      <c r="Z21" s="1416" t="str">
        <f>IF(disaster_response_referral_nonteaching_m&gt;disaster_response_pss_nonteaching_m, "Items in 2a must be less or equal to item in 2.","")</f>
        <v/>
      </c>
      <c r="AA21" s="1178"/>
      <c r="AB21" s="1178"/>
      <c r="BA21" s="1179"/>
    </row>
    <row r="22" spans="2:55" ht="15" customHeight="1" x14ac:dyDescent="0.35">
      <c r="B22" s="1177"/>
      <c r="C22" s="44"/>
      <c r="D22" s="1168"/>
      <c r="E22" s="1169"/>
      <c r="F22" s="1169"/>
      <c r="G22" s="3834"/>
      <c r="H22" s="3834"/>
      <c r="I22" s="3834"/>
      <c r="J22" s="3834"/>
      <c r="K22" s="3834"/>
      <c r="L22" s="3834"/>
      <c r="M22" s="3834"/>
      <c r="N22" s="3834"/>
      <c r="O22" s="3834"/>
      <c r="P22" s="3834"/>
      <c r="Q22" s="3834"/>
      <c r="R22" s="3834"/>
      <c r="S22" s="3834"/>
      <c r="T22" s="3834"/>
      <c r="U22" s="3834"/>
      <c r="V22" s="3834"/>
      <c r="W22" s="3834"/>
      <c r="X22" s="3834"/>
      <c r="Y22" s="3834"/>
      <c r="Z22" s="1416" t="str">
        <f>IF(disaster_response_referral_nonteaching_f&gt;disaster_response_pss_nonteaching_f, "Items in 2a must be less or equal to item in 2.","")</f>
        <v/>
      </c>
      <c r="AA22" s="1178"/>
      <c r="AB22" s="1178"/>
      <c r="BA22" s="1179"/>
    </row>
    <row r="23" spans="2:55" ht="5" customHeight="1" thickBot="1" x14ac:dyDescent="0.4">
      <c r="B23" s="1180"/>
      <c r="C23" s="396"/>
      <c r="D23" s="1181"/>
      <c r="E23" s="1182"/>
      <c r="F23" s="1182"/>
      <c r="G23" s="1182"/>
      <c r="H23" s="1182"/>
      <c r="I23" s="1182"/>
      <c r="J23" s="1182"/>
      <c r="K23" s="1182"/>
      <c r="L23" s="1182"/>
      <c r="M23" s="1182"/>
      <c r="N23" s="342"/>
      <c r="O23" s="342"/>
      <c r="P23" s="342"/>
      <c r="Q23" s="342"/>
      <c r="R23" s="342"/>
      <c r="S23" s="342"/>
      <c r="T23" s="342"/>
      <c r="U23" s="342"/>
      <c r="V23" s="342"/>
      <c r="W23" s="342"/>
      <c r="X23" s="342"/>
      <c r="Y23" s="342"/>
      <c r="Z23" s="1183"/>
      <c r="AA23" s="1183"/>
      <c r="AB23" s="1183"/>
      <c r="AC23" s="1183"/>
      <c r="AD23" s="1183"/>
      <c r="AE23" s="1183"/>
      <c r="AF23" s="1183"/>
      <c r="AG23" s="1183"/>
      <c r="AH23" s="1183"/>
      <c r="AI23" s="1183"/>
      <c r="AJ23" s="1183"/>
      <c r="AK23" s="1183"/>
      <c r="AL23" s="1183"/>
      <c r="AM23" s="1183"/>
      <c r="AN23" s="1183"/>
      <c r="AO23" s="1183"/>
      <c r="AP23" s="1183"/>
      <c r="AQ23" s="1183"/>
      <c r="AR23" s="1183"/>
      <c r="AS23" s="1183"/>
      <c r="AT23" s="1183"/>
      <c r="AU23" s="1183"/>
      <c r="AV23" s="1183"/>
      <c r="AW23" s="1183"/>
      <c r="AX23" s="1183"/>
      <c r="AY23" s="1183"/>
      <c r="AZ23" s="1183"/>
      <c r="BA23" s="1184"/>
    </row>
    <row r="24" spans="2:55" ht="10" customHeight="1" thickTop="1" x14ac:dyDescent="0.35">
      <c r="B24" s="1185"/>
      <c r="C24" s="1098"/>
      <c r="E24" s="1187"/>
      <c r="F24" s="1187"/>
      <c r="G24" s="1187"/>
      <c r="H24" s="1187"/>
      <c r="I24" s="1187"/>
      <c r="J24" s="1187"/>
      <c r="K24" s="1178"/>
      <c r="L24" s="1178"/>
      <c r="M24" s="1178"/>
      <c r="N24" s="1178"/>
      <c r="O24" s="1178"/>
      <c r="P24" s="1178"/>
      <c r="Q24" s="1178"/>
      <c r="R24" s="1178"/>
      <c r="S24" s="1178"/>
      <c r="T24" s="1178"/>
      <c r="U24" s="1178"/>
      <c r="V24" s="1178"/>
      <c r="W24" s="1178"/>
      <c r="X24" s="1178"/>
      <c r="Y24" s="1178"/>
      <c r="Z24" s="1178"/>
      <c r="AA24" s="1178"/>
      <c r="AB24" s="1178"/>
    </row>
    <row r="25" spans="2:55" s="1189" customFormat="1" ht="50" customHeight="1" x14ac:dyDescent="0.35">
      <c r="B25" s="1188" t="s">
        <v>150</v>
      </c>
      <c r="C25" s="3803" t="s">
        <v>1755</v>
      </c>
      <c r="D25" s="3803"/>
      <c r="E25" s="3803"/>
      <c r="F25" s="3803"/>
      <c r="G25" s="3803"/>
      <c r="H25" s="3803"/>
      <c r="I25" s="3803"/>
      <c r="J25" s="3803"/>
      <c r="K25" s="3803"/>
      <c r="L25" s="3803"/>
      <c r="M25" s="3803"/>
      <c r="N25" s="3803"/>
      <c r="O25" s="3803"/>
      <c r="P25" s="3803"/>
      <c r="Q25" s="3803"/>
      <c r="R25" s="3803"/>
      <c r="S25" s="3803"/>
      <c r="T25" s="3803"/>
      <c r="U25" s="3803"/>
      <c r="V25" s="3803"/>
      <c r="W25" s="3803"/>
      <c r="X25" s="3803"/>
      <c r="Y25" s="3803"/>
      <c r="Z25" s="3803"/>
      <c r="AA25" s="3803"/>
      <c r="AB25" s="3803"/>
      <c r="AC25" s="3803"/>
      <c r="AD25" s="3803"/>
      <c r="AE25" s="3803"/>
      <c r="AF25" s="3803"/>
      <c r="AG25" s="3803"/>
      <c r="AH25" s="3803"/>
      <c r="AI25" s="3803"/>
      <c r="AJ25" s="3803"/>
      <c r="AK25" s="3803"/>
      <c r="AL25" s="3803"/>
      <c r="AM25" s="3803"/>
      <c r="AN25" s="3803"/>
      <c r="AO25" s="3803"/>
      <c r="AP25" s="3803"/>
      <c r="AQ25" s="3803"/>
      <c r="AR25" s="3803"/>
      <c r="AS25" s="3803"/>
      <c r="AT25" s="3803"/>
      <c r="AU25" s="3803"/>
      <c r="AV25" s="3803"/>
      <c r="AW25" s="3803"/>
      <c r="AX25" s="3803"/>
      <c r="AY25" s="3803"/>
      <c r="AZ25" s="3803"/>
      <c r="BA25" s="3803"/>
      <c r="BB25" s="1178"/>
      <c r="BC25" s="1178"/>
    </row>
    <row r="26" spans="2:55" s="1189" customFormat="1" ht="51" customHeight="1" x14ac:dyDescent="0.35">
      <c r="B26" s="1188" t="s">
        <v>151</v>
      </c>
      <c r="C26" s="3803" t="s">
        <v>1756</v>
      </c>
      <c r="D26" s="3803"/>
      <c r="E26" s="3803"/>
      <c r="F26" s="3803"/>
      <c r="G26" s="3803"/>
      <c r="H26" s="3803"/>
      <c r="I26" s="3803"/>
      <c r="J26" s="3803"/>
      <c r="K26" s="3803"/>
      <c r="L26" s="3803"/>
      <c r="M26" s="3803"/>
      <c r="N26" s="3803"/>
      <c r="O26" s="3803"/>
      <c r="P26" s="3803"/>
      <c r="Q26" s="3803"/>
      <c r="R26" s="3803"/>
      <c r="S26" s="3803"/>
      <c r="T26" s="3803"/>
      <c r="U26" s="3803"/>
      <c r="V26" s="3803"/>
      <c r="W26" s="3803"/>
      <c r="X26" s="3803"/>
      <c r="Y26" s="3803"/>
      <c r="Z26" s="3803"/>
      <c r="AA26" s="3803"/>
      <c r="AB26" s="3803"/>
      <c r="AC26" s="3803"/>
      <c r="AD26" s="3803"/>
      <c r="AE26" s="3803"/>
      <c r="AF26" s="3803"/>
      <c r="AG26" s="3803"/>
      <c r="AH26" s="3803"/>
      <c r="AI26" s="3803"/>
      <c r="AJ26" s="3803"/>
      <c r="AK26" s="3803"/>
      <c r="AL26" s="3803"/>
      <c r="AM26" s="3803"/>
      <c r="AN26" s="3803"/>
      <c r="AO26" s="3803"/>
      <c r="AP26" s="3803"/>
      <c r="AQ26" s="3803"/>
      <c r="AR26" s="3803"/>
      <c r="AS26" s="3803"/>
      <c r="AT26" s="3803"/>
      <c r="AU26" s="3803"/>
      <c r="AV26" s="3803"/>
      <c r="AW26" s="3803"/>
      <c r="AX26" s="3803"/>
      <c r="AY26" s="3803"/>
      <c r="AZ26" s="3803"/>
      <c r="BA26" s="3803"/>
    </row>
    <row r="27" spans="2:55" s="1189" customFormat="1" ht="49.5" customHeight="1" x14ac:dyDescent="0.35">
      <c r="B27" s="1188" t="s">
        <v>152</v>
      </c>
      <c r="C27" s="3803" t="s">
        <v>1757</v>
      </c>
      <c r="D27" s="3803"/>
      <c r="E27" s="3803"/>
      <c r="F27" s="3803"/>
      <c r="G27" s="3803"/>
      <c r="H27" s="3803"/>
      <c r="I27" s="3803"/>
      <c r="J27" s="3803"/>
      <c r="K27" s="3803"/>
      <c r="L27" s="3803"/>
      <c r="M27" s="3803"/>
      <c r="N27" s="3803"/>
      <c r="O27" s="3803"/>
      <c r="P27" s="3803"/>
      <c r="Q27" s="3803"/>
      <c r="R27" s="3803"/>
      <c r="S27" s="3803"/>
      <c r="T27" s="3803"/>
      <c r="U27" s="3803"/>
      <c r="V27" s="3803"/>
      <c r="W27" s="3803"/>
      <c r="X27" s="3803"/>
      <c r="Y27" s="3803"/>
      <c r="Z27" s="3803"/>
      <c r="AA27" s="3803"/>
      <c r="AB27" s="3803"/>
      <c r="AC27" s="3803"/>
      <c r="AD27" s="3803"/>
      <c r="AE27" s="3803"/>
      <c r="AF27" s="3803"/>
      <c r="AG27" s="3803"/>
      <c r="AH27" s="3803"/>
      <c r="AI27" s="3803"/>
      <c r="AJ27" s="3803"/>
      <c r="AK27" s="3803"/>
      <c r="AL27" s="3803"/>
      <c r="AM27" s="3803"/>
      <c r="AN27" s="3803"/>
      <c r="AO27" s="3803"/>
      <c r="AP27" s="3803"/>
      <c r="AQ27" s="3803"/>
      <c r="AR27" s="3803"/>
      <c r="AS27" s="3803"/>
      <c r="AT27" s="3803"/>
      <c r="AU27" s="3803"/>
      <c r="AV27" s="3803"/>
      <c r="AW27" s="3803"/>
      <c r="AX27" s="3803"/>
      <c r="AY27" s="3803"/>
      <c r="AZ27" s="3803"/>
      <c r="BA27" s="3803"/>
    </row>
    <row r="28" spans="2:55" s="1189" customFormat="1" ht="67" customHeight="1" x14ac:dyDescent="0.35">
      <c r="B28" s="1188" t="s">
        <v>155</v>
      </c>
      <c r="C28" s="3803" t="s">
        <v>1777</v>
      </c>
      <c r="D28" s="3803"/>
      <c r="E28" s="3803"/>
      <c r="F28" s="3803"/>
      <c r="G28" s="3803"/>
      <c r="H28" s="3803"/>
      <c r="I28" s="3803"/>
      <c r="J28" s="3803"/>
      <c r="K28" s="3803"/>
      <c r="L28" s="3803"/>
      <c r="M28" s="3803"/>
      <c r="N28" s="3803"/>
      <c r="O28" s="3803"/>
      <c r="P28" s="3803"/>
      <c r="Q28" s="3803"/>
      <c r="R28" s="3803"/>
      <c r="S28" s="3803"/>
      <c r="T28" s="3803"/>
      <c r="U28" s="3803"/>
      <c r="V28" s="3803"/>
      <c r="W28" s="3803"/>
      <c r="X28" s="3803"/>
      <c r="Y28" s="3803"/>
      <c r="Z28" s="3803"/>
      <c r="AA28" s="3803"/>
      <c r="AB28" s="3803"/>
      <c r="AC28" s="3803"/>
      <c r="AD28" s="3803"/>
      <c r="AE28" s="3803"/>
      <c r="AF28" s="3803"/>
      <c r="AG28" s="3803"/>
      <c r="AH28" s="3803"/>
      <c r="AI28" s="3803"/>
      <c r="AJ28" s="3803"/>
      <c r="AK28" s="3803"/>
      <c r="AL28" s="3803"/>
      <c r="AM28" s="3803"/>
      <c r="AN28" s="3803"/>
      <c r="AO28" s="3803"/>
      <c r="AP28" s="3803"/>
      <c r="AQ28" s="3803"/>
      <c r="AR28" s="3803"/>
      <c r="AS28" s="3803"/>
      <c r="AT28" s="3803"/>
      <c r="AU28" s="3803"/>
      <c r="AV28" s="3803"/>
      <c r="AW28" s="3803"/>
      <c r="AX28" s="3803"/>
      <c r="AY28" s="3803"/>
      <c r="AZ28" s="3803"/>
      <c r="BA28" s="3803"/>
    </row>
    <row r="29" spans="2:55" s="1189" customFormat="1" ht="34.5" customHeight="1" x14ac:dyDescent="0.35">
      <c r="B29" s="1188" t="s">
        <v>156</v>
      </c>
      <c r="C29" s="3803" t="s">
        <v>1758</v>
      </c>
      <c r="D29" s="3803"/>
      <c r="E29" s="3803"/>
      <c r="F29" s="3803"/>
      <c r="G29" s="3803"/>
      <c r="H29" s="3803"/>
      <c r="I29" s="3803"/>
      <c r="J29" s="3803"/>
      <c r="K29" s="3803"/>
      <c r="L29" s="3803"/>
      <c r="M29" s="3803"/>
      <c r="N29" s="3803"/>
      <c r="O29" s="3803"/>
      <c r="P29" s="3803"/>
      <c r="Q29" s="3803"/>
      <c r="R29" s="3803"/>
      <c r="S29" s="3803"/>
      <c r="T29" s="3803"/>
      <c r="U29" s="3803"/>
      <c r="V29" s="3803"/>
      <c r="W29" s="3803"/>
      <c r="X29" s="3803"/>
      <c r="Y29" s="3803"/>
      <c r="Z29" s="3803"/>
      <c r="AA29" s="3803"/>
      <c r="AB29" s="3803"/>
      <c r="AC29" s="3803"/>
      <c r="AD29" s="3803"/>
      <c r="AE29" s="3803"/>
      <c r="AF29" s="3803"/>
      <c r="AG29" s="3803"/>
      <c r="AH29" s="3803"/>
      <c r="AI29" s="3803"/>
      <c r="AJ29" s="3803"/>
      <c r="AK29" s="3803"/>
      <c r="AL29" s="3803"/>
      <c r="AM29" s="3803"/>
      <c r="AN29" s="3803"/>
      <c r="AO29" s="3803"/>
      <c r="AP29" s="3803"/>
      <c r="AQ29" s="3803"/>
      <c r="AR29" s="3803"/>
      <c r="AS29" s="3803"/>
      <c r="AT29" s="3803"/>
      <c r="AU29" s="3803"/>
      <c r="AV29" s="3803"/>
      <c r="AW29" s="3803"/>
      <c r="AX29" s="3803"/>
      <c r="AY29" s="3803"/>
      <c r="AZ29" s="3803"/>
      <c r="BA29" s="3803"/>
    </row>
    <row r="30" spans="2:55" s="1189" customFormat="1" ht="70" customHeight="1" x14ac:dyDescent="0.35">
      <c r="B30" s="1188" t="s">
        <v>157</v>
      </c>
      <c r="C30" s="3803" t="s">
        <v>1771</v>
      </c>
      <c r="D30" s="3803"/>
      <c r="E30" s="3803"/>
      <c r="F30" s="3803"/>
      <c r="G30" s="3803"/>
      <c r="H30" s="3803"/>
      <c r="I30" s="3803"/>
      <c r="J30" s="3803"/>
      <c r="K30" s="3803"/>
      <c r="L30" s="3803"/>
      <c r="M30" s="3803"/>
      <c r="N30" s="3803"/>
      <c r="O30" s="3803"/>
      <c r="P30" s="3803"/>
      <c r="Q30" s="3803"/>
      <c r="R30" s="3803"/>
      <c r="S30" s="3803"/>
      <c r="T30" s="3803"/>
      <c r="U30" s="3803"/>
      <c r="V30" s="3803"/>
      <c r="W30" s="3803"/>
      <c r="X30" s="3803"/>
      <c r="Y30" s="3803"/>
      <c r="Z30" s="3803"/>
      <c r="AA30" s="3803"/>
      <c r="AB30" s="3803"/>
      <c r="AC30" s="3803"/>
      <c r="AD30" s="3803"/>
      <c r="AE30" s="3803"/>
      <c r="AF30" s="3803"/>
      <c r="AG30" s="3803"/>
      <c r="AH30" s="3803"/>
      <c r="AI30" s="3803"/>
      <c r="AJ30" s="3803"/>
      <c r="AK30" s="3803"/>
      <c r="AL30" s="3803"/>
      <c r="AM30" s="3803"/>
      <c r="AN30" s="3803"/>
      <c r="AO30" s="3803"/>
      <c r="AP30" s="3803"/>
      <c r="AQ30" s="3803"/>
      <c r="AR30" s="3803"/>
      <c r="AS30" s="3803"/>
      <c r="AT30" s="3803"/>
      <c r="AU30" s="3803"/>
      <c r="AV30" s="3803"/>
      <c r="AW30" s="3803"/>
      <c r="AX30" s="3803"/>
      <c r="AY30" s="3803"/>
      <c r="AZ30" s="3803"/>
      <c r="BA30" s="3803"/>
    </row>
    <row r="31" spans="2:55" s="1189" customFormat="1" ht="38" customHeight="1" x14ac:dyDescent="0.35">
      <c r="B31" s="1188" t="s">
        <v>159</v>
      </c>
      <c r="C31" s="3803" t="s">
        <v>1759</v>
      </c>
      <c r="D31" s="3803"/>
      <c r="E31" s="3803"/>
      <c r="F31" s="3803"/>
      <c r="G31" s="3803"/>
      <c r="H31" s="3803"/>
      <c r="I31" s="3803"/>
      <c r="J31" s="3803"/>
      <c r="K31" s="3803"/>
      <c r="L31" s="3803"/>
      <c r="M31" s="3803"/>
      <c r="N31" s="3803"/>
      <c r="O31" s="3803"/>
      <c r="P31" s="3803"/>
      <c r="Q31" s="3803"/>
      <c r="R31" s="3803"/>
      <c r="S31" s="3803"/>
      <c r="T31" s="3803"/>
      <c r="U31" s="3803"/>
      <c r="V31" s="3803"/>
      <c r="W31" s="3803"/>
      <c r="X31" s="3803"/>
      <c r="Y31" s="3803"/>
      <c r="Z31" s="3803"/>
      <c r="AA31" s="3803"/>
      <c r="AB31" s="3803"/>
      <c r="AC31" s="3803"/>
      <c r="AD31" s="3803"/>
      <c r="AE31" s="3803"/>
      <c r="AF31" s="3803"/>
      <c r="AG31" s="3803"/>
      <c r="AH31" s="3803"/>
      <c r="AI31" s="3803"/>
      <c r="AJ31" s="3803"/>
      <c r="AK31" s="3803"/>
      <c r="AL31" s="3803"/>
      <c r="AM31" s="3803"/>
      <c r="AN31" s="3803"/>
      <c r="AO31" s="3803"/>
      <c r="AP31" s="3803"/>
      <c r="AQ31" s="3803"/>
      <c r="AR31" s="3803"/>
      <c r="AS31" s="3803"/>
      <c r="AT31" s="3803"/>
      <c r="AU31" s="3803"/>
      <c r="AV31" s="3803"/>
      <c r="AW31" s="3803"/>
      <c r="AX31" s="3803"/>
      <c r="AY31" s="3803"/>
      <c r="AZ31" s="3803"/>
      <c r="BA31" s="3803"/>
    </row>
    <row r="32" spans="2:55" s="1189" customFormat="1" ht="51" customHeight="1" x14ac:dyDescent="0.35">
      <c r="B32" s="1188" t="s">
        <v>153</v>
      </c>
      <c r="C32" s="3803" t="s">
        <v>1760</v>
      </c>
      <c r="D32" s="3803"/>
      <c r="E32" s="3803"/>
      <c r="F32" s="3803"/>
      <c r="G32" s="3803"/>
      <c r="H32" s="3803"/>
      <c r="I32" s="3803"/>
      <c r="J32" s="3803"/>
      <c r="K32" s="3803"/>
      <c r="L32" s="3803"/>
      <c r="M32" s="3803"/>
      <c r="N32" s="3803"/>
      <c r="O32" s="3803"/>
      <c r="P32" s="3803"/>
      <c r="Q32" s="3803"/>
      <c r="R32" s="3803"/>
      <c r="S32" s="3803"/>
      <c r="T32" s="3803"/>
      <c r="U32" s="3803"/>
      <c r="V32" s="3803"/>
      <c r="W32" s="3803"/>
      <c r="X32" s="3803"/>
      <c r="Y32" s="3803"/>
      <c r="Z32" s="3803"/>
      <c r="AA32" s="3803"/>
      <c r="AB32" s="3803"/>
      <c r="AC32" s="3803"/>
      <c r="AD32" s="3803"/>
      <c r="AE32" s="3803"/>
      <c r="AF32" s="3803"/>
      <c r="AG32" s="3803"/>
      <c r="AH32" s="3803"/>
      <c r="AI32" s="3803"/>
      <c r="AJ32" s="3803"/>
      <c r="AK32" s="3803"/>
      <c r="AL32" s="3803"/>
      <c r="AM32" s="3803"/>
      <c r="AN32" s="3803"/>
      <c r="AO32" s="3803"/>
      <c r="AP32" s="3803"/>
      <c r="AQ32" s="3803"/>
      <c r="AR32" s="3803"/>
      <c r="AS32" s="3803"/>
      <c r="AT32" s="3803"/>
      <c r="AU32" s="3803"/>
      <c r="AV32" s="3803"/>
      <c r="AW32" s="3803"/>
      <c r="AX32" s="3803"/>
      <c r="AY32" s="3803"/>
      <c r="AZ32" s="3803"/>
      <c r="BA32" s="3803"/>
    </row>
    <row r="33" spans="2:57" s="1189" customFormat="1" ht="15.5" customHeight="1" x14ac:dyDescent="0.35">
      <c r="B33" s="1190"/>
      <c r="C33" s="1190"/>
      <c r="D33" s="1190"/>
      <c r="E33" s="1190"/>
      <c r="F33" s="1190"/>
      <c r="G33" s="1190"/>
      <c r="H33" s="1190"/>
      <c r="I33" s="1190"/>
      <c r="J33" s="1190"/>
      <c r="K33" s="1190"/>
      <c r="L33" s="1190"/>
      <c r="M33" s="1190"/>
      <c r="N33" s="1190"/>
      <c r="O33" s="1190"/>
      <c r="P33" s="1190"/>
      <c r="Q33" s="1190"/>
      <c r="R33" s="1190"/>
      <c r="S33" s="1190"/>
      <c r="T33" s="1190"/>
      <c r="U33" s="1190"/>
      <c r="V33" s="1190"/>
      <c r="W33" s="1190"/>
      <c r="X33" s="1190"/>
      <c r="Y33" s="1190"/>
      <c r="Z33" s="1190"/>
      <c r="AA33" s="1190"/>
    </row>
    <row r="34" spans="2:57" s="87" customFormat="1" ht="15.75" customHeight="1" x14ac:dyDescent="0.3">
      <c r="B34" s="693" t="s">
        <v>1287</v>
      </c>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G34" s="1189"/>
      <c r="AH34" s="1189"/>
      <c r="AI34" s="1189"/>
      <c r="AJ34" s="1189"/>
      <c r="AK34" s="1189"/>
      <c r="AL34" s="1189"/>
      <c r="AM34" s="1189"/>
      <c r="AN34" s="1189"/>
      <c r="AO34" s="1189"/>
      <c r="AP34" s="1189"/>
      <c r="AQ34" s="1189"/>
      <c r="AR34" s="1189"/>
      <c r="AS34" s="1189"/>
      <c r="AT34" s="1189"/>
      <c r="AU34" s="1189"/>
      <c r="AV34" s="1189"/>
      <c r="AW34" s="1189"/>
      <c r="AX34" s="1189"/>
      <c r="AY34" s="1189"/>
      <c r="AZ34" s="1189"/>
      <c r="BA34" s="1189"/>
      <c r="BB34" s="1189"/>
      <c r="BC34" s="1189"/>
      <c r="BD34" s="1189"/>
      <c r="BE34" s="1189"/>
    </row>
    <row r="35" spans="2:57" s="124" customFormat="1" ht="33.75" customHeight="1" x14ac:dyDescent="0.3">
      <c r="C35" s="123"/>
      <c r="E35" s="123"/>
      <c r="G35" s="123"/>
      <c r="I35" s="123"/>
      <c r="K35" s="123"/>
      <c r="M35" s="123"/>
      <c r="R35" s="123"/>
      <c r="T35" s="123"/>
      <c r="V35" s="123"/>
      <c r="X35" s="123"/>
      <c r="Z35" s="123"/>
      <c r="AB35" s="123"/>
      <c r="AE35" s="123"/>
      <c r="AJ35" s="123"/>
      <c r="AL35" s="123"/>
      <c r="AN35" s="123"/>
      <c r="AP35" s="123"/>
      <c r="AR35" s="123"/>
      <c r="AT35" s="123"/>
    </row>
    <row r="36" spans="2:57" s="73" customFormat="1" ht="14" x14ac:dyDescent="0.3">
      <c r="B36" s="74" t="s">
        <v>913</v>
      </c>
      <c r="T36" s="74" t="s">
        <v>846</v>
      </c>
      <c r="AL36" s="74" t="s">
        <v>922</v>
      </c>
    </row>
    <row r="37" spans="2:57" s="73" customFormat="1" ht="21.75" customHeight="1" x14ac:dyDescent="0.3">
      <c r="B37" s="74" t="s">
        <v>780</v>
      </c>
      <c r="F37" s="1482" t="str">
        <f>SchInfo!F38</f>
        <v>MELCHESIEDICK Q. BOLANIO/ March 17, 2023</v>
      </c>
      <c r="G37" s="1482"/>
      <c r="H37" s="1482"/>
      <c r="I37" s="1482"/>
      <c r="J37" s="1482"/>
      <c r="K37" s="1482"/>
      <c r="L37" s="1482"/>
      <c r="M37" s="1482"/>
      <c r="N37" s="1482"/>
      <c r="O37" s="1482"/>
      <c r="P37" s="1482"/>
      <c r="Q37" s="1482"/>
      <c r="T37" s="1482" t="str">
        <f>Table39!Q37</f>
        <v>ELYN KENDRA D. DELA CRUZ  /  March 17, 2023</v>
      </c>
      <c r="U37" s="1482"/>
      <c r="V37" s="1482"/>
      <c r="W37" s="1482"/>
      <c r="X37" s="1482"/>
      <c r="Y37" s="1482"/>
      <c r="Z37" s="1482"/>
      <c r="AA37" s="1482"/>
      <c r="AB37" s="1482"/>
      <c r="AC37" s="1482"/>
      <c r="AD37" s="1482"/>
      <c r="AE37" s="1482"/>
      <c r="AF37" s="1482"/>
      <c r="AG37" s="1482"/>
      <c r="AH37" s="1482"/>
      <c r="AI37" s="1482"/>
      <c r="AL37" s="1484" t="str">
        <f>SchInfo!R38</f>
        <v>MICHAEL T. JAMIS   /  March 17, 2023</v>
      </c>
      <c r="AM37" s="1484"/>
      <c r="AN37" s="1484"/>
      <c r="AO37" s="1484"/>
      <c r="AP37" s="1484"/>
      <c r="AQ37" s="1484"/>
      <c r="AR37" s="1484"/>
      <c r="AS37" s="1484"/>
      <c r="AT37" s="1484"/>
      <c r="AU37" s="1484"/>
      <c r="AV37" s="1484"/>
      <c r="AW37" s="1484"/>
      <c r="AX37" s="1484"/>
      <c r="AY37" s="1484"/>
      <c r="AZ37" s="1484"/>
      <c r="BA37" s="1484"/>
    </row>
    <row r="38" spans="2:57" s="68" customFormat="1" ht="15" customHeight="1" x14ac:dyDescent="0.3">
      <c r="B38" s="210"/>
      <c r="F38" s="1452" t="s">
        <v>779</v>
      </c>
      <c r="G38" s="1452"/>
      <c r="H38" s="1452"/>
      <c r="I38" s="1452"/>
      <c r="J38" s="1452"/>
      <c r="K38" s="1452"/>
      <c r="L38" s="1452"/>
      <c r="M38" s="1452"/>
      <c r="N38" s="1452"/>
      <c r="O38" s="1452"/>
      <c r="P38" s="1452"/>
      <c r="Q38" s="1452"/>
      <c r="R38" s="210"/>
      <c r="S38" s="210"/>
      <c r="T38" s="1452" t="s">
        <v>779</v>
      </c>
      <c r="U38" s="1452"/>
      <c r="V38" s="1452"/>
      <c r="W38" s="1452"/>
      <c r="X38" s="1452"/>
      <c r="Y38" s="1452"/>
      <c r="Z38" s="1452"/>
      <c r="AA38" s="1452"/>
      <c r="AB38" s="1452"/>
      <c r="AC38" s="1452"/>
      <c r="AD38" s="1452"/>
      <c r="AE38" s="1452"/>
      <c r="AF38" s="1452"/>
      <c r="AG38" s="1452"/>
      <c r="AH38" s="1452"/>
      <c r="AI38" s="1452"/>
      <c r="AJ38" s="64"/>
      <c r="AK38" s="64"/>
      <c r="AL38" s="1485"/>
      <c r="AM38" s="1485"/>
      <c r="AN38" s="1485"/>
      <c r="AO38" s="1485"/>
      <c r="AP38" s="1485"/>
      <c r="AQ38" s="1485"/>
      <c r="AR38" s="1485"/>
      <c r="AS38" s="1485"/>
      <c r="AT38" s="1485"/>
      <c r="AU38" s="1485"/>
      <c r="AV38" s="1485"/>
      <c r="AW38" s="1485"/>
      <c r="AX38" s="1485"/>
      <c r="AY38" s="1485"/>
      <c r="AZ38" s="1485"/>
      <c r="BA38" s="1485"/>
    </row>
    <row r="39" spans="2:57" s="73" customFormat="1" ht="21.75" customHeight="1" x14ac:dyDescent="0.35">
      <c r="B39" s="74" t="s">
        <v>784</v>
      </c>
      <c r="F39" s="1482" t="str">
        <f>SchInfo!F40</f>
        <v>Principal IV</v>
      </c>
      <c r="G39" s="1482"/>
      <c r="H39" s="1482"/>
      <c r="I39" s="1482"/>
      <c r="J39" s="1482"/>
      <c r="K39" s="1482"/>
      <c r="L39" s="1482"/>
      <c r="M39" s="1482"/>
      <c r="N39" s="1482"/>
      <c r="O39" s="1482"/>
      <c r="P39" s="1482"/>
      <c r="Q39" s="1482"/>
      <c r="S39" s="44"/>
      <c r="T39" s="74" t="s">
        <v>784</v>
      </c>
      <c r="X39" s="1482" t="str">
        <f>Table39!U39</f>
        <v>Project Development Officer III</v>
      </c>
      <c r="Y39" s="1482"/>
      <c r="Z39" s="1482"/>
      <c r="AA39" s="1482"/>
      <c r="AB39" s="1482"/>
      <c r="AC39" s="1482"/>
      <c r="AD39" s="1482"/>
      <c r="AE39" s="1482"/>
      <c r="AF39" s="1482"/>
      <c r="AG39" s="1482"/>
      <c r="AH39" s="1482"/>
      <c r="AI39" s="1482"/>
      <c r="AL39" s="1452" t="s">
        <v>779</v>
      </c>
      <c r="AM39" s="1452"/>
      <c r="AN39" s="1452"/>
      <c r="AO39" s="1452"/>
      <c r="AP39" s="1452"/>
      <c r="AQ39" s="1452"/>
      <c r="AR39" s="1452"/>
      <c r="AS39" s="1452"/>
      <c r="AT39" s="1452"/>
      <c r="AU39" s="1452"/>
      <c r="AV39" s="1452"/>
      <c r="AW39" s="1452"/>
      <c r="AX39" s="1452"/>
      <c r="AY39" s="1452"/>
      <c r="AZ39" s="1452"/>
      <c r="BA39" s="1452"/>
    </row>
    <row r="40" spans="2:57" x14ac:dyDescent="0.3">
      <c r="E40" s="73"/>
    </row>
  </sheetData>
  <sheetProtection algorithmName="SHA-512" hashValue="av/kgaW83gvVst/hPv+BbAgkSU6hAQbeRxjqObG7CNjoE7L/BgSxX56lu6Ni8GqmbNFoeAgHXFMzVTbmhSVyMA==" saltValue="Fd3foDz4KfMlKfuFzFZUiw==" spinCount="100000" sheet="1" objects="1" scenarios="1"/>
  <mergeCells count="50">
    <mergeCell ref="D4:Z4"/>
    <mergeCell ref="N9:P11"/>
    <mergeCell ref="Q9:S11"/>
    <mergeCell ref="T9:V11"/>
    <mergeCell ref="W9:Y11"/>
    <mergeCell ref="N5:S7"/>
    <mergeCell ref="T5:Y7"/>
    <mergeCell ref="N8:P8"/>
    <mergeCell ref="Q8:S8"/>
    <mergeCell ref="T8:V8"/>
    <mergeCell ref="W8:Y8"/>
    <mergeCell ref="D5:M8"/>
    <mergeCell ref="E9:M11"/>
    <mergeCell ref="D9:D11"/>
    <mergeCell ref="Q12:S14"/>
    <mergeCell ref="N12:P14"/>
    <mergeCell ref="C29:BA29"/>
    <mergeCell ref="C25:BA25"/>
    <mergeCell ref="C26:BA26"/>
    <mergeCell ref="E12:M14"/>
    <mergeCell ref="C27:BA27"/>
    <mergeCell ref="D18:F19"/>
    <mergeCell ref="G18:Y22"/>
    <mergeCell ref="N15:P17"/>
    <mergeCell ref="Q15:S17"/>
    <mergeCell ref="T15:V17"/>
    <mergeCell ref="W15:Y17"/>
    <mergeCell ref="F15:M17"/>
    <mergeCell ref="F39:Q39"/>
    <mergeCell ref="X39:AI39"/>
    <mergeCell ref="AL39:BA39"/>
    <mergeCell ref="AG14:AY15"/>
    <mergeCell ref="AG16:AY20"/>
    <mergeCell ref="C28:BA28"/>
    <mergeCell ref="C30:BA30"/>
    <mergeCell ref="C31:BA31"/>
    <mergeCell ref="C32:BA32"/>
    <mergeCell ref="F37:Q37"/>
    <mergeCell ref="T37:AI37"/>
    <mergeCell ref="AL37:BA38"/>
    <mergeCell ref="F38:Q38"/>
    <mergeCell ref="T38:AI38"/>
    <mergeCell ref="W12:Y14"/>
    <mergeCell ref="T12:V14"/>
    <mergeCell ref="AG10:AY11"/>
    <mergeCell ref="AG12:AY13"/>
    <mergeCell ref="AF4:AU5"/>
    <mergeCell ref="AW4:AY5"/>
    <mergeCell ref="AF7:AU8"/>
    <mergeCell ref="AW7:AY8"/>
  </mergeCells>
  <dataValidations count="1">
    <dataValidation type="whole" allowBlank="1" showInputMessage="1" showErrorMessage="1" errorTitle="GJHSP SY 2022-2023" error="Please enter valid number between 0-999." sqref="N9:Y17 AW4:AY5 AW7:AY8" xr:uid="{7E258199-E282-4210-87E0-A000C6C2736C}">
      <formula1>0</formula1>
      <formula2>999</formula2>
    </dataValidation>
  </dataValidations>
  <printOptions horizontalCentered="1" verticalCentered="1"/>
  <pageMargins left="0.25" right="0.25" top="0.2" bottom="0.2" header="0" footer="0.1"/>
  <pageSetup paperSize="9" scale="64" orientation="landscape" r:id="rId1"/>
  <headerFooter>
    <oddFooter>&amp;L&amp;10&amp;F &amp;A&amp;R&amp;10Page 56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88065" r:id="rId4" name="Check Box 1">
              <controlPr defaultSize="0" autoFill="0" autoLine="0" autoPict="0">
                <anchor moveWithCells="1">
                  <from>
                    <xdr:col>31</xdr:col>
                    <xdr:colOff>25400</xdr:colOff>
                    <xdr:row>8</xdr:row>
                    <xdr:rowOff>25400</xdr:rowOff>
                  </from>
                  <to>
                    <xdr:col>32</xdr:col>
                    <xdr:colOff>25400</xdr:colOff>
                    <xdr:row>10</xdr:row>
                    <xdr:rowOff>38100</xdr:rowOff>
                  </to>
                </anchor>
              </controlPr>
            </control>
          </mc:Choice>
        </mc:AlternateContent>
        <mc:AlternateContent xmlns:mc="http://schemas.openxmlformats.org/markup-compatibility/2006">
          <mc:Choice Requires="x14">
            <control shapeId="88066" r:id="rId5" name="Check Box 2">
              <controlPr defaultSize="0" autoFill="0" autoLine="0" autoPict="0">
                <anchor moveWithCells="1">
                  <from>
                    <xdr:col>31</xdr:col>
                    <xdr:colOff>25400</xdr:colOff>
                    <xdr:row>10</xdr:row>
                    <xdr:rowOff>177800</xdr:rowOff>
                  </from>
                  <to>
                    <xdr:col>32</xdr:col>
                    <xdr:colOff>25400</xdr:colOff>
                    <xdr:row>12</xdr:row>
                    <xdr:rowOff>44450</xdr:rowOff>
                  </to>
                </anchor>
              </controlPr>
            </control>
          </mc:Choice>
        </mc:AlternateContent>
        <mc:AlternateContent xmlns:mc="http://schemas.openxmlformats.org/markup-compatibility/2006">
          <mc:Choice Requires="x14">
            <control shapeId="88067" r:id="rId6" name="Check Box 3">
              <controlPr defaultSize="0" autoFill="0" autoLine="0" autoPict="0">
                <anchor moveWithCells="1">
                  <from>
                    <xdr:col>31</xdr:col>
                    <xdr:colOff>31750</xdr:colOff>
                    <xdr:row>12</xdr:row>
                    <xdr:rowOff>152400</xdr:rowOff>
                  </from>
                  <to>
                    <xdr:col>32</xdr:col>
                    <xdr:colOff>31750</xdr:colOff>
                    <xdr:row>14</xdr:row>
                    <xdr:rowOff>25400</xdr:rowOff>
                  </to>
                </anchor>
              </controlPr>
            </control>
          </mc:Choice>
        </mc:AlternateContent>
        <mc:AlternateContent xmlns:mc="http://schemas.openxmlformats.org/markup-compatibility/2006">
          <mc:Choice Requires="x14">
            <control shapeId="88068" r:id="rId7" name="Check Box 4">
              <controlPr defaultSize="0" autoFill="0" autoLine="0" autoPict="0">
                <anchor moveWithCells="1">
                  <from>
                    <xdr:col>31</xdr:col>
                    <xdr:colOff>25400</xdr:colOff>
                    <xdr:row>14</xdr:row>
                    <xdr:rowOff>152400</xdr:rowOff>
                  </from>
                  <to>
                    <xdr:col>32</xdr:col>
                    <xdr:colOff>25400</xdr:colOff>
                    <xdr:row>16</xdr:row>
                    <xdr:rowOff>25400</xdr:rowOff>
                  </to>
                </anchor>
              </controlPr>
            </control>
          </mc:Choice>
        </mc:AlternateContent>
      </controls>
    </mc:Choice>
  </mc:AlternateConten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78344-6C3E-4425-B728-3653EE648B13}">
  <sheetPr>
    <pageSetUpPr fitToPage="1"/>
  </sheetPr>
  <dimension ref="B1:BX18"/>
  <sheetViews>
    <sheetView showGridLines="0" zoomScaleNormal="100" zoomScaleSheetLayoutView="100" workbookViewId="0">
      <selection activeCell="C17" sqref="C17:BA17"/>
    </sheetView>
  </sheetViews>
  <sheetFormatPr defaultColWidth="8" defaultRowHeight="15.5" x14ac:dyDescent="0.35"/>
  <cols>
    <col min="1" max="1" width="2.08203125" style="1041" customWidth="1"/>
    <col min="2" max="3" width="3.58203125" style="1041" customWidth="1"/>
    <col min="4" max="30" width="3.58203125" style="1042" customWidth="1"/>
    <col min="31" max="33" width="3.58203125" style="1041" customWidth="1"/>
    <col min="34" max="34" width="2.08203125" style="1041" customWidth="1"/>
    <col min="35" max="53" width="3.58203125" style="1041" customWidth="1"/>
    <col min="54" max="54" width="2.08203125" style="1041" customWidth="1"/>
    <col min="55" max="166" width="3.58203125" style="1041" customWidth="1"/>
    <col min="167" max="16384" width="8" style="1041"/>
  </cols>
  <sheetData>
    <row r="1" spans="2:76" ht="12" customHeight="1" x14ac:dyDescent="0.35"/>
    <row r="2" spans="2:76" s="87" customFormat="1" ht="15.75" customHeight="1" x14ac:dyDescent="0.3">
      <c r="B2" s="670" t="s">
        <v>1891</v>
      </c>
      <c r="C2" s="688"/>
      <c r="D2" s="688"/>
      <c r="E2" s="688"/>
      <c r="F2" s="688"/>
      <c r="G2" s="688"/>
      <c r="H2" s="688"/>
      <c r="I2" s="688"/>
      <c r="J2" s="688"/>
      <c r="K2" s="688"/>
      <c r="L2" s="688"/>
      <c r="M2" s="688"/>
      <c r="N2" s="688"/>
      <c r="O2" s="688"/>
      <c r="P2" s="688"/>
      <c r="Q2" s="688"/>
      <c r="R2" s="688"/>
      <c r="S2" s="688"/>
      <c r="T2" s="688"/>
      <c r="U2" s="688"/>
      <c r="V2" s="688"/>
      <c r="W2" s="688"/>
      <c r="X2" s="688"/>
      <c r="Y2" s="688"/>
      <c r="Z2" s="688"/>
      <c r="AA2" s="688"/>
      <c r="AB2" s="688"/>
      <c r="AC2" s="688"/>
      <c r="AD2" s="688"/>
      <c r="AE2" s="688"/>
      <c r="AF2" s="688"/>
      <c r="AG2" s="688"/>
      <c r="AH2" s="688"/>
      <c r="AI2" s="688"/>
      <c r="AJ2" s="688"/>
      <c r="AK2" s="688"/>
      <c r="AL2" s="688"/>
      <c r="AM2" s="688"/>
      <c r="AN2" s="688"/>
      <c r="AO2" s="688"/>
      <c r="AP2" s="688"/>
      <c r="AQ2" s="688"/>
      <c r="AR2" s="688"/>
      <c r="AS2" s="688"/>
      <c r="AT2" s="688"/>
      <c r="AU2" s="688"/>
      <c r="AV2" s="688"/>
      <c r="AW2" s="688"/>
      <c r="AX2" s="694"/>
      <c r="AY2" s="694"/>
      <c r="AZ2" s="694"/>
      <c r="BA2" s="694"/>
      <c r="BB2" s="694"/>
      <c r="BC2" s="694"/>
      <c r="BD2" s="694"/>
      <c r="BE2" s="694"/>
      <c r="BF2" s="694"/>
      <c r="BG2" s="694"/>
      <c r="BH2" s="694"/>
      <c r="BX2" s="691"/>
    </row>
    <row r="3" spans="2:76" s="87" customFormat="1" ht="15.75" customHeight="1" x14ac:dyDescent="0.3">
      <c r="B3" s="670"/>
      <c r="C3" s="688"/>
      <c r="D3" s="688"/>
      <c r="E3" s="688"/>
      <c r="F3" s="688"/>
      <c r="G3" s="688"/>
      <c r="H3" s="688"/>
      <c r="I3" s="688"/>
      <c r="J3" s="688"/>
      <c r="K3" s="688"/>
      <c r="L3" s="688"/>
      <c r="M3" s="688"/>
      <c r="N3" s="688"/>
      <c r="O3" s="688"/>
      <c r="P3" s="688"/>
      <c r="Q3" s="688"/>
      <c r="R3" s="688"/>
      <c r="S3" s="688"/>
      <c r="T3" s="688"/>
      <c r="U3" s="688"/>
      <c r="V3" s="688"/>
      <c r="W3" s="688"/>
      <c r="X3" s="688"/>
      <c r="Y3" s="688"/>
      <c r="Z3" s="688"/>
      <c r="AA3" s="688"/>
      <c r="AB3" s="688"/>
      <c r="AC3" s="688"/>
      <c r="AD3" s="688"/>
      <c r="AE3" s="688"/>
      <c r="AF3" s="688"/>
      <c r="AG3" s="688"/>
      <c r="AH3" s="688"/>
      <c r="AI3" s="688"/>
      <c r="AJ3" s="688"/>
      <c r="AK3" s="688"/>
      <c r="AL3" s="688"/>
      <c r="AM3" s="688"/>
      <c r="AN3" s="688"/>
      <c r="AO3" s="688"/>
      <c r="AP3" s="688"/>
      <c r="AQ3" s="688"/>
      <c r="AR3" s="688"/>
      <c r="AS3" s="688"/>
      <c r="AT3" s="688"/>
      <c r="AU3" s="688"/>
      <c r="AV3" s="688"/>
      <c r="AW3" s="688"/>
      <c r="AX3" s="694"/>
      <c r="AY3" s="694"/>
      <c r="AZ3" s="694"/>
      <c r="BA3" s="694"/>
      <c r="BB3" s="694"/>
      <c r="BC3" s="694"/>
      <c r="BD3" s="694"/>
      <c r="BE3" s="694"/>
      <c r="BF3" s="694"/>
      <c r="BG3" s="694"/>
      <c r="BH3" s="694"/>
      <c r="BX3" s="691"/>
    </row>
    <row r="4" spans="2:76" s="1101" customFormat="1" ht="38" customHeight="1" x14ac:dyDescent="0.35">
      <c r="B4" s="1135" t="s">
        <v>154</v>
      </c>
      <c r="C4" s="3884" t="s">
        <v>1761</v>
      </c>
      <c r="D4" s="3884"/>
      <c r="E4" s="3884"/>
      <c r="F4" s="3884"/>
      <c r="G4" s="3884"/>
      <c r="H4" s="3884"/>
      <c r="I4" s="3884"/>
      <c r="J4" s="3884"/>
      <c r="K4" s="3884"/>
      <c r="L4" s="3884"/>
      <c r="M4" s="3884"/>
      <c r="N4" s="3884"/>
      <c r="O4" s="3884"/>
      <c r="P4" s="3884"/>
      <c r="Q4" s="3884"/>
      <c r="R4" s="3884"/>
      <c r="S4" s="3884"/>
      <c r="T4" s="3884"/>
      <c r="U4" s="3884"/>
      <c r="V4" s="3884"/>
      <c r="W4" s="3884"/>
      <c r="X4" s="3884"/>
      <c r="Y4" s="3884"/>
      <c r="Z4" s="3884"/>
      <c r="AA4" s="3884"/>
      <c r="AB4" s="3884"/>
      <c r="AC4" s="3884"/>
      <c r="AD4" s="3884"/>
      <c r="AE4" s="3884"/>
      <c r="AF4" s="3884"/>
      <c r="AG4" s="3884"/>
      <c r="AH4" s="3884"/>
      <c r="AI4" s="3884"/>
      <c r="AJ4" s="3884"/>
      <c r="AK4" s="3884"/>
      <c r="AL4" s="3884"/>
      <c r="AM4" s="3884"/>
      <c r="AN4" s="3884"/>
      <c r="AO4" s="3884"/>
      <c r="AP4" s="3884"/>
      <c r="AQ4" s="3884"/>
      <c r="AR4" s="3884"/>
      <c r="AS4" s="3884"/>
      <c r="AT4" s="3884"/>
      <c r="AU4" s="3884"/>
      <c r="AV4" s="3884"/>
      <c r="AW4" s="3884"/>
      <c r="AX4" s="3884"/>
      <c r="AY4" s="3884"/>
      <c r="AZ4" s="3884"/>
      <c r="BA4" s="3884"/>
      <c r="BB4" s="1041"/>
      <c r="BC4" s="1041"/>
    </row>
    <row r="5" spans="2:76" s="1101" customFormat="1" ht="96.5" customHeight="1" x14ac:dyDescent="0.35">
      <c r="B5" s="1135" t="s">
        <v>160</v>
      </c>
      <c r="C5" s="3884" t="s">
        <v>1773</v>
      </c>
      <c r="D5" s="3884"/>
      <c r="E5" s="3884"/>
      <c r="F5" s="3884"/>
      <c r="G5" s="3884"/>
      <c r="H5" s="3884"/>
      <c r="I5" s="3884"/>
      <c r="J5" s="3884"/>
      <c r="K5" s="3884"/>
      <c r="L5" s="3884"/>
      <c r="M5" s="3884"/>
      <c r="N5" s="3884"/>
      <c r="O5" s="3884"/>
      <c r="P5" s="3884"/>
      <c r="Q5" s="3884"/>
      <c r="R5" s="3884"/>
      <c r="S5" s="3884"/>
      <c r="T5" s="3884"/>
      <c r="U5" s="3884"/>
      <c r="V5" s="3884"/>
      <c r="W5" s="3884"/>
      <c r="X5" s="3884"/>
      <c r="Y5" s="3884"/>
      <c r="Z5" s="3884"/>
      <c r="AA5" s="3884"/>
      <c r="AB5" s="3884"/>
      <c r="AC5" s="3884"/>
      <c r="AD5" s="3884"/>
      <c r="AE5" s="3884"/>
      <c r="AF5" s="3884"/>
      <c r="AG5" s="3884"/>
      <c r="AH5" s="3884"/>
      <c r="AI5" s="3884"/>
      <c r="AJ5" s="3884"/>
      <c r="AK5" s="3884"/>
      <c r="AL5" s="3884"/>
      <c r="AM5" s="3884"/>
      <c r="AN5" s="3884"/>
      <c r="AO5" s="3884"/>
      <c r="AP5" s="3884"/>
      <c r="AQ5" s="3884"/>
      <c r="AR5" s="3884"/>
      <c r="AS5" s="3884"/>
      <c r="AT5" s="3884"/>
      <c r="AU5" s="3884"/>
      <c r="AV5" s="3884"/>
      <c r="AW5" s="3884"/>
      <c r="AX5" s="3884"/>
      <c r="AY5" s="3884"/>
      <c r="AZ5" s="3884"/>
      <c r="BA5" s="3884"/>
      <c r="BB5" s="1041"/>
      <c r="BC5" s="1041"/>
    </row>
    <row r="6" spans="2:76" s="1101" customFormat="1" ht="50" customHeight="1" x14ac:dyDescent="0.35">
      <c r="B6" s="1135" t="s">
        <v>158</v>
      </c>
      <c r="C6" s="3884" t="s">
        <v>1772</v>
      </c>
      <c r="D6" s="3884"/>
      <c r="E6" s="3884"/>
      <c r="F6" s="3884"/>
      <c r="G6" s="3884"/>
      <c r="H6" s="3884"/>
      <c r="I6" s="3884"/>
      <c r="J6" s="3884"/>
      <c r="K6" s="3884"/>
      <c r="L6" s="3884"/>
      <c r="M6" s="3884"/>
      <c r="N6" s="3884"/>
      <c r="O6" s="3884"/>
      <c r="P6" s="3884"/>
      <c r="Q6" s="3884"/>
      <c r="R6" s="3884"/>
      <c r="S6" s="3884"/>
      <c r="T6" s="3884"/>
      <c r="U6" s="3884"/>
      <c r="V6" s="3884"/>
      <c r="W6" s="3884"/>
      <c r="X6" s="3884"/>
      <c r="Y6" s="3884"/>
      <c r="Z6" s="3884"/>
      <c r="AA6" s="3884"/>
      <c r="AB6" s="3884"/>
      <c r="AC6" s="3884"/>
      <c r="AD6" s="3884"/>
      <c r="AE6" s="3884"/>
      <c r="AF6" s="3884"/>
      <c r="AG6" s="3884"/>
      <c r="AH6" s="3884"/>
      <c r="AI6" s="3884"/>
      <c r="AJ6" s="3884"/>
      <c r="AK6" s="3884"/>
      <c r="AL6" s="3884"/>
      <c r="AM6" s="3884"/>
      <c r="AN6" s="3884"/>
      <c r="AO6" s="3884"/>
      <c r="AP6" s="3884"/>
      <c r="AQ6" s="3884"/>
      <c r="AR6" s="3884"/>
      <c r="AS6" s="3884"/>
      <c r="AT6" s="3884"/>
      <c r="AU6" s="3884"/>
      <c r="AV6" s="3884"/>
      <c r="AW6" s="3884"/>
      <c r="AX6" s="3884"/>
      <c r="AY6" s="3884"/>
      <c r="AZ6" s="3884"/>
      <c r="BA6" s="3884"/>
      <c r="BB6" s="1041"/>
      <c r="BC6" s="1041"/>
    </row>
    <row r="7" spans="2:76" s="1101" customFormat="1" ht="50" customHeight="1" x14ac:dyDescent="0.35">
      <c r="B7" s="1135" t="s">
        <v>660</v>
      </c>
      <c r="C7" s="3884" t="s">
        <v>1774</v>
      </c>
      <c r="D7" s="3884"/>
      <c r="E7" s="3884"/>
      <c r="F7" s="3884"/>
      <c r="G7" s="3884"/>
      <c r="H7" s="3884"/>
      <c r="I7" s="3884"/>
      <c r="J7" s="3884"/>
      <c r="K7" s="3884"/>
      <c r="L7" s="3884"/>
      <c r="M7" s="3884"/>
      <c r="N7" s="3884"/>
      <c r="O7" s="3884"/>
      <c r="P7" s="3884"/>
      <c r="Q7" s="3884"/>
      <c r="R7" s="3884"/>
      <c r="S7" s="3884"/>
      <c r="T7" s="3884"/>
      <c r="U7" s="3884"/>
      <c r="V7" s="3884"/>
      <c r="W7" s="3884"/>
      <c r="X7" s="3884"/>
      <c r="Y7" s="3884"/>
      <c r="Z7" s="3884"/>
      <c r="AA7" s="3884"/>
      <c r="AB7" s="3884"/>
      <c r="AC7" s="3884"/>
      <c r="AD7" s="3884"/>
      <c r="AE7" s="3884"/>
      <c r="AF7" s="3884"/>
      <c r="AG7" s="3884"/>
      <c r="AH7" s="3884"/>
      <c r="AI7" s="3884"/>
      <c r="AJ7" s="3884"/>
      <c r="AK7" s="3884"/>
      <c r="AL7" s="3884"/>
      <c r="AM7" s="3884"/>
      <c r="AN7" s="3884"/>
      <c r="AO7" s="3884"/>
      <c r="AP7" s="3884"/>
      <c r="AQ7" s="3884"/>
      <c r="AR7" s="3884"/>
      <c r="AS7" s="3884"/>
      <c r="AT7" s="3884"/>
      <c r="AU7" s="3884"/>
      <c r="AV7" s="3884"/>
      <c r="AW7" s="3884"/>
      <c r="AX7" s="3884"/>
      <c r="AY7" s="3884"/>
      <c r="AZ7" s="3884"/>
      <c r="BA7" s="3884"/>
      <c r="BB7" s="1041"/>
      <c r="BC7" s="1041"/>
    </row>
    <row r="8" spans="2:76" s="1101" customFormat="1" ht="50" customHeight="1" x14ac:dyDescent="0.35">
      <c r="B8" s="1135" t="s">
        <v>671</v>
      </c>
      <c r="C8" s="3884" t="s">
        <v>1762</v>
      </c>
      <c r="D8" s="3884"/>
      <c r="E8" s="3884"/>
      <c r="F8" s="3884"/>
      <c r="G8" s="3884"/>
      <c r="H8" s="3884"/>
      <c r="I8" s="3884"/>
      <c r="J8" s="3884"/>
      <c r="K8" s="3884"/>
      <c r="L8" s="3884"/>
      <c r="M8" s="3884"/>
      <c r="N8" s="3884"/>
      <c r="O8" s="3884"/>
      <c r="P8" s="3884"/>
      <c r="Q8" s="3884"/>
      <c r="R8" s="3884"/>
      <c r="S8" s="3884"/>
      <c r="T8" s="3884"/>
      <c r="U8" s="3884"/>
      <c r="V8" s="3884"/>
      <c r="W8" s="3884"/>
      <c r="X8" s="3884"/>
      <c r="Y8" s="3884"/>
      <c r="Z8" s="3884"/>
      <c r="AA8" s="3884"/>
      <c r="AB8" s="3884"/>
      <c r="AC8" s="3884"/>
      <c r="AD8" s="3884"/>
      <c r="AE8" s="3884"/>
      <c r="AF8" s="3884"/>
      <c r="AG8" s="3884"/>
      <c r="AH8" s="3884"/>
      <c r="AI8" s="3884"/>
      <c r="AJ8" s="3884"/>
      <c r="AK8" s="3884"/>
      <c r="AL8" s="3884"/>
      <c r="AM8" s="3884"/>
      <c r="AN8" s="3884"/>
      <c r="AO8" s="3884"/>
      <c r="AP8" s="3884"/>
      <c r="AQ8" s="3884"/>
      <c r="AR8" s="3884"/>
      <c r="AS8" s="3884"/>
      <c r="AT8" s="3884"/>
      <c r="AU8" s="3884"/>
      <c r="AV8" s="3884"/>
      <c r="AW8" s="3884"/>
      <c r="AX8" s="3884"/>
      <c r="AY8" s="3884"/>
      <c r="AZ8" s="3884"/>
      <c r="BA8" s="3884"/>
      <c r="BB8" s="1041"/>
      <c r="BC8" s="1041"/>
    </row>
    <row r="9" spans="2:76" s="1101" customFormat="1" ht="50" customHeight="1" x14ac:dyDescent="0.35">
      <c r="B9" s="1135" t="s">
        <v>672</v>
      </c>
      <c r="C9" s="3884" t="s">
        <v>1763</v>
      </c>
      <c r="D9" s="3884"/>
      <c r="E9" s="3884"/>
      <c r="F9" s="3884"/>
      <c r="G9" s="3884"/>
      <c r="H9" s="3884"/>
      <c r="I9" s="3884"/>
      <c r="J9" s="3884"/>
      <c r="K9" s="3884"/>
      <c r="L9" s="3884"/>
      <c r="M9" s="3884"/>
      <c r="N9" s="3884"/>
      <c r="O9" s="3884"/>
      <c r="P9" s="3884"/>
      <c r="Q9" s="3884"/>
      <c r="R9" s="3884"/>
      <c r="S9" s="3884"/>
      <c r="T9" s="3884"/>
      <c r="U9" s="3884"/>
      <c r="V9" s="3884"/>
      <c r="W9" s="3884"/>
      <c r="X9" s="3884"/>
      <c r="Y9" s="3884"/>
      <c r="Z9" s="3884"/>
      <c r="AA9" s="3884"/>
      <c r="AB9" s="3884"/>
      <c r="AC9" s="3884"/>
      <c r="AD9" s="3884"/>
      <c r="AE9" s="3884"/>
      <c r="AF9" s="3884"/>
      <c r="AG9" s="3884"/>
      <c r="AH9" s="3884"/>
      <c r="AI9" s="3884"/>
      <c r="AJ9" s="3884"/>
      <c r="AK9" s="3884"/>
      <c r="AL9" s="3884"/>
      <c r="AM9" s="3884"/>
      <c r="AN9" s="3884"/>
      <c r="AO9" s="3884"/>
      <c r="AP9" s="3884"/>
      <c r="AQ9" s="3884"/>
      <c r="AR9" s="3884"/>
      <c r="AS9" s="3884"/>
      <c r="AT9" s="3884"/>
      <c r="AU9" s="3884"/>
      <c r="AV9" s="3884"/>
      <c r="AW9" s="3884"/>
      <c r="AX9" s="3884"/>
      <c r="AY9" s="3884"/>
      <c r="AZ9" s="3884"/>
      <c r="BA9" s="3884"/>
      <c r="BB9" s="1041"/>
      <c r="BC9" s="1041"/>
    </row>
    <row r="10" spans="2:76" s="1101" customFormat="1" ht="50" customHeight="1" x14ac:dyDescent="0.35">
      <c r="B10" s="1135" t="s">
        <v>673</v>
      </c>
      <c r="C10" s="3884" t="s">
        <v>1764</v>
      </c>
      <c r="D10" s="3884"/>
      <c r="E10" s="3884"/>
      <c r="F10" s="3884"/>
      <c r="G10" s="3884"/>
      <c r="H10" s="3884"/>
      <c r="I10" s="3884"/>
      <c r="J10" s="3884"/>
      <c r="K10" s="3884"/>
      <c r="L10" s="3884"/>
      <c r="M10" s="3884"/>
      <c r="N10" s="3884"/>
      <c r="O10" s="3884"/>
      <c r="P10" s="3884"/>
      <c r="Q10" s="3884"/>
      <c r="R10" s="3884"/>
      <c r="S10" s="3884"/>
      <c r="T10" s="3884"/>
      <c r="U10" s="3884"/>
      <c r="V10" s="3884"/>
      <c r="W10" s="3884"/>
      <c r="X10" s="3884"/>
      <c r="Y10" s="3884"/>
      <c r="Z10" s="3884"/>
      <c r="AA10" s="3884"/>
      <c r="AB10" s="3884"/>
      <c r="AC10" s="3884"/>
      <c r="AD10" s="3884"/>
      <c r="AE10" s="3884"/>
      <c r="AF10" s="3884"/>
      <c r="AG10" s="3884"/>
      <c r="AH10" s="3884"/>
      <c r="AI10" s="3884"/>
      <c r="AJ10" s="3884"/>
      <c r="AK10" s="3884"/>
      <c r="AL10" s="3884"/>
      <c r="AM10" s="3884"/>
      <c r="AN10" s="3884"/>
      <c r="AO10" s="3884"/>
      <c r="AP10" s="3884"/>
      <c r="AQ10" s="3884"/>
      <c r="AR10" s="3884"/>
      <c r="AS10" s="3884"/>
      <c r="AT10" s="3884"/>
      <c r="AU10" s="3884"/>
      <c r="AV10" s="3884"/>
      <c r="AW10" s="3884"/>
      <c r="AX10" s="3884"/>
      <c r="AY10" s="3884"/>
      <c r="AZ10" s="3884"/>
      <c r="BA10" s="3884"/>
      <c r="BB10" s="1041"/>
      <c r="BC10" s="1041"/>
    </row>
    <row r="11" spans="2:76" s="1101" customFormat="1" ht="50" customHeight="1" x14ac:dyDescent="0.35">
      <c r="B11" s="1135" t="s">
        <v>674</v>
      </c>
      <c r="C11" s="3884" t="s">
        <v>1765</v>
      </c>
      <c r="D11" s="3884"/>
      <c r="E11" s="3884"/>
      <c r="F11" s="3884"/>
      <c r="G11" s="3884"/>
      <c r="H11" s="3884"/>
      <c r="I11" s="3884"/>
      <c r="J11" s="3884"/>
      <c r="K11" s="3884"/>
      <c r="L11" s="3884"/>
      <c r="M11" s="3884"/>
      <c r="N11" s="3884"/>
      <c r="O11" s="3884"/>
      <c r="P11" s="3884"/>
      <c r="Q11" s="3884"/>
      <c r="R11" s="3884"/>
      <c r="S11" s="3884"/>
      <c r="T11" s="3884"/>
      <c r="U11" s="3884"/>
      <c r="V11" s="3884"/>
      <c r="W11" s="3884"/>
      <c r="X11" s="3884"/>
      <c r="Y11" s="3884"/>
      <c r="Z11" s="3884"/>
      <c r="AA11" s="3884"/>
      <c r="AB11" s="3884"/>
      <c r="AC11" s="3884"/>
      <c r="AD11" s="3884"/>
      <c r="AE11" s="3884"/>
      <c r="AF11" s="3884"/>
      <c r="AG11" s="3884"/>
      <c r="AH11" s="3884"/>
      <c r="AI11" s="3884"/>
      <c r="AJ11" s="3884"/>
      <c r="AK11" s="3884"/>
      <c r="AL11" s="3884"/>
      <c r="AM11" s="3884"/>
      <c r="AN11" s="3884"/>
      <c r="AO11" s="3884"/>
      <c r="AP11" s="3884"/>
      <c r="AQ11" s="3884"/>
      <c r="AR11" s="3884"/>
      <c r="AS11" s="3884"/>
      <c r="AT11" s="3884"/>
      <c r="AU11" s="3884"/>
      <c r="AV11" s="3884"/>
      <c r="AW11" s="3884"/>
      <c r="AX11" s="3884"/>
      <c r="AY11" s="3884"/>
      <c r="AZ11" s="3884"/>
      <c r="BA11" s="3884"/>
      <c r="BB11" s="1041"/>
      <c r="BC11" s="1041"/>
    </row>
    <row r="12" spans="2:76" s="1101" customFormat="1" ht="35" customHeight="1" x14ac:dyDescent="0.35">
      <c r="B12" s="1135" t="s">
        <v>675</v>
      </c>
      <c r="C12" s="3884" t="s">
        <v>1766</v>
      </c>
      <c r="D12" s="3884"/>
      <c r="E12" s="3884"/>
      <c r="F12" s="3884"/>
      <c r="G12" s="3884"/>
      <c r="H12" s="3884"/>
      <c r="I12" s="3884"/>
      <c r="J12" s="3884"/>
      <c r="K12" s="3884"/>
      <c r="L12" s="3884"/>
      <c r="M12" s="3884"/>
      <c r="N12" s="3884"/>
      <c r="O12" s="3884"/>
      <c r="P12" s="3884"/>
      <c r="Q12" s="3884"/>
      <c r="R12" s="3884"/>
      <c r="S12" s="3884"/>
      <c r="T12" s="3884"/>
      <c r="U12" s="3884"/>
      <c r="V12" s="3884"/>
      <c r="W12" s="3884"/>
      <c r="X12" s="3884"/>
      <c r="Y12" s="3884"/>
      <c r="Z12" s="3884"/>
      <c r="AA12" s="3884"/>
      <c r="AB12" s="3884"/>
      <c r="AC12" s="3884"/>
      <c r="AD12" s="3884"/>
      <c r="AE12" s="3884"/>
      <c r="AF12" s="3884"/>
      <c r="AG12" s="3884"/>
      <c r="AH12" s="3884"/>
      <c r="AI12" s="3884"/>
      <c r="AJ12" s="3884"/>
      <c r="AK12" s="3884"/>
      <c r="AL12" s="3884"/>
      <c r="AM12" s="3884"/>
      <c r="AN12" s="3884"/>
      <c r="AO12" s="3884"/>
      <c r="AP12" s="3884"/>
      <c r="AQ12" s="3884"/>
      <c r="AR12" s="3884"/>
      <c r="AS12" s="3884"/>
      <c r="AT12" s="3884"/>
      <c r="AU12" s="3884"/>
      <c r="AV12" s="3884"/>
      <c r="AW12" s="3884"/>
      <c r="AX12" s="3884"/>
      <c r="AY12" s="3884"/>
      <c r="AZ12" s="3884"/>
      <c r="BA12" s="3884"/>
      <c r="BB12" s="1041"/>
      <c r="BC12" s="1041"/>
    </row>
    <row r="13" spans="2:76" s="1101" customFormat="1" ht="85.5" customHeight="1" x14ac:dyDescent="0.35">
      <c r="B13" s="1135" t="s">
        <v>676</v>
      </c>
      <c r="C13" s="3884" t="s">
        <v>1778</v>
      </c>
      <c r="D13" s="3884"/>
      <c r="E13" s="3884"/>
      <c r="F13" s="3884"/>
      <c r="G13" s="3884"/>
      <c r="H13" s="3884"/>
      <c r="I13" s="3884"/>
      <c r="J13" s="3884"/>
      <c r="K13" s="3884"/>
      <c r="L13" s="3884"/>
      <c r="M13" s="3884"/>
      <c r="N13" s="3884"/>
      <c r="O13" s="3884"/>
      <c r="P13" s="3884"/>
      <c r="Q13" s="3884"/>
      <c r="R13" s="3884"/>
      <c r="S13" s="3884"/>
      <c r="T13" s="3884"/>
      <c r="U13" s="3884"/>
      <c r="V13" s="3884"/>
      <c r="W13" s="3884"/>
      <c r="X13" s="3884"/>
      <c r="Y13" s="3884"/>
      <c r="Z13" s="3884"/>
      <c r="AA13" s="3884"/>
      <c r="AB13" s="3884"/>
      <c r="AC13" s="3884"/>
      <c r="AD13" s="3884"/>
      <c r="AE13" s="3884"/>
      <c r="AF13" s="3884"/>
      <c r="AG13" s="3884"/>
      <c r="AH13" s="3884"/>
      <c r="AI13" s="3884"/>
      <c r="AJ13" s="3884"/>
      <c r="AK13" s="3884"/>
      <c r="AL13" s="3884"/>
      <c r="AM13" s="3884"/>
      <c r="AN13" s="3884"/>
      <c r="AO13" s="3884"/>
      <c r="AP13" s="3884"/>
      <c r="AQ13" s="3884"/>
      <c r="AR13" s="3884"/>
      <c r="AS13" s="3884"/>
      <c r="AT13" s="3884"/>
      <c r="AU13" s="3884"/>
      <c r="AV13" s="3884"/>
      <c r="AW13" s="3884"/>
      <c r="AX13" s="3884"/>
      <c r="AY13" s="3884"/>
      <c r="AZ13" s="3884"/>
      <c r="BA13" s="3884"/>
      <c r="BB13" s="1041"/>
      <c r="BC13" s="1041"/>
    </row>
    <row r="14" spans="2:76" s="1101" customFormat="1" ht="66.5" customHeight="1" x14ac:dyDescent="0.35">
      <c r="B14" s="1135" t="s">
        <v>677</v>
      </c>
      <c r="C14" s="3884" t="s">
        <v>1767</v>
      </c>
      <c r="D14" s="3884"/>
      <c r="E14" s="3884"/>
      <c r="F14" s="3884"/>
      <c r="G14" s="3884"/>
      <c r="H14" s="3884"/>
      <c r="I14" s="3884"/>
      <c r="J14" s="3884"/>
      <c r="K14" s="3884"/>
      <c r="L14" s="3884"/>
      <c r="M14" s="3884"/>
      <c r="N14" s="3884"/>
      <c r="O14" s="3884"/>
      <c r="P14" s="3884"/>
      <c r="Q14" s="3884"/>
      <c r="R14" s="3884"/>
      <c r="S14" s="3884"/>
      <c r="T14" s="3884"/>
      <c r="U14" s="3884"/>
      <c r="V14" s="3884"/>
      <c r="W14" s="3884"/>
      <c r="X14" s="3884"/>
      <c r="Y14" s="3884"/>
      <c r="Z14" s="3884"/>
      <c r="AA14" s="3884"/>
      <c r="AB14" s="3884"/>
      <c r="AC14" s="3884"/>
      <c r="AD14" s="3884"/>
      <c r="AE14" s="3884"/>
      <c r="AF14" s="3884"/>
      <c r="AG14" s="3884"/>
      <c r="AH14" s="3884"/>
      <c r="AI14" s="3884"/>
      <c r="AJ14" s="3884"/>
      <c r="AK14" s="3884"/>
      <c r="AL14" s="3884"/>
      <c r="AM14" s="3884"/>
      <c r="AN14" s="3884"/>
      <c r="AO14" s="3884"/>
      <c r="AP14" s="3884"/>
      <c r="AQ14" s="3884"/>
      <c r="AR14" s="3884"/>
      <c r="AS14" s="3884"/>
      <c r="AT14" s="3884"/>
      <c r="AU14" s="3884"/>
      <c r="AV14" s="3884"/>
      <c r="AW14" s="3884"/>
      <c r="AX14" s="3884"/>
      <c r="AY14" s="3884"/>
      <c r="AZ14" s="3884"/>
      <c r="BA14" s="3884"/>
      <c r="BB14" s="1041"/>
      <c r="BC14" s="1041"/>
    </row>
    <row r="15" spans="2:76" s="1101" customFormat="1" ht="18.5" customHeight="1" x14ac:dyDescent="0.35">
      <c r="B15" s="1135" t="s">
        <v>678</v>
      </c>
      <c r="C15" s="3884" t="s">
        <v>1768</v>
      </c>
      <c r="D15" s="3884"/>
      <c r="E15" s="3884"/>
      <c r="F15" s="3884"/>
      <c r="G15" s="3884"/>
      <c r="H15" s="3884"/>
      <c r="I15" s="3884"/>
      <c r="J15" s="3884"/>
      <c r="K15" s="3884"/>
      <c r="L15" s="3884"/>
      <c r="M15" s="3884"/>
      <c r="N15" s="3884"/>
      <c r="O15" s="3884"/>
      <c r="P15" s="3884"/>
      <c r="Q15" s="3884"/>
      <c r="R15" s="3884"/>
      <c r="S15" s="3884"/>
      <c r="T15" s="3884"/>
      <c r="U15" s="3884"/>
      <c r="V15" s="3884"/>
      <c r="W15" s="3884"/>
      <c r="X15" s="3884"/>
      <c r="Y15" s="3884"/>
      <c r="Z15" s="3884"/>
      <c r="AA15" s="3884"/>
      <c r="AB15" s="3884"/>
      <c r="AC15" s="3884"/>
      <c r="AD15" s="3884"/>
      <c r="AE15" s="3884"/>
      <c r="AF15" s="3884"/>
      <c r="AG15" s="3884"/>
      <c r="AH15" s="3884"/>
      <c r="AI15" s="3884"/>
      <c r="AJ15" s="3884"/>
      <c r="AK15" s="3884"/>
      <c r="AL15" s="3884"/>
      <c r="AM15" s="3884"/>
      <c r="AN15" s="3884"/>
      <c r="AO15" s="3884"/>
      <c r="AP15" s="3884"/>
      <c r="AQ15" s="3884"/>
      <c r="AR15" s="3884"/>
      <c r="AS15" s="3884"/>
      <c r="AT15" s="3884"/>
      <c r="AU15" s="3884"/>
      <c r="AV15" s="3884"/>
      <c r="AW15" s="3884"/>
      <c r="AX15" s="3884"/>
      <c r="AY15" s="3884"/>
      <c r="AZ15" s="3884"/>
      <c r="BA15" s="3884"/>
      <c r="BB15" s="1041"/>
      <c r="BC15" s="1041"/>
    </row>
    <row r="16" spans="2:76" s="1101" customFormat="1" ht="50" customHeight="1" x14ac:dyDescent="0.35">
      <c r="B16" s="1135" t="s">
        <v>679</v>
      </c>
      <c r="C16" s="3884" t="s">
        <v>1769</v>
      </c>
      <c r="D16" s="3884"/>
      <c r="E16" s="3884"/>
      <c r="F16" s="3884"/>
      <c r="G16" s="3884"/>
      <c r="H16" s="3884"/>
      <c r="I16" s="3884"/>
      <c r="J16" s="3884"/>
      <c r="K16" s="3884"/>
      <c r="L16" s="3884"/>
      <c r="M16" s="3884"/>
      <c r="N16" s="3884"/>
      <c r="O16" s="3884"/>
      <c r="P16" s="3884"/>
      <c r="Q16" s="3884"/>
      <c r="R16" s="3884"/>
      <c r="S16" s="3884"/>
      <c r="T16" s="3884"/>
      <c r="U16" s="3884"/>
      <c r="V16" s="3884"/>
      <c r="W16" s="3884"/>
      <c r="X16" s="3884"/>
      <c r="Y16" s="3884"/>
      <c r="Z16" s="3884"/>
      <c r="AA16" s="3884"/>
      <c r="AB16" s="3884"/>
      <c r="AC16" s="3884"/>
      <c r="AD16" s="3884"/>
      <c r="AE16" s="3884"/>
      <c r="AF16" s="3884"/>
      <c r="AG16" s="3884"/>
      <c r="AH16" s="3884"/>
      <c r="AI16" s="3884"/>
      <c r="AJ16" s="3884"/>
      <c r="AK16" s="3884"/>
      <c r="AL16" s="3884"/>
      <c r="AM16" s="3884"/>
      <c r="AN16" s="3884"/>
      <c r="AO16" s="3884"/>
      <c r="AP16" s="3884"/>
      <c r="AQ16" s="3884"/>
      <c r="AR16" s="3884"/>
      <c r="AS16" s="3884"/>
      <c r="AT16" s="3884"/>
      <c r="AU16" s="3884"/>
      <c r="AV16" s="3884"/>
      <c r="AW16" s="3884"/>
      <c r="AX16" s="3884"/>
      <c r="AY16" s="3884"/>
      <c r="AZ16" s="3884"/>
      <c r="BA16" s="3884"/>
      <c r="BB16" s="1041"/>
      <c r="BC16" s="1041"/>
    </row>
    <row r="17" spans="2:55" s="1101" customFormat="1" ht="35.5" customHeight="1" x14ac:dyDescent="0.35">
      <c r="B17" s="1135" t="s">
        <v>680</v>
      </c>
      <c r="C17" s="3884" t="s">
        <v>1770</v>
      </c>
      <c r="D17" s="3884"/>
      <c r="E17" s="3884"/>
      <c r="F17" s="3884"/>
      <c r="G17" s="3884"/>
      <c r="H17" s="3884"/>
      <c r="I17" s="3884"/>
      <c r="J17" s="3884"/>
      <c r="K17" s="3884"/>
      <c r="L17" s="3884"/>
      <c r="M17" s="3884"/>
      <c r="N17" s="3884"/>
      <c r="O17" s="3884"/>
      <c r="P17" s="3884"/>
      <c r="Q17" s="3884"/>
      <c r="R17" s="3884"/>
      <c r="S17" s="3884"/>
      <c r="T17" s="3884"/>
      <c r="U17" s="3884"/>
      <c r="V17" s="3884"/>
      <c r="W17" s="3884"/>
      <c r="X17" s="3884"/>
      <c r="Y17" s="3884"/>
      <c r="Z17" s="3884"/>
      <c r="AA17" s="3884"/>
      <c r="AB17" s="3884"/>
      <c r="AC17" s="3884"/>
      <c r="AD17" s="3884"/>
      <c r="AE17" s="3884"/>
      <c r="AF17" s="3884"/>
      <c r="AG17" s="3884"/>
      <c r="AH17" s="3884"/>
      <c r="AI17" s="3884"/>
      <c r="AJ17" s="3884"/>
      <c r="AK17" s="3884"/>
      <c r="AL17" s="3884"/>
      <c r="AM17" s="3884"/>
      <c r="AN17" s="3884"/>
      <c r="AO17" s="3884"/>
      <c r="AP17" s="3884"/>
      <c r="AQ17" s="3884"/>
      <c r="AR17" s="3884"/>
      <c r="AS17" s="3884"/>
      <c r="AT17" s="3884"/>
      <c r="AU17" s="3884"/>
      <c r="AV17" s="3884"/>
      <c r="AW17" s="3884"/>
      <c r="AX17" s="3884"/>
      <c r="AY17" s="3884"/>
      <c r="AZ17" s="3884"/>
      <c r="BA17" s="3884"/>
      <c r="BB17" s="1041"/>
      <c r="BC17" s="1041"/>
    </row>
    <row r="18" spans="2:55" x14ac:dyDescent="0.35">
      <c r="B18" s="1042"/>
      <c r="C18" s="1042"/>
      <c r="AC18" s="1041"/>
      <c r="AD18" s="1041"/>
    </row>
  </sheetData>
  <sheetProtection algorithmName="SHA-512" hashValue="BHhH+KvMtrYqNMXqNEJXBiQ2H7rtdbSvFm/BsYOxR3oPPWNNEPcum2OmS9rinaJszTzE85Q7aqr20Y7a9J6Fsw==" saltValue="0ssuSDxrzO9dSMhyRAplNw==" spinCount="100000" sheet="1" objects="1" scenarios="1"/>
  <mergeCells count="14">
    <mergeCell ref="C9:BA9"/>
    <mergeCell ref="C10:BA10"/>
    <mergeCell ref="C11:BA11"/>
    <mergeCell ref="C4:BA4"/>
    <mergeCell ref="C5:BA5"/>
    <mergeCell ref="C6:BA6"/>
    <mergeCell ref="C7:BA7"/>
    <mergeCell ref="C8:BA8"/>
    <mergeCell ref="C16:BA16"/>
    <mergeCell ref="C17:BA17"/>
    <mergeCell ref="C12:BA12"/>
    <mergeCell ref="C13:BA13"/>
    <mergeCell ref="C14:BA14"/>
    <mergeCell ref="C15:BA15"/>
  </mergeCells>
  <printOptions horizontalCentered="1" verticalCentered="1"/>
  <pageMargins left="0.25" right="0.25" top="0.2" bottom="0.2" header="0" footer="0.1"/>
  <pageSetup paperSize="9" scale="48" orientation="landscape" r:id="rId1"/>
  <headerFooter>
    <oddFooter>&amp;L&amp;10&amp;F &amp;A&amp;R&amp;10Page 57 of 63</oddFooter>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9">
    <pageSetUpPr fitToPage="1"/>
  </sheetPr>
  <dimension ref="B1:BK59"/>
  <sheetViews>
    <sheetView showGridLines="0" zoomScaleNormal="100" zoomScaleSheetLayoutView="40" workbookViewId="0">
      <selection activeCell="E48" sqref="E48:M48"/>
    </sheetView>
  </sheetViews>
  <sheetFormatPr defaultColWidth="8" defaultRowHeight="15.5" x14ac:dyDescent="0.35"/>
  <cols>
    <col min="1" max="1" width="2.08203125" style="1101" customWidth="1"/>
    <col min="2" max="3" width="3.58203125" style="1216" customWidth="1"/>
    <col min="4" max="17" width="3.58203125" style="1217" customWidth="1"/>
    <col min="18" max="55" width="3.58203125" style="1101" customWidth="1"/>
    <col min="56" max="56" width="2.08203125" style="1101" customWidth="1"/>
    <col min="57" max="61" width="3.58203125" style="1101" customWidth="1"/>
    <col min="62" max="16384" width="8" style="1101"/>
  </cols>
  <sheetData>
    <row r="1" spans="2:55" ht="12" customHeight="1" x14ac:dyDescent="0.35"/>
    <row r="2" spans="2:55" s="1041" customFormat="1" ht="16.5" x14ac:dyDescent="0.35">
      <c r="B2" s="1054" t="s">
        <v>12750</v>
      </c>
    </row>
    <row r="3" spans="2:55" s="1041" customFormat="1" ht="16.5" x14ac:dyDescent="0.35">
      <c r="B3" s="1055" t="s">
        <v>1597</v>
      </c>
    </row>
    <row r="4" spans="2:55" s="1041" customFormat="1" ht="15.5" customHeight="1" x14ac:dyDescent="0.35">
      <c r="B4" s="1055"/>
    </row>
    <row r="5" spans="2:55" s="1041" customFormat="1" ht="17" thickBot="1" x14ac:dyDescent="0.4">
      <c r="B5" s="1054" t="s">
        <v>1779</v>
      </c>
    </row>
    <row r="6" spans="2:55" s="1041" customFormat="1" ht="9" customHeight="1" thickTop="1" x14ac:dyDescent="0.35">
      <c r="B6" s="1230"/>
      <c r="C6" s="1231"/>
      <c r="D6" s="1231"/>
      <c r="E6" s="1231"/>
      <c r="F6" s="1231"/>
      <c r="G6" s="1231"/>
      <c r="H6" s="1231"/>
      <c r="I6" s="1231"/>
      <c r="J6" s="1231"/>
      <c r="K6" s="1231"/>
      <c r="L6" s="1231"/>
      <c r="M6" s="1231"/>
      <c r="N6" s="1231"/>
      <c r="O6" s="1231"/>
      <c r="P6" s="1231"/>
      <c r="Q6" s="1231"/>
      <c r="R6" s="1231"/>
      <c r="S6" s="1231"/>
      <c r="T6" s="1231"/>
      <c r="U6" s="1231"/>
      <c r="V6" s="1231"/>
      <c r="W6" s="1231"/>
      <c r="X6" s="1231"/>
      <c r="Y6" s="1231"/>
      <c r="Z6" s="1231"/>
      <c r="AA6" s="1231"/>
      <c r="AB6" s="1231"/>
      <c r="AC6" s="1231"/>
      <c r="AD6" s="1231"/>
      <c r="AE6" s="1231"/>
      <c r="AF6" s="1231"/>
      <c r="AG6" s="1231"/>
      <c r="AH6" s="1231"/>
      <c r="AI6" s="1231"/>
      <c r="AJ6" s="1231"/>
      <c r="AK6" s="1231"/>
      <c r="AL6" s="1231"/>
      <c r="AM6" s="1231"/>
      <c r="AN6" s="1231"/>
      <c r="AO6" s="1231"/>
      <c r="AP6" s="1231"/>
      <c r="AQ6" s="1231"/>
      <c r="AR6" s="1231"/>
      <c r="AS6" s="1231"/>
      <c r="AT6" s="1231"/>
      <c r="AU6" s="1231"/>
      <c r="AV6" s="1231"/>
      <c r="AW6" s="1231"/>
      <c r="AX6" s="1231"/>
      <c r="AY6" s="1231"/>
      <c r="AZ6" s="1231"/>
      <c r="BA6" s="1231"/>
      <c r="BB6" s="1231"/>
      <c r="BC6" s="1248"/>
    </row>
    <row r="7" spans="2:55" s="44" customFormat="1" x14ac:dyDescent="0.35">
      <c r="B7" s="412"/>
      <c r="C7" s="587" t="s">
        <v>150</v>
      </c>
      <c r="D7" s="80" t="s">
        <v>1936</v>
      </c>
      <c r="BC7" s="405"/>
    </row>
    <row r="8" spans="2:55" s="44" customFormat="1" ht="5" customHeight="1" thickBot="1" x14ac:dyDescent="0.4">
      <c r="B8" s="665"/>
      <c r="C8" s="669"/>
      <c r="BC8" s="405"/>
    </row>
    <row r="9" spans="2:55" s="72" customFormat="1" ht="16.5" thickTop="1" thickBot="1" x14ac:dyDescent="0.4">
      <c r="B9" s="280"/>
      <c r="C9" s="1236"/>
      <c r="D9" s="2302" t="s">
        <v>872</v>
      </c>
      <c r="E9" s="2303"/>
      <c r="F9" s="2303"/>
      <c r="G9" s="2303"/>
      <c r="H9" s="2303"/>
      <c r="I9" s="2303"/>
      <c r="J9" s="2303"/>
      <c r="K9" s="2303"/>
      <c r="L9" s="2303"/>
      <c r="M9" s="2303"/>
      <c r="N9" s="2303"/>
      <c r="O9" s="2303"/>
      <c r="P9" s="2303"/>
      <c r="Q9" s="2303"/>
      <c r="R9" s="3885" t="s">
        <v>1781</v>
      </c>
      <c r="S9" s="1905"/>
      <c r="T9" s="1905"/>
      <c r="U9" s="1905"/>
      <c r="V9" s="1905"/>
      <c r="W9" s="1905"/>
      <c r="X9" s="1905"/>
      <c r="Y9" s="1905"/>
      <c r="Z9" s="1905"/>
      <c r="AA9" s="1905"/>
      <c r="AB9" s="1905"/>
      <c r="AC9" s="1906"/>
      <c r="AD9" s="3885" t="s">
        <v>1782</v>
      </c>
      <c r="AE9" s="1905"/>
      <c r="AF9" s="1905"/>
      <c r="AG9" s="1905"/>
      <c r="AH9" s="1905"/>
      <c r="AI9" s="1905"/>
      <c r="AJ9" s="1905"/>
      <c r="AK9" s="1905"/>
      <c r="AL9" s="1905"/>
      <c r="AM9" s="1905"/>
      <c r="AN9" s="1905"/>
      <c r="AO9" s="1906"/>
      <c r="AP9" s="3885" t="s">
        <v>1937</v>
      </c>
      <c r="AQ9" s="1905"/>
      <c r="AR9" s="1905"/>
      <c r="AS9" s="1905"/>
      <c r="AT9" s="1905"/>
      <c r="AU9" s="1905"/>
      <c r="AV9" s="1905"/>
      <c r="AW9" s="1905"/>
      <c r="AX9" s="1905"/>
      <c r="AY9" s="1905"/>
      <c r="AZ9" s="1905"/>
      <c r="BA9" s="1906"/>
      <c r="BC9" s="1247"/>
    </row>
    <row r="10" spans="2:55" s="72" customFormat="1" ht="16" thickBot="1" x14ac:dyDescent="0.4">
      <c r="B10" s="280"/>
      <c r="C10" s="1236"/>
      <c r="D10" s="2305"/>
      <c r="E10" s="2306"/>
      <c r="F10" s="2306"/>
      <c r="G10" s="2306"/>
      <c r="H10" s="2306"/>
      <c r="I10" s="2306"/>
      <c r="J10" s="2306"/>
      <c r="K10" s="2306"/>
      <c r="L10" s="2306"/>
      <c r="M10" s="2306"/>
      <c r="N10" s="2306"/>
      <c r="O10" s="2306"/>
      <c r="P10" s="2306"/>
      <c r="Q10" s="2306"/>
      <c r="R10" s="2305" t="s">
        <v>87</v>
      </c>
      <c r="S10" s="2306"/>
      <c r="T10" s="2306"/>
      <c r="U10" s="3886" t="s">
        <v>88</v>
      </c>
      <c r="V10" s="2306"/>
      <c r="W10" s="2307"/>
      <c r="X10" s="3886" t="s">
        <v>89</v>
      </c>
      <c r="Y10" s="2306"/>
      <c r="Z10" s="2307"/>
      <c r="AA10" s="2306" t="s">
        <v>90</v>
      </c>
      <c r="AB10" s="2306"/>
      <c r="AC10" s="2349"/>
      <c r="AD10" s="2305" t="s">
        <v>87</v>
      </c>
      <c r="AE10" s="2306"/>
      <c r="AF10" s="2306"/>
      <c r="AG10" s="3886" t="s">
        <v>88</v>
      </c>
      <c r="AH10" s="2306"/>
      <c r="AI10" s="2307"/>
      <c r="AJ10" s="3886" t="s">
        <v>89</v>
      </c>
      <c r="AK10" s="2306"/>
      <c r="AL10" s="2307"/>
      <c r="AM10" s="2306" t="s">
        <v>90</v>
      </c>
      <c r="AN10" s="2306"/>
      <c r="AO10" s="2349"/>
      <c r="AP10" s="2305" t="s">
        <v>87</v>
      </c>
      <c r="AQ10" s="2306"/>
      <c r="AR10" s="2306"/>
      <c r="AS10" s="3886" t="s">
        <v>88</v>
      </c>
      <c r="AT10" s="2306"/>
      <c r="AU10" s="2307"/>
      <c r="AV10" s="3886" t="s">
        <v>89</v>
      </c>
      <c r="AW10" s="2306"/>
      <c r="AX10" s="2307"/>
      <c r="AY10" s="2306" t="s">
        <v>90</v>
      </c>
      <c r="AZ10" s="2306"/>
      <c r="BA10" s="2349"/>
      <c r="BC10" s="1247"/>
    </row>
    <row r="11" spans="2:55" s="72" customFormat="1" ht="24.5" customHeight="1" thickTop="1" x14ac:dyDescent="0.35">
      <c r="B11" s="280"/>
      <c r="C11" s="1236"/>
      <c r="D11" s="1237"/>
      <c r="E11" s="1239" t="s">
        <v>298</v>
      </c>
      <c r="F11" s="1239"/>
      <c r="G11" s="1239"/>
      <c r="H11" s="1239"/>
      <c r="I11" s="1239"/>
      <c r="J11" s="1239"/>
      <c r="K11" s="1239"/>
      <c r="L11" s="1239"/>
      <c r="M11" s="1239"/>
      <c r="N11" s="1239"/>
      <c r="O11" s="1239"/>
      <c r="P11" s="1239"/>
      <c r="Q11" s="1239"/>
      <c r="R11" s="3962" t="b">
        <v>0</v>
      </c>
      <c r="S11" s="3959"/>
      <c r="T11" s="3961"/>
      <c r="U11" s="3958" t="b">
        <v>1</v>
      </c>
      <c r="V11" s="3959"/>
      <c r="W11" s="3961"/>
      <c r="X11" s="3958" t="b">
        <v>0</v>
      </c>
      <c r="Y11" s="3959"/>
      <c r="Z11" s="3961"/>
      <c r="AA11" s="3958" t="b">
        <v>0</v>
      </c>
      <c r="AB11" s="3959"/>
      <c r="AC11" s="3960"/>
      <c r="AD11" s="3962" t="b">
        <v>0</v>
      </c>
      <c r="AE11" s="3959"/>
      <c r="AF11" s="3961"/>
      <c r="AG11" s="3958" t="b">
        <v>0</v>
      </c>
      <c r="AH11" s="3959"/>
      <c r="AI11" s="3961"/>
      <c r="AJ11" s="3958" t="b">
        <v>0</v>
      </c>
      <c r="AK11" s="3959"/>
      <c r="AL11" s="3961"/>
      <c r="AM11" s="3958" t="b">
        <v>0</v>
      </c>
      <c r="AN11" s="3959"/>
      <c r="AO11" s="3960"/>
      <c r="AP11" s="3962" t="b">
        <v>0</v>
      </c>
      <c r="AQ11" s="3959"/>
      <c r="AR11" s="3961"/>
      <c r="AS11" s="3958" t="b">
        <v>0</v>
      </c>
      <c r="AT11" s="3959"/>
      <c r="AU11" s="3961"/>
      <c r="AV11" s="3958" t="b">
        <v>0</v>
      </c>
      <c r="AW11" s="3959"/>
      <c r="AX11" s="3961"/>
      <c r="AY11" s="3958" t="b">
        <v>0</v>
      </c>
      <c r="AZ11" s="3959"/>
      <c r="BA11" s="3960"/>
      <c r="BC11" s="1247"/>
    </row>
    <row r="12" spans="2:55" s="72" customFormat="1" ht="24.5" customHeight="1" x14ac:dyDescent="0.35">
      <c r="B12" s="280"/>
      <c r="C12" s="1236"/>
      <c r="D12" s="348"/>
      <c r="E12" s="349" t="s">
        <v>299</v>
      </c>
      <c r="F12" s="349"/>
      <c r="G12" s="349"/>
      <c r="H12" s="349"/>
      <c r="I12" s="349"/>
      <c r="J12" s="349"/>
      <c r="K12" s="349"/>
      <c r="L12" s="349"/>
      <c r="M12" s="349"/>
      <c r="N12" s="349"/>
      <c r="O12" s="349"/>
      <c r="P12" s="349"/>
      <c r="Q12" s="349"/>
      <c r="R12" s="3957" t="b">
        <v>0</v>
      </c>
      <c r="S12" s="3954"/>
      <c r="T12" s="3956"/>
      <c r="U12" s="3953" t="b">
        <v>0</v>
      </c>
      <c r="V12" s="3954"/>
      <c r="W12" s="3956"/>
      <c r="X12" s="3953" t="b">
        <v>0</v>
      </c>
      <c r="Y12" s="3954"/>
      <c r="Z12" s="3956"/>
      <c r="AA12" s="3953" t="b">
        <v>0</v>
      </c>
      <c r="AB12" s="3954"/>
      <c r="AC12" s="3955"/>
      <c r="AD12" s="3957" t="b">
        <v>0</v>
      </c>
      <c r="AE12" s="3954"/>
      <c r="AF12" s="3956"/>
      <c r="AG12" s="3953" t="b">
        <v>0</v>
      </c>
      <c r="AH12" s="3954"/>
      <c r="AI12" s="3956"/>
      <c r="AJ12" s="3953" t="b">
        <v>0</v>
      </c>
      <c r="AK12" s="3954"/>
      <c r="AL12" s="3956"/>
      <c r="AM12" s="3953" t="b">
        <v>0</v>
      </c>
      <c r="AN12" s="3954"/>
      <c r="AO12" s="3955"/>
      <c r="AP12" s="3957" t="b">
        <v>0</v>
      </c>
      <c r="AQ12" s="3954"/>
      <c r="AR12" s="3956"/>
      <c r="AS12" s="3953" t="b">
        <v>0</v>
      </c>
      <c r="AT12" s="3954"/>
      <c r="AU12" s="3956"/>
      <c r="AV12" s="3953" t="b">
        <v>0</v>
      </c>
      <c r="AW12" s="3954"/>
      <c r="AX12" s="3956"/>
      <c r="AY12" s="3953" t="b">
        <v>0</v>
      </c>
      <c r="AZ12" s="3954"/>
      <c r="BA12" s="3955"/>
      <c r="BC12" s="1247"/>
    </row>
    <row r="13" spans="2:55" s="72" customFormat="1" ht="24.5" customHeight="1" x14ac:dyDescent="0.35">
      <c r="B13" s="280"/>
      <c r="C13" s="1236"/>
      <c r="D13" s="348"/>
      <c r="E13" s="349" t="s">
        <v>319</v>
      </c>
      <c r="F13" s="349"/>
      <c r="G13" s="349"/>
      <c r="H13" s="349"/>
      <c r="I13" s="349"/>
      <c r="J13" s="349"/>
      <c r="K13" s="349"/>
      <c r="L13" s="349"/>
      <c r="M13" s="349"/>
      <c r="N13" s="349"/>
      <c r="O13" s="349"/>
      <c r="P13" s="349"/>
      <c r="Q13" s="349"/>
      <c r="R13" s="3957" t="b">
        <v>0</v>
      </c>
      <c r="S13" s="3954"/>
      <c r="T13" s="3956"/>
      <c r="U13" s="3953" t="b">
        <v>0</v>
      </c>
      <c r="V13" s="3954"/>
      <c r="W13" s="3956"/>
      <c r="X13" s="3953" t="b">
        <v>0</v>
      </c>
      <c r="Y13" s="3954"/>
      <c r="Z13" s="3956"/>
      <c r="AA13" s="3953" t="b">
        <v>0</v>
      </c>
      <c r="AB13" s="3954"/>
      <c r="AC13" s="3955"/>
      <c r="AD13" s="3957" t="b">
        <v>0</v>
      </c>
      <c r="AE13" s="3954"/>
      <c r="AF13" s="3956"/>
      <c r="AG13" s="3953" t="b">
        <v>0</v>
      </c>
      <c r="AH13" s="3954"/>
      <c r="AI13" s="3956"/>
      <c r="AJ13" s="3953" t="b">
        <v>0</v>
      </c>
      <c r="AK13" s="3954"/>
      <c r="AL13" s="3956"/>
      <c r="AM13" s="3953" t="b">
        <v>0</v>
      </c>
      <c r="AN13" s="3954"/>
      <c r="AO13" s="3955"/>
      <c r="AP13" s="3957" t="b">
        <v>0</v>
      </c>
      <c r="AQ13" s="3954"/>
      <c r="AR13" s="3956"/>
      <c r="AS13" s="3953" t="b">
        <v>0</v>
      </c>
      <c r="AT13" s="3954"/>
      <c r="AU13" s="3956"/>
      <c r="AV13" s="3953" t="b">
        <v>0</v>
      </c>
      <c r="AW13" s="3954"/>
      <c r="AX13" s="3956"/>
      <c r="AY13" s="3953" t="b">
        <v>0</v>
      </c>
      <c r="AZ13" s="3954"/>
      <c r="BA13" s="3955"/>
      <c r="BC13" s="1247"/>
    </row>
    <row r="14" spans="2:55" s="72" customFormat="1" ht="24.5" customHeight="1" x14ac:dyDescent="0.35">
      <c r="B14" s="280"/>
      <c r="C14" s="1236"/>
      <c r="D14" s="348"/>
      <c r="E14" s="349" t="s">
        <v>320</v>
      </c>
      <c r="F14" s="349"/>
      <c r="G14" s="349"/>
      <c r="H14" s="349"/>
      <c r="I14" s="349"/>
      <c r="J14" s="349"/>
      <c r="K14" s="349"/>
      <c r="L14" s="349"/>
      <c r="M14" s="349"/>
      <c r="N14" s="349"/>
      <c r="O14" s="349"/>
      <c r="P14" s="349"/>
      <c r="Q14" s="349"/>
      <c r="R14" s="3957" t="b">
        <v>0</v>
      </c>
      <c r="S14" s="3954"/>
      <c r="T14" s="3956"/>
      <c r="U14" s="3953" t="b">
        <v>0</v>
      </c>
      <c r="V14" s="3954"/>
      <c r="W14" s="3956"/>
      <c r="X14" s="3953" t="b">
        <v>0</v>
      </c>
      <c r="Y14" s="3954"/>
      <c r="Z14" s="3956"/>
      <c r="AA14" s="3953" t="b">
        <v>0</v>
      </c>
      <c r="AB14" s="3954"/>
      <c r="AC14" s="3955"/>
      <c r="AD14" s="3957" t="b">
        <v>0</v>
      </c>
      <c r="AE14" s="3954"/>
      <c r="AF14" s="3956"/>
      <c r="AG14" s="3953" t="b">
        <v>0</v>
      </c>
      <c r="AH14" s="3954"/>
      <c r="AI14" s="3956"/>
      <c r="AJ14" s="3953" t="b">
        <v>0</v>
      </c>
      <c r="AK14" s="3954"/>
      <c r="AL14" s="3956"/>
      <c r="AM14" s="3953" t="b">
        <v>0</v>
      </c>
      <c r="AN14" s="3954"/>
      <c r="AO14" s="3955"/>
      <c r="AP14" s="3957" t="b">
        <v>0</v>
      </c>
      <c r="AQ14" s="3954"/>
      <c r="AR14" s="3956"/>
      <c r="AS14" s="3953" t="b">
        <v>0</v>
      </c>
      <c r="AT14" s="3954"/>
      <c r="AU14" s="3956"/>
      <c r="AV14" s="3953" t="b">
        <v>0</v>
      </c>
      <c r="AW14" s="3954"/>
      <c r="AX14" s="3956"/>
      <c r="AY14" s="3953" t="b">
        <v>0</v>
      </c>
      <c r="AZ14" s="3954"/>
      <c r="BA14" s="3955"/>
      <c r="BC14" s="1247"/>
    </row>
    <row r="15" spans="2:55" s="72" customFormat="1" ht="24.5" customHeight="1" x14ac:dyDescent="0.35">
      <c r="B15" s="280"/>
      <c r="C15" s="1236"/>
      <c r="D15" s="348"/>
      <c r="E15" s="349" t="s">
        <v>321</v>
      </c>
      <c r="F15" s="349"/>
      <c r="G15" s="349"/>
      <c r="H15" s="349"/>
      <c r="I15" s="349"/>
      <c r="J15" s="349"/>
      <c r="K15" s="349"/>
      <c r="L15" s="349"/>
      <c r="M15" s="349"/>
      <c r="N15" s="349"/>
      <c r="O15" s="349"/>
      <c r="P15" s="349"/>
      <c r="Q15" s="349"/>
      <c r="R15" s="3957" t="b">
        <v>0</v>
      </c>
      <c r="S15" s="3954"/>
      <c r="T15" s="3956"/>
      <c r="U15" s="3953" t="b">
        <v>0</v>
      </c>
      <c r="V15" s="3954"/>
      <c r="W15" s="3956"/>
      <c r="X15" s="3953" t="b">
        <v>0</v>
      </c>
      <c r="Y15" s="3954"/>
      <c r="Z15" s="3956"/>
      <c r="AA15" s="3953" t="b">
        <v>0</v>
      </c>
      <c r="AB15" s="3954"/>
      <c r="AC15" s="3955"/>
      <c r="AD15" s="3957" t="b">
        <v>0</v>
      </c>
      <c r="AE15" s="3954"/>
      <c r="AF15" s="3956"/>
      <c r="AG15" s="3953" t="b">
        <v>0</v>
      </c>
      <c r="AH15" s="3954"/>
      <c r="AI15" s="3956"/>
      <c r="AJ15" s="3953" t="b">
        <v>0</v>
      </c>
      <c r="AK15" s="3954"/>
      <c r="AL15" s="3956"/>
      <c r="AM15" s="3953" t="b">
        <v>0</v>
      </c>
      <c r="AN15" s="3954"/>
      <c r="AO15" s="3955"/>
      <c r="AP15" s="3957" t="b">
        <v>0</v>
      </c>
      <c r="AQ15" s="3954"/>
      <c r="AR15" s="3956"/>
      <c r="AS15" s="3953" t="b">
        <v>0</v>
      </c>
      <c r="AT15" s="3954"/>
      <c r="AU15" s="3956"/>
      <c r="AV15" s="3953" t="b">
        <v>0</v>
      </c>
      <c r="AW15" s="3954"/>
      <c r="AX15" s="3956"/>
      <c r="AY15" s="3953" t="b">
        <v>0</v>
      </c>
      <c r="AZ15" s="3954"/>
      <c r="BA15" s="3955"/>
      <c r="BC15" s="1247"/>
    </row>
    <row r="16" spans="2:55" s="72" customFormat="1" ht="24.5" customHeight="1" x14ac:dyDescent="0.35">
      <c r="B16" s="280"/>
      <c r="C16" s="1236"/>
      <c r="D16" s="348"/>
      <c r="E16" s="349" t="s">
        <v>322</v>
      </c>
      <c r="F16" s="349"/>
      <c r="G16" s="349"/>
      <c r="H16" s="349"/>
      <c r="I16" s="349"/>
      <c r="J16" s="349"/>
      <c r="K16" s="349"/>
      <c r="L16" s="349"/>
      <c r="M16" s="349"/>
      <c r="N16" s="349"/>
      <c r="O16" s="349"/>
      <c r="P16" s="349"/>
      <c r="Q16" s="349"/>
      <c r="R16" s="3957" t="b">
        <v>0</v>
      </c>
      <c r="S16" s="3954"/>
      <c r="T16" s="3956"/>
      <c r="U16" s="3953" t="b">
        <v>0</v>
      </c>
      <c r="V16" s="3954"/>
      <c r="W16" s="3956"/>
      <c r="X16" s="3953" t="b">
        <v>0</v>
      </c>
      <c r="Y16" s="3954"/>
      <c r="Z16" s="3956"/>
      <c r="AA16" s="3953" t="b">
        <v>0</v>
      </c>
      <c r="AB16" s="3954"/>
      <c r="AC16" s="3955"/>
      <c r="AD16" s="3957" t="b">
        <v>0</v>
      </c>
      <c r="AE16" s="3954"/>
      <c r="AF16" s="3956"/>
      <c r="AG16" s="3953" t="b">
        <v>0</v>
      </c>
      <c r="AH16" s="3954"/>
      <c r="AI16" s="3956"/>
      <c r="AJ16" s="3953" t="b">
        <v>0</v>
      </c>
      <c r="AK16" s="3954"/>
      <c r="AL16" s="3956"/>
      <c r="AM16" s="3953" t="b">
        <v>0</v>
      </c>
      <c r="AN16" s="3954"/>
      <c r="AO16" s="3955"/>
      <c r="AP16" s="3957" t="b">
        <v>0</v>
      </c>
      <c r="AQ16" s="3954"/>
      <c r="AR16" s="3956"/>
      <c r="AS16" s="3953" t="b">
        <v>0</v>
      </c>
      <c r="AT16" s="3954"/>
      <c r="AU16" s="3956"/>
      <c r="AV16" s="3953" t="b">
        <v>0</v>
      </c>
      <c r="AW16" s="3954"/>
      <c r="AX16" s="3956"/>
      <c r="AY16" s="3953" t="b">
        <v>0</v>
      </c>
      <c r="AZ16" s="3954"/>
      <c r="BA16" s="3955"/>
      <c r="BC16" s="1247"/>
    </row>
    <row r="17" spans="2:60" s="72" customFormat="1" ht="24.5" customHeight="1" thickBot="1" x14ac:dyDescent="0.4">
      <c r="B17" s="280"/>
      <c r="C17" s="1236"/>
      <c r="D17" s="433"/>
      <c r="E17" s="1242" t="s">
        <v>18</v>
      </c>
      <c r="F17" s="1242"/>
      <c r="G17" s="1242"/>
      <c r="H17" s="1242"/>
      <c r="I17" s="1242"/>
      <c r="J17" s="1242"/>
      <c r="K17" s="1242"/>
      <c r="L17" s="1242"/>
      <c r="M17" s="1242"/>
      <c r="N17" s="1242"/>
      <c r="O17" s="1242"/>
      <c r="P17" s="1242"/>
      <c r="Q17" s="1242"/>
      <c r="R17" s="3952" t="b">
        <v>0</v>
      </c>
      <c r="S17" s="3949"/>
      <c r="T17" s="3951"/>
      <c r="U17" s="3948" t="b">
        <v>0</v>
      </c>
      <c r="V17" s="3949"/>
      <c r="W17" s="3951"/>
      <c r="X17" s="3948" t="b">
        <v>0</v>
      </c>
      <c r="Y17" s="3949"/>
      <c r="Z17" s="3951"/>
      <c r="AA17" s="3948" t="b">
        <v>0</v>
      </c>
      <c r="AB17" s="3949"/>
      <c r="AC17" s="3950"/>
      <c r="AD17" s="3952" t="b">
        <v>0</v>
      </c>
      <c r="AE17" s="3949"/>
      <c r="AF17" s="3951"/>
      <c r="AG17" s="3948" t="b">
        <v>0</v>
      </c>
      <c r="AH17" s="3949"/>
      <c r="AI17" s="3951"/>
      <c r="AJ17" s="3948" t="b">
        <v>0</v>
      </c>
      <c r="AK17" s="3949"/>
      <c r="AL17" s="3951"/>
      <c r="AM17" s="3948" t="b">
        <v>0</v>
      </c>
      <c r="AN17" s="3949"/>
      <c r="AO17" s="3950"/>
      <c r="AP17" s="3952" t="b">
        <v>0</v>
      </c>
      <c r="AQ17" s="3949"/>
      <c r="AR17" s="3951"/>
      <c r="AS17" s="3948" t="b">
        <v>0</v>
      </c>
      <c r="AT17" s="3949"/>
      <c r="AU17" s="3951"/>
      <c r="AV17" s="3948" t="b">
        <v>0</v>
      </c>
      <c r="AW17" s="3949"/>
      <c r="AX17" s="3951"/>
      <c r="AY17" s="3948" t="b">
        <v>0</v>
      </c>
      <c r="AZ17" s="3949"/>
      <c r="BA17" s="3950"/>
      <c r="BC17" s="1247"/>
    </row>
    <row r="18" spans="2:60" ht="9" customHeight="1" thickTop="1" x14ac:dyDescent="0.35">
      <c r="B18" s="1222"/>
      <c r="C18" s="1223"/>
      <c r="BC18" s="1144"/>
    </row>
    <row r="19" spans="2:60" s="44" customFormat="1" ht="34" customHeight="1" x14ac:dyDescent="0.35">
      <c r="B19" s="412"/>
      <c r="C19" s="1244" t="s">
        <v>151</v>
      </c>
      <c r="D19" s="3900" t="s">
        <v>1938</v>
      </c>
      <c r="E19" s="3900"/>
      <c r="F19" s="3900"/>
      <c r="G19" s="3900"/>
      <c r="H19" s="3900"/>
      <c r="I19" s="3900"/>
      <c r="J19" s="3900"/>
      <c r="K19" s="3900"/>
      <c r="L19" s="3900"/>
      <c r="M19" s="3900"/>
      <c r="N19" s="3900"/>
      <c r="O19" s="3900"/>
      <c r="P19" s="3900"/>
      <c r="Q19" s="3900"/>
      <c r="R19" s="3900"/>
      <c r="S19" s="3900"/>
      <c r="T19" s="3900"/>
      <c r="U19" s="3900"/>
      <c r="V19" s="3900"/>
      <c r="W19" s="3900"/>
      <c r="X19" s="3900"/>
      <c r="Y19" s="3900"/>
      <c r="Z19" s="3900"/>
      <c r="AA19" s="3900"/>
      <c r="AB19" s="3900"/>
      <c r="AC19" s="3900"/>
      <c r="AD19" s="3900"/>
      <c r="AE19" s="3900"/>
      <c r="AF19" s="3900"/>
      <c r="AG19" s="3900"/>
      <c r="AH19" s="3900"/>
      <c r="AI19" s="3900"/>
      <c r="AJ19" s="3900"/>
      <c r="AK19" s="3900"/>
      <c r="AL19" s="3900"/>
      <c r="BC19" s="405"/>
    </row>
    <row r="20" spans="2:60" s="44" customFormat="1" ht="5" customHeight="1" thickBot="1" x14ac:dyDescent="0.4">
      <c r="B20" s="665"/>
      <c r="C20" s="669"/>
      <c r="BC20" s="405"/>
    </row>
    <row r="21" spans="2:60" s="72" customFormat="1" ht="32" customHeight="1" thickTop="1" thickBot="1" x14ac:dyDescent="0.4">
      <c r="B21" s="280"/>
      <c r="C21" s="1236"/>
      <c r="D21" s="1969" t="s">
        <v>1788</v>
      </c>
      <c r="E21" s="1970"/>
      <c r="F21" s="1970"/>
      <c r="G21" s="1970"/>
      <c r="H21" s="1971"/>
      <c r="I21" s="1904" t="s">
        <v>1864</v>
      </c>
      <c r="J21" s="1905"/>
      <c r="K21" s="1905"/>
      <c r="L21" s="1905"/>
      <c r="M21" s="1905"/>
      <c r="N21" s="1905"/>
      <c r="O21" s="1905"/>
      <c r="P21" s="1905"/>
      <c r="Q21" s="1905"/>
      <c r="R21" s="1905"/>
      <c r="S21" s="1905"/>
      <c r="T21" s="1905"/>
      <c r="U21" s="1905"/>
      <c r="V21" s="1905"/>
      <c r="W21" s="2225"/>
      <c r="X21" s="2159" t="s">
        <v>1933</v>
      </c>
      <c r="Y21" s="2160"/>
      <c r="Z21" s="2160"/>
      <c r="AA21" s="2160"/>
      <c r="AB21" s="2160"/>
      <c r="AC21" s="2160"/>
      <c r="AD21" s="2160"/>
      <c r="AE21" s="2160"/>
      <c r="AF21" s="2160"/>
      <c r="AG21" s="3908"/>
      <c r="AH21" s="3887" t="s">
        <v>1794</v>
      </c>
      <c r="AI21" s="1970"/>
      <c r="AJ21" s="1970"/>
      <c r="AK21" s="1970"/>
      <c r="AL21" s="2135"/>
      <c r="AM21" s="415"/>
      <c r="AN21" s="415"/>
      <c r="AO21" s="415"/>
      <c r="AP21" s="415"/>
      <c r="AQ21" s="415"/>
      <c r="AR21" s="1233"/>
      <c r="AS21" s="1233"/>
      <c r="AT21" s="1234"/>
      <c r="AU21" s="1233"/>
      <c r="AV21" s="1233"/>
      <c r="AW21" s="1234"/>
      <c r="AX21" s="1233"/>
      <c r="AY21" s="1233"/>
      <c r="AZ21" s="1234"/>
      <c r="BA21" s="1233"/>
      <c r="BB21" s="415"/>
      <c r="BC21" s="1246"/>
      <c r="BD21" s="415"/>
      <c r="BE21" s="415"/>
      <c r="BF21" s="415"/>
      <c r="BG21" s="415"/>
      <c r="BH21" s="415"/>
    </row>
    <row r="22" spans="2:60" s="72" customFormat="1" ht="32" customHeight="1" thickBot="1" x14ac:dyDescent="0.4">
      <c r="B22" s="280"/>
      <c r="C22" s="1236"/>
      <c r="D22" s="1972"/>
      <c r="E22" s="1973"/>
      <c r="F22" s="1973"/>
      <c r="G22" s="1973"/>
      <c r="H22" s="1974"/>
      <c r="I22" s="3886" t="s">
        <v>1784</v>
      </c>
      <c r="J22" s="2306"/>
      <c r="K22" s="2306"/>
      <c r="L22" s="2306"/>
      <c r="M22" s="2348"/>
      <c r="N22" s="2347" t="s">
        <v>1785</v>
      </c>
      <c r="O22" s="2306"/>
      <c r="P22" s="2306"/>
      <c r="Q22" s="2306"/>
      <c r="R22" s="2348"/>
      <c r="S22" s="2347" t="s">
        <v>1786</v>
      </c>
      <c r="T22" s="2306"/>
      <c r="U22" s="2306"/>
      <c r="V22" s="2306"/>
      <c r="W22" s="2307"/>
      <c r="X22" s="2559" t="s">
        <v>1934</v>
      </c>
      <c r="Y22" s="2288"/>
      <c r="Z22" s="2288"/>
      <c r="AA22" s="2288"/>
      <c r="AB22" s="2646"/>
      <c r="AC22" s="2560" t="s">
        <v>1935</v>
      </c>
      <c r="AD22" s="2288"/>
      <c r="AE22" s="2288"/>
      <c r="AF22" s="2288"/>
      <c r="AG22" s="2289"/>
      <c r="AH22" s="3888"/>
      <c r="AI22" s="1973"/>
      <c r="AJ22" s="1973"/>
      <c r="AK22" s="1973"/>
      <c r="AL22" s="2137"/>
      <c r="AM22" s="415"/>
      <c r="AN22" s="415"/>
      <c r="AO22" s="415"/>
      <c r="AP22" s="415"/>
      <c r="AQ22" s="415"/>
      <c r="AR22" s="1233"/>
      <c r="AS22" s="1233"/>
      <c r="AT22" s="1234"/>
      <c r="AU22" s="1233"/>
      <c r="AV22" s="1233"/>
      <c r="AW22" s="1234"/>
      <c r="AX22" s="1233"/>
      <c r="AY22" s="1233"/>
      <c r="AZ22" s="1234"/>
      <c r="BA22" s="1233"/>
      <c r="BB22" s="415"/>
      <c r="BC22" s="1246"/>
      <c r="BD22" s="415"/>
      <c r="BE22" s="415"/>
      <c r="BF22" s="415"/>
      <c r="BG22" s="415"/>
      <c r="BH22" s="415"/>
    </row>
    <row r="23" spans="2:60" s="72" customFormat="1" ht="24.5" customHeight="1" thickTop="1" x14ac:dyDescent="0.35">
      <c r="B23" s="280"/>
      <c r="C23" s="1236"/>
      <c r="D23" s="1237"/>
      <c r="E23" s="1238" t="s">
        <v>877</v>
      </c>
      <c r="F23" s="1238"/>
      <c r="G23" s="1239"/>
      <c r="H23" s="1240"/>
      <c r="I23" s="3921">
        <v>0</v>
      </c>
      <c r="J23" s="3917"/>
      <c r="K23" s="3917"/>
      <c r="L23" s="3917"/>
      <c r="M23" s="3918"/>
      <c r="N23" s="3916">
        <v>0</v>
      </c>
      <c r="O23" s="3917"/>
      <c r="P23" s="3917"/>
      <c r="Q23" s="3917"/>
      <c r="R23" s="3918"/>
      <c r="S23" s="3916">
        <v>0</v>
      </c>
      <c r="T23" s="3917"/>
      <c r="U23" s="3917"/>
      <c r="V23" s="3917"/>
      <c r="W23" s="3919"/>
      <c r="X23" s="3903">
        <v>0</v>
      </c>
      <c r="Y23" s="3901"/>
      <c r="Z23" s="3901"/>
      <c r="AA23" s="3901"/>
      <c r="AB23" s="3920"/>
      <c r="AC23" s="3901">
        <v>0</v>
      </c>
      <c r="AD23" s="3901"/>
      <c r="AE23" s="3901"/>
      <c r="AF23" s="3901"/>
      <c r="AG23" s="3902"/>
      <c r="AH23" s="3903">
        <v>0</v>
      </c>
      <c r="AI23" s="3901"/>
      <c r="AJ23" s="3901"/>
      <c r="AK23" s="3901"/>
      <c r="AL23" s="3904"/>
      <c r="AM23" s="1233"/>
      <c r="AN23" s="1234"/>
      <c r="AO23" s="1233"/>
      <c r="AP23" s="1233"/>
      <c r="AQ23" s="1234"/>
      <c r="AR23" s="1233"/>
      <c r="AS23" s="1233"/>
      <c r="AT23" s="1234"/>
      <c r="AU23" s="1233"/>
      <c r="AV23" s="1233"/>
      <c r="AW23" s="1234"/>
      <c r="AX23" s="1233"/>
      <c r="AY23" s="1233"/>
      <c r="AZ23" s="1234"/>
      <c r="BA23" s="1233"/>
      <c r="BB23" s="1233"/>
      <c r="BC23" s="1235"/>
      <c r="BD23" s="1234"/>
      <c r="BE23" s="1233"/>
      <c r="BF23" s="1233"/>
      <c r="BG23" s="1234"/>
      <c r="BH23" s="1233"/>
    </row>
    <row r="24" spans="2:60" s="72" customFormat="1" ht="24.5" customHeight="1" x14ac:dyDescent="0.35">
      <c r="B24" s="280"/>
      <c r="C24" s="1236"/>
      <c r="D24" s="348"/>
      <c r="E24" s="431" t="s">
        <v>1780</v>
      </c>
      <c r="F24" s="431"/>
      <c r="G24" s="349"/>
      <c r="H24" s="350"/>
      <c r="I24" s="3915">
        <v>0</v>
      </c>
      <c r="J24" s="3912"/>
      <c r="K24" s="3912"/>
      <c r="L24" s="3912"/>
      <c r="M24" s="3914"/>
      <c r="N24" s="3911">
        <v>0</v>
      </c>
      <c r="O24" s="3912"/>
      <c r="P24" s="3912"/>
      <c r="Q24" s="3912"/>
      <c r="R24" s="3914"/>
      <c r="S24" s="3911">
        <v>0</v>
      </c>
      <c r="T24" s="3912"/>
      <c r="U24" s="3912"/>
      <c r="V24" s="3912"/>
      <c r="W24" s="3913"/>
      <c r="X24" s="3905">
        <v>0</v>
      </c>
      <c r="Y24" s="3906"/>
      <c r="Z24" s="3906"/>
      <c r="AA24" s="3906"/>
      <c r="AB24" s="3910"/>
      <c r="AC24" s="3906">
        <v>0</v>
      </c>
      <c r="AD24" s="3906"/>
      <c r="AE24" s="3906"/>
      <c r="AF24" s="3906"/>
      <c r="AG24" s="3909"/>
      <c r="AH24" s="3905">
        <v>0</v>
      </c>
      <c r="AI24" s="3906"/>
      <c r="AJ24" s="3906"/>
      <c r="AK24" s="3906"/>
      <c r="AL24" s="3907"/>
      <c r="AM24" s="1233"/>
      <c r="AN24" s="1234"/>
      <c r="AO24" s="1233"/>
      <c r="AP24" s="1233"/>
      <c r="AQ24" s="1234"/>
      <c r="AR24" s="1233"/>
      <c r="AS24" s="1233"/>
      <c r="AT24" s="1234"/>
      <c r="AU24" s="1233"/>
      <c r="AV24" s="1233"/>
      <c r="AW24" s="1234"/>
      <c r="AX24" s="1233"/>
      <c r="AY24" s="1233"/>
      <c r="AZ24" s="1234"/>
      <c r="BA24" s="1233"/>
      <c r="BB24" s="1233"/>
      <c r="BC24" s="1235"/>
      <c r="BD24" s="1234"/>
      <c r="BE24" s="1233"/>
      <c r="BF24" s="1233"/>
      <c r="BG24" s="1234"/>
      <c r="BH24" s="1233"/>
    </row>
    <row r="25" spans="2:60" s="72" customFormat="1" ht="24.5" customHeight="1" thickBot="1" x14ac:dyDescent="0.4">
      <c r="B25" s="280"/>
      <c r="C25" s="1236"/>
      <c r="D25" s="433"/>
      <c r="E25" s="1241" t="s">
        <v>876</v>
      </c>
      <c r="F25" s="1241"/>
      <c r="G25" s="1242"/>
      <c r="H25" s="1243"/>
      <c r="I25" s="3924">
        <v>0</v>
      </c>
      <c r="J25" s="3890"/>
      <c r="K25" s="3890"/>
      <c r="L25" s="3890"/>
      <c r="M25" s="3922"/>
      <c r="N25" s="3889">
        <v>0</v>
      </c>
      <c r="O25" s="3890"/>
      <c r="P25" s="3890"/>
      <c r="Q25" s="3890"/>
      <c r="R25" s="3922"/>
      <c r="S25" s="3889">
        <v>0</v>
      </c>
      <c r="T25" s="3890"/>
      <c r="U25" s="3890"/>
      <c r="V25" s="3890"/>
      <c r="W25" s="3891"/>
      <c r="X25" s="3892">
        <v>0</v>
      </c>
      <c r="Y25" s="3893"/>
      <c r="Z25" s="3893"/>
      <c r="AA25" s="3893"/>
      <c r="AB25" s="3894"/>
      <c r="AC25" s="3893">
        <v>0</v>
      </c>
      <c r="AD25" s="3893"/>
      <c r="AE25" s="3893"/>
      <c r="AF25" s="3893"/>
      <c r="AG25" s="3946"/>
      <c r="AH25" s="3892">
        <v>0</v>
      </c>
      <c r="AI25" s="3893"/>
      <c r="AJ25" s="3893"/>
      <c r="AK25" s="3893"/>
      <c r="AL25" s="3899"/>
      <c r="AM25" s="1233"/>
      <c r="AN25" s="1234"/>
      <c r="AO25" s="1233"/>
      <c r="AP25" s="1233"/>
      <c r="AQ25" s="1234"/>
      <c r="AR25" s="1233"/>
      <c r="AS25" s="1233"/>
      <c r="AT25" s="1234"/>
      <c r="AU25" s="1233"/>
      <c r="AV25" s="1233"/>
      <c r="AW25" s="1234"/>
      <c r="AX25" s="1233"/>
      <c r="AY25" s="1233"/>
      <c r="AZ25" s="1234"/>
      <c r="BA25" s="1233"/>
      <c r="BB25" s="1233"/>
      <c r="BC25" s="1235"/>
      <c r="BD25" s="1234"/>
      <c r="BE25" s="1233"/>
      <c r="BF25" s="1233"/>
      <c r="BG25" s="1234"/>
      <c r="BH25" s="1233"/>
    </row>
    <row r="26" spans="2:60" ht="9" customHeight="1" thickTop="1" x14ac:dyDescent="0.35">
      <c r="B26" s="1222"/>
      <c r="C26" s="1223"/>
      <c r="BC26" s="1144"/>
    </row>
    <row r="27" spans="2:60" ht="24.75" customHeight="1" x14ac:dyDescent="0.35">
      <c r="B27" s="1097"/>
      <c r="C27" s="1224" t="s">
        <v>152</v>
      </c>
      <c r="D27" s="833" t="b">
        <v>0</v>
      </c>
      <c r="E27" s="1172" t="s">
        <v>1789</v>
      </c>
      <c r="F27" s="1099"/>
      <c r="G27" s="1099"/>
      <c r="H27" s="1099"/>
      <c r="I27" s="1099"/>
      <c r="J27" s="1099"/>
      <c r="K27" s="1099"/>
      <c r="L27" s="1099"/>
      <c r="M27" s="1099"/>
      <c r="N27" s="1099"/>
      <c r="O27" s="1099"/>
      <c r="P27" s="1099"/>
      <c r="Q27" s="1099"/>
      <c r="R27" s="1099"/>
      <c r="S27" s="1099"/>
      <c r="T27" s="1099"/>
      <c r="U27" s="1099"/>
      <c r="V27" s="1099"/>
      <c r="W27" s="1099"/>
      <c r="X27" s="1099"/>
      <c r="Y27" s="1099"/>
      <c r="Z27" s="1099"/>
      <c r="AA27" s="1099"/>
      <c r="AB27" s="1099"/>
      <c r="AC27" s="1099"/>
      <c r="AD27" s="1099"/>
      <c r="AE27" s="1099"/>
      <c r="AF27" s="1099"/>
      <c r="AG27" s="1099"/>
      <c r="AH27" s="1099"/>
      <c r="AI27" s="1099"/>
      <c r="AJ27" s="1099"/>
      <c r="AK27" s="1099"/>
      <c r="AL27" s="1099"/>
      <c r="AM27" s="1099"/>
      <c r="BC27" s="1144"/>
    </row>
    <row r="28" spans="2:60" ht="10" customHeight="1" thickBot="1" x14ac:dyDescent="0.4">
      <c r="B28" s="1225"/>
      <c r="C28" s="1226"/>
      <c r="D28" s="1036"/>
      <c r="E28" s="1227"/>
      <c r="F28" s="1228"/>
      <c r="G28" s="1228"/>
      <c r="H28" s="1228"/>
      <c r="I28" s="1228"/>
      <c r="J28" s="1228"/>
      <c r="K28" s="1228"/>
      <c r="L28" s="1228"/>
      <c r="M28" s="1228"/>
      <c r="N28" s="1228"/>
      <c r="O28" s="1228"/>
      <c r="P28" s="1228"/>
      <c r="Q28" s="1228"/>
      <c r="R28" s="1228"/>
      <c r="S28" s="1228"/>
      <c r="T28" s="1228"/>
      <c r="U28" s="1228"/>
      <c r="V28" s="1228"/>
      <c r="W28" s="1228"/>
      <c r="X28" s="1228"/>
      <c r="Y28" s="1228"/>
      <c r="Z28" s="1228"/>
      <c r="AA28" s="1228"/>
      <c r="AB28" s="1228"/>
      <c r="AC28" s="1228"/>
      <c r="AD28" s="1228"/>
      <c r="AE28" s="1228"/>
      <c r="AF28" s="1228"/>
      <c r="AG28" s="1228"/>
      <c r="AH28" s="1228"/>
      <c r="AI28" s="1228"/>
      <c r="AJ28" s="1228"/>
      <c r="AK28" s="1228"/>
      <c r="AL28" s="1228"/>
      <c r="AM28" s="1228"/>
      <c r="AN28" s="1163"/>
      <c r="AO28" s="1163"/>
      <c r="AP28" s="1163"/>
      <c r="AQ28" s="1163"/>
      <c r="AR28" s="1163"/>
      <c r="AS28" s="1163"/>
      <c r="AT28" s="1163"/>
      <c r="AU28" s="1163"/>
      <c r="AV28" s="1163"/>
      <c r="AW28" s="1163"/>
      <c r="AX28" s="1163"/>
      <c r="AY28" s="1163"/>
      <c r="AZ28" s="1163"/>
      <c r="BA28" s="1163"/>
      <c r="BB28" s="1163"/>
      <c r="BC28" s="1229"/>
    </row>
    <row r="29" spans="2:60" s="501" customFormat="1" ht="30.75" customHeight="1" thickTop="1" x14ac:dyDescent="0.35"/>
    <row r="30" spans="2:60" s="1041" customFormat="1" ht="17" thickBot="1" x14ac:dyDescent="0.4">
      <c r="B30" s="1054" t="s">
        <v>1790</v>
      </c>
    </row>
    <row r="31" spans="2:60" s="1041" customFormat="1" ht="9" customHeight="1" thickTop="1" x14ac:dyDescent="0.35">
      <c r="B31" s="1230"/>
      <c r="C31" s="1231"/>
      <c r="D31" s="1231"/>
      <c r="E31" s="1231"/>
      <c r="F31" s="1231"/>
      <c r="G31" s="1231"/>
      <c r="H31" s="1231"/>
      <c r="I31" s="1231"/>
      <c r="J31" s="1231"/>
      <c r="K31" s="1231"/>
      <c r="L31" s="1231"/>
      <c r="M31" s="1231"/>
      <c r="N31" s="1231"/>
      <c r="O31" s="1231"/>
      <c r="P31" s="1231"/>
      <c r="Q31" s="1231"/>
      <c r="R31" s="1231"/>
      <c r="S31" s="1231"/>
      <c r="T31" s="1231"/>
      <c r="U31" s="1231"/>
      <c r="V31" s="1231"/>
      <c r="W31" s="1231"/>
      <c r="X31" s="1231"/>
      <c r="Y31" s="1231"/>
      <c r="Z31" s="1231"/>
      <c r="AA31" s="1231"/>
      <c r="AB31" s="1231"/>
      <c r="AC31" s="1231"/>
      <c r="AD31" s="1231"/>
      <c r="AE31" s="1231"/>
      <c r="AF31" s="1231"/>
      <c r="AG31" s="1231"/>
      <c r="AH31" s="1231"/>
      <c r="AI31" s="1231"/>
      <c r="AJ31" s="1231"/>
      <c r="AK31" s="1231"/>
      <c r="AL31" s="1231"/>
      <c r="AM31" s="1231"/>
      <c r="AN31" s="1231"/>
      <c r="AO31" s="1231"/>
      <c r="AP31" s="1231"/>
      <c r="AQ31" s="1231"/>
      <c r="AR31" s="1231"/>
      <c r="AS31" s="1231"/>
      <c r="AT31" s="1231"/>
      <c r="AU31" s="1231"/>
      <c r="AV31" s="1215"/>
    </row>
    <row r="32" spans="2:60" ht="16" customHeight="1" x14ac:dyDescent="0.35">
      <c r="B32" s="1097"/>
      <c r="C32" s="1220" t="s">
        <v>150</v>
      </c>
      <c r="D32" s="833" t="b">
        <v>0</v>
      </c>
      <c r="E32" s="3599" t="s">
        <v>1791</v>
      </c>
      <c r="F32" s="3599"/>
      <c r="G32" s="3599"/>
      <c r="H32" s="3599"/>
      <c r="I32" s="3599"/>
      <c r="J32" s="3599"/>
      <c r="K32" s="3599"/>
      <c r="L32" s="3599"/>
      <c r="M32" s="3599"/>
      <c r="N32" s="3599"/>
      <c r="O32" s="3599"/>
      <c r="P32" s="3599"/>
      <c r="Q32" s="3599"/>
      <c r="R32" s="3599"/>
      <c r="S32" s="3599"/>
      <c r="T32" s="3599"/>
      <c r="U32" s="3599"/>
      <c r="V32" s="3599"/>
      <c r="W32" s="3599"/>
      <c r="X32" s="3599"/>
      <c r="Y32" s="3599"/>
      <c r="Z32" s="3599"/>
      <c r="AA32" s="3599"/>
      <c r="AB32" s="1116"/>
      <c r="AC32" s="1116"/>
      <c r="AD32" s="1099"/>
      <c r="AE32" s="1050" t="s">
        <v>152</v>
      </c>
      <c r="AF32" s="3554" t="s">
        <v>1793</v>
      </c>
      <c r="AG32" s="3554"/>
      <c r="AH32" s="3554"/>
      <c r="AI32" s="3554"/>
      <c r="AJ32" s="3554"/>
      <c r="AK32" s="3554"/>
      <c r="AL32" s="3554"/>
      <c r="AM32" s="3554"/>
      <c r="AN32" s="3554"/>
      <c r="AO32" s="3554"/>
      <c r="AP32" s="3554"/>
      <c r="AQ32" s="3554"/>
      <c r="AR32" s="3554"/>
      <c r="AS32" s="3554"/>
      <c r="AT32" s="1051"/>
      <c r="AU32" s="1051"/>
      <c r="AV32" s="1232"/>
      <c r="AW32" s="1051"/>
      <c r="AX32" s="1051"/>
      <c r="AY32" s="1051"/>
      <c r="AZ32" s="1051"/>
      <c r="BA32" s="1051"/>
      <c r="BB32" s="1051"/>
      <c r="BC32" s="1051"/>
    </row>
    <row r="33" spans="2:55" ht="16" customHeight="1" x14ac:dyDescent="0.35">
      <c r="B33" s="1097"/>
      <c r="C33" s="1220"/>
      <c r="D33" s="1098"/>
      <c r="E33" s="3599"/>
      <c r="F33" s="3599"/>
      <c r="G33" s="3599"/>
      <c r="H33" s="3599"/>
      <c r="I33" s="3599"/>
      <c r="J33" s="3599"/>
      <c r="K33" s="3599"/>
      <c r="L33" s="3599"/>
      <c r="M33" s="3599"/>
      <c r="N33" s="3599"/>
      <c r="O33" s="3599"/>
      <c r="P33" s="3599"/>
      <c r="Q33" s="3599"/>
      <c r="R33" s="3599"/>
      <c r="S33" s="3599"/>
      <c r="T33" s="3599"/>
      <c r="U33" s="3599"/>
      <c r="V33" s="3599"/>
      <c r="W33" s="3599"/>
      <c r="X33" s="3599"/>
      <c r="Y33" s="3599"/>
      <c r="Z33" s="3599"/>
      <c r="AA33" s="3599"/>
      <c r="AB33" s="1116"/>
      <c r="AC33" s="1116"/>
      <c r="AD33" s="1099"/>
      <c r="AE33" s="1085"/>
      <c r="AF33" s="3554"/>
      <c r="AG33" s="3554"/>
      <c r="AH33" s="3554"/>
      <c r="AI33" s="3554"/>
      <c r="AJ33" s="3554"/>
      <c r="AK33" s="3554"/>
      <c r="AL33" s="3554"/>
      <c r="AM33" s="3554"/>
      <c r="AN33" s="3554"/>
      <c r="AO33" s="3554"/>
      <c r="AP33" s="3554"/>
      <c r="AQ33" s="3554"/>
      <c r="AR33" s="3554"/>
      <c r="AS33" s="3554"/>
      <c r="AT33" s="1051"/>
      <c r="AU33" s="1051"/>
      <c r="AV33" s="1232"/>
      <c r="AW33" s="1051"/>
      <c r="AX33" s="1051"/>
      <c r="AY33" s="1051"/>
      <c r="AZ33" s="1051"/>
      <c r="BA33" s="1051"/>
      <c r="BB33" s="1051"/>
      <c r="BC33" s="1051"/>
    </row>
    <row r="34" spans="2:55" ht="16" customHeight="1" x14ac:dyDescent="0.35">
      <c r="B34" s="1097"/>
      <c r="C34" s="1220"/>
      <c r="D34" s="1098"/>
      <c r="E34" s="1116"/>
      <c r="F34" s="1116"/>
      <c r="G34" s="1116"/>
      <c r="H34" s="1116"/>
      <c r="I34" s="1116"/>
      <c r="J34" s="1116"/>
      <c r="K34" s="1116"/>
      <c r="L34" s="1116"/>
      <c r="M34" s="1116"/>
      <c r="N34" s="1116"/>
      <c r="O34" s="1116"/>
      <c r="P34" s="1116"/>
      <c r="Q34" s="1116"/>
      <c r="R34" s="1116"/>
      <c r="S34" s="1116"/>
      <c r="T34" s="1116"/>
      <c r="U34" s="1116"/>
      <c r="V34" s="1116"/>
      <c r="W34" s="1116"/>
      <c r="X34" s="1116"/>
      <c r="Y34" s="1116"/>
      <c r="Z34" s="1116"/>
      <c r="AA34" s="1116"/>
      <c r="AB34" s="1116"/>
      <c r="AC34" s="1116"/>
      <c r="AD34" s="1099"/>
      <c r="AE34" s="1085"/>
      <c r="AF34" s="3554"/>
      <c r="AG34" s="3554"/>
      <c r="AH34" s="3554"/>
      <c r="AI34" s="3554"/>
      <c r="AJ34" s="3554"/>
      <c r="AK34" s="3554"/>
      <c r="AL34" s="3554"/>
      <c r="AM34" s="3554"/>
      <c r="AN34" s="3554"/>
      <c r="AO34" s="3554"/>
      <c r="AP34" s="3554"/>
      <c r="AQ34" s="3554"/>
      <c r="AR34" s="3554"/>
      <c r="AS34" s="3554"/>
      <c r="AT34" s="1051"/>
      <c r="AU34" s="1051"/>
      <c r="AV34" s="1232"/>
      <c r="AW34" s="1051"/>
      <c r="AX34" s="1051"/>
      <c r="AY34" s="1051"/>
      <c r="AZ34" s="1051"/>
      <c r="BA34" s="1051"/>
      <c r="BB34" s="1051"/>
      <c r="BC34" s="1051"/>
    </row>
    <row r="35" spans="2:55" ht="5" customHeight="1" thickBot="1" x14ac:dyDescent="0.4">
      <c r="B35" s="1097"/>
      <c r="C35" s="1220"/>
      <c r="D35" s="1098"/>
      <c r="E35" s="1116"/>
      <c r="F35" s="1116"/>
      <c r="G35" s="1116"/>
      <c r="H35" s="1116"/>
      <c r="I35" s="1116"/>
      <c r="J35" s="1116"/>
      <c r="K35" s="1116"/>
      <c r="L35" s="1116"/>
      <c r="M35" s="1116"/>
      <c r="N35" s="1116"/>
      <c r="O35" s="1116"/>
      <c r="P35" s="1116"/>
      <c r="Q35" s="1116"/>
      <c r="R35" s="1116"/>
      <c r="S35" s="1116"/>
      <c r="T35" s="1116"/>
      <c r="U35" s="1116"/>
      <c r="V35" s="1116"/>
      <c r="W35" s="1116"/>
      <c r="X35" s="1116"/>
      <c r="Y35" s="1116"/>
      <c r="Z35" s="1116"/>
      <c r="AA35" s="1116"/>
      <c r="AB35" s="1116"/>
      <c r="AC35" s="1116"/>
      <c r="AD35" s="1099"/>
      <c r="AE35" s="1085"/>
      <c r="AF35" s="1051"/>
      <c r="AG35" s="1051"/>
      <c r="AH35" s="1051"/>
      <c r="AI35" s="1051"/>
      <c r="AJ35" s="1051"/>
      <c r="AK35" s="1051"/>
      <c r="AL35" s="1051"/>
      <c r="AM35" s="1051"/>
      <c r="AN35" s="1051"/>
      <c r="AO35" s="1051"/>
      <c r="AP35" s="1051"/>
      <c r="AQ35" s="1051"/>
      <c r="AR35" s="1051"/>
      <c r="AS35" s="1051"/>
      <c r="AT35" s="1051"/>
      <c r="AU35" s="1051"/>
      <c r="AV35" s="1232"/>
      <c r="AW35" s="1051"/>
      <c r="AX35" s="1051"/>
      <c r="AY35" s="1051"/>
      <c r="AZ35" s="1051"/>
      <c r="BA35" s="1051"/>
      <c r="BB35" s="1051"/>
      <c r="BC35" s="1051"/>
    </row>
    <row r="36" spans="2:55" ht="16" customHeight="1" thickTop="1" x14ac:dyDescent="0.35">
      <c r="B36" s="1097"/>
      <c r="C36" s="1220" t="s">
        <v>151</v>
      </c>
      <c r="D36" s="833" t="b">
        <v>0</v>
      </c>
      <c r="E36" s="3947" t="s">
        <v>1792</v>
      </c>
      <c r="F36" s="3947"/>
      <c r="G36" s="3947"/>
      <c r="H36" s="3947"/>
      <c r="I36" s="3947"/>
      <c r="J36" s="3947"/>
      <c r="K36" s="3947"/>
      <c r="L36" s="3947"/>
      <c r="M36" s="3947"/>
      <c r="N36" s="3947"/>
      <c r="O36" s="3947"/>
      <c r="P36" s="3947"/>
      <c r="Q36" s="3947"/>
      <c r="R36" s="3947"/>
      <c r="S36" s="3947"/>
      <c r="T36" s="3947"/>
      <c r="U36" s="3947"/>
      <c r="V36" s="3947"/>
      <c r="W36" s="3947"/>
      <c r="X36" s="3947"/>
      <c r="Y36" s="3947"/>
      <c r="Z36" s="3947"/>
      <c r="AA36" s="3947"/>
      <c r="AB36" s="1172"/>
      <c r="AC36" s="1172"/>
      <c r="AD36" s="1099"/>
      <c r="AE36" s="1045"/>
      <c r="AF36" s="3543" t="s">
        <v>898</v>
      </c>
      <c r="AG36" s="3544"/>
      <c r="AH36" s="3544"/>
      <c r="AI36" s="3544"/>
      <c r="AJ36" s="3544"/>
      <c r="AK36" s="3546"/>
      <c r="AL36" s="3544" t="s">
        <v>899</v>
      </c>
      <c r="AM36" s="3544"/>
      <c r="AN36" s="3544"/>
      <c r="AO36" s="3544"/>
      <c r="AP36" s="3544"/>
      <c r="AQ36" s="3547"/>
      <c r="AV36" s="1221"/>
    </row>
    <row r="37" spans="2:55" ht="16" thickBot="1" x14ac:dyDescent="0.4">
      <c r="B37" s="1097"/>
      <c r="C37" s="1101"/>
      <c r="D37" s="1101"/>
      <c r="E37" s="1101"/>
      <c r="F37" s="1101"/>
      <c r="G37" s="1101"/>
      <c r="H37" s="1101"/>
      <c r="I37" s="1101"/>
      <c r="J37" s="1101"/>
      <c r="K37" s="1101"/>
      <c r="L37" s="1101"/>
      <c r="M37" s="1101"/>
      <c r="N37" s="1101"/>
      <c r="O37" s="1101"/>
      <c r="P37" s="1101"/>
      <c r="Q37" s="1101"/>
      <c r="AD37" s="1099"/>
      <c r="AE37" s="1045"/>
      <c r="AF37" s="3638"/>
      <c r="AG37" s="3615"/>
      <c r="AH37" s="3615"/>
      <c r="AI37" s="3615"/>
      <c r="AJ37" s="3615"/>
      <c r="AK37" s="3865"/>
      <c r="AL37" s="3615"/>
      <c r="AM37" s="3615"/>
      <c r="AN37" s="3615"/>
      <c r="AO37" s="3615"/>
      <c r="AP37" s="3615"/>
      <c r="AQ37" s="3639"/>
      <c r="AV37" s="1221"/>
    </row>
    <row r="38" spans="2:55" ht="19.5" customHeight="1" thickBot="1" x14ac:dyDescent="0.4">
      <c r="B38" s="1097"/>
      <c r="C38" s="1101"/>
      <c r="D38" s="1101"/>
      <c r="E38" s="1101"/>
      <c r="F38" s="1101"/>
      <c r="G38" s="1101"/>
      <c r="H38" s="1101"/>
      <c r="I38" s="1101"/>
      <c r="J38" s="1101"/>
      <c r="K38" s="1101"/>
      <c r="L38" s="1101"/>
      <c r="M38" s="1101"/>
      <c r="N38" s="1101"/>
      <c r="O38" s="1101"/>
      <c r="P38" s="1099"/>
      <c r="Q38" s="1099"/>
      <c r="R38" s="1099"/>
      <c r="S38" s="1099"/>
      <c r="T38" s="1099"/>
      <c r="U38" s="1099"/>
      <c r="V38" s="1099"/>
      <c r="W38" s="1099"/>
      <c r="X38" s="1099"/>
      <c r="Y38" s="1099"/>
      <c r="Z38" s="1099"/>
      <c r="AA38" s="1099"/>
      <c r="AB38" s="1099"/>
      <c r="AC38" s="1099"/>
      <c r="AD38" s="1099"/>
      <c r="AE38" s="1099"/>
      <c r="AF38" s="3522" t="s">
        <v>14</v>
      </c>
      <c r="AG38" s="3514"/>
      <c r="AH38" s="3516"/>
      <c r="AI38" s="3517" t="s">
        <v>15</v>
      </c>
      <c r="AJ38" s="3514"/>
      <c r="AK38" s="3515"/>
      <c r="AL38" s="3514" t="s">
        <v>14</v>
      </c>
      <c r="AM38" s="3514"/>
      <c r="AN38" s="3516"/>
      <c r="AO38" s="3517" t="s">
        <v>15</v>
      </c>
      <c r="AP38" s="3514"/>
      <c r="AQ38" s="3518"/>
      <c r="AV38" s="1221"/>
    </row>
    <row r="39" spans="2:55" ht="24.5" customHeight="1" thickTop="1" thickBot="1" x14ac:dyDescent="0.4">
      <c r="B39" s="1097"/>
      <c r="C39" s="1101"/>
      <c r="D39" s="1101"/>
      <c r="E39" s="1101"/>
      <c r="F39" s="1101"/>
      <c r="G39" s="1101"/>
      <c r="H39" s="1101"/>
      <c r="I39" s="1101"/>
      <c r="J39" s="1101"/>
      <c r="K39" s="1101"/>
      <c r="L39" s="1101"/>
      <c r="M39" s="1101"/>
      <c r="N39" s="1101"/>
      <c r="O39" s="1101"/>
      <c r="P39" s="1099"/>
      <c r="Q39" s="1099"/>
      <c r="R39" s="1099"/>
      <c r="S39" s="1099"/>
      <c r="T39" s="1099"/>
      <c r="U39" s="1099"/>
      <c r="V39" s="1099"/>
      <c r="W39" s="1099"/>
      <c r="X39" s="1099"/>
      <c r="Y39" s="1099"/>
      <c r="Z39" s="1099"/>
      <c r="AA39" s="1099"/>
      <c r="AB39" s="1099"/>
      <c r="AC39" s="1099"/>
      <c r="AD39" s="1099"/>
      <c r="AE39" s="1099"/>
      <c r="AF39" s="3602">
        <v>0</v>
      </c>
      <c r="AG39" s="3603"/>
      <c r="AH39" s="3895"/>
      <c r="AI39" s="3896">
        <v>0</v>
      </c>
      <c r="AJ39" s="3897"/>
      <c r="AK39" s="3923"/>
      <c r="AL39" s="3603">
        <v>0</v>
      </c>
      <c r="AM39" s="3603"/>
      <c r="AN39" s="3895"/>
      <c r="AO39" s="3896">
        <v>0</v>
      </c>
      <c r="AP39" s="3897"/>
      <c r="AQ39" s="3898"/>
      <c r="AV39" s="1221"/>
    </row>
    <row r="40" spans="2:55" ht="10" customHeight="1" thickTop="1" x14ac:dyDescent="0.35">
      <c r="B40" s="1097"/>
      <c r="C40" s="1220"/>
      <c r="D40" s="1098"/>
      <c r="E40" s="1172"/>
      <c r="F40" s="1099"/>
      <c r="G40" s="1099"/>
      <c r="H40" s="1099"/>
      <c r="I40" s="1099"/>
      <c r="J40" s="1099"/>
      <c r="K40" s="1099"/>
      <c r="L40" s="1099"/>
      <c r="M40" s="1099"/>
      <c r="N40" s="1099"/>
      <c r="O40" s="1099"/>
      <c r="P40" s="1099"/>
      <c r="Q40" s="1099"/>
      <c r="R40" s="1099"/>
      <c r="S40" s="1099"/>
      <c r="T40" s="1099"/>
      <c r="U40" s="1099"/>
      <c r="V40" s="1099"/>
      <c r="W40" s="1099"/>
      <c r="X40" s="1099"/>
      <c r="Y40" s="1099"/>
      <c r="Z40" s="1099"/>
      <c r="AA40" s="1099"/>
      <c r="AB40" s="1099"/>
      <c r="AC40" s="1099"/>
      <c r="AD40" s="1099"/>
      <c r="AE40" s="1099"/>
      <c r="AF40" s="1099"/>
      <c r="AG40" s="1099"/>
      <c r="AH40" s="1099"/>
      <c r="AI40" s="1099"/>
      <c r="AJ40" s="1099"/>
      <c r="AK40" s="1099"/>
      <c r="AV40" s="1221"/>
    </row>
    <row r="41" spans="2:55" x14ac:dyDescent="0.35">
      <c r="B41" s="1158"/>
      <c r="C41" s="1159" t="s">
        <v>155</v>
      </c>
      <c r="D41" s="3759" t="s">
        <v>1939</v>
      </c>
      <c r="E41" s="3759"/>
      <c r="F41" s="3759"/>
      <c r="G41" s="3759"/>
      <c r="H41" s="3759"/>
      <c r="I41" s="3759"/>
      <c r="J41" s="3759"/>
      <c r="K41" s="3759"/>
      <c r="L41" s="3759"/>
      <c r="M41" s="3759"/>
      <c r="N41" s="3759"/>
      <c r="O41" s="3759"/>
      <c r="P41" s="3759"/>
      <c r="Q41" s="3759"/>
      <c r="R41" s="3759"/>
      <c r="S41" s="3759"/>
      <c r="T41" s="3759"/>
      <c r="U41" s="3759"/>
      <c r="V41" s="3759"/>
      <c r="W41" s="3759"/>
      <c r="X41" s="3759"/>
      <c r="Y41" s="3759"/>
      <c r="Z41" s="3759"/>
      <c r="AA41" s="3759"/>
      <c r="AB41" s="1051"/>
      <c r="AV41" s="1221"/>
    </row>
    <row r="42" spans="2:55" ht="5" customHeight="1" thickBot="1" x14ac:dyDescent="0.4">
      <c r="B42" s="1158"/>
      <c r="C42" s="1101"/>
      <c r="D42" s="1160"/>
      <c r="E42" s="1161"/>
      <c r="F42" s="1162"/>
      <c r="G42" s="1162"/>
      <c r="H42" s="1162"/>
      <c r="I42" s="1162"/>
      <c r="J42" s="1162"/>
      <c r="K42" s="1162"/>
      <c r="L42" s="1162"/>
      <c r="M42" s="1162"/>
      <c r="N42" s="1162"/>
      <c r="O42" s="1162"/>
      <c r="P42" s="1162"/>
      <c r="Q42" s="1162"/>
      <c r="R42" s="1162"/>
      <c r="S42" s="1162"/>
      <c r="T42" s="1162"/>
      <c r="U42" s="1162"/>
      <c r="V42" s="1162"/>
      <c r="W42" s="1162"/>
      <c r="X42" s="1162"/>
      <c r="Y42" s="1162"/>
      <c r="Z42" s="1162"/>
      <c r="AA42" s="1162"/>
      <c r="AB42" s="1162"/>
      <c r="AC42" s="1162"/>
      <c r="AD42" s="1162"/>
      <c r="AE42" s="1163"/>
      <c r="AF42" s="1163"/>
      <c r="AG42" s="1163"/>
      <c r="AH42" s="1163"/>
      <c r="AI42" s="1163"/>
      <c r="AJ42" s="1163"/>
      <c r="AK42" s="1163"/>
      <c r="AV42" s="1221"/>
    </row>
    <row r="43" spans="2:55" s="44" customFormat="1" ht="61" customHeight="1" thickTop="1" thickBot="1" x14ac:dyDescent="0.4">
      <c r="B43" s="412"/>
      <c r="D43" s="1969" t="s">
        <v>627</v>
      </c>
      <c r="E43" s="1970"/>
      <c r="F43" s="1970"/>
      <c r="G43" s="1970"/>
      <c r="H43" s="1970"/>
      <c r="I43" s="1970"/>
      <c r="J43" s="1970"/>
      <c r="K43" s="1970"/>
      <c r="L43" s="1970"/>
      <c r="M43" s="2135"/>
      <c r="N43" s="3593" t="s">
        <v>1748</v>
      </c>
      <c r="O43" s="3594"/>
      <c r="P43" s="3594"/>
      <c r="Q43" s="3594"/>
      <c r="R43" s="3594"/>
      <c r="S43" s="3595"/>
      <c r="T43" s="3594" t="s">
        <v>1710</v>
      </c>
      <c r="U43" s="3594"/>
      <c r="V43" s="3594"/>
      <c r="W43" s="3594"/>
      <c r="X43" s="3594"/>
      <c r="Y43" s="3594"/>
      <c r="Z43" s="3596" t="s">
        <v>1711</v>
      </c>
      <c r="AA43" s="3594"/>
      <c r="AB43" s="3594"/>
      <c r="AC43" s="3594"/>
      <c r="AD43" s="3594"/>
      <c r="AE43" s="3595"/>
      <c r="AF43" s="3594" t="s">
        <v>1712</v>
      </c>
      <c r="AG43" s="3594"/>
      <c r="AH43" s="3594"/>
      <c r="AI43" s="3594"/>
      <c r="AJ43" s="3594"/>
      <c r="AK43" s="3597"/>
      <c r="AL43" s="412"/>
      <c r="AV43" s="1218"/>
    </row>
    <row r="44" spans="2:55" s="44" customFormat="1" ht="19.5" customHeight="1" thickBot="1" x14ac:dyDescent="0.4">
      <c r="B44" s="412"/>
      <c r="D44" s="2287"/>
      <c r="E44" s="2288"/>
      <c r="F44" s="2288"/>
      <c r="G44" s="2288"/>
      <c r="H44" s="2288"/>
      <c r="I44" s="2288"/>
      <c r="J44" s="2288"/>
      <c r="K44" s="2288"/>
      <c r="L44" s="2288"/>
      <c r="M44" s="2531"/>
      <c r="N44" s="2287" t="s">
        <v>14</v>
      </c>
      <c r="O44" s="2288"/>
      <c r="P44" s="2646"/>
      <c r="Q44" s="2560" t="s">
        <v>15</v>
      </c>
      <c r="R44" s="2288"/>
      <c r="S44" s="2289"/>
      <c r="T44" s="2288" t="s">
        <v>14</v>
      </c>
      <c r="U44" s="2288"/>
      <c r="V44" s="2646"/>
      <c r="W44" s="2560" t="s">
        <v>15</v>
      </c>
      <c r="X44" s="2288"/>
      <c r="Y44" s="2288"/>
      <c r="Z44" s="2559" t="s">
        <v>14</v>
      </c>
      <c r="AA44" s="2288"/>
      <c r="AB44" s="2646"/>
      <c r="AC44" s="2560" t="s">
        <v>15</v>
      </c>
      <c r="AD44" s="2288"/>
      <c r="AE44" s="2289"/>
      <c r="AF44" s="2288" t="s">
        <v>14</v>
      </c>
      <c r="AG44" s="2288"/>
      <c r="AH44" s="2646"/>
      <c r="AI44" s="2560" t="s">
        <v>15</v>
      </c>
      <c r="AJ44" s="2288"/>
      <c r="AK44" s="2531"/>
      <c r="AV44" s="1218"/>
    </row>
    <row r="45" spans="2:55" s="44" customFormat="1" ht="67" customHeight="1" thickTop="1" x14ac:dyDescent="0.35">
      <c r="B45" s="412"/>
      <c r="D45" s="1164" t="s">
        <v>150</v>
      </c>
      <c r="E45" s="3767" t="s">
        <v>1944</v>
      </c>
      <c r="F45" s="3767"/>
      <c r="G45" s="3767"/>
      <c r="H45" s="3767"/>
      <c r="I45" s="3767"/>
      <c r="J45" s="3767"/>
      <c r="K45" s="3767"/>
      <c r="L45" s="3767"/>
      <c r="M45" s="3768"/>
      <c r="N45" s="3945">
        <v>0</v>
      </c>
      <c r="O45" s="3925"/>
      <c r="P45" s="3926"/>
      <c r="Q45" s="3927">
        <v>0</v>
      </c>
      <c r="R45" s="3925"/>
      <c r="S45" s="3944"/>
      <c r="T45" s="3925">
        <v>0</v>
      </c>
      <c r="U45" s="3925"/>
      <c r="V45" s="3926"/>
      <c r="W45" s="3927">
        <v>0</v>
      </c>
      <c r="X45" s="3925"/>
      <c r="Y45" s="3925"/>
      <c r="Z45" s="3943">
        <v>0</v>
      </c>
      <c r="AA45" s="3925"/>
      <c r="AB45" s="3926"/>
      <c r="AC45" s="3927">
        <v>0</v>
      </c>
      <c r="AD45" s="3925"/>
      <c r="AE45" s="3944"/>
      <c r="AF45" s="3925">
        <v>0</v>
      </c>
      <c r="AG45" s="3925"/>
      <c r="AH45" s="3926"/>
      <c r="AI45" s="3927">
        <v>0</v>
      </c>
      <c r="AJ45" s="3925"/>
      <c r="AK45" s="3928"/>
      <c r="AV45" s="1218"/>
    </row>
    <row r="46" spans="2:55" s="44" customFormat="1" ht="34" customHeight="1" x14ac:dyDescent="0.35">
      <c r="B46" s="412"/>
      <c r="D46" s="1151" t="s">
        <v>151</v>
      </c>
      <c r="E46" s="3772" t="s">
        <v>1940</v>
      </c>
      <c r="F46" s="3772"/>
      <c r="G46" s="3772"/>
      <c r="H46" s="3772"/>
      <c r="I46" s="3772"/>
      <c r="J46" s="3772"/>
      <c r="K46" s="3772"/>
      <c r="L46" s="3772"/>
      <c r="M46" s="3773"/>
      <c r="N46" s="3929">
        <v>0</v>
      </c>
      <c r="O46" s="1462"/>
      <c r="P46" s="1465"/>
      <c r="Q46" s="1461">
        <v>0</v>
      </c>
      <c r="R46" s="1462"/>
      <c r="S46" s="1471"/>
      <c r="T46" s="1462">
        <v>0</v>
      </c>
      <c r="U46" s="1462"/>
      <c r="V46" s="1465"/>
      <c r="W46" s="1461">
        <v>0</v>
      </c>
      <c r="X46" s="1462"/>
      <c r="Y46" s="1462"/>
      <c r="Z46" s="1464">
        <v>0</v>
      </c>
      <c r="AA46" s="1462"/>
      <c r="AB46" s="1465"/>
      <c r="AC46" s="1461">
        <v>0</v>
      </c>
      <c r="AD46" s="1462"/>
      <c r="AE46" s="1471"/>
      <c r="AF46" s="1462">
        <v>0</v>
      </c>
      <c r="AG46" s="1462"/>
      <c r="AH46" s="1465"/>
      <c r="AI46" s="1461">
        <v>0</v>
      </c>
      <c r="AJ46" s="1462"/>
      <c r="AK46" s="3932"/>
      <c r="AV46" s="1218"/>
    </row>
    <row r="47" spans="2:55" s="72" customFormat="1" ht="22.5" customHeight="1" x14ac:dyDescent="0.35">
      <c r="B47" s="280"/>
      <c r="D47" s="1219" t="s">
        <v>152</v>
      </c>
      <c r="E47" s="3930" t="s">
        <v>1941</v>
      </c>
      <c r="F47" s="3930"/>
      <c r="G47" s="3930"/>
      <c r="H47" s="3930"/>
      <c r="I47" s="3930"/>
      <c r="J47" s="3930"/>
      <c r="K47" s="3930"/>
      <c r="L47" s="3930"/>
      <c r="M47" s="3931"/>
      <c r="N47" s="3929">
        <v>0</v>
      </c>
      <c r="O47" s="1462"/>
      <c r="P47" s="1465"/>
      <c r="Q47" s="1461">
        <v>0</v>
      </c>
      <c r="R47" s="1462"/>
      <c r="S47" s="1471"/>
      <c r="T47" s="1462">
        <v>0</v>
      </c>
      <c r="U47" s="1462"/>
      <c r="V47" s="1465"/>
      <c r="W47" s="1461">
        <v>0</v>
      </c>
      <c r="X47" s="1462"/>
      <c r="Y47" s="1462"/>
      <c r="Z47" s="1464">
        <v>0</v>
      </c>
      <c r="AA47" s="1462"/>
      <c r="AB47" s="1465"/>
      <c r="AC47" s="1461">
        <v>0</v>
      </c>
      <c r="AD47" s="1462"/>
      <c r="AE47" s="1471"/>
      <c r="AF47" s="1462">
        <v>0</v>
      </c>
      <c r="AG47" s="1462"/>
      <c r="AH47" s="1465"/>
      <c r="AI47" s="1461">
        <v>0</v>
      </c>
      <c r="AJ47" s="1462"/>
      <c r="AK47" s="3932"/>
      <c r="AV47" s="1213"/>
    </row>
    <row r="48" spans="2:55" s="72" customFormat="1" ht="22.5" customHeight="1" thickBot="1" x14ac:dyDescent="0.4">
      <c r="B48" s="280"/>
      <c r="D48" s="1165" t="s">
        <v>155</v>
      </c>
      <c r="E48" s="3934" t="s">
        <v>1949</v>
      </c>
      <c r="F48" s="3934"/>
      <c r="G48" s="3934"/>
      <c r="H48" s="3934"/>
      <c r="I48" s="3934"/>
      <c r="J48" s="3934"/>
      <c r="K48" s="3934"/>
      <c r="L48" s="3934"/>
      <c r="M48" s="3935"/>
      <c r="N48" s="3936">
        <v>0</v>
      </c>
      <c r="O48" s="3937"/>
      <c r="P48" s="3938"/>
      <c r="Q48" s="3939">
        <v>0</v>
      </c>
      <c r="R48" s="3937"/>
      <c r="S48" s="3940"/>
      <c r="T48" s="3937">
        <v>0</v>
      </c>
      <c r="U48" s="3937"/>
      <c r="V48" s="3938"/>
      <c r="W48" s="3939">
        <v>0</v>
      </c>
      <c r="X48" s="3937"/>
      <c r="Y48" s="3937"/>
      <c r="Z48" s="3941">
        <v>0</v>
      </c>
      <c r="AA48" s="3937"/>
      <c r="AB48" s="3938"/>
      <c r="AC48" s="3939">
        <v>0</v>
      </c>
      <c r="AD48" s="3937"/>
      <c r="AE48" s="3940"/>
      <c r="AF48" s="3937">
        <v>0</v>
      </c>
      <c r="AG48" s="3937"/>
      <c r="AH48" s="3938"/>
      <c r="AI48" s="3939">
        <v>0</v>
      </c>
      <c r="AJ48" s="3937"/>
      <c r="AK48" s="3942"/>
      <c r="AV48" s="1213"/>
    </row>
    <row r="49" spans="2:63" s="72" customFormat="1" ht="5" customHeight="1" thickTop="1" x14ac:dyDescent="0.35">
      <c r="B49" s="280"/>
      <c r="D49" s="1167"/>
      <c r="E49" s="1212"/>
      <c r="F49" s="1212"/>
      <c r="G49" s="1212"/>
      <c r="H49" s="1212"/>
      <c r="I49" s="1212"/>
      <c r="J49" s="1212"/>
      <c r="K49" s="1212"/>
      <c r="L49" s="1212"/>
      <c r="M49" s="1212"/>
      <c r="N49" s="1095"/>
      <c r="O49" s="1095"/>
      <c r="P49" s="1095"/>
      <c r="Q49" s="1095"/>
      <c r="R49" s="1095"/>
      <c r="S49" s="1095"/>
      <c r="T49" s="1095"/>
      <c r="U49" s="1095"/>
      <c r="V49" s="1095"/>
      <c r="W49" s="1095"/>
      <c r="X49" s="1095"/>
      <c r="Y49" s="1095"/>
      <c r="Z49" s="1095"/>
      <c r="AA49" s="1095"/>
      <c r="AB49" s="1095"/>
      <c r="AC49" s="1095"/>
      <c r="AD49" s="1095"/>
      <c r="AE49" s="1095"/>
      <c r="AF49" s="1095"/>
      <c r="AG49" s="1095"/>
      <c r="AH49" s="1095"/>
      <c r="AI49" s="1095"/>
      <c r="AJ49" s="1095"/>
      <c r="AK49" s="1095"/>
      <c r="AV49" s="1213"/>
    </row>
    <row r="50" spans="2:63" s="1042" customFormat="1" ht="22.5" customHeight="1" x14ac:dyDescent="0.35">
      <c r="B50" s="1044"/>
      <c r="C50" s="1045"/>
      <c r="D50" s="417" t="s">
        <v>171</v>
      </c>
      <c r="E50" s="1046"/>
      <c r="F50" s="1046"/>
      <c r="G50" s="3933" t="s">
        <v>1932</v>
      </c>
      <c r="H50" s="3933"/>
      <c r="I50" s="3933"/>
      <c r="J50" s="3933"/>
      <c r="K50" s="3933"/>
      <c r="L50" s="3933"/>
      <c r="M50" s="3933"/>
      <c r="N50" s="3933"/>
      <c r="O50" s="3933"/>
      <c r="P50" s="3933"/>
      <c r="Q50" s="3933"/>
      <c r="R50" s="3933"/>
      <c r="S50" s="3933"/>
      <c r="T50" s="3933"/>
      <c r="U50" s="3933"/>
      <c r="V50" s="3933"/>
      <c r="W50" s="3933"/>
      <c r="X50" s="3933"/>
      <c r="Y50" s="3933"/>
      <c r="Z50" s="3933"/>
      <c r="AA50" s="3933"/>
      <c r="AB50" s="3933"/>
      <c r="AC50" s="3933"/>
      <c r="AD50" s="3933"/>
      <c r="AE50" s="3933"/>
      <c r="AF50" s="3933"/>
      <c r="AG50" s="3933"/>
      <c r="AH50" s="3933"/>
      <c r="AI50" s="3933"/>
      <c r="AJ50" s="3933"/>
      <c r="AK50" s="3933"/>
      <c r="AL50" s="3933"/>
      <c r="AV50" s="1214"/>
    </row>
    <row r="51" spans="2:63" s="1041" customFormat="1" ht="10" customHeight="1" thickBot="1" x14ac:dyDescent="0.4">
      <c r="B51" s="1035"/>
      <c r="C51" s="1036"/>
      <c r="D51" s="1037"/>
      <c r="E51" s="1038"/>
      <c r="F51" s="1038"/>
      <c r="G51" s="1038"/>
      <c r="H51" s="1038"/>
      <c r="I51" s="1038"/>
      <c r="J51" s="1038"/>
      <c r="K51" s="1039"/>
      <c r="L51" s="1039"/>
      <c r="M51" s="1039"/>
      <c r="N51" s="1039"/>
      <c r="O51" s="1039"/>
      <c r="P51" s="1039"/>
      <c r="Q51" s="1039"/>
      <c r="R51" s="1039"/>
      <c r="S51" s="1039"/>
      <c r="T51" s="1039"/>
      <c r="U51" s="1039"/>
      <c r="V51" s="1039"/>
      <c r="W51" s="1039"/>
      <c r="X51" s="1039"/>
      <c r="Y51" s="1039"/>
      <c r="Z51" s="1039"/>
      <c r="AA51" s="1039"/>
      <c r="AB51" s="1039"/>
      <c r="AC51" s="1039"/>
      <c r="AD51" s="1039"/>
      <c r="AE51" s="1039"/>
      <c r="AF51" s="1039"/>
      <c r="AG51" s="1039"/>
      <c r="AH51" s="1039"/>
      <c r="AI51" s="1039"/>
      <c r="AJ51" s="1039"/>
      <c r="AK51" s="1039"/>
      <c r="AL51" s="1039"/>
      <c r="AM51" s="1039"/>
      <c r="AN51" s="1039"/>
      <c r="AO51" s="1039"/>
      <c r="AP51" s="1039"/>
      <c r="AQ51" s="1039"/>
      <c r="AR51" s="1039"/>
      <c r="AS51" s="1039"/>
      <c r="AT51" s="1039"/>
      <c r="AU51" s="1039"/>
      <c r="AV51" s="1215"/>
    </row>
    <row r="52" spans="2:63" s="1041" customFormat="1" ht="10" customHeight="1" thickTop="1" x14ac:dyDescent="0.35">
      <c r="B52" s="1118"/>
      <c r="C52" s="1098"/>
      <c r="D52" s="1042"/>
      <c r="E52" s="1052"/>
      <c r="F52" s="1052"/>
      <c r="G52" s="1052"/>
      <c r="H52" s="1052"/>
      <c r="I52" s="1052"/>
      <c r="J52" s="1052"/>
    </row>
    <row r="53" spans="2:63" s="98" customFormat="1" ht="17.25" customHeight="1" x14ac:dyDescent="0.35">
      <c r="B53" s="3670" t="s">
        <v>1895</v>
      </c>
      <c r="C53" s="3670"/>
      <c r="D53" s="3670"/>
      <c r="E53" s="3670"/>
      <c r="F53" s="3670"/>
      <c r="G53" s="3670"/>
      <c r="H53" s="3670"/>
      <c r="I53" s="3670"/>
      <c r="J53" s="3670"/>
      <c r="K53" s="3670"/>
      <c r="L53" s="3670"/>
      <c r="M53" s="3670"/>
      <c r="N53" s="3670"/>
      <c r="O53" s="3670"/>
      <c r="P53" s="3670"/>
      <c r="Q53" s="3670"/>
      <c r="R53" s="3670"/>
      <c r="S53" s="3670"/>
      <c r="T53" s="3670"/>
      <c r="U53" s="3670"/>
      <c r="V53" s="3670"/>
      <c r="W53" s="3670"/>
      <c r="X53" s="3670"/>
      <c r="Y53" s="3670"/>
      <c r="Z53" s="3670"/>
      <c r="AA53" s="3670"/>
      <c r="AB53" s="3670"/>
      <c r="AC53" s="3670"/>
      <c r="AD53" s="3670"/>
    </row>
    <row r="54" spans="2:63" s="124" customFormat="1" ht="25" customHeight="1" x14ac:dyDescent="0.3">
      <c r="D54" s="123"/>
      <c r="F54" s="123"/>
      <c r="H54" s="123"/>
      <c r="J54" s="123"/>
      <c r="L54" s="123"/>
      <c r="N54" s="123"/>
      <c r="V54" s="123"/>
      <c r="X54" s="123"/>
      <c r="Z54" s="123"/>
      <c r="AB54" s="123"/>
      <c r="AD54" s="123"/>
      <c r="AF54" s="123"/>
      <c r="AG54" s="73"/>
      <c r="AH54" s="73"/>
      <c r="AI54" s="73"/>
      <c r="AJ54" s="73"/>
      <c r="AK54" s="73"/>
      <c r="AL54" s="73"/>
      <c r="AM54" s="73"/>
      <c r="AN54" s="73"/>
      <c r="AO54" s="73"/>
      <c r="AP54" s="74" t="s">
        <v>922</v>
      </c>
      <c r="AQ54" s="73"/>
      <c r="AR54" s="73"/>
      <c r="AS54" s="73"/>
      <c r="AT54" s="73"/>
      <c r="AU54" s="73"/>
      <c r="AV54" s="73"/>
      <c r="AW54" s="73"/>
      <c r="AX54" s="73"/>
      <c r="AY54" s="73"/>
      <c r="AZ54" s="73"/>
      <c r="BA54" s="73"/>
      <c r="BB54" s="73"/>
      <c r="BC54" s="73"/>
      <c r="BD54" s="73"/>
      <c r="BE54" s="73"/>
      <c r="BF54" s="73"/>
      <c r="BG54" s="73"/>
      <c r="BH54" s="73"/>
      <c r="BI54" s="73"/>
      <c r="BJ54" s="73"/>
      <c r="BK54" s="73"/>
    </row>
    <row r="55" spans="2:63" s="73" customFormat="1" ht="14" x14ac:dyDescent="0.3">
      <c r="B55" s="74" t="s">
        <v>913</v>
      </c>
      <c r="V55" s="74" t="s">
        <v>846</v>
      </c>
      <c r="AP55" s="1484" t="str">
        <f>SchInfo!R38</f>
        <v>MICHAEL T. JAMIS   /  March 17, 2023</v>
      </c>
      <c r="AQ55" s="1484"/>
      <c r="AR55" s="1484"/>
      <c r="AS55" s="1484"/>
      <c r="AT55" s="1484"/>
      <c r="AU55" s="1484"/>
      <c r="AV55" s="1484"/>
      <c r="AW55" s="1484"/>
      <c r="AX55" s="1484"/>
      <c r="AY55" s="1484"/>
      <c r="AZ55" s="1484"/>
      <c r="BA55" s="1484"/>
      <c r="BB55" s="1484"/>
      <c r="BC55" s="1484"/>
    </row>
    <row r="56" spans="2:63" s="73" customFormat="1" ht="21.75" customHeight="1" x14ac:dyDescent="0.3">
      <c r="B56" s="74" t="s">
        <v>780</v>
      </c>
      <c r="F56" s="1482" t="str">
        <f>SchInfo!F38</f>
        <v>MELCHESIEDICK Q. BOLANIO/ March 17, 2023</v>
      </c>
      <c r="G56" s="1482"/>
      <c r="H56" s="1482"/>
      <c r="I56" s="1482"/>
      <c r="J56" s="1482"/>
      <c r="K56" s="1482"/>
      <c r="L56" s="1482"/>
      <c r="M56" s="1482"/>
      <c r="N56" s="1482"/>
      <c r="O56" s="1482"/>
      <c r="V56" s="1482" t="str">
        <f>Table39!Q37</f>
        <v>ELYN KENDRA D. DELA CRUZ  /  March 17, 2023</v>
      </c>
      <c r="W56" s="1482"/>
      <c r="X56" s="1482"/>
      <c r="Y56" s="1482"/>
      <c r="Z56" s="1482"/>
      <c r="AA56" s="1482"/>
      <c r="AB56" s="1482"/>
      <c r="AC56" s="1482"/>
      <c r="AD56" s="1482"/>
      <c r="AE56" s="1482"/>
      <c r="AF56" s="1482"/>
      <c r="AG56" s="1482"/>
      <c r="AH56" s="1482"/>
      <c r="AI56" s="1482"/>
      <c r="AJ56" s="545"/>
      <c r="AK56" s="545"/>
      <c r="AL56" s="545"/>
      <c r="AM56" s="545"/>
      <c r="AN56" s="545"/>
      <c r="AO56" s="64"/>
      <c r="AP56" s="1485"/>
      <c r="AQ56" s="1485"/>
      <c r="AR56" s="1485"/>
      <c r="AS56" s="1485"/>
      <c r="AT56" s="1485"/>
      <c r="AU56" s="1485"/>
      <c r="AV56" s="1485"/>
      <c r="AW56" s="1485"/>
      <c r="AX56" s="1485"/>
      <c r="AY56" s="1485"/>
      <c r="AZ56" s="1485"/>
      <c r="BA56" s="1485"/>
      <c r="BB56" s="1485"/>
      <c r="BC56" s="1485"/>
      <c r="BD56" s="68"/>
      <c r="BE56" s="68"/>
      <c r="BF56" s="68"/>
      <c r="BG56" s="68"/>
      <c r="BH56" s="68"/>
      <c r="BI56" s="68"/>
      <c r="BJ56" s="68"/>
      <c r="BK56" s="68"/>
    </row>
    <row r="57" spans="2:63" s="68" customFormat="1" ht="15" customHeight="1" x14ac:dyDescent="0.3">
      <c r="B57" s="210"/>
      <c r="F57" s="1452" t="s">
        <v>779</v>
      </c>
      <c r="G57" s="1452"/>
      <c r="H57" s="1452"/>
      <c r="I57" s="1452"/>
      <c r="J57" s="1452"/>
      <c r="K57" s="1452"/>
      <c r="L57" s="1452"/>
      <c r="M57" s="1452"/>
      <c r="N57" s="1452"/>
      <c r="O57" s="1452"/>
      <c r="P57" s="210"/>
      <c r="Q57" s="210"/>
      <c r="R57" s="210"/>
      <c r="S57" s="210"/>
      <c r="T57" s="210"/>
      <c r="U57" s="210"/>
      <c r="V57" s="1452" t="s">
        <v>779</v>
      </c>
      <c r="W57" s="1452"/>
      <c r="X57" s="1452"/>
      <c r="Y57" s="1452"/>
      <c r="Z57" s="1452"/>
      <c r="AA57" s="1452"/>
      <c r="AB57" s="1452"/>
      <c r="AC57" s="1452"/>
      <c r="AD57" s="1452"/>
      <c r="AE57" s="1452"/>
      <c r="AF57" s="1452"/>
      <c r="AG57" s="1452"/>
      <c r="AH57" s="1452"/>
      <c r="AI57" s="1452"/>
      <c r="AJ57" s="220"/>
      <c r="AK57" s="220"/>
      <c r="AL57" s="220"/>
      <c r="AM57" s="220"/>
      <c r="AN57" s="220"/>
      <c r="AO57" s="73"/>
      <c r="AP57" s="1452" t="s">
        <v>779</v>
      </c>
      <c r="AQ57" s="1452"/>
      <c r="AR57" s="1452"/>
      <c r="AS57" s="1452"/>
      <c r="AT57" s="1452"/>
      <c r="AU57" s="1452"/>
      <c r="AV57" s="1452"/>
      <c r="AW57" s="1452"/>
      <c r="AX57" s="1452"/>
      <c r="AY57" s="1452"/>
      <c r="AZ57" s="1452"/>
      <c r="BA57" s="1452"/>
      <c r="BB57" s="1452"/>
      <c r="BC57" s="1452"/>
      <c r="BD57" s="73"/>
      <c r="BE57" s="73"/>
      <c r="BF57" s="73"/>
      <c r="BG57" s="73"/>
      <c r="BH57" s="73"/>
      <c r="BI57" s="73"/>
      <c r="BJ57" s="73"/>
      <c r="BK57" s="73"/>
    </row>
    <row r="58" spans="2:63" s="73" customFormat="1" ht="21.75" customHeight="1" x14ac:dyDescent="0.35">
      <c r="B58" s="74" t="s">
        <v>784</v>
      </c>
      <c r="F58" s="1482" t="str">
        <f>SchInfo!F40</f>
        <v>Principal IV</v>
      </c>
      <c r="G58" s="1482"/>
      <c r="H58" s="1482"/>
      <c r="I58" s="1482"/>
      <c r="J58" s="1482"/>
      <c r="K58" s="1482"/>
      <c r="L58" s="1482"/>
      <c r="M58" s="1482"/>
      <c r="N58" s="1482"/>
      <c r="O58" s="1482"/>
      <c r="U58" s="44"/>
      <c r="V58" s="74" t="s">
        <v>784</v>
      </c>
      <c r="Z58" s="1482" t="str">
        <f>Table39!U39</f>
        <v>Project Development Officer III</v>
      </c>
      <c r="AA58" s="1482"/>
      <c r="AB58" s="1482"/>
      <c r="AC58" s="1482"/>
      <c r="AD58" s="1482"/>
      <c r="AE58" s="1482"/>
      <c r="AF58" s="1482"/>
      <c r="AG58" s="1482"/>
      <c r="AH58" s="1482"/>
      <c r="AI58" s="1482"/>
      <c r="AJ58" s="545"/>
      <c r="AK58" s="545"/>
      <c r="AL58" s="545"/>
      <c r="AM58" s="545"/>
      <c r="AN58" s="545"/>
      <c r="AO58" s="1101"/>
      <c r="AP58" s="1101"/>
      <c r="AQ58" s="1101"/>
      <c r="AR58" s="1101"/>
      <c r="AS58" s="1101"/>
      <c r="AT58" s="1101"/>
      <c r="AU58" s="1101"/>
      <c r="AV58" s="1101"/>
      <c r="AW58" s="1101"/>
      <c r="AX58" s="1101"/>
      <c r="AY58" s="1101"/>
      <c r="AZ58" s="1101"/>
      <c r="BA58" s="1101"/>
      <c r="BB58" s="1101"/>
      <c r="BC58" s="1101"/>
      <c r="BD58" s="1101"/>
      <c r="BE58" s="1101"/>
      <c r="BF58" s="1101"/>
      <c r="BG58" s="1101"/>
      <c r="BH58" s="1101"/>
      <c r="BI58" s="1101"/>
      <c r="BJ58" s="1101"/>
      <c r="BK58" s="1101"/>
    </row>
    <row r="59" spans="2:63" x14ac:dyDescent="0.35">
      <c r="D59" s="1216"/>
      <c r="E59" s="1216"/>
      <c r="F59" s="1216"/>
      <c r="G59" s="1216"/>
      <c r="H59" s="1216"/>
      <c r="I59" s="1216"/>
      <c r="J59" s="1216"/>
      <c r="K59" s="1216"/>
      <c r="L59" s="1216"/>
      <c r="M59" s="1216"/>
      <c r="N59" s="1216"/>
      <c r="R59" s="1217"/>
      <c r="S59" s="1217"/>
      <c r="T59" s="1217"/>
      <c r="U59" s="1217"/>
      <c r="V59" s="1216"/>
      <c r="W59" s="1216"/>
      <c r="X59" s="1216"/>
      <c r="Y59" s="1216"/>
      <c r="Z59" s="1216"/>
      <c r="AA59" s="1216"/>
      <c r="AB59" s="1216"/>
      <c r="AC59" s="1216"/>
      <c r="AD59" s="1216"/>
      <c r="AE59" s="1216"/>
      <c r="AF59" s="1216"/>
      <c r="AG59" s="1216"/>
      <c r="AH59" s="1216"/>
      <c r="AI59" s="1217"/>
      <c r="AJ59" s="1217"/>
      <c r="AK59" s="1217"/>
      <c r="AL59" s="1217"/>
      <c r="AM59" s="1217"/>
      <c r="AN59" s="1217"/>
      <c r="AO59" s="1217"/>
      <c r="AP59" s="1216"/>
      <c r="AQ59" s="1216"/>
      <c r="AR59" s="1216"/>
      <c r="AS59" s="1216"/>
      <c r="AT59" s="1216"/>
      <c r="AU59" s="1216"/>
      <c r="AV59" s="1216"/>
      <c r="AW59" s="1216"/>
      <c r="AX59" s="1216"/>
      <c r="AY59" s="1216"/>
      <c r="AZ59" s="1216"/>
      <c r="BA59" s="1216"/>
      <c r="BB59" s="1216"/>
      <c r="BC59" s="1217"/>
      <c r="BD59" s="1217"/>
      <c r="BE59" s="1217"/>
      <c r="BF59" s="1217"/>
      <c r="BG59" s="1217"/>
      <c r="BH59" s="1217"/>
    </row>
  </sheetData>
  <sheetProtection algorithmName="SHA-512" hashValue="/LCGRtenTDEOgSi9LOla4X3/VUAQRH3MXvAxm+oFol75Su2k73g4v2AL6hbDhC2zS7aDLZ2VwdsXrrBdsZzv4w==" saltValue="P7dluEEuQ4L2xI7J1XCq6A==" spinCount="100000" sheet="1" objects="1" scenarios="1"/>
  <mergeCells count="201">
    <mergeCell ref="AD17:AF17"/>
    <mergeCell ref="AD16:AF16"/>
    <mergeCell ref="AD15:AF15"/>
    <mergeCell ref="AD14:AF14"/>
    <mergeCell ref="AD13:AF13"/>
    <mergeCell ref="AD12:AF12"/>
    <mergeCell ref="AD11:AF11"/>
    <mergeCell ref="AJ17:AL17"/>
    <mergeCell ref="AJ16:AL16"/>
    <mergeCell ref="AJ15:AL15"/>
    <mergeCell ref="AJ14:AL14"/>
    <mergeCell ref="AJ13:AL13"/>
    <mergeCell ref="AJ12:AL12"/>
    <mergeCell ref="AJ11:AL11"/>
    <mergeCell ref="AG17:AI17"/>
    <mergeCell ref="AG16:AI16"/>
    <mergeCell ref="AG15:AI15"/>
    <mergeCell ref="AG14:AI14"/>
    <mergeCell ref="AG13:AI13"/>
    <mergeCell ref="AG12:AI12"/>
    <mergeCell ref="AG11:AI11"/>
    <mergeCell ref="AS11:AU11"/>
    <mergeCell ref="AP17:AR17"/>
    <mergeCell ref="AP16:AR16"/>
    <mergeCell ref="AP15:AR15"/>
    <mergeCell ref="AP14:AR14"/>
    <mergeCell ref="AP13:AR13"/>
    <mergeCell ref="AP12:AR12"/>
    <mergeCell ref="AP11:AR11"/>
    <mergeCell ref="AM17:AO17"/>
    <mergeCell ref="AM16:AO16"/>
    <mergeCell ref="AM15:AO15"/>
    <mergeCell ref="AM14:AO14"/>
    <mergeCell ref="AM13:AO13"/>
    <mergeCell ref="AM12:AO12"/>
    <mergeCell ref="AM11:AO11"/>
    <mergeCell ref="AA11:AC11"/>
    <mergeCell ref="X11:Z11"/>
    <mergeCell ref="U11:W11"/>
    <mergeCell ref="R11:T11"/>
    <mergeCell ref="AY17:BA17"/>
    <mergeCell ref="AY16:BA16"/>
    <mergeCell ref="AY15:BA15"/>
    <mergeCell ref="AY14:BA14"/>
    <mergeCell ref="AY13:BA13"/>
    <mergeCell ref="AY12:BA12"/>
    <mergeCell ref="AY11:BA11"/>
    <mergeCell ref="AV17:AX17"/>
    <mergeCell ref="AV16:AX16"/>
    <mergeCell ref="AV15:AX15"/>
    <mergeCell ref="AV14:AX14"/>
    <mergeCell ref="AV13:AX13"/>
    <mergeCell ref="AV12:AX12"/>
    <mergeCell ref="AV11:AX11"/>
    <mergeCell ref="AS17:AU17"/>
    <mergeCell ref="AS16:AU16"/>
    <mergeCell ref="AS15:AU15"/>
    <mergeCell ref="AS14:AU14"/>
    <mergeCell ref="AS13:AU13"/>
    <mergeCell ref="AS12:AU12"/>
    <mergeCell ref="AA14:AC14"/>
    <mergeCell ref="X14:Z14"/>
    <mergeCell ref="U14:W14"/>
    <mergeCell ref="R14:T14"/>
    <mergeCell ref="AA13:AC13"/>
    <mergeCell ref="X13:Z13"/>
    <mergeCell ref="U13:W13"/>
    <mergeCell ref="R13:T13"/>
    <mergeCell ref="AA12:AC12"/>
    <mergeCell ref="X12:Z12"/>
    <mergeCell ref="U12:W12"/>
    <mergeCell ref="R12:T12"/>
    <mergeCell ref="AA17:AC17"/>
    <mergeCell ref="X17:Z17"/>
    <mergeCell ref="U17:W17"/>
    <mergeCell ref="R17:T17"/>
    <mergeCell ref="AA16:AC16"/>
    <mergeCell ref="X16:Z16"/>
    <mergeCell ref="U16:W16"/>
    <mergeCell ref="R16:T16"/>
    <mergeCell ref="AA15:AC15"/>
    <mergeCell ref="X15:Z15"/>
    <mergeCell ref="U15:W15"/>
    <mergeCell ref="R15:T15"/>
    <mergeCell ref="Z45:AB45"/>
    <mergeCell ref="AC45:AE45"/>
    <mergeCell ref="AF46:AH46"/>
    <mergeCell ref="AI46:AK46"/>
    <mergeCell ref="E45:M45"/>
    <mergeCell ref="N45:P45"/>
    <mergeCell ref="Q45:S45"/>
    <mergeCell ref="D21:H22"/>
    <mergeCell ref="AF32:AS34"/>
    <mergeCell ref="AF44:AH44"/>
    <mergeCell ref="AI44:AK44"/>
    <mergeCell ref="AF38:AH38"/>
    <mergeCell ref="AI38:AK38"/>
    <mergeCell ref="AL38:AN38"/>
    <mergeCell ref="AC25:AG25"/>
    <mergeCell ref="E32:AA33"/>
    <mergeCell ref="E36:AA36"/>
    <mergeCell ref="AF36:AK37"/>
    <mergeCell ref="G50:AL50"/>
    <mergeCell ref="E48:M48"/>
    <mergeCell ref="N48:P48"/>
    <mergeCell ref="Q48:S48"/>
    <mergeCell ref="T48:V48"/>
    <mergeCell ref="W48:Y48"/>
    <mergeCell ref="Z48:AB48"/>
    <mergeCell ref="AC48:AE48"/>
    <mergeCell ref="AF48:AH48"/>
    <mergeCell ref="AI48:AK48"/>
    <mergeCell ref="E47:M47"/>
    <mergeCell ref="N47:P47"/>
    <mergeCell ref="Q47:S47"/>
    <mergeCell ref="T47:V47"/>
    <mergeCell ref="W47:Y47"/>
    <mergeCell ref="Z47:AB47"/>
    <mergeCell ref="AC47:AE47"/>
    <mergeCell ref="AF47:AH47"/>
    <mergeCell ref="AO38:AQ38"/>
    <mergeCell ref="AI47:AK47"/>
    <mergeCell ref="T45:V45"/>
    <mergeCell ref="W45:Y45"/>
    <mergeCell ref="D41:AA41"/>
    <mergeCell ref="D43:M44"/>
    <mergeCell ref="N43:S43"/>
    <mergeCell ref="T43:Y43"/>
    <mergeCell ref="Z43:AE43"/>
    <mergeCell ref="AF43:AK43"/>
    <mergeCell ref="N44:P44"/>
    <mergeCell ref="Q44:S44"/>
    <mergeCell ref="T44:V44"/>
    <mergeCell ref="W44:Y44"/>
    <mergeCell ref="Z44:AB44"/>
    <mergeCell ref="AC44:AE44"/>
    <mergeCell ref="D9:Q10"/>
    <mergeCell ref="I23:M23"/>
    <mergeCell ref="F58:O58"/>
    <mergeCell ref="V56:AI56"/>
    <mergeCell ref="V57:AI57"/>
    <mergeCell ref="Z58:AI58"/>
    <mergeCell ref="AF39:AH39"/>
    <mergeCell ref="N25:R25"/>
    <mergeCell ref="AI39:AK39"/>
    <mergeCell ref="I25:M25"/>
    <mergeCell ref="AF45:AH45"/>
    <mergeCell ref="AI45:AK45"/>
    <mergeCell ref="E46:M46"/>
    <mergeCell ref="N46:P46"/>
    <mergeCell ref="Q46:S46"/>
    <mergeCell ref="T46:V46"/>
    <mergeCell ref="W46:Y46"/>
    <mergeCell ref="Z46:AB46"/>
    <mergeCell ref="AC46:AE46"/>
    <mergeCell ref="B53:AD53"/>
    <mergeCell ref="F56:O56"/>
    <mergeCell ref="F57:O57"/>
    <mergeCell ref="AC22:AG22"/>
    <mergeCell ref="X22:AB22"/>
    <mergeCell ref="D19:AL19"/>
    <mergeCell ref="AC23:AG23"/>
    <mergeCell ref="AH23:AL23"/>
    <mergeCell ref="AH24:AL24"/>
    <mergeCell ref="X21:AG21"/>
    <mergeCell ref="AC24:AG24"/>
    <mergeCell ref="X24:AB24"/>
    <mergeCell ref="S24:W24"/>
    <mergeCell ref="N24:R24"/>
    <mergeCell ref="I24:M24"/>
    <mergeCell ref="I22:M22"/>
    <mergeCell ref="N22:R22"/>
    <mergeCell ref="S22:W22"/>
    <mergeCell ref="I21:W21"/>
    <mergeCell ref="N23:R23"/>
    <mergeCell ref="S23:W23"/>
    <mergeCell ref="X23:AB23"/>
    <mergeCell ref="AP9:BA9"/>
    <mergeCell ref="AP10:AR10"/>
    <mergeCell ref="AS10:AU10"/>
    <mergeCell ref="AV10:AX10"/>
    <mergeCell ref="AY10:BA10"/>
    <mergeCell ref="AH21:AL22"/>
    <mergeCell ref="AP57:BC57"/>
    <mergeCell ref="AP55:BC56"/>
    <mergeCell ref="S25:W25"/>
    <mergeCell ref="X25:AB25"/>
    <mergeCell ref="R10:T10"/>
    <mergeCell ref="AD9:AO9"/>
    <mergeCell ref="AD10:AF10"/>
    <mergeCell ref="AG10:AI10"/>
    <mergeCell ref="AJ10:AL10"/>
    <mergeCell ref="AM10:AO10"/>
    <mergeCell ref="U10:W10"/>
    <mergeCell ref="X10:Z10"/>
    <mergeCell ref="AA10:AC10"/>
    <mergeCell ref="R9:AC9"/>
    <mergeCell ref="AL39:AN39"/>
    <mergeCell ref="AO39:AQ39"/>
    <mergeCell ref="AH25:AL25"/>
    <mergeCell ref="AL36:AQ37"/>
  </mergeCells>
  <dataValidations count="3">
    <dataValidation type="whole" allowBlank="1" showInputMessage="1" showErrorMessage="1" errorTitle="GJHSP SY 2022-2023" error="Please enter valid number between 0-999." sqref="AF39:AQ39" xr:uid="{BE4C0A26-CF0D-46EE-8573-CC7E988E94AA}">
      <formula1>0</formula1>
      <formula2>999</formula2>
    </dataValidation>
    <dataValidation type="whole" allowBlank="1" showInputMessage="1" showErrorMessage="1" errorTitle="GJHSP SY 2022-2023" error="Please enter valid number between 0-20,000." sqref="N45:AK48" xr:uid="{F211178B-920E-40BC-887C-B39966A7F8E4}">
      <formula1>0</formula1>
      <formula2>20000</formula2>
    </dataValidation>
    <dataValidation type="whole" allowBlank="1" showInputMessage="1" showErrorMessage="1" errorTitle="GJHSP SY 2022-2023" error="Please enter valid number between 0-99." sqref="I23:AL25" xr:uid="{AE9CC7B6-2A73-4B31-9509-1FD9E92E336C}">
      <formula1>0</formula1>
      <formula2>99</formula2>
    </dataValidation>
  </dataValidations>
  <printOptions horizontalCentered="1" verticalCentered="1"/>
  <pageMargins left="0.25" right="0.25" top="0.2" bottom="0.2" header="0" footer="0.1"/>
  <pageSetup paperSize="9" scale="50" orientation="landscape" r:id="rId1"/>
  <headerFooter>
    <oddFooter>&amp;L&amp;10&amp;F &amp;A&amp;R&amp;10Page 58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90113" r:id="rId4" name="Check Box 1">
              <controlPr defaultSize="0" autoFill="0" autoLine="0" autoPict="0">
                <anchor moveWithCells="1">
                  <from>
                    <xdr:col>18</xdr:col>
                    <xdr:colOff>25400</xdr:colOff>
                    <xdr:row>10</xdr:row>
                    <xdr:rowOff>63500</xdr:rowOff>
                  </from>
                  <to>
                    <xdr:col>19</xdr:col>
                    <xdr:colOff>38100</xdr:colOff>
                    <xdr:row>10</xdr:row>
                    <xdr:rowOff>241300</xdr:rowOff>
                  </to>
                </anchor>
              </controlPr>
            </control>
          </mc:Choice>
        </mc:AlternateContent>
        <mc:AlternateContent xmlns:mc="http://schemas.openxmlformats.org/markup-compatibility/2006">
          <mc:Choice Requires="x14">
            <control shapeId="90114" r:id="rId5" name="Check Box 2">
              <controlPr defaultSize="0" autoFill="0" autoLine="0" autoPict="0">
                <anchor moveWithCells="1">
                  <from>
                    <xdr:col>21</xdr:col>
                    <xdr:colOff>31750</xdr:colOff>
                    <xdr:row>10</xdr:row>
                    <xdr:rowOff>63500</xdr:rowOff>
                  </from>
                  <to>
                    <xdr:col>22</xdr:col>
                    <xdr:colOff>88900</xdr:colOff>
                    <xdr:row>10</xdr:row>
                    <xdr:rowOff>254000</xdr:rowOff>
                  </to>
                </anchor>
              </controlPr>
            </control>
          </mc:Choice>
        </mc:AlternateContent>
        <mc:AlternateContent xmlns:mc="http://schemas.openxmlformats.org/markup-compatibility/2006">
          <mc:Choice Requires="x14">
            <control shapeId="90115" r:id="rId6" name="Check Box 3">
              <controlPr defaultSize="0" autoFill="0" autoLine="0" autoPict="0">
                <anchor moveWithCells="1">
                  <from>
                    <xdr:col>24</xdr:col>
                    <xdr:colOff>31750</xdr:colOff>
                    <xdr:row>10</xdr:row>
                    <xdr:rowOff>50800</xdr:rowOff>
                  </from>
                  <to>
                    <xdr:col>25</xdr:col>
                    <xdr:colOff>88900</xdr:colOff>
                    <xdr:row>10</xdr:row>
                    <xdr:rowOff>234950</xdr:rowOff>
                  </to>
                </anchor>
              </controlPr>
            </control>
          </mc:Choice>
        </mc:AlternateContent>
        <mc:AlternateContent xmlns:mc="http://schemas.openxmlformats.org/markup-compatibility/2006">
          <mc:Choice Requires="x14">
            <control shapeId="90116" r:id="rId7" name="Check Box 4">
              <controlPr defaultSize="0" autoFill="0" autoLine="0" autoPict="0">
                <anchor moveWithCells="1">
                  <from>
                    <xdr:col>27</xdr:col>
                    <xdr:colOff>31750</xdr:colOff>
                    <xdr:row>10</xdr:row>
                    <xdr:rowOff>50800</xdr:rowOff>
                  </from>
                  <to>
                    <xdr:col>28</xdr:col>
                    <xdr:colOff>88900</xdr:colOff>
                    <xdr:row>10</xdr:row>
                    <xdr:rowOff>234950</xdr:rowOff>
                  </to>
                </anchor>
              </controlPr>
            </control>
          </mc:Choice>
        </mc:AlternateContent>
        <mc:AlternateContent xmlns:mc="http://schemas.openxmlformats.org/markup-compatibility/2006">
          <mc:Choice Requires="x14">
            <control shapeId="90117" r:id="rId8" name="Check Box 5">
              <controlPr defaultSize="0" autoFill="0" autoLine="0" autoPict="0">
                <anchor moveWithCells="1">
                  <from>
                    <xdr:col>30</xdr:col>
                    <xdr:colOff>25400</xdr:colOff>
                    <xdr:row>10</xdr:row>
                    <xdr:rowOff>44450</xdr:rowOff>
                  </from>
                  <to>
                    <xdr:col>31</xdr:col>
                    <xdr:colOff>82550</xdr:colOff>
                    <xdr:row>10</xdr:row>
                    <xdr:rowOff>228600</xdr:rowOff>
                  </to>
                </anchor>
              </controlPr>
            </control>
          </mc:Choice>
        </mc:AlternateContent>
        <mc:AlternateContent xmlns:mc="http://schemas.openxmlformats.org/markup-compatibility/2006">
          <mc:Choice Requires="x14">
            <control shapeId="90118" r:id="rId9" name="Check Box 6">
              <controlPr defaultSize="0" autoFill="0" autoLine="0" autoPict="0">
                <anchor moveWithCells="1">
                  <from>
                    <xdr:col>33</xdr:col>
                    <xdr:colOff>25400</xdr:colOff>
                    <xdr:row>10</xdr:row>
                    <xdr:rowOff>50800</xdr:rowOff>
                  </from>
                  <to>
                    <xdr:col>34</xdr:col>
                    <xdr:colOff>76200</xdr:colOff>
                    <xdr:row>10</xdr:row>
                    <xdr:rowOff>234950</xdr:rowOff>
                  </to>
                </anchor>
              </controlPr>
            </control>
          </mc:Choice>
        </mc:AlternateContent>
        <mc:AlternateContent xmlns:mc="http://schemas.openxmlformats.org/markup-compatibility/2006">
          <mc:Choice Requires="x14">
            <control shapeId="90119" r:id="rId10" name="Check Box 7">
              <controlPr defaultSize="0" autoFill="0" autoLine="0" autoPict="0">
                <anchor moveWithCells="1">
                  <from>
                    <xdr:col>36</xdr:col>
                    <xdr:colOff>31750</xdr:colOff>
                    <xdr:row>10</xdr:row>
                    <xdr:rowOff>50800</xdr:rowOff>
                  </from>
                  <to>
                    <xdr:col>37</xdr:col>
                    <xdr:colOff>88900</xdr:colOff>
                    <xdr:row>10</xdr:row>
                    <xdr:rowOff>234950</xdr:rowOff>
                  </to>
                </anchor>
              </controlPr>
            </control>
          </mc:Choice>
        </mc:AlternateContent>
        <mc:AlternateContent xmlns:mc="http://schemas.openxmlformats.org/markup-compatibility/2006">
          <mc:Choice Requires="x14">
            <control shapeId="90120" r:id="rId11" name="Check Box 8">
              <controlPr defaultSize="0" autoFill="0" autoLine="0" autoPict="0">
                <anchor moveWithCells="1">
                  <from>
                    <xdr:col>39</xdr:col>
                    <xdr:colOff>31750</xdr:colOff>
                    <xdr:row>10</xdr:row>
                    <xdr:rowOff>63500</xdr:rowOff>
                  </from>
                  <to>
                    <xdr:col>40</xdr:col>
                    <xdr:colOff>88900</xdr:colOff>
                    <xdr:row>10</xdr:row>
                    <xdr:rowOff>254000</xdr:rowOff>
                  </to>
                </anchor>
              </controlPr>
            </control>
          </mc:Choice>
        </mc:AlternateContent>
        <mc:AlternateContent xmlns:mc="http://schemas.openxmlformats.org/markup-compatibility/2006">
          <mc:Choice Requires="x14">
            <control shapeId="90121" r:id="rId12" name="Check Box 9">
              <controlPr defaultSize="0" autoFill="0" autoLine="0" autoPict="0">
                <anchor moveWithCells="1">
                  <from>
                    <xdr:col>42</xdr:col>
                    <xdr:colOff>25400</xdr:colOff>
                    <xdr:row>10</xdr:row>
                    <xdr:rowOff>63500</xdr:rowOff>
                  </from>
                  <to>
                    <xdr:col>43</xdr:col>
                    <xdr:colOff>76200</xdr:colOff>
                    <xdr:row>10</xdr:row>
                    <xdr:rowOff>241300</xdr:rowOff>
                  </to>
                </anchor>
              </controlPr>
            </control>
          </mc:Choice>
        </mc:AlternateContent>
        <mc:AlternateContent xmlns:mc="http://schemas.openxmlformats.org/markup-compatibility/2006">
          <mc:Choice Requires="x14">
            <control shapeId="90122" r:id="rId13" name="Check Box 10">
              <controlPr defaultSize="0" autoFill="0" autoLine="0" autoPict="0">
                <anchor moveWithCells="1">
                  <from>
                    <xdr:col>45</xdr:col>
                    <xdr:colOff>25400</xdr:colOff>
                    <xdr:row>10</xdr:row>
                    <xdr:rowOff>50800</xdr:rowOff>
                  </from>
                  <to>
                    <xdr:col>46</xdr:col>
                    <xdr:colOff>76200</xdr:colOff>
                    <xdr:row>10</xdr:row>
                    <xdr:rowOff>234950</xdr:rowOff>
                  </to>
                </anchor>
              </controlPr>
            </control>
          </mc:Choice>
        </mc:AlternateContent>
        <mc:AlternateContent xmlns:mc="http://schemas.openxmlformats.org/markup-compatibility/2006">
          <mc:Choice Requires="x14">
            <control shapeId="90123" r:id="rId14" name="Check Box 11">
              <controlPr defaultSize="0" autoFill="0" autoLine="0" autoPict="0">
                <anchor moveWithCells="1">
                  <from>
                    <xdr:col>48</xdr:col>
                    <xdr:colOff>31750</xdr:colOff>
                    <xdr:row>10</xdr:row>
                    <xdr:rowOff>50800</xdr:rowOff>
                  </from>
                  <to>
                    <xdr:col>49</xdr:col>
                    <xdr:colOff>88900</xdr:colOff>
                    <xdr:row>10</xdr:row>
                    <xdr:rowOff>234950</xdr:rowOff>
                  </to>
                </anchor>
              </controlPr>
            </control>
          </mc:Choice>
        </mc:AlternateContent>
        <mc:AlternateContent xmlns:mc="http://schemas.openxmlformats.org/markup-compatibility/2006">
          <mc:Choice Requires="x14">
            <control shapeId="90124" r:id="rId15" name="Check Box 12">
              <controlPr defaultSize="0" autoFill="0" autoLine="0" autoPict="0">
                <anchor moveWithCells="1">
                  <from>
                    <xdr:col>51</xdr:col>
                    <xdr:colOff>25400</xdr:colOff>
                    <xdr:row>10</xdr:row>
                    <xdr:rowOff>50800</xdr:rowOff>
                  </from>
                  <to>
                    <xdr:col>52</xdr:col>
                    <xdr:colOff>82550</xdr:colOff>
                    <xdr:row>10</xdr:row>
                    <xdr:rowOff>234950</xdr:rowOff>
                  </to>
                </anchor>
              </controlPr>
            </control>
          </mc:Choice>
        </mc:AlternateContent>
        <mc:AlternateContent xmlns:mc="http://schemas.openxmlformats.org/markup-compatibility/2006">
          <mc:Choice Requires="x14">
            <control shapeId="90125" r:id="rId16" name="Check Box 13">
              <controlPr defaultSize="0" autoFill="0" autoLine="0" autoPict="0">
                <anchor moveWithCells="1">
                  <from>
                    <xdr:col>18</xdr:col>
                    <xdr:colOff>25400</xdr:colOff>
                    <xdr:row>11</xdr:row>
                    <xdr:rowOff>63500</xdr:rowOff>
                  </from>
                  <to>
                    <xdr:col>19</xdr:col>
                    <xdr:colOff>82550</xdr:colOff>
                    <xdr:row>11</xdr:row>
                    <xdr:rowOff>254000</xdr:rowOff>
                  </to>
                </anchor>
              </controlPr>
            </control>
          </mc:Choice>
        </mc:AlternateContent>
        <mc:AlternateContent xmlns:mc="http://schemas.openxmlformats.org/markup-compatibility/2006">
          <mc:Choice Requires="x14">
            <control shapeId="90126" r:id="rId17" name="Check Box 14">
              <controlPr defaultSize="0" autoFill="0" autoLine="0" autoPict="0">
                <anchor moveWithCells="1">
                  <from>
                    <xdr:col>21</xdr:col>
                    <xdr:colOff>25400</xdr:colOff>
                    <xdr:row>11</xdr:row>
                    <xdr:rowOff>50800</xdr:rowOff>
                  </from>
                  <to>
                    <xdr:col>22</xdr:col>
                    <xdr:colOff>76200</xdr:colOff>
                    <xdr:row>11</xdr:row>
                    <xdr:rowOff>234950</xdr:rowOff>
                  </to>
                </anchor>
              </controlPr>
            </control>
          </mc:Choice>
        </mc:AlternateContent>
        <mc:AlternateContent xmlns:mc="http://schemas.openxmlformats.org/markup-compatibility/2006">
          <mc:Choice Requires="x14">
            <control shapeId="90127" r:id="rId18" name="Check Box 15">
              <controlPr defaultSize="0" autoFill="0" autoLine="0" autoPict="0">
                <anchor moveWithCells="1">
                  <from>
                    <xdr:col>24</xdr:col>
                    <xdr:colOff>31750</xdr:colOff>
                    <xdr:row>11</xdr:row>
                    <xdr:rowOff>44450</xdr:rowOff>
                  </from>
                  <to>
                    <xdr:col>25</xdr:col>
                    <xdr:colOff>88900</xdr:colOff>
                    <xdr:row>11</xdr:row>
                    <xdr:rowOff>228600</xdr:rowOff>
                  </to>
                </anchor>
              </controlPr>
            </control>
          </mc:Choice>
        </mc:AlternateContent>
        <mc:AlternateContent xmlns:mc="http://schemas.openxmlformats.org/markup-compatibility/2006">
          <mc:Choice Requires="x14">
            <control shapeId="90128" r:id="rId19" name="Check Box 16">
              <controlPr defaultSize="0" autoFill="0" autoLine="0" autoPict="0">
                <anchor moveWithCells="1">
                  <from>
                    <xdr:col>27</xdr:col>
                    <xdr:colOff>25400</xdr:colOff>
                    <xdr:row>11</xdr:row>
                    <xdr:rowOff>44450</xdr:rowOff>
                  </from>
                  <to>
                    <xdr:col>28</xdr:col>
                    <xdr:colOff>82550</xdr:colOff>
                    <xdr:row>11</xdr:row>
                    <xdr:rowOff>228600</xdr:rowOff>
                  </to>
                </anchor>
              </controlPr>
            </control>
          </mc:Choice>
        </mc:AlternateContent>
        <mc:AlternateContent xmlns:mc="http://schemas.openxmlformats.org/markup-compatibility/2006">
          <mc:Choice Requires="x14">
            <control shapeId="90129" r:id="rId20" name="Check Box 17">
              <controlPr defaultSize="0" autoFill="0" autoLine="0" autoPict="0">
                <anchor moveWithCells="1">
                  <from>
                    <xdr:col>30</xdr:col>
                    <xdr:colOff>25400</xdr:colOff>
                    <xdr:row>11</xdr:row>
                    <xdr:rowOff>50800</xdr:rowOff>
                  </from>
                  <to>
                    <xdr:col>31</xdr:col>
                    <xdr:colOff>82550</xdr:colOff>
                    <xdr:row>11</xdr:row>
                    <xdr:rowOff>234950</xdr:rowOff>
                  </to>
                </anchor>
              </controlPr>
            </control>
          </mc:Choice>
        </mc:AlternateContent>
        <mc:AlternateContent xmlns:mc="http://schemas.openxmlformats.org/markup-compatibility/2006">
          <mc:Choice Requires="x14">
            <control shapeId="90130" r:id="rId21" name="Check Box 18">
              <controlPr defaultSize="0" autoFill="0" autoLine="0" autoPict="0">
                <anchor moveWithCells="1">
                  <from>
                    <xdr:col>33</xdr:col>
                    <xdr:colOff>31750</xdr:colOff>
                    <xdr:row>11</xdr:row>
                    <xdr:rowOff>50800</xdr:rowOff>
                  </from>
                  <to>
                    <xdr:col>34</xdr:col>
                    <xdr:colOff>88900</xdr:colOff>
                    <xdr:row>11</xdr:row>
                    <xdr:rowOff>234950</xdr:rowOff>
                  </to>
                </anchor>
              </controlPr>
            </control>
          </mc:Choice>
        </mc:AlternateContent>
        <mc:AlternateContent xmlns:mc="http://schemas.openxmlformats.org/markup-compatibility/2006">
          <mc:Choice Requires="x14">
            <control shapeId="90131" r:id="rId22" name="Check Box 19">
              <controlPr defaultSize="0" autoFill="0" autoLine="0" autoPict="0">
                <anchor moveWithCells="1">
                  <from>
                    <xdr:col>36</xdr:col>
                    <xdr:colOff>25400</xdr:colOff>
                    <xdr:row>11</xdr:row>
                    <xdr:rowOff>63500</xdr:rowOff>
                  </from>
                  <to>
                    <xdr:col>37</xdr:col>
                    <xdr:colOff>82550</xdr:colOff>
                    <xdr:row>11</xdr:row>
                    <xdr:rowOff>241300</xdr:rowOff>
                  </to>
                </anchor>
              </controlPr>
            </control>
          </mc:Choice>
        </mc:AlternateContent>
        <mc:AlternateContent xmlns:mc="http://schemas.openxmlformats.org/markup-compatibility/2006">
          <mc:Choice Requires="x14">
            <control shapeId="90132" r:id="rId23" name="Check Box 20">
              <controlPr defaultSize="0" autoFill="0" autoLine="0" autoPict="0">
                <anchor moveWithCells="1">
                  <from>
                    <xdr:col>39</xdr:col>
                    <xdr:colOff>25400</xdr:colOff>
                    <xdr:row>11</xdr:row>
                    <xdr:rowOff>50800</xdr:rowOff>
                  </from>
                  <to>
                    <xdr:col>40</xdr:col>
                    <xdr:colOff>82550</xdr:colOff>
                    <xdr:row>11</xdr:row>
                    <xdr:rowOff>234950</xdr:rowOff>
                  </to>
                </anchor>
              </controlPr>
            </control>
          </mc:Choice>
        </mc:AlternateContent>
        <mc:AlternateContent xmlns:mc="http://schemas.openxmlformats.org/markup-compatibility/2006">
          <mc:Choice Requires="x14">
            <control shapeId="90133" r:id="rId24" name="Check Box 21">
              <controlPr defaultSize="0" autoFill="0" autoLine="0" autoPict="0">
                <anchor moveWithCells="1">
                  <from>
                    <xdr:col>42</xdr:col>
                    <xdr:colOff>31750</xdr:colOff>
                    <xdr:row>11</xdr:row>
                    <xdr:rowOff>63500</xdr:rowOff>
                  </from>
                  <to>
                    <xdr:col>43</xdr:col>
                    <xdr:colOff>88900</xdr:colOff>
                    <xdr:row>11</xdr:row>
                    <xdr:rowOff>254000</xdr:rowOff>
                  </to>
                </anchor>
              </controlPr>
            </control>
          </mc:Choice>
        </mc:AlternateContent>
        <mc:AlternateContent xmlns:mc="http://schemas.openxmlformats.org/markup-compatibility/2006">
          <mc:Choice Requires="x14">
            <control shapeId="90134" r:id="rId25" name="Check Box 22">
              <controlPr defaultSize="0" autoFill="0" autoLine="0" autoPict="0">
                <anchor moveWithCells="1">
                  <from>
                    <xdr:col>45</xdr:col>
                    <xdr:colOff>31750</xdr:colOff>
                    <xdr:row>11</xdr:row>
                    <xdr:rowOff>63500</xdr:rowOff>
                  </from>
                  <to>
                    <xdr:col>46</xdr:col>
                    <xdr:colOff>88900</xdr:colOff>
                    <xdr:row>11</xdr:row>
                    <xdr:rowOff>241300</xdr:rowOff>
                  </to>
                </anchor>
              </controlPr>
            </control>
          </mc:Choice>
        </mc:AlternateContent>
        <mc:AlternateContent xmlns:mc="http://schemas.openxmlformats.org/markup-compatibility/2006">
          <mc:Choice Requires="x14">
            <control shapeId="90135" r:id="rId26" name="Check Box 23">
              <controlPr defaultSize="0" autoFill="0" autoLine="0" autoPict="0">
                <anchor moveWithCells="1">
                  <from>
                    <xdr:col>48</xdr:col>
                    <xdr:colOff>25400</xdr:colOff>
                    <xdr:row>11</xdr:row>
                    <xdr:rowOff>50800</xdr:rowOff>
                  </from>
                  <to>
                    <xdr:col>49</xdr:col>
                    <xdr:colOff>76200</xdr:colOff>
                    <xdr:row>11</xdr:row>
                    <xdr:rowOff>234950</xdr:rowOff>
                  </to>
                </anchor>
              </controlPr>
            </control>
          </mc:Choice>
        </mc:AlternateContent>
        <mc:AlternateContent xmlns:mc="http://schemas.openxmlformats.org/markup-compatibility/2006">
          <mc:Choice Requires="x14">
            <control shapeId="90136" r:id="rId27" name="Check Box 24">
              <controlPr defaultSize="0" autoFill="0" autoLine="0" autoPict="0">
                <anchor moveWithCells="1">
                  <from>
                    <xdr:col>51</xdr:col>
                    <xdr:colOff>31750</xdr:colOff>
                    <xdr:row>11</xdr:row>
                    <xdr:rowOff>63500</xdr:rowOff>
                  </from>
                  <to>
                    <xdr:col>52</xdr:col>
                    <xdr:colOff>88900</xdr:colOff>
                    <xdr:row>11</xdr:row>
                    <xdr:rowOff>241300</xdr:rowOff>
                  </to>
                </anchor>
              </controlPr>
            </control>
          </mc:Choice>
        </mc:AlternateContent>
        <mc:AlternateContent xmlns:mc="http://schemas.openxmlformats.org/markup-compatibility/2006">
          <mc:Choice Requires="x14">
            <control shapeId="90137" r:id="rId28" name="Check Box 25">
              <controlPr defaultSize="0" autoFill="0" autoLine="0" autoPict="0">
                <anchor moveWithCells="1">
                  <from>
                    <xdr:col>18</xdr:col>
                    <xdr:colOff>25400</xdr:colOff>
                    <xdr:row>12</xdr:row>
                    <xdr:rowOff>63500</xdr:rowOff>
                  </from>
                  <to>
                    <xdr:col>19</xdr:col>
                    <xdr:colOff>82550</xdr:colOff>
                    <xdr:row>12</xdr:row>
                    <xdr:rowOff>241300</xdr:rowOff>
                  </to>
                </anchor>
              </controlPr>
            </control>
          </mc:Choice>
        </mc:AlternateContent>
        <mc:AlternateContent xmlns:mc="http://schemas.openxmlformats.org/markup-compatibility/2006">
          <mc:Choice Requires="x14">
            <control shapeId="90138" r:id="rId29" name="Check Box 26">
              <controlPr defaultSize="0" autoFill="0" autoLine="0" autoPict="0">
                <anchor moveWithCells="1">
                  <from>
                    <xdr:col>21</xdr:col>
                    <xdr:colOff>31750</xdr:colOff>
                    <xdr:row>12</xdr:row>
                    <xdr:rowOff>44450</xdr:rowOff>
                  </from>
                  <to>
                    <xdr:col>22</xdr:col>
                    <xdr:colOff>88900</xdr:colOff>
                    <xdr:row>12</xdr:row>
                    <xdr:rowOff>228600</xdr:rowOff>
                  </to>
                </anchor>
              </controlPr>
            </control>
          </mc:Choice>
        </mc:AlternateContent>
        <mc:AlternateContent xmlns:mc="http://schemas.openxmlformats.org/markup-compatibility/2006">
          <mc:Choice Requires="x14">
            <control shapeId="90139" r:id="rId30" name="Check Box 27">
              <controlPr defaultSize="0" autoFill="0" autoLine="0" autoPict="0">
                <anchor moveWithCells="1">
                  <from>
                    <xdr:col>24</xdr:col>
                    <xdr:colOff>31750</xdr:colOff>
                    <xdr:row>12</xdr:row>
                    <xdr:rowOff>44450</xdr:rowOff>
                  </from>
                  <to>
                    <xdr:col>25</xdr:col>
                    <xdr:colOff>88900</xdr:colOff>
                    <xdr:row>12</xdr:row>
                    <xdr:rowOff>228600</xdr:rowOff>
                  </to>
                </anchor>
              </controlPr>
            </control>
          </mc:Choice>
        </mc:AlternateContent>
        <mc:AlternateContent xmlns:mc="http://schemas.openxmlformats.org/markup-compatibility/2006">
          <mc:Choice Requires="x14">
            <control shapeId="90140" r:id="rId31" name="Check Box 28">
              <controlPr defaultSize="0" autoFill="0" autoLine="0" autoPict="0">
                <anchor moveWithCells="1">
                  <from>
                    <xdr:col>27</xdr:col>
                    <xdr:colOff>25400</xdr:colOff>
                    <xdr:row>12</xdr:row>
                    <xdr:rowOff>63500</xdr:rowOff>
                  </from>
                  <to>
                    <xdr:col>28</xdr:col>
                    <xdr:colOff>76200</xdr:colOff>
                    <xdr:row>12</xdr:row>
                    <xdr:rowOff>241300</xdr:rowOff>
                  </to>
                </anchor>
              </controlPr>
            </control>
          </mc:Choice>
        </mc:AlternateContent>
        <mc:AlternateContent xmlns:mc="http://schemas.openxmlformats.org/markup-compatibility/2006">
          <mc:Choice Requires="x14">
            <control shapeId="90141" r:id="rId32" name="Check Box 29">
              <controlPr defaultSize="0" autoFill="0" autoLine="0" autoPict="0">
                <anchor moveWithCells="1">
                  <from>
                    <xdr:col>30</xdr:col>
                    <xdr:colOff>25400</xdr:colOff>
                    <xdr:row>12</xdr:row>
                    <xdr:rowOff>50800</xdr:rowOff>
                  </from>
                  <to>
                    <xdr:col>31</xdr:col>
                    <xdr:colOff>76200</xdr:colOff>
                    <xdr:row>12</xdr:row>
                    <xdr:rowOff>234950</xdr:rowOff>
                  </to>
                </anchor>
              </controlPr>
            </control>
          </mc:Choice>
        </mc:AlternateContent>
        <mc:AlternateContent xmlns:mc="http://schemas.openxmlformats.org/markup-compatibility/2006">
          <mc:Choice Requires="x14">
            <control shapeId="90142" r:id="rId33" name="Check Box 30">
              <controlPr defaultSize="0" autoFill="0" autoLine="0" autoPict="0">
                <anchor moveWithCells="1">
                  <from>
                    <xdr:col>33</xdr:col>
                    <xdr:colOff>38100</xdr:colOff>
                    <xdr:row>12</xdr:row>
                    <xdr:rowOff>63500</xdr:rowOff>
                  </from>
                  <to>
                    <xdr:col>34</xdr:col>
                    <xdr:colOff>101600</xdr:colOff>
                    <xdr:row>12</xdr:row>
                    <xdr:rowOff>241300</xdr:rowOff>
                  </to>
                </anchor>
              </controlPr>
            </control>
          </mc:Choice>
        </mc:AlternateContent>
        <mc:AlternateContent xmlns:mc="http://schemas.openxmlformats.org/markup-compatibility/2006">
          <mc:Choice Requires="x14">
            <control shapeId="90143" r:id="rId34" name="Check Box 31">
              <controlPr defaultSize="0" autoFill="0" autoLine="0" autoPict="0">
                <anchor moveWithCells="1">
                  <from>
                    <xdr:col>36</xdr:col>
                    <xdr:colOff>31750</xdr:colOff>
                    <xdr:row>12</xdr:row>
                    <xdr:rowOff>44450</xdr:rowOff>
                  </from>
                  <to>
                    <xdr:col>37</xdr:col>
                    <xdr:colOff>88900</xdr:colOff>
                    <xdr:row>12</xdr:row>
                    <xdr:rowOff>228600</xdr:rowOff>
                  </to>
                </anchor>
              </controlPr>
            </control>
          </mc:Choice>
        </mc:AlternateContent>
        <mc:AlternateContent xmlns:mc="http://schemas.openxmlformats.org/markup-compatibility/2006">
          <mc:Choice Requires="x14">
            <control shapeId="90144" r:id="rId35" name="Check Box 32">
              <controlPr defaultSize="0" autoFill="0" autoLine="0" autoPict="0">
                <anchor moveWithCells="1">
                  <from>
                    <xdr:col>39</xdr:col>
                    <xdr:colOff>25400</xdr:colOff>
                    <xdr:row>12</xdr:row>
                    <xdr:rowOff>63500</xdr:rowOff>
                  </from>
                  <to>
                    <xdr:col>40</xdr:col>
                    <xdr:colOff>82550</xdr:colOff>
                    <xdr:row>12</xdr:row>
                    <xdr:rowOff>254000</xdr:rowOff>
                  </to>
                </anchor>
              </controlPr>
            </control>
          </mc:Choice>
        </mc:AlternateContent>
        <mc:AlternateContent xmlns:mc="http://schemas.openxmlformats.org/markup-compatibility/2006">
          <mc:Choice Requires="x14">
            <control shapeId="90145" r:id="rId36" name="Check Box 33">
              <controlPr defaultSize="0" autoFill="0" autoLine="0" autoPict="0">
                <anchor moveWithCells="1">
                  <from>
                    <xdr:col>42</xdr:col>
                    <xdr:colOff>25400</xdr:colOff>
                    <xdr:row>12</xdr:row>
                    <xdr:rowOff>50800</xdr:rowOff>
                  </from>
                  <to>
                    <xdr:col>43</xdr:col>
                    <xdr:colOff>82550</xdr:colOff>
                    <xdr:row>12</xdr:row>
                    <xdr:rowOff>234950</xdr:rowOff>
                  </to>
                </anchor>
              </controlPr>
            </control>
          </mc:Choice>
        </mc:AlternateContent>
        <mc:AlternateContent xmlns:mc="http://schemas.openxmlformats.org/markup-compatibility/2006">
          <mc:Choice Requires="x14">
            <control shapeId="90146" r:id="rId37" name="Check Box 34">
              <controlPr defaultSize="0" autoFill="0" autoLine="0" autoPict="0">
                <anchor moveWithCells="1">
                  <from>
                    <xdr:col>45</xdr:col>
                    <xdr:colOff>25400</xdr:colOff>
                    <xdr:row>12</xdr:row>
                    <xdr:rowOff>63500</xdr:rowOff>
                  </from>
                  <to>
                    <xdr:col>46</xdr:col>
                    <xdr:colOff>76200</xdr:colOff>
                    <xdr:row>12</xdr:row>
                    <xdr:rowOff>241300</xdr:rowOff>
                  </to>
                </anchor>
              </controlPr>
            </control>
          </mc:Choice>
        </mc:AlternateContent>
        <mc:AlternateContent xmlns:mc="http://schemas.openxmlformats.org/markup-compatibility/2006">
          <mc:Choice Requires="x14">
            <control shapeId="90147" r:id="rId38" name="Check Box 35">
              <controlPr defaultSize="0" autoFill="0" autoLine="0" autoPict="0">
                <anchor moveWithCells="1">
                  <from>
                    <xdr:col>48</xdr:col>
                    <xdr:colOff>31750</xdr:colOff>
                    <xdr:row>12</xdr:row>
                    <xdr:rowOff>50800</xdr:rowOff>
                  </from>
                  <to>
                    <xdr:col>49</xdr:col>
                    <xdr:colOff>88900</xdr:colOff>
                    <xdr:row>12</xdr:row>
                    <xdr:rowOff>234950</xdr:rowOff>
                  </to>
                </anchor>
              </controlPr>
            </control>
          </mc:Choice>
        </mc:AlternateContent>
        <mc:AlternateContent xmlns:mc="http://schemas.openxmlformats.org/markup-compatibility/2006">
          <mc:Choice Requires="x14">
            <control shapeId="90148" r:id="rId39" name="Check Box 36">
              <controlPr defaultSize="0" autoFill="0" autoLine="0" autoPict="0">
                <anchor moveWithCells="1">
                  <from>
                    <xdr:col>51</xdr:col>
                    <xdr:colOff>25400</xdr:colOff>
                    <xdr:row>12</xdr:row>
                    <xdr:rowOff>63500</xdr:rowOff>
                  </from>
                  <to>
                    <xdr:col>52</xdr:col>
                    <xdr:colOff>82550</xdr:colOff>
                    <xdr:row>12</xdr:row>
                    <xdr:rowOff>241300</xdr:rowOff>
                  </to>
                </anchor>
              </controlPr>
            </control>
          </mc:Choice>
        </mc:AlternateContent>
        <mc:AlternateContent xmlns:mc="http://schemas.openxmlformats.org/markup-compatibility/2006">
          <mc:Choice Requires="x14">
            <control shapeId="90149" r:id="rId40" name="Check Box 37">
              <controlPr defaultSize="0" autoFill="0" autoLine="0" autoPict="0">
                <anchor moveWithCells="1">
                  <from>
                    <xdr:col>18</xdr:col>
                    <xdr:colOff>25400</xdr:colOff>
                    <xdr:row>13</xdr:row>
                    <xdr:rowOff>50800</xdr:rowOff>
                  </from>
                  <to>
                    <xdr:col>19</xdr:col>
                    <xdr:colOff>82550</xdr:colOff>
                    <xdr:row>13</xdr:row>
                    <xdr:rowOff>234950</xdr:rowOff>
                  </to>
                </anchor>
              </controlPr>
            </control>
          </mc:Choice>
        </mc:AlternateContent>
        <mc:AlternateContent xmlns:mc="http://schemas.openxmlformats.org/markup-compatibility/2006">
          <mc:Choice Requires="x14">
            <control shapeId="90150" r:id="rId41" name="Check Box 38">
              <controlPr defaultSize="0" autoFill="0" autoLine="0" autoPict="0">
                <anchor moveWithCells="1">
                  <from>
                    <xdr:col>21</xdr:col>
                    <xdr:colOff>25400</xdr:colOff>
                    <xdr:row>13</xdr:row>
                    <xdr:rowOff>63500</xdr:rowOff>
                  </from>
                  <to>
                    <xdr:col>22</xdr:col>
                    <xdr:colOff>76200</xdr:colOff>
                    <xdr:row>13</xdr:row>
                    <xdr:rowOff>254000</xdr:rowOff>
                  </to>
                </anchor>
              </controlPr>
            </control>
          </mc:Choice>
        </mc:AlternateContent>
        <mc:AlternateContent xmlns:mc="http://schemas.openxmlformats.org/markup-compatibility/2006">
          <mc:Choice Requires="x14">
            <control shapeId="90151" r:id="rId42" name="Check Box 39">
              <controlPr defaultSize="0" autoFill="0" autoLine="0" autoPict="0">
                <anchor moveWithCells="1">
                  <from>
                    <xdr:col>24</xdr:col>
                    <xdr:colOff>25400</xdr:colOff>
                    <xdr:row>13</xdr:row>
                    <xdr:rowOff>50800</xdr:rowOff>
                  </from>
                  <to>
                    <xdr:col>25</xdr:col>
                    <xdr:colOff>82550</xdr:colOff>
                    <xdr:row>13</xdr:row>
                    <xdr:rowOff>234950</xdr:rowOff>
                  </to>
                </anchor>
              </controlPr>
            </control>
          </mc:Choice>
        </mc:AlternateContent>
        <mc:AlternateContent xmlns:mc="http://schemas.openxmlformats.org/markup-compatibility/2006">
          <mc:Choice Requires="x14">
            <control shapeId="90152" r:id="rId43" name="Check Box 40">
              <controlPr defaultSize="0" autoFill="0" autoLine="0" autoPict="0">
                <anchor moveWithCells="1">
                  <from>
                    <xdr:col>27</xdr:col>
                    <xdr:colOff>25400</xdr:colOff>
                    <xdr:row>13</xdr:row>
                    <xdr:rowOff>63500</xdr:rowOff>
                  </from>
                  <to>
                    <xdr:col>28</xdr:col>
                    <xdr:colOff>76200</xdr:colOff>
                    <xdr:row>13</xdr:row>
                    <xdr:rowOff>241300</xdr:rowOff>
                  </to>
                </anchor>
              </controlPr>
            </control>
          </mc:Choice>
        </mc:AlternateContent>
        <mc:AlternateContent xmlns:mc="http://schemas.openxmlformats.org/markup-compatibility/2006">
          <mc:Choice Requires="x14">
            <control shapeId="90153" r:id="rId44" name="Check Box 41">
              <controlPr defaultSize="0" autoFill="0" autoLine="0" autoPict="0">
                <anchor moveWithCells="1">
                  <from>
                    <xdr:col>30</xdr:col>
                    <xdr:colOff>31750</xdr:colOff>
                    <xdr:row>13</xdr:row>
                    <xdr:rowOff>50800</xdr:rowOff>
                  </from>
                  <to>
                    <xdr:col>31</xdr:col>
                    <xdr:colOff>88900</xdr:colOff>
                    <xdr:row>13</xdr:row>
                    <xdr:rowOff>234950</xdr:rowOff>
                  </to>
                </anchor>
              </controlPr>
            </control>
          </mc:Choice>
        </mc:AlternateContent>
        <mc:AlternateContent xmlns:mc="http://schemas.openxmlformats.org/markup-compatibility/2006">
          <mc:Choice Requires="x14">
            <control shapeId="90154" r:id="rId45" name="Check Box 42">
              <controlPr defaultSize="0" autoFill="0" autoLine="0" autoPict="0">
                <anchor moveWithCells="1">
                  <from>
                    <xdr:col>33</xdr:col>
                    <xdr:colOff>25400</xdr:colOff>
                    <xdr:row>13</xdr:row>
                    <xdr:rowOff>63500</xdr:rowOff>
                  </from>
                  <to>
                    <xdr:col>34</xdr:col>
                    <xdr:colOff>76200</xdr:colOff>
                    <xdr:row>13</xdr:row>
                    <xdr:rowOff>241300</xdr:rowOff>
                  </to>
                </anchor>
              </controlPr>
            </control>
          </mc:Choice>
        </mc:AlternateContent>
        <mc:AlternateContent xmlns:mc="http://schemas.openxmlformats.org/markup-compatibility/2006">
          <mc:Choice Requires="x14">
            <control shapeId="90155" r:id="rId46" name="Check Box 43">
              <controlPr defaultSize="0" autoFill="0" autoLine="0" autoPict="0">
                <anchor moveWithCells="1">
                  <from>
                    <xdr:col>36</xdr:col>
                    <xdr:colOff>25400</xdr:colOff>
                    <xdr:row>13</xdr:row>
                    <xdr:rowOff>44450</xdr:rowOff>
                  </from>
                  <to>
                    <xdr:col>37</xdr:col>
                    <xdr:colOff>82550</xdr:colOff>
                    <xdr:row>13</xdr:row>
                    <xdr:rowOff>228600</xdr:rowOff>
                  </to>
                </anchor>
              </controlPr>
            </control>
          </mc:Choice>
        </mc:AlternateContent>
        <mc:AlternateContent xmlns:mc="http://schemas.openxmlformats.org/markup-compatibility/2006">
          <mc:Choice Requires="x14">
            <control shapeId="90156" r:id="rId47" name="Check Box 44">
              <controlPr defaultSize="0" autoFill="0" autoLine="0" autoPict="0">
                <anchor moveWithCells="1">
                  <from>
                    <xdr:col>39</xdr:col>
                    <xdr:colOff>38100</xdr:colOff>
                    <xdr:row>13</xdr:row>
                    <xdr:rowOff>63500</xdr:rowOff>
                  </from>
                  <to>
                    <xdr:col>40</xdr:col>
                    <xdr:colOff>101600</xdr:colOff>
                    <xdr:row>13</xdr:row>
                    <xdr:rowOff>254000</xdr:rowOff>
                  </to>
                </anchor>
              </controlPr>
            </control>
          </mc:Choice>
        </mc:AlternateContent>
        <mc:AlternateContent xmlns:mc="http://schemas.openxmlformats.org/markup-compatibility/2006">
          <mc:Choice Requires="x14">
            <control shapeId="90157" r:id="rId48" name="Check Box 45">
              <controlPr defaultSize="0" autoFill="0" autoLine="0" autoPict="0">
                <anchor moveWithCells="1">
                  <from>
                    <xdr:col>42</xdr:col>
                    <xdr:colOff>25400</xdr:colOff>
                    <xdr:row>13</xdr:row>
                    <xdr:rowOff>63500</xdr:rowOff>
                  </from>
                  <to>
                    <xdr:col>43</xdr:col>
                    <xdr:colOff>82550</xdr:colOff>
                    <xdr:row>13</xdr:row>
                    <xdr:rowOff>241300</xdr:rowOff>
                  </to>
                </anchor>
              </controlPr>
            </control>
          </mc:Choice>
        </mc:AlternateContent>
        <mc:AlternateContent xmlns:mc="http://schemas.openxmlformats.org/markup-compatibility/2006">
          <mc:Choice Requires="x14">
            <control shapeId="90158" r:id="rId49" name="Check Box 46">
              <controlPr defaultSize="0" autoFill="0" autoLine="0" autoPict="0">
                <anchor moveWithCells="1">
                  <from>
                    <xdr:col>45</xdr:col>
                    <xdr:colOff>31750</xdr:colOff>
                    <xdr:row>13</xdr:row>
                    <xdr:rowOff>50800</xdr:rowOff>
                  </from>
                  <to>
                    <xdr:col>46</xdr:col>
                    <xdr:colOff>88900</xdr:colOff>
                    <xdr:row>13</xdr:row>
                    <xdr:rowOff>234950</xdr:rowOff>
                  </to>
                </anchor>
              </controlPr>
            </control>
          </mc:Choice>
        </mc:AlternateContent>
        <mc:AlternateContent xmlns:mc="http://schemas.openxmlformats.org/markup-compatibility/2006">
          <mc:Choice Requires="x14">
            <control shapeId="90159" r:id="rId50" name="Check Box 47">
              <controlPr defaultSize="0" autoFill="0" autoLine="0" autoPict="0">
                <anchor moveWithCells="1">
                  <from>
                    <xdr:col>48</xdr:col>
                    <xdr:colOff>31750</xdr:colOff>
                    <xdr:row>13</xdr:row>
                    <xdr:rowOff>50800</xdr:rowOff>
                  </from>
                  <to>
                    <xdr:col>49</xdr:col>
                    <xdr:colOff>88900</xdr:colOff>
                    <xdr:row>13</xdr:row>
                    <xdr:rowOff>234950</xdr:rowOff>
                  </to>
                </anchor>
              </controlPr>
            </control>
          </mc:Choice>
        </mc:AlternateContent>
        <mc:AlternateContent xmlns:mc="http://schemas.openxmlformats.org/markup-compatibility/2006">
          <mc:Choice Requires="x14">
            <control shapeId="90160" r:id="rId51" name="Check Box 48">
              <controlPr defaultSize="0" autoFill="0" autoLine="0" autoPict="0">
                <anchor moveWithCells="1">
                  <from>
                    <xdr:col>51</xdr:col>
                    <xdr:colOff>25400</xdr:colOff>
                    <xdr:row>13</xdr:row>
                    <xdr:rowOff>63500</xdr:rowOff>
                  </from>
                  <to>
                    <xdr:col>52</xdr:col>
                    <xdr:colOff>82550</xdr:colOff>
                    <xdr:row>13</xdr:row>
                    <xdr:rowOff>241300</xdr:rowOff>
                  </to>
                </anchor>
              </controlPr>
            </control>
          </mc:Choice>
        </mc:AlternateContent>
        <mc:AlternateContent xmlns:mc="http://schemas.openxmlformats.org/markup-compatibility/2006">
          <mc:Choice Requires="x14">
            <control shapeId="90161" r:id="rId52" name="Check Box 49">
              <controlPr defaultSize="0" autoFill="0" autoLine="0" autoPict="0">
                <anchor moveWithCells="1">
                  <from>
                    <xdr:col>18</xdr:col>
                    <xdr:colOff>31750</xdr:colOff>
                    <xdr:row>14</xdr:row>
                    <xdr:rowOff>44450</xdr:rowOff>
                  </from>
                  <to>
                    <xdr:col>19</xdr:col>
                    <xdr:colOff>88900</xdr:colOff>
                    <xdr:row>14</xdr:row>
                    <xdr:rowOff>228600</xdr:rowOff>
                  </to>
                </anchor>
              </controlPr>
            </control>
          </mc:Choice>
        </mc:AlternateContent>
        <mc:AlternateContent xmlns:mc="http://schemas.openxmlformats.org/markup-compatibility/2006">
          <mc:Choice Requires="x14">
            <control shapeId="90162" r:id="rId53" name="Check Box 50">
              <controlPr defaultSize="0" autoFill="0" autoLine="0" autoPict="0">
                <anchor moveWithCells="1">
                  <from>
                    <xdr:col>18</xdr:col>
                    <xdr:colOff>31750</xdr:colOff>
                    <xdr:row>15</xdr:row>
                    <xdr:rowOff>63500</xdr:rowOff>
                  </from>
                  <to>
                    <xdr:col>19</xdr:col>
                    <xdr:colOff>88900</xdr:colOff>
                    <xdr:row>15</xdr:row>
                    <xdr:rowOff>241300</xdr:rowOff>
                  </to>
                </anchor>
              </controlPr>
            </control>
          </mc:Choice>
        </mc:AlternateContent>
        <mc:AlternateContent xmlns:mc="http://schemas.openxmlformats.org/markup-compatibility/2006">
          <mc:Choice Requires="x14">
            <control shapeId="90163" r:id="rId54" name="Check Box 51">
              <controlPr defaultSize="0" autoFill="0" autoLine="0" autoPict="0">
                <anchor moveWithCells="1">
                  <from>
                    <xdr:col>18</xdr:col>
                    <xdr:colOff>25400</xdr:colOff>
                    <xdr:row>16</xdr:row>
                    <xdr:rowOff>44450</xdr:rowOff>
                  </from>
                  <to>
                    <xdr:col>19</xdr:col>
                    <xdr:colOff>82550</xdr:colOff>
                    <xdr:row>16</xdr:row>
                    <xdr:rowOff>228600</xdr:rowOff>
                  </to>
                </anchor>
              </controlPr>
            </control>
          </mc:Choice>
        </mc:AlternateContent>
        <mc:AlternateContent xmlns:mc="http://schemas.openxmlformats.org/markup-compatibility/2006">
          <mc:Choice Requires="x14">
            <control shapeId="90164" r:id="rId55" name="Check Box 52">
              <controlPr defaultSize="0" autoFill="0" autoLine="0" autoPict="0">
                <anchor moveWithCells="1">
                  <from>
                    <xdr:col>21</xdr:col>
                    <xdr:colOff>25400</xdr:colOff>
                    <xdr:row>14</xdr:row>
                    <xdr:rowOff>50800</xdr:rowOff>
                  </from>
                  <to>
                    <xdr:col>22</xdr:col>
                    <xdr:colOff>76200</xdr:colOff>
                    <xdr:row>14</xdr:row>
                    <xdr:rowOff>234950</xdr:rowOff>
                  </to>
                </anchor>
              </controlPr>
            </control>
          </mc:Choice>
        </mc:AlternateContent>
        <mc:AlternateContent xmlns:mc="http://schemas.openxmlformats.org/markup-compatibility/2006">
          <mc:Choice Requires="x14">
            <control shapeId="90165" r:id="rId56" name="Check Box 53">
              <controlPr defaultSize="0" autoFill="0" autoLine="0" autoPict="0">
                <anchor moveWithCells="1">
                  <from>
                    <xdr:col>21</xdr:col>
                    <xdr:colOff>31750</xdr:colOff>
                    <xdr:row>15</xdr:row>
                    <xdr:rowOff>50800</xdr:rowOff>
                  </from>
                  <to>
                    <xdr:col>22</xdr:col>
                    <xdr:colOff>88900</xdr:colOff>
                    <xdr:row>15</xdr:row>
                    <xdr:rowOff>234950</xdr:rowOff>
                  </to>
                </anchor>
              </controlPr>
            </control>
          </mc:Choice>
        </mc:AlternateContent>
        <mc:AlternateContent xmlns:mc="http://schemas.openxmlformats.org/markup-compatibility/2006">
          <mc:Choice Requires="x14">
            <control shapeId="90166" r:id="rId57" name="Check Box 54">
              <controlPr defaultSize="0" autoFill="0" autoLine="0" autoPict="0">
                <anchor moveWithCells="1">
                  <from>
                    <xdr:col>21</xdr:col>
                    <xdr:colOff>38100</xdr:colOff>
                    <xdr:row>16</xdr:row>
                    <xdr:rowOff>50800</xdr:rowOff>
                  </from>
                  <to>
                    <xdr:col>22</xdr:col>
                    <xdr:colOff>101600</xdr:colOff>
                    <xdr:row>16</xdr:row>
                    <xdr:rowOff>234950</xdr:rowOff>
                  </to>
                </anchor>
              </controlPr>
            </control>
          </mc:Choice>
        </mc:AlternateContent>
        <mc:AlternateContent xmlns:mc="http://schemas.openxmlformats.org/markup-compatibility/2006">
          <mc:Choice Requires="x14">
            <control shapeId="90167" r:id="rId58" name="Check Box 55">
              <controlPr defaultSize="0" autoFill="0" autoLine="0" autoPict="0">
                <anchor moveWithCells="1">
                  <from>
                    <xdr:col>24</xdr:col>
                    <xdr:colOff>25400</xdr:colOff>
                    <xdr:row>14</xdr:row>
                    <xdr:rowOff>44450</xdr:rowOff>
                  </from>
                  <to>
                    <xdr:col>25</xdr:col>
                    <xdr:colOff>82550</xdr:colOff>
                    <xdr:row>14</xdr:row>
                    <xdr:rowOff>228600</xdr:rowOff>
                  </to>
                </anchor>
              </controlPr>
            </control>
          </mc:Choice>
        </mc:AlternateContent>
        <mc:AlternateContent xmlns:mc="http://schemas.openxmlformats.org/markup-compatibility/2006">
          <mc:Choice Requires="x14">
            <control shapeId="90168" r:id="rId59" name="Check Box 56">
              <controlPr defaultSize="0" autoFill="0" autoLine="0" autoPict="0">
                <anchor moveWithCells="1">
                  <from>
                    <xdr:col>24</xdr:col>
                    <xdr:colOff>31750</xdr:colOff>
                    <xdr:row>15</xdr:row>
                    <xdr:rowOff>63500</xdr:rowOff>
                  </from>
                  <to>
                    <xdr:col>25</xdr:col>
                    <xdr:colOff>88900</xdr:colOff>
                    <xdr:row>15</xdr:row>
                    <xdr:rowOff>241300</xdr:rowOff>
                  </to>
                </anchor>
              </controlPr>
            </control>
          </mc:Choice>
        </mc:AlternateContent>
        <mc:AlternateContent xmlns:mc="http://schemas.openxmlformats.org/markup-compatibility/2006">
          <mc:Choice Requires="x14">
            <control shapeId="90169" r:id="rId60" name="Check Box 57">
              <controlPr defaultSize="0" autoFill="0" autoLine="0" autoPict="0">
                <anchor moveWithCells="1">
                  <from>
                    <xdr:col>24</xdr:col>
                    <xdr:colOff>31750</xdr:colOff>
                    <xdr:row>16</xdr:row>
                    <xdr:rowOff>38100</xdr:rowOff>
                  </from>
                  <to>
                    <xdr:col>25</xdr:col>
                    <xdr:colOff>88900</xdr:colOff>
                    <xdr:row>16</xdr:row>
                    <xdr:rowOff>222250</xdr:rowOff>
                  </to>
                </anchor>
              </controlPr>
            </control>
          </mc:Choice>
        </mc:AlternateContent>
        <mc:AlternateContent xmlns:mc="http://schemas.openxmlformats.org/markup-compatibility/2006">
          <mc:Choice Requires="x14">
            <control shapeId="90170" r:id="rId61" name="Check Box 58">
              <controlPr defaultSize="0" autoFill="0" autoLine="0" autoPict="0">
                <anchor moveWithCells="1">
                  <from>
                    <xdr:col>27</xdr:col>
                    <xdr:colOff>31750</xdr:colOff>
                    <xdr:row>14</xdr:row>
                    <xdr:rowOff>50800</xdr:rowOff>
                  </from>
                  <to>
                    <xdr:col>28</xdr:col>
                    <xdr:colOff>88900</xdr:colOff>
                    <xdr:row>14</xdr:row>
                    <xdr:rowOff>234950</xdr:rowOff>
                  </to>
                </anchor>
              </controlPr>
            </control>
          </mc:Choice>
        </mc:AlternateContent>
        <mc:AlternateContent xmlns:mc="http://schemas.openxmlformats.org/markup-compatibility/2006">
          <mc:Choice Requires="x14">
            <control shapeId="90171" r:id="rId62" name="Check Box 59">
              <controlPr defaultSize="0" autoFill="0" autoLine="0" autoPict="0">
                <anchor moveWithCells="1">
                  <from>
                    <xdr:col>27</xdr:col>
                    <xdr:colOff>25400</xdr:colOff>
                    <xdr:row>15</xdr:row>
                    <xdr:rowOff>50800</xdr:rowOff>
                  </from>
                  <to>
                    <xdr:col>28</xdr:col>
                    <xdr:colOff>76200</xdr:colOff>
                    <xdr:row>15</xdr:row>
                    <xdr:rowOff>234950</xdr:rowOff>
                  </to>
                </anchor>
              </controlPr>
            </control>
          </mc:Choice>
        </mc:AlternateContent>
        <mc:AlternateContent xmlns:mc="http://schemas.openxmlformats.org/markup-compatibility/2006">
          <mc:Choice Requires="x14">
            <control shapeId="90172" r:id="rId63" name="Check Box 60">
              <controlPr defaultSize="0" autoFill="0" autoLine="0" autoPict="0">
                <anchor moveWithCells="1">
                  <from>
                    <xdr:col>27</xdr:col>
                    <xdr:colOff>0</xdr:colOff>
                    <xdr:row>16</xdr:row>
                    <xdr:rowOff>50800</xdr:rowOff>
                  </from>
                  <to>
                    <xdr:col>28</xdr:col>
                    <xdr:colOff>63500</xdr:colOff>
                    <xdr:row>16</xdr:row>
                    <xdr:rowOff>234950</xdr:rowOff>
                  </to>
                </anchor>
              </controlPr>
            </control>
          </mc:Choice>
        </mc:AlternateContent>
        <mc:AlternateContent xmlns:mc="http://schemas.openxmlformats.org/markup-compatibility/2006">
          <mc:Choice Requires="x14">
            <control shapeId="90173" r:id="rId64" name="Check Box 61">
              <controlPr defaultSize="0" autoFill="0" autoLine="0" autoPict="0">
                <anchor moveWithCells="1">
                  <from>
                    <xdr:col>30</xdr:col>
                    <xdr:colOff>31750</xdr:colOff>
                    <xdr:row>14</xdr:row>
                    <xdr:rowOff>44450</xdr:rowOff>
                  </from>
                  <to>
                    <xdr:col>31</xdr:col>
                    <xdr:colOff>88900</xdr:colOff>
                    <xdr:row>14</xdr:row>
                    <xdr:rowOff>228600</xdr:rowOff>
                  </to>
                </anchor>
              </controlPr>
            </control>
          </mc:Choice>
        </mc:AlternateContent>
        <mc:AlternateContent xmlns:mc="http://schemas.openxmlformats.org/markup-compatibility/2006">
          <mc:Choice Requires="x14">
            <control shapeId="90174" r:id="rId65" name="Check Box 62">
              <controlPr defaultSize="0" autoFill="0" autoLine="0" autoPict="0">
                <anchor moveWithCells="1">
                  <from>
                    <xdr:col>30</xdr:col>
                    <xdr:colOff>38100</xdr:colOff>
                    <xdr:row>15</xdr:row>
                    <xdr:rowOff>50800</xdr:rowOff>
                  </from>
                  <to>
                    <xdr:col>31</xdr:col>
                    <xdr:colOff>101600</xdr:colOff>
                    <xdr:row>15</xdr:row>
                    <xdr:rowOff>234950</xdr:rowOff>
                  </to>
                </anchor>
              </controlPr>
            </control>
          </mc:Choice>
        </mc:AlternateContent>
        <mc:AlternateContent xmlns:mc="http://schemas.openxmlformats.org/markup-compatibility/2006">
          <mc:Choice Requires="x14">
            <control shapeId="90175" r:id="rId66" name="Check Box 63">
              <controlPr defaultSize="0" autoFill="0" autoLine="0" autoPict="0">
                <anchor moveWithCells="1">
                  <from>
                    <xdr:col>30</xdr:col>
                    <xdr:colOff>31750</xdr:colOff>
                    <xdr:row>16</xdr:row>
                    <xdr:rowOff>50800</xdr:rowOff>
                  </from>
                  <to>
                    <xdr:col>31</xdr:col>
                    <xdr:colOff>88900</xdr:colOff>
                    <xdr:row>16</xdr:row>
                    <xdr:rowOff>234950</xdr:rowOff>
                  </to>
                </anchor>
              </controlPr>
            </control>
          </mc:Choice>
        </mc:AlternateContent>
        <mc:AlternateContent xmlns:mc="http://schemas.openxmlformats.org/markup-compatibility/2006">
          <mc:Choice Requires="x14">
            <control shapeId="90176" r:id="rId67" name="Check Box 64">
              <controlPr defaultSize="0" autoFill="0" autoLine="0" autoPict="0">
                <anchor moveWithCells="1">
                  <from>
                    <xdr:col>33</xdr:col>
                    <xdr:colOff>44450</xdr:colOff>
                    <xdr:row>14</xdr:row>
                    <xdr:rowOff>50800</xdr:rowOff>
                  </from>
                  <to>
                    <xdr:col>34</xdr:col>
                    <xdr:colOff>101600</xdr:colOff>
                    <xdr:row>14</xdr:row>
                    <xdr:rowOff>234950</xdr:rowOff>
                  </to>
                </anchor>
              </controlPr>
            </control>
          </mc:Choice>
        </mc:AlternateContent>
        <mc:AlternateContent xmlns:mc="http://schemas.openxmlformats.org/markup-compatibility/2006">
          <mc:Choice Requires="x14">
            <control shapeId="90177" r:id="rId68" name="Check Box 65">
              <controlPr defaultSize="0" autoFill="0" autoLine="0" autoPict="0">
                <anchor moveWithCells="1">
                  <from>
                    <xdr:col>33</xdr:col>
                    <xdr:colOff>25400</xdr:colOff>
                    <xdr:row>15</xdr:row>
                    <xdr:rowOff>50800</xdr:rowOff>
                  </from>
                  <to>
                    <xdr:col>34</xdr:col>
                    <xdr:colOff>82550</xdr:colOff>
                    <xdr:row>15</xdr:row>
                    <xdr:rowOff>234950</xdr:rowOff>
                  </to>
                </anchor>
              </controlPr>
            </control>
          </mc:Choice>
        </mc:AlternateContent>
        <mc:AlternateContent xmlns:mc="http://schemas.openxmlformats.org/markup-compatibility/2006">
          <mc:Choice Requires="x14">
            <control shapeId="90178" r:id="rId69" name="Check Box 66">
              <controlPr defaultSize="0" autoFill="0" autoLine="0" autoPict="0">
                <anchor moveWithCells="1">
                  <from>
                    <xdr:col>33</xdr:col>
                    <xdr:colOff>31750</xdr:colOff>
                    <xdr:row>16</xdr:row>
                    <xdr:rowOff>44450</xdr:rowOff>
                  </from>
                  <to>
                    <xdr:col>34</xdr:col>
                    <xdr:colOff>88900</xdr:colOff>
                    <xdr:row>16</xdr:row>
                    <xdr:rowOff>228600</xdr:rowOff>
                  </to>
                </anchor>
              </controlPr>
            </control>
          </mc:Choice>
        </mc:AlternateContent>
        <mc:AlternateContent xmlns:mc="http://schemas.openxmlformats.org/markup-compatibility/2006">
          <mc:Choice Requires="x14">
            <control shapeId="90179" r:id="rId70" name="Check Box 67">
              <controlPr defaultSize="0" autoFill="0" autoLine="0" autoPict="0">
                <anchor moveWithCells="1">
                  <from>
                    <xdr:col>36</xdr:col>
                    <xdr:colOff>25400</xdr:colOff>
                    <xdr:row>14</xdr:row>
                    <xdr:rowOff>50800</xdr:rowOff>
                  </from>
                  <to>
                    <xdr:col>37</xdr:col>
                    <xdr:colOff>82550</xdr:colOff>
                    <xdr:row>14</xdr:row>
                    <xdr:rowOff>234950</xdr:rowOff>
                  </to>
                </anchor>
              </controlPr>
            </control>
          </mc:Choice>
        </mc:AlternateContent>
        <mc:AlternateContent xmlns:mc="http://schemas.openxmlformats.org/markup-compatibility/2006">
          <mc:Choice Requires="x14">
            <control shapeId="90180" r:id="rId71" name="Check Box 68">
              <controlPr defaultSize="0" autoFill="0" autoLine="0" autoPict="0">
                <anchor moveWithCells="1">
                  <from>
                    <xdr:col>36</xdr:col>
                    <xdr:colOff>31750</xdr:colOff>
                    <xdr:row>15</xdr:row>
                    <xdr:rowOff>63500</xdr:rowOff>
                  </from>
                  <to>
                    <xdr:col>37</xdr:col>
                    <xdr:colOff>88900</xdr:colOff>
                    <xdr:row>15</xdr:row>
                    <xdr:rowOff>241300</xdr:rowOff>
                  </to>
                </anchor>
              </controlPr>
            </control>
          </mc:Choice>
        </mc:AlternateContent>
        <mc:AlternateContent xmlns:mc="http://schemas.openxmlformats.org/markup-compatibility/2006">
          <mc:Choice Requires="x14">
            <control shapeId="90181" r:id="rId72" name="Check Box 69">
              <controlPr defaultSize="0" autoFill="0" autoLine="0" autoPict="0">
                <anchor moveWithCells="1">
                  <from>
                    <xdr:col>36</xdr:col>
                    <xdr:colOff>31750</xdr:colOff>
                    <xdr:row>16</xdr:row>
                    <xdr:rowOff>50800</xdr:rowOff>
                  </from>
                  <to>
                    <xdr:col>37</xdr:col>
                    <xdr:colOff>88900</xdr:colOff>
                    <xdr:row>16</xdr:row>
                    <xdr:rowOff>234950</xdr:rowOff>
                  </to>
                </anchor>
              </controlPr>
            </control>
          </mc:Choice>
        </mc:AlternateContent>
        <mc:AlternateContent xmlns:mc="http://schemas.openxmlformats.org/markup-compatibility/2006">
          <mc:Choice Requires="x14">
            <control shapeId="90182" r:id="rId73" name="Check Box 70">
              <controlPr defaultSize="0" autoFill="0" autoLine="0" autoPict="0">
                <anchor moveWithCells="1">
                  <from>
                    <xdr:col>39</xdr:col>
                    <xdr:colOff>31750</xdr:colOff>
                    <xdr:row>14</xdr:row>
                    <xdr:rowOff>50800</xdr:rowOff>
                  </from>
                  <to>
                    <xdr:col>40</xdr:col>
                    <xdr:colOff>88900</xdr:colOff>
                    <xdr:row>14</xdr:row>
                    <xdr:rowOff>234950</xdr:rowOff>
                  </to>
                </anchor>
              </controlPr>
            </control>
          </mc:Choice>
        </mc:AlternateContent>
        <mc:AlternateContent xmlns:mc="http://schemas.openxmlformats.org/markup-compatibility/2006">
          <mc:Choice Requires="x14">
            <control shapeId="90183" r:id="rId74" name="Check Box 71">
              <controlPr defaultSize="0" autoFill="0" autoLine="0" autoPict="0">
                <anchor moveWithCells="1">
                  <from>
                    <xdr:col>39</xdr:col>
                    <xdr:colOff>25400</xdr:colOff>
                    <xdr:row>15</xdr:row>
                    <xdr:rowOff>44450</xdr:rowOff>
                  </from>
                  <to>
                    <xdr:col>40</xdr:col>
                    <xdr:colOff>76200</xdr:colOff>
                    <xdr:row>15</xdr:row>
                    <xdr:rowOff>228600</xdr:rowOff>
                  </to>
                </anchor>
              </controlPr>
            </control>
          </mc:Choice>
        </mc:AlternateContent>
        <mc:AlternateContent xmlns:mc="http://schemas.openxmlformats.org/markup-compatibility/2006">
          <mc:Choice Requires="x14">
            <control shapeId="90184" r:id="rId75" name="Check Box 72">
              <controlPr defaultSize="0" autoFill="0" autoLine="0" autoPict="0">
                <anchor moveWithCells="1">
                  <from>
                    <xdr:col>39</xdr:col>
                    <xdr:colOff>44450</xdr:colOff>
                    <xdr:row>16</xdr:row>
                    <xdr:rowOff>44450</xdr:rowOff>
                  </from>
                  <to>
                    <xdr:col>40</xdr:col>
                    <xdr:colOff>101600</xdr:colOff>
                    <xdr:row>16</xdr:row>
                    <xdr:rowOff>228600</xdr:rowOff>
                  </to>
                </anchor>
              </controlPr>
            </control>
          </mc:Choice>
        </mc:AlternateContent>
        <mc:AlternateContent xmlns:mc="http://schemas.openxmlformats.org/markup-compatibility/2006">
          <mc:Choice Requires="x14">
            <control shapeId="90185" r:id="rId76" name="Check Box 73">
              <controlPr defaultSize="0" autoFill="0" autoLine="0" autoPict="0">
                <anchor moveWithCells="1">
                  <from>
                    <xdr:col>42</xdr:col>
                    <xdr:colOff>25400</xdr:colOff>
                    <xdr:row>14</xdr:row>
                    <xdr:rowOff>63500</xdr:rowOff>
                  </from>
                  <to>
                    <xdr:col>43</xdr:col>
                    <xdr:colOff>82550</xdr:colOff>
                    <xdr:row>14</xdr:row>
                    <xdr:rowOff>241300</xdr:rowOff>
                  </to>
                </anchor>
              </controlPr>
            </control>
          </mc:Choice>
        </mc:AlternateContent>
        <mc:AlternateContent xmlns:mc="http://schemas.openxmlformats.org/markup-compatibility/2006">
          <mc:Choice Requires="x14">
            <control shapeId="90186" r:id="rId77" name="Check Box 74">
              <controlPr defaultSize="0" autoFill="0" autoLine="0" autoPict="0">
                <anchor moveWithCells="1">
                  <from>
                    <xdr:col>42</xdr:col>
                    <xdr:colOff>12700</xdr:colOff>
                    <xdr:row>15</xdr:row>
                    <xdr:rowOff>50800</xdr:rowOff>
                  </from>
                  <to>
                    <xdr:col>43</xdr:col>
                    <xdr:colOff>69850</xdr:colOff>
                    <xdr:row>15</xdr:row>
                    <xdr:rowOff>234950</xdr:rowOff>
                  </to>
                </anchor>
              </controlPr>
            </control>
          </mc:Choice>
        </mc:AlternateContent>
        <mc:AlternateContent xmlns:mc="http://schemas.openxmlformats.org/markup-compatibility/2006">
          <mc:Choice Requires="x14">
            <control shapeId="90187" r:id="rId78" name="Check Box 75">
              <controlPr defaultSize="0" autoFill="0" autoLine="0" autoPict="0">
                <anchor moveWithCells="1">
                  <from>
                    <xdr:col>42</xdr:col>
                    <xdr:colOff>44450</xdr:colOff>
                    <xdr:row>16</xdr:row>
                    <xdr:rowOff>50800</xdr:rowOff>
                  </from>
                  <to>
                    <xdr:col>43</xdr:col>
                    <xdr:colOff>101600</xdr:colOff>
                    <xdr:row>16</xdr:row>
                    <xdr:rowOff>234950</xdr:rowOff>
                  </to>
                </anchor>
              </controlPr>
            </control>
          </mc:Choice>
        </mc:AlternateContent>
        <mc:AlternateContent xmlns:mc="http://schemas.openxmlformats.org/markup-compatibility/2006">
          <mc:Choice Requires="x14">
            <control shapeId="90188" r:id="rId79" name="Check Box 76">
              <controlPr defaultSize="0" autoFill="0" autoLine="0" autoPict="0">
                <anchor moveWithCells="1">
                  <from>
                    <xdr:col>45</xdr:col>
                    <xdr:colOff>31750</xdr:colOff>
                    <xdr:row>14</xdr:row>
                    <xdr:rowOff>50800</xdr:rowOff>
                  </from>
                  <to>
                    <xdr:col>46</xdr:col>
                    <xdr:colOff>88900</xdr:colOff>
                    <xdr:row>14</xdr:row>
                    <xdr:rowOff>234950</xdr:rowOff>
                  </to>
                </anchor>
              </controlPr>
            </control>
          </mc:Choice>
        </mc:AlternateContent>
        <mc:AlternateContent xmlns:mc="http://schemas.openxmlformats.org/markup-compatibility/2006">
          <mc:Choice Requires="x14">
            <control shapeId="90189" r:id="rId80" name="Check Box 77">
              <controlPr defaultSize="0" autoFill="0" autoLine="0" autoPict="0">
                <anchor moveWithCells="1">
                  <from>
                    <xdr:col>45</xdr:col>
                    <xdr:colOff>31750</xdr:colOff>
                    <xdr:row>15</xdr:row>
                    <xdr:rowOff>50800</xdr:rowOff>
                  </from>
                  <to>
                    <xdr:col>46</xdr:col>
                    <xdr:colOff>88900</xdr:colOff>
                    <xdr:row>15</xdr:row>
                    <xdr:rowOff>234950</xdr:rowOff>
                  </to>
                </anchor>
              </controlPr>
            </control>
          </mc:Choice>
        </mc:AlternateContent>
        <mc:AlternateContent xmlns:mc="http://schemas.openxmlformats.org/markup-compatibility/2006">
          <mc:Choice Requires="x14">
            <control shapeId="90190" r:id="rId81" name="Check Box 78">
              <controlPr defaultSize="0" autoFill="0" autoLine="0" autoPict="0">
                <anchor moveWithCells="1">
                  <from>
                    <xdr:col>45</xdr:col>
                    <xdr:colOff>31750</xdr:colOff>
                    <xdr:row>16</xdr:row>
                    <xdr:rowOff>50800</xdr:rowOff>
                  </from>
                  <to>
                    <xdr:col>46</xdr:col>
                    <xdr:colOff>88900</xdr:colOff>
                    <xdr:row>16</xdr:row>
                    <xdr:rowOff>234950</xdr:rowOff>
                  </to>
                </anchor>
              </controlPr>
            </control>
          </mc:Choice>
        </mc:AlternateContent>
        <mc:AlternateContent xmlns:mc="http://schemas.openxmlformats.org/markup-compatibility/2006">
          <mc:Choice Requires="x14">
            <control shapeId="90191" r:id="rId82" name="Check Box 79">
              <controlPr defaultSize="0" autoFill="0" autoLine="0" autoPict="0">
                <anchor moveWithCells="1">
                  <from>
                    <xdr:col>48</xdr:col>
                    <xdr:colOff>31750</xdr:colOff>
                    <xdr:row>14</xdr:row>
                    <xdr:rowOff>63500</xdr:rowOff>
                  </from>
                  <to>
                    <xdr:col>49</xdr:col>
                    <xdr:colOff>88900</xdr:colOff>
                    <xdr:row>14</xdr:row>
                    <xdr:rowOff>254000</xdr:rowOff>
                  </to>
                </anchor>
              </controlPr>
            </control>
          </mc:Choice>
        </mc:AlternateContent>
        <mc:AlternateContent xmlns:mc="http://schemas.openxmlformats.org/markup-compatibility/2006">
          <mc:Choice Requires="x14">
            <control shapeId="90192" r:id="rId83" name="Check Box 80">
              <controlPr defaultSize="0" autoFill="0" autoLine="0" autoPict="0">
                <anchor moveWithCells="1">
                  <from>
                    <xdr:col>48</xdr:col>
                    <xdr:colOff>25400</xdr:colOff>
                    <xdr:row>15</xdr:row>
                    <xdr:rowOff>50800</xdr:rowOff>
                  </from>
                  <to>
                    <xdr:col>49</xdr:col>
                    <xdr:colOff>76200</xdr:colOff>
                    <xdr:row>15</xdr:row>
                    <xdr:rowOff>234950</xdr:rowOff>
                  </to>
                </anchor>
              </controlPr>
            </control>
          </mc:Choice>
        </mc:AlternateContent>
        <mc:AlternateContent xmlns:mc="http://schemas.openxmlformats.org/markup-compatibility/2006">
          <mc:Choice Requires="x14">
            <control shapeId="90193" r:id="rId84" name="Check Box 81">
              <controlPr defaultSize="0" autoFill="0" autoLine="0" autoPict="0">
                <anchor moveWithCells="1">
                  <from>
                    <xdr:col>48</xdr:col>
                    <xdr:colOff>25400</xdr:colOff>
                    <xdr:row>16</xdr:row>
                    <xdr:rowOff>63500</xdr:rowOff>
                  </from>
                  <to>
                    <xdr:col>49</xdr:col>
                    <xdr:colOff>82550</xdr:colOff>
                    <xdr:row>16</xdr:row>
                    <xdr:rowOff>254000</xdr:rowOff>
                  </to>
                </anchor>
              </controlPr>
            </control>
          </mc:Choice>
        </mc:AlternateContent>
        <mc:AlternateContent xmlns:mc="http://schemas.openxmlformats.org/markup-compatibility/2006">
          <mc:Choice Requires="x14">
            <control shapeId="90194" r:id="rId85" name="Check Box 82">
              <controlPr defaultSize="0" autoFill="0" autoLine="0" autoPict="0">
                <anchor moveWithCells="1">
                  <from>
                    <xdr:col>51</xdr:col>
                    <xdr:colOff>25400</xdr:colOff>
                    <xdr:row>14</xdr:row>
                    <xdr:rowOff>50800</xdr:rowOff>
                  </from>
                  <to>
                    <xdr:col>52</xdr:col>
                    <xdr:colOff>76200</xdr:colOff>
                    <xdr:row>14</xdr:row>
                    <xdr:rowOff>234950</xdr:rowOff>
                  </to>
                </anchor>
              </controlPr>
            </control>
          </mc:Choice>
        </mc:AlternateContent>
        <mc:AlternateContent xmlns:mc="http://schemas.openxmlformats.org/markup-compatibility/2006">
          <mc:Choice Requires="x14">
            <control shapeId="90195" r:id="rId86" name="Check Box 83">
              <controlPr defaultSize="0" autoFill="0" autoLine="0" autoPict="0">
                <anchor moveWithCells="1">
                  <from>
                    <xdr:col>51</xdr:col>
                    <xdr:colOff>25400</xdr:colOff>
                    <xdr:row>15</xdr:row>
                    <xdr:rowOff>63500</xdr:rowOff>
                  </from>
                  <to>
                    <xdr:col>52</xdr:col>
                    <xdr:colOff>82550</xdr:colOff>
                    <xdr:row>15</xdr:row>
                    <xdr:rowOff>254000</xdr:rowOff>
                  </to>
                </anchor>
              </controlPr>
            </control>
          </mc:Choice>
        </mc:AlternateContent>
        <mc:AlternateContent xmlns:mc="http://schemas.openxmlformats.org/markup-compatibility/2006">
          <mc:Choice Requires="x14">
            <control shapeId="90196" r:id="rId87" name="Check Box 84">
              <controlPr defaultSize="0" autoFill="0" autoLine="0" autoPict="0">
                <anchor moveWithCells="1">
                  <from>
                    <xdr:col>51</xdr:col>
                    <xdr:colOff>25400</xdr:colOff>
                    <xdr:row>16</xdr:row>
                    <xdr:rowOff>44450</xdr:rowOff>
                  </from>
                  <to>
                    <xdr:col>52</xdr:col>
                    <xdr:colOff>76200</xdr:colOff>
                    <xdr:row>16</xdr:row>
                    <xdr:rowOff>228600</xdr:rowOff>
                  </to>
                </anchor>
              </controlPr>
            </control>
          </mc:Choice>
        </mc:AlternateContent>
        <mc:AlternateContent xmlns:mc="http://schemas.openxmlformats.org/markup-compatibility/2006">
          <mc:Choice Requires="x14">
            <control shapeId="90197" r:id="rId88" name="Check Box 85">
              <controlPr defaultSize="0" autoFill="0" autoLine="0" autoPict="0">
                <anchor moveWithCells="1">
                  <from>
                    <xdr:col>3</xdr:col>
                    <xdr:colOff>25400</xdr:colOff>
                    <xdr:row>26</xdr:row>
                    <xdr:rowOff>25400</xdr:rowOff>
                  </from>
                  <to>
                    <xdr:col>3</xdr:col>
                    <xdr:colOff>215900</xdr:colOff>
                    <xdr:row>26</xdr:row>
                    <xdr:rowOff>254000</xdr:rowOff>
                  </to>
                </anchor>
              </controlPr>
            </control>
          </mc:Choice>
        </mc:AlternateContent>
        <mc:AlternateContent xmlns:mc="http://schemas.openxmlformats.org/markup-compatibility/2006">
          <mc:Choice Requires="x14">
            <control shapeId="90198" r:id="rId89" name="Check Box 86">
              <controlPr defaultSize="0" autoFill="0" autoLine="0" autoPict="0">
                <anchor moveWithCells="1">
                  <from>
                    <xdr:col>3</xdr:col>
                    <xdr:colOff>25400</xdr:colOff>
                    <xdr:row>30</xdr:row>
                    <xdr:rowOff>82550</xdr:rowOff>
                  </from>
                  <to>
                    <xdr:col>3</xdr:col>
                    <xdr:colOff>203200</xdr:colOff>
                    <xdr:row>32</xdr:row>
                    <xdr:rowOff>0</xdr:rowOff>
                  </to>
                </anchor>
              </controlPr>
            </control>
          </mc:Choice>
        </mc:AlternateContent>
        <mc:AlternateContent xmlns:mc="http://schemas.openxmlformats.org/markup-compatibility/2006">
          <mc:Choice Requires="x14">
            <control shapeId="90199" r:id="rId90" name="Check Box 87">
              <controlPr defaultSize="0" autoFill="0" autoLine="0" autoPict="0">
                <anchor moveWithCells="1">
                  <from>
                    <xdr:col>3</xdr:col>
                    <xdr:colOff>25400</xdr:colOff>
                    <xdr:row>34</xdr:row>
                    <xdr:rowOff>38100</xdr:rowOff>
                  </from>
                  <to>
                    <xdr:col>3</xdr:col>
                    <xdr:colOff>203200</xdr:colOff>
                    <xdr:row>36</xdr:row>
                    <xdr:rowOff>6350</xdr:rowOff>
                  </to>
                </anchor>
              </controlPr>
            </control>
          </mc:Choice>
        </mc:AlternateContent>
      </controls>
    </mc:Choice>
  </mc:AlternateConten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3EA1-18BB-4AD0-B005-DE305BAAA81B}">
  <sheetPr>
    <pageSetUpPr fitToPage="1"/>
  </sheetPr>
  <dimension ref="B1:AO61"/>
  <sheetViews>
    <sheetView showGridLines="0" zoomScaleNormal="100" zoomScaleSheetLayoutView="100" workbookViewId="0">
      <selection activeCell="D55" sqref="D55:AF55"/>
    </sheetView>
  </sheetViews>
  <sheetFormatPr defaultColWidth="8" defaultRowHeight="15.5" x14ac:dyDescent="0.35"/>
  <cols>
    <col min="1" max="1" width="2.08203125" style="1041" customWidth="1"/>
    <col min="2" max="3" width="3.58203125" style="1041" customWidth="1"/>
    <col min="4" max="38" width="3.58203125" style="1042" customWidth="1"/>
    <col min="39" max="41" width="3.58203125" style="1041" customWidth="1"/>
    <col min="42" max="42" width="2.08203125" style="1041" customWidth="1"/>
    <col min="43" max="174" width="3.58203125" style="1041" customWidth="1"/>
    <col min="175" max="16384" width="8" style="1041"/>
  </cols>
  <sheetData>
    <row r="1" spans="4:41" ht="12" customHeight="1" x14ac:dyDescent="0.35"/>
    <row r="2" spans="4:41" ht="17" thickBot="1" x14ac:dyDescent="0.4">
      <c r="D2" s="1054" t="s">
        <v>1818</v>
      </c>
      <c r="E2" s="1041"/>
      <c r="F2" s="1041"/>
      <c r="G2" s="1041"/>
      <c r="H2" s="1041"/>
      <c r="I2" s="1041"/>
      <c r="J2" s="1041"/>
      <c r="K2" s="1041"/>
      <c r="L2" s="1041"/>
      <c r="M2" s="1041"/>
      <c r="N2" s="1041"/>
      <c r="O2" s="1041"/>
      <c r="P2" s="1041"/>
      <c r="Q2" s="1041"/>
      <c r="R2" s="1041"/>
      <c r="S2" s="1041"/>
      <c r="T2" s="1041"/>
      <c r="U2" s="1041"/>
      <c r="V2" s="1041"/>
      <c r="W2" s="1041"/>
      <c r="X2" s="1041"/>
      <c r="Y2" s="1041"/>
      <c r="Z2" s="1041"/>
      <c r="AA2" s="1041"/>
      <c r="AB2" s="1041"/>
      <c r="AC2" s="1041"/>
      <c r="AD2" s="1041"/>
      <c r="AE2" s="1041"/>
      <c r="AF2" s="1041"/>
      <c r="AG2" s="1041"/>
      <c r="AH2" s="1041"/>
      <c r="AI2" s="1041"/>
      <c r="AJ2" s="1041"/>
      <c r="AK2" s="1041"/>
      <c r="AL2" s="1041"/>
    </row>
    <row r="3" spans="4:41" ht="5" customHeight="1" x14ac:dyDescent="0.35">
      <c r="D3" s="1305"/>
      <c r="E3" s="1306"/>
      <c r="F3" s="1306"/>
      <c r="G3" s="1306"/>
      <c r="H3" s="1306"/>
      <c r="I3" s="1306"/>
      <c r="J3" s="1306"/>
      <c r="K3" s="1306"/>
      <c r="L3" s="1306"/>
      <c r="M3" s="1306"/>
      <c r="N3" s="1306"/>
      <c r="O3" s="1306"/>
      <c r="P3" s="1306"/>
      <c r="Q3" s="1306"/>
      <c r="R3" s="1306"/>
      <c r="S3" s="1306"/>
      <c r="T3" s="1306"/>
      <c r="U3" s="1306"/>
      <c r="V3" s="1306"/>
      <c r="W3" s="1306"/>
      <c r="X3" s="1306"/>
      <c r="Y3" s="1306"/>
      <c r="Z3" s="1306"/>
      <c r="AA3" s="1306"/>
      <c r="AB3" s="1306"/>
      <c r="AC3" s="1306"/>
      <c r="AD3" s="1306"/>
      <c r="AE3" s="1306"/>
      <c r="AF3" s="1306"/>
      <c r="AG3" s="1306"/>
      <c r="AH3" s="1306"/>
      <c r="AI3" s="1306"/>
      <c r="AJ3" s="1306"/>
      <c r="AK3" s="1306"/>
      <c r="AL3" s="1306"/>
      <c r="AM3" s="1307"/>
      <c r="AN3" s="1105"/>
      <c r="AO3" s="1105"/>
    </row>
    <row r="4" spans="4:41" ht="15.5" customHeight="1" x14ac:dyDescent="0.35">
      <c r="D4" s="1215"/>
      <c r="E4" s="1050" t="s">
        <v>150</v>
      </c>
      <c r="F4" s="1103" t="s">
        <v>1795</v>
      </c>
      <c r="G4" s="1051"/>
      <c r="H4" s="1051"/>
      <c r="I4" s="1051"/>
      <c r="J4" s="1051"/>
      <c r="K4" s="1051"/>
      <c r="L4" s="1051"/>
      <c r="M4" s="1051"/>
      <c r="N4" s="1051"/>
      <c r="O4" s="1051"/>
      <c r="P4" s="1051"/>
      <c r="Q4" s="1051"/>
      <c r="R4" s="1051"/>
      <c r="S4" s="1051"/>
      <c r="T4" s="1051"/>
      <c r="U4" s="1051"/>
      <c r="V4" s="1051"/>
      <c r="W4" s="1051"/>
      <c r="X4" s="1051"/>
      <c r="Y4" s="1051"/>
      <c r="Z4" s="1051"/>
      <c r="AA4" s="1051"/>
      <c r="AB4" s="1051"/>
      <c r="AC4" s="1051"/>
      <c r="AD4" s="1051"/>
      <c r="AE4" s="1051"/>
      <c r="AF4" s="1051"/>
      <c r="AG4" s="1051"/>
      <c r="AH4" s="1051"/>
      <c r="AI4" s="1051"/>
      <c r="AJ4" s="1051"/>
      <c r="AK4" s="1052"/>
      <c r="AL4" s="1052"/>
      <c r="AM4" s="1302"/>
      <c r="AN4" s="1052"/>
      <c r="AO4" s="1052"/>
    </row>
    <row r="5" spans="4:41" ht="5" customHeight="1" thickBot="1" x14ac:dyDescent="0.4">
      <c r="D5" s="1303"/>
      <c r="E5" s="1105"/>
      <c r="F5" s="1105"/>
      <c r="G5" s="1105"/>
      <c r="H5" s="1105"/>
      <c r="I5" s="1105"/>
      <c r="J5" s="1105"/>
      <c r="K5" s="1105"/>
      <c r="L5" s="1105"/>
      <c r="M5" s="1105"/>
      <c r="N5" s="1105"/>
      <c r="O5" s="1105"/>
      <c r="P5" s="1105"/>
      <c r="Q5" s="1105"/>
      <c r="R5" s="1105"/>
      <c r="S5" s="1105"/>
      <c r="T5" s="1105"/>
      <c r="U5" s="1105"/>
      <c r="V5" s="1105"/>
      <c r="W5" s="1105"/>
      <c r="X5" s="1105"/>
      <c r="Y5" s="1105"/>
      <c r="Z5" s="1105"/>
      <c r="AA5" s="1105"/>
      <c r="AB5" s="1105"/>
      <c r="AC5" s="1105"/>
      <c r="AD5" s="1105"/>
      <c r="AE5" s="1105"/>
      <c r="AF5" s="1105"/>
      <c r="AG5" s="1105"/>
      <c r="AH5" s="1105"/>
      <c r="AI5" s="1105"/>
      <c r="AJ5" s="1105"/>
      <c r="AK5" s="1105"/>
      <c r="AL5" s="1105"/>
      <c r="AM5" s="1304"/>
      <c r="AN5" s="1105"/>
      <c r="AO5" s="1105"/>
    </row>
    <row r="6" spans="4:41" s="1042" customFormat="1" ht="30.5" customHeight="1" thickTop="1" thickBot="1" x14ac:dyDescent="0.4">
      <c r="D6" s="1303"/>
      <c r="E6" s="1085"/>
      <c r="F6" s="3543" t="s">
        <v>898</v>
      </c>
      <c r="G6" s="3544"/>
      <c r="H6" s="3544"/>
      <c r="I6" s="3544"/>
      <c r="J6" s="3544"/>
      <c r="K6" s="3546"/>
      <c r="L6" s="3544" t="s">
        <v>899</v>
      </c>
      <c r="M6" s="3544"/>
      <c r="N6" s="3544"/>
      <c r="O6" s="3544"/>
      <c r="P6" s="3544"/>
      <c r="Q6" s="3547"/>
      <c r="R6" s="1085"/>
      <c r="S6" s="1085"/>
      <c r="T6" s="1085"/>
      <c r="U6" s="1085"/>
      <c r="V6" s="1085"/>
      <c r="W6" s="1085"/>
      <c r="X6" s="1085"/>
      <c r="Y6" s="1085"/>
      <c r="Z6" s="1085"/>
      <c r="AA6" s="1085"/>
      <c r="AB6" s="1085"/>
      <c r="AC6" s="1085"/>
      <c r="AD6" s="1085"/>
      <c r="AE6" s="1085"/>
      <c r="AF6" s="1085"/>
      <c r="AG6" s="1085"/>
      <c r="AH6" s="1085"/>
      <c r="AI6" s="1085"/>
      <c r="AJ6" s="1085"/>
      <c r="AK6" s="1085"/>
      <c r="AL6" s="1085"/>
      <c r="AM6" s="1308"/>
      <c r="AN6" s="1085"/>
      <c r="AO6" s="1085"/>
    </row>
    <row r="7" spans="4:41" s="1042" customFormat="1" ht="19.5" customHeight="1" thickBot="1" x14ac:dyDescent="0.4">
      <c r="D7" s="1300"/>
      <c r="E7" s="1045"/>
      <c r="F7" s="3522" t="s">
        <v>14</v>
      </c>
      <c r="G7" s="3514"/>
      <c r="H7" s="3516"/>
      <c r="I7" s="3517" t="s">
        <v>15</v>
      </c>
      <c r="J7" s="3514"/>
      <c r="K7" s="3515"/>
      <c r="L7" s="3514" t="s">
        <v>14</v>
      </c>
      <c r="M7" s="3514"/>
      <c r="N7" s="3516"/>
      <c r="O7" s="3517" t="s">
        <v>15</v>
      </c>
      <c r="P7" s="3514"/>
      <c r="Q7" s="3518"/>
      <c r="AM7" s="1301"/>
    </row>
    <row r="8" spans="4:41" s="1042" customFormat="1" ht="25" customHeight="1" thickTop="1" thickBot="1" x14ac:dyDescent="0.4">
      <c r="D8" s="1300"/>
      <c r="E8" s="1045"/>
      <c r="F8" s="3602">
        <v>1</v>
      </c>
      <c r="G8" s="3603"/>
      <c r="H8" s="3895"/>
      <c r="I8" s="3896">
        <v>0</v>
      </c>
      <c r="J8" s="3897"/>
      <c r="K8" s="3923"/>
      <c r="L8" s="3603">
        <v>1</v>
      </c>
      <c r="M8" s="3603"/>
      <c r="N8" s="3895"/>
      <c r="O8" s="3896">
        <v>0</v>
      </c>
      <c r="P8" s="3897"/>
      <c r="Q8" s="3898"/>
      <c r="AM8" s="1301"/>
    </row>
    <row r="9" spans="4:41" s="1042" customFormat="1" ht="10" customHeight="1" thickTop="1" x14ac:dyDescent="0.35">
      <c r="D9" s="1300"/>
      <c r="E9" s="1045"/>
      <c r="F9" s="1045"/>
      <c r="G9" s="486"/>
      <c r="AM9" s="1301"/>
    </row>
    <row r="10" spans="4:41" ht="15.5" customHeight="1" x14ac:dyDescent="0.35">
      <c r="D10" s="1215"/>
      <c r="E10" s="1050" t="s">
        <v>151</v>
      </c>
      <c r="F10" s="1103" t="s">
        <v>1796</v>
      </c>
      <c r="G10" s="1051"/>
      <c r="H10" s="1051"/>
      <c r="I10" s="1051"/>
      <c r="J10" s="1051"/>
      <c r="K10" s="1051"/>
      <c r="L10" s="1051"/>
      <c r="M10" s="1051"/>
      <c r="N10" s="1051"/>
      <c r="O10" s="1051"/>
      <c r="P10" s="1051"/>
      <c r="Q10" s="1051"/>
      <c r="R10" s="1051"/>
      <c r="S10" s="1051"/>
      <c r="T10" s="1051"/>
      <c r="U10" s="1051"/>
      <c r="V10" s="1051"/>
      <c r="W10" s="1051"/>
      <c r="X10" s="1051"/>
      <c r="Y10" s="1051"/>
      <c r="Z10" s="1051"/>
      <c r="AA10" s="1051"/>
      <c r="AB10" s="1051"/>
      <c r="AC10" s="1051"/>
      <c r="AD10" s="1051"/>
      <c r="AE10" s="1051"/>
      <c r="AF10" s="1051"/>
      <c r="AG10" s="1051"/>
      <c r="AH10" s="1051"/>
      <c r="AI10" s="1051"/>
      <c r="AJ10" s="1051"/>
      <c r="AK10" s="1052"/>
      <c r="AL10" s="1052"/>
      <c r="AM10" s="1302"/>
      <c r="AN10" s="1052"/>
      <c r="AO10" s="1052"/>
    </row>
    <row r="11" spans="4:41" ht="5" customHeight="1" thickBot="1" x14ac:dyDescent="0.4">
      <c r="D11" s="1303"/>
      <c r="E11" s="1105"/>
      <c r="F11" s="1105"/>
      <c r="G11" s="1105"/>
      <c r="H11" s="1105"/>
      <c r="I11" s="1105"/>
      <c r="J11" s="1105"/>
      <c r="K11" s="1105"/>
      <c r="L11" s="1105"/>
      <c r="M11" s="1105"/>
      <c r="N11" s="1105"/>
      <c r="O11" s="1105"/>
      <c r="P11" s="1105"/>
      <c r="Q11" s="1105"/>
      <c r="R11" s="1105"/>
      <c r="S11" s="1105"/>
      <c r="T11" s="1105"/>
      <c r="U11" s="1105"/>
      <c r="V11" s="1105"/>
      <c r="W11" s="1105"/>
      <c r="X11" s="1105"/>
      <c r="Y11" s="1105"/>
      <c r="Z11" s="1105"/>
      <c r="AA11" s="1105"/>
      <c r="AB11" s="1105"/>
      <c r="AC11" s="1105"/>
      <c r="AD11" s="1105"/>
      <c r="AE11" s="1105"/>
      <c r="AF11" s="1105"/>
      <c r="AG11" s="1105"/>
      <c r="AH11" s="1105"/>
      <c r="AI11" s="1105"/>
      <c r="AJ11" s="1105"/>
      <c r="AK11" s="1105"/>
      <c r="AL11" s="1105"/>
      <c r="AM11" s="1304"/>
      <c r="AN11" s="1105"/>
      <c r="AO11" s="1105"/>
    </row>
    <row r="12" spans="4:41" s="1042" customFormat="1" ht="33.5" customHeight="1" thickTop="1" thickBot="1" x14ac:dyDescent="0.4">
      <c r="D12" s="1300"/>
      <c r="E12" s="1045"/>
      <c r="F12" s="3543" t="s">
        <v>448</v>
      </c>
      <c r="G12" s="3544"/>
      <c r="H12" s="3544"/>
      <c r="I12" s="3544"/>
      <c r="J12" s="3544"/>
      <c r="K12" s="3976" t="s">
        <v>1041</v>
      </c>
      <c r="L12" s="3977"/>
      <c r="M12" s="3977"/>
      <c r="N12" s="3977"/>
      <c r="O12" s="3978"/>
      <c r="P12" s="3979" t="s">
        <v>263</v>
      </c>
      <c r="Q12" s="3977"/>
      <c r="R12" s="3977"/>
      <c r="S12" s="3977"/>
      <c r="T12" s="3980"/>
      <c r="U12" s="3976" t="s">
        <v>1554</v>
      </c>
      <c r="V12" s="3977"/>
      <c r="W12" s="3977"/>
      <c r="X12" s="3977"/>
      <c r="Y12" s="3978"/>
      <c r="Z12" s="3544" t="s">
        <v>1555</v>
      </c>
      <c r="AA12" s="3544"/>
      <c r="AB12" s="3544"/>
      <c r="AC12" s="3544"/>
      <c r="AD12" s="3547"/>
      <c r="AM12" s="1301"/>
    </row>
    <row r="13" spans="4:41" s="1042" customFormat="1" ht="30" customHeight="1" thickTop="1" thickBot="1" x14ac:dyDescent="0.4">
      <c r="D13" s="1300"/>
      <c r="E13" s="1045"/>
      <c r="F13" s="3983">
        <v>0</v>
      </c>
      <c r="G13" s="3984"/>
      <c r="H13" s="3984"/>
      <c r="I13" s="3984"/>
      <c r="J13" s="3984"/>
      <c r="K13" s="3985">
        <v>2</v>
      </c>
      <c r="L13" s="3986"/>
      <c r="M13" s="3986"/>
      <c r="N13" s="3986"/>
      <c r="O13" s="3987"/>
      <c r="P13" s="3988">
        <v>0</v>
      </c>
      <c r="Q13" s="3986"/>
      <c r="R13" s="3986"/>
      <c r="S13" s="3986"/>
      <c r="T13" s="3989"/>
      <c r="U13" s="3985">
        <v>0</v>
      </c>
      <c r="V13" s="3986"/>
      <c r="W13" s="3986"/>
      <c r="X13" s="3986"/>
      <c r="Y13" s="3987"/>
      <c r="Z13" s="3990">
        <v>0</v>
      </c>
      <c r="AA13" s="3990"/>
      <c r="AB13" s="3990"/>
      <c r="AC13" s="3990"/>
      <c r="AD13" s="3991"/>
      <c r="AM13" s="1301"/>
    </row>
    <row r="14" spans="4:41" s="1042" customFormat="1" ht="10" customHeight="1" thickTop="1" x14ac:dyDescent="0.35">
      <c r="D14" s="1300"/>
      <c r="E14" s="1045"/>
      <c r="F14" s="1045"/>
      <c r="G14" s="486"/>
      <c r="AM14" s="1301"/>
    </row>
    <row r="15" spans="4:41" ht="15.5" customHeight="1" x14ac:dyDescent="0.35">
      <c r="D15" s="1215"/>
      <c r="E15" s="1050" t="s">
        <v>152</v>
      </c>
      <c r="F15" s="1103" t="s">
        <v>12588</v>
      </c>
      <c r="G15" s="1051"/>
      <c r="H15" s="1051"/>
      <c r="I15" s="1051"/>
      <c r="J15" s="1051"/>
      <c r="K15" s="1051"/>
      <c r="L15" s="1051"/>
      <c r="M15" s="1051"/>
      <c r="N15" s="1051"/>
      <c r="O15" s="1051"/>
      <c r="P15" s="1051"/>
      <c r="Q15" s="1051"/>
      <c r="R15" s="1051"/>
      <c r="S15" s="1051"/>
      <c r="T15" s="1051"/>
      <c r="U15" s="1051"/>
      <c r="V15" s="1051"/>
      <c r="W15" s="1051"/>
      <c r="X15" s="1051"/>
      <c r="Y15" s="1051"/>
      <c r="Z15" s="1051"/>
      <c r="AA15" s="1051"/>
      <c r="AB15" s="1051"/>
      <c r="AC15" s="1051"/>
      <c r="AD15" s="1051"/>
      <c r="AE15" s="1051"/>
      <c r="AF15" s="1051"/>
      <c r="AG15" s="1051"/>
      <c r="AH15" s="1051"/>
      <c r="AI15" s="1051"/>
      <c r="AJ15" s="1051"/>
      <c r="AK15" s="1052"/>
      <c r="AL15" s="1052"/>
      <c r="AM15" s="1302"/>
      <c r="AN15" s="1052"/>
      <c r="AO15" s="1052"/>
    </row>
    <row r="16" spans="4:41" ht="5" customHeight="1" thickBot="1" x14ac:dyDescent="0.4">
      <c r="D16" s="1303"/>
      <c r="E16" s="1105"/>
      <c r="F16" s="1105"/>
      <c r="G16" s="1105"/>
      <c r="H16" s="1105"/>
      <c r="I16" s="1105"/>
      <c r="J16" s="1105"/>
      <c r="K16" s="1105"/>
      <c r="L16" s="1105"/>
      <c r="M16" s="1105"/>
      <c r="N16" s="1105"/>
      <c r="O16" s="1105"/>
      <c r="P16" s="1105"/>
      <c r="Q16" s="1105"/>
      <c r="R16" s="1105"/>
      <c r="S16" s="1105"/>
      <c r="T16" s="1105"/>
      <c r="U16" s="1105"/>
      <c r="V16" s="1105"/>
      <c r="W16" s="1105"/>
      <c r="X16" s="1105"/>
      <c r="Y16" s="1105"/>
      <c r="Z16" s="1105"/>
      <c r="AA16" s="1105"/>
      <c r="AB16" s="1105"/>
      <c r="AC16" s="1105"/>
      <c r="AD16" s="1105"/>
      <c r="AE16" s="1105"/>
      <c r="AF16" s="1105"/>
      <c r="AG16" s="1105"/>
      <c r="AH16" s="1105"/>
      <c r="AI16" s="1105"/>
      <c r="AJ16" s="1105"/>
      <c r="AK16" s="1105"/>
      <c r="AL16" s="1105"/>
      <c r="AM16" s="1304"/>
      <c r="AN16" s="1105"/>
      <c r="AO16" s="1105"/>
    </row>
    <row r="17" spans="4:39" s="44" customFormat="1" ht="33" customHeight="1" thickTop="1" thickBot="1" x14ac:dyDescent="0.4">
      <c r="D17" s="1218"/>
      <c r="F17" s="2302" t="s">
        <v>1899</v>
      </c>
      <c r="G17" s="2303"/>
      <c r="H17" s="2303"/>
      <c r="I17" s="2303"/>
      <c r="J17" s="2303"/>
      <c r="K17" s="2303"/>
      <c r="L17" s="2303"/>
      <c r="M17" s="2303"/>
      <c r="N17" s="2303"/>
      <c r="O17" s="2303"/>
      <c r="P17" s="2303"/>
      <c r="Q17" s="2303"/>
      <c r="R17" s="2303"/>
      <c r="S17" s="2303"/>
      <c r="T17" s="2303"/>
      <c r="U17" s="2303"/>
      <c r="V17" s="2303"/>
      <c r="W17" s="2303"/>
      <c r="X17" s="2303"/>
      <c r="Y17" s="3992"/>
      <c r="Z17" s="3981" t="s">
        <v>898</v>
      </c>
      <c r="AA17" s="2160"/>
      <c r="AB17" s="2160"/>
      <c r="AC17" s="2160"/>
      <c r="AD17" s="2160"/>
      <c r="AE17" s="2160"/>
      <c r="AF17" s="2159" t="s">
        <v>899</v>
      </c>
      <c r="AG17" s="2160"/>
      <c r="AH17" s="2160"/>
      <c r="AI17" s="2160"/>
      <c r="AJ17" s="2160"/>
      <c r="AK17" s="2555"/>
      <c r="AM17" s="1284"/>
    </row>
    <row r="18" spans="4:39" s="44" customFormat="1" ht="19.5" customHeight="1" thickBot="1" x14ac:dyDescent="0.4">
      <c r="D18" s="1218"/>
      <c r="F18" s="2308"/>
      <c r="G18" s="1603"/>
      <c r="H18" s="1603"/>
      <c r="I18" s="1603"/>
      <c r="J18" s="1603"/>
      <c r="K18" s="1603"/>
      <c r="L18" s="1603"/>
      <c r="M18" s="1603"/>
      <c r="N18" s="1603"/>
      <c r="O18" s="1603"/>
      <c r="P18" s="1603"/>
      <c r="Q18" s="1603"/>
      <c r="R18" s="1603"/>
      <c r="S18" s="1603"/>
      <c r="T18" s="1603"/>
      <c r="U18" s="1603"/>
      <c r="V18" s="1603"/>
      <c r="W18" s="1603"/>
      <c r="X18" s="1603"/>
      <c r="Y18" s="1606"/>
      <c r="Z18" s="1973" t="s">
        <v>14</v>
      </c>
      <c r="AA18" s="1973"/>
      <c r="AB18" s="3982"/>
      <c r="AC18" s="2165" t="s">
        <v>15</v>
      </c>
      <c r="AD18" s="1973"/>
      <c r="AE18" s="1974"/>
      <c r="AF18" s="3888" t="s">
        <v>14</v>
      </c>
      <c r="AG18" s="1973"/>
      <c r="AH18" s="3982"/>
      <c r="AI18" s="2165" t="s">
        <v>15</v>
      </c>
      <c r="AJ18" s="1973"/>
      <c r="AK18" s="2137"/>
      <c r="AM18" s="1284"/>
    </row>
    <row r="19" spans="4:39" s="44" customFormat="1" ht="19.5" customHeight="1" thickTop="1" thickBot="1" x14ac:dyDescent="0.4">
      <c r="D19" s="1218"/>
      <c r="F19" s="1292" t="s">
        <v>1898</v>
      </c>
      <c r="G19" s="1293"/>
      <c r="H19" s="1293"/>
      <c r="I19" s="1293"/>
      <c r="J19" s="1293"/>
      <c r="K19" s="1293"/>
      <c r="L19" s="1293"/>
      <c r="M19" s="1293"/>
      <c r="N19" s="1293"/>
      <c r="O19" s="1293"/>
      <c r="P19" s="1293"/>
      <c r="Q19" s="1293"/>
      <c r="R19" s="1293"/>
      <c r="S19" s="1293"/>
      <c r="T19" s="1293"/>
      <c r="U19" s="1293"/>
      <c r="V19" s="1293"/>
      <c r="W19" s="1293"/>
      <c r="X19" s="1293"/>
      <c r="Y19" s="1294"/>
      <c r="Z19" s="1295"/>
      <c r="AA19" s="1093"/>
      <c r="AB19" s="1093"/>
      <c r="AC19" s="1093"/>
      <c r="AD19" s="1093"/>
      <c r="AE19" s="1093"/>
      <c r="AF19" s="1093"/>
      <c r="AG19" s="1093"/>
      <c r="AH19" s="1093"/>
      <c r="AI19" s="1093"/>
      <c r="AJ19" s="1093"/>
      <c r="AK19" s="1094"/>
      <c r="AM19" s="1284"/>
    </row>
    <row r="20" spans="4:39" s="44" customFormat="1" ht="22.5" customHeight="1" x14ac:dyDescent="0.35">
      <c r="D20" s="1218"/>
      <c r="F20" s="1290"/>
      <c r="G20" s="3993" t="s">
        <v>875</v>
      </c>
      <c r="H20" s="3993"/>
      <c r="I20" s="3993"/>
      <c r="J20" s="3993"/>
      <c r="K20" s="3993"/>
      <c r="L20" s="3993"/>
      <c r="M20" s="3993"/>
      <c r="N20" s="3993"/>
      <c r="O20" s="3993"/>
      <c r="P20" s="3993"/>
      <c r="Q20" s="3993"/>
      <c r="R20" s="3993"/>
      <c r="S20" s="3993"/>
      <c r="T20" s="3993"/>
      <c r="U20" s="3993"/>
      <c r="V20" s="3993"/>
      <c r="W20" s="3993"/>
      <c r="X20" s="3993"/>
      <c r="Y20" s="1291"/>
      <c r="Z20" s="3994">
        <v>1</v>
      </c>
      <c r="AA20" s="3994"/>
      <c r="AB20" s="3995"/>
      <c r="AC20" s="3996">
        <v>1</v>
      </c>
      <c r="AD20" s="3994"/>
      <c r="AE20" s="3997"/>
      <c r="AF20" s="3998">
        <v>1</v>
      </c>
      <c r="AG20" s="3994"/>
      <c r="AH20" s="3995"/>
      <c r="AI20" s="3996">
        <v>1</v>
      </c>
      <c r="AJ20" s="3994"/>
      <c r="AK20" s="3999"/>
      <c r="AM20" s="1284"/>
    </row>
    <row r="21" spans="4:39" s="44" customFormat="1" ht="22.5" customHeight="1" x14ac:dyDescent="0.35">
      <c r="D21" s="1218"/>
      <c r="F21" s="1253"/>
      <c r="G21" s="3974" t="s">
        <v>833</v>
      </c>
      <c r="H21" s="3974"/>
      <c r="I21" s="3974"/>
      <c r="J21" s="3974"/>
      <c r="K21" s="3974"/>
      <c r="L21" s="3974"/>
      <c r="M21" s="3974"/>
      <c r="N21" s="3974"/>
      <c r="O21" s="3974"/>
      <c r="P21" s="3974"/>
      <c r="Q21" s="3974"/>
      <c r="R21" s="3974"/>
      <c r="S21" s="3974"/>
      <c r="T21" s="3974"/>
      <c r="U21" s="3974"/>
      <c r="V21" s="3974"/>
      <c r="W21" s="3974"/>
      <c r="X21" s="3974"/>
      <c r="Y21" s="1254"/>
      <c r="Z21" s="3912">
        <v>0</v>
      </c>
      <c r="AA21" s="3912"/>
      <c r="AB21" s="3914"/>
      <c r="AC21" s="3911">
        <v>0</v>
      </c>
      <c r="AD21" s="3912"/>
      <c r="AE21" s="3913"/>
      <c r="AF21" s="3915">
        <v>0</v>
      </c>
      <c r="AG21" s="3912"/>
      <c r="AH21" s="3914"/>
      <c r="AI21" s="3911">
        <v>0</v>
      </c>
      <c r="AJ21" s="3912"/>
      <c r="AK21" s="3975"/>
      <c r="AM21" s="1284"/>
    </row>
    <row r="22" spans="4:39" s="44" customFormat="1" ht="22.5" customHeight="1" x14ac:dyDescent="0.35">
      <c r="D22" s="1218"/>
      <c r="F22" s="1257"/>
      <c r="G22" s="3974" t="s">
        <v>831</v>
      </c>
      <c r="H22" s="3974"/>
      <c r="I22" s="3974"/>
      <c r="J22" s="3974"/>
      <c r="K22" s="3974"/>
      <c r="L22" s="3974"/>
      <c r="M22" s="3974"/>
      <c r="N22" s="3974"/>
      <c r="O22" s="3974"/>
      <c r="P22" s="3974"/>
      <c r="Q22" s="3974"/>
      <c r="R22" s="3974"/>
      <c r="S22" s="3974"/>
      <c r="T22" s="3974"/>
      <c r="U22" s="3974"/>
      <c r="V22" s="3974"/>
      <c r="W22" s="3974"/>
      <c r="X22" s="3974"/>
      <c r="Y22" s="1258"/>
      <c r="Z22" s="3994">
        <v>0</v>
      </c>
      <c r="AA22" s="3994"/>
      <c r="AB22" s="3995"/>
      <c r="AC22" s="3996">
        <v>0</v>
      </c>
      <c r="AD22" s="3994"/>
      <c r="AE22" s="3997"/>
      <c r="AF22" s="3998">
        <v>0</v>
      </c>
      <c r="AG22" s="3994"/>
      <c r="AH22" s="3995"/>
      <c r="AI22" s="3996">
        <v>0</v>
      </c>
      <c r="AJ22" s="3994"/>
      <c r="AK22" s="3999"/>
      <c r="AM22" s="1284"/>
    </row>
    <row r="23" spans="4:39" s="44" customFormat="1" ht="22.5" customHeight="1" x14ac:dyDescent="0.35">
      <c r="D23" s="1218"/>
      <c r="F23" s="1253"/>
      <c r="G23" s="3963" t="s">
        <v>1797</v>
      </c>
      <c r="H23" s="3963"/>
      <c r="I23" s="3963"/>
      <c r="J23" s="3963"/>
      <c r="K23" s="3963"/>
      <c r="L23" s="3963"/>
      <c r="M23" s="3963"/>
      <c r="N23" s="3963"/>
      <c r="O23" s="3963"/>
      <c r="P23" s="3963"/>
      <c r="Q23" s="3963"/>
      <c r="R23" s="3963"/>
      <c r="S23" s="3963"/>
      <c r="T23" s="3963"/>
      <c r="U23" s="3963"/>
      <c r="V23" s="3963"/>
      <c r="W23" s="3963"/>
      <c r="X23" s="3963"/>
      <c r="Y23" s="1254"/>
      <c r="Z23" s="3912">
        <v>0</v>
      </c>
      <c r="AA23" s="3912"/>
      <c r="AB23" s="3914"/>
      <c r="AC23" s="3911">
        <v>0</v>
      </c>
      <c r="AD23" s="3912"/>
      <c r="AE23" s="3913"/>
      <c r="AF23" s="3915">
        <v>0</v>
      </c>
      <c r="AG23" s="3912"/>
      <c r="AH23" s="3914"/>
      <c r="AI23" s="3911">
        <v>0</v>
      </c>
      <c r="AJ23" s="3912"/>
      <c r="AK23" s="3975"/>
      <c r="AM23" s="1284"/>
    </row>
    <row r="24" spans="4:39" s="44" customFormat="1" ht="22.5" customHeight="1" x14ac:dyDescent="0.35">
      <c r="D24" s="1218"/>
      <c r="F24" s="1253"/>
      <c r="G24" s="3963" t="s">
        <v>1798</v>
      </c>
      <c r="H24" s="3963"/>
      <c r="I24" s="3963"/>
      <c r="J24" s="3963"/>
      <c r="K24" s="3963"/>
      <c r="L24" s="3963"/>
      <c r="M24" s="3963"/>
      <c r="N24" s="3963"/>
      <c r="O24" s="3963"/>
      <c r="P24" s="3963"/>
      <c r="Q24" s="3963"/>
      <c r="R24" s="3963"/>
      <c r="S24" s="3963"/>
      <c r="T24" s="3963"/>
      <c r="U24" s="3963"/>
      <c r="V24" s="3963"/>
      <c r="W24" s="3963"/>
      <c r="X24" s="3963"/>
      <c r="Y24" s="1254"/>
      <c r="Z24" s="3994">
        <v>0</v>
      </c>
      <c r="AA24" s="3994"/>
      <c r="AB24" s="3995"/>
      <c r="AC24" s="3996">
        <v>0</v>
      </c>
      <c r="AD24" s="3994"/>
      <c r="AE24" s="3997"/>
      <c r="AF24" s="3998">
        <v>0</v>
      </c>
      <c r="AG24" s="3994"/>
      <c r="AH24" s="3995"/>
      <c r="AI24" s="3996">
        <v>0</v>
      </c>
      <c r="AJ24" s="3994"/>
      <c r="AK24" s="3999"/>
      <c r="AM24" s="1284"/>
    </row>
    <row r="25" spans="4:39" s="44" customFormat="1" ht="22.5" customHeight="1" x14ac:dyDescent="0.35">
      <c r="D25" s="1218"/>
      <c r="F25" s="1253"/>
      <c r="G25" s="3963" t="s">
        <v>1799</v>
      </c>
      <c r="H25" s="3963"/>
      <c r="I25" s="3963"/>
      <c r="J25" s="3963"/>
      <c r="K25" s="3963"/>
      <c r="L25" s="3963"/>
      <c r="M25" s="3963"/>
      <c r="N25" s="3963"/>
      <c r="O25" s="3963"/>
      <c r="P25" s="3963"/>
      <c r="Q25" s="3963"/>
      <c r="R25" s="3963"/>
      <c r="S25" s="3963"/>
      <c r="T25" s="3963"/>
      <c r="U25" s="3963"/>
      <c r="V25" s="3963"/>
      <c r="W25" s="3963"/>
      <c r="X25" s="3963"/>
      <c r="Y25" s="1254"/>
      <c r="Z25" s="3912">
        <v>0</v>
      </c>
      <c r="AA25" s="3912"/>
      <c r="AB25" s="3914"/>
      <c r="AC25" s="3911">
        <v>0</v>
      </c>
      <c r="AD25" s="3912"/>
      <c r="AE25" s="3913"/>
      <c r="AF25" s="3915">
        <v>0</v>
      </c>
      <c r="AG25" s="3912"/>
      <c r="AH25" s="3914"/>
      <c r="AI25" s="3911">
        <v>0</v>
      </c>
      <c r="AJ25" s="3912"/>
      <c r="AK25" s="3975"/>
      <c r="AM25" s="1284"/>
    </row>
    <row r="26" spans="4:39" s="44" customFormat="1" ht="22.5" customHeight="1" x14ac:dyDescent="0.35">
      <c r="D26" s="1218"/>
      <c r="F26" s="1253"/>
      <c r="G26" s="3963" t="s">
        <v>1800</v>
      </c>
      <c r="H26" s="3963"/>
      <c r="I26" s="3963"/>
      <c r="J26" s="3963"/>
      <c r="K26" s="3963"/>
      <c r="L26" s="3963"/>
      <c r="M26" s="3963"/>
      <c r="N26" s="3963"/>
      <c r="O26" s="3963"/>
      <c r="P26" s="3963"/>
      <c r="Q26" s="3963"/>
      <c r="R26" s="3963"/>
      <c r="S26" s="3963"/>
      <c r="T26" s="3963"/>
      <c r="U26" s="3963"/>
      <c r="V26" s="3963"/>
      <c r="W26" s="3963"/>
      <c r="X26" s="3963"/>
      <c r="Y26" s="1254"/>
      <c r="Z26" s="3994">
        <v>0</v>
      </c>
      <c r="AA26" s="3994"/>
      <c r="AB26" s="3995"/>
      <c r="AC26" s="3996">
        <v>0</v>
      </c>
      <c r="AD26" s="3994"/>
      <c r="AE26" s="3997"/>
      <c r="AF26" s="3998">
        <v>0</v>
      </c>
      <c r="AG26" s="3994"/>
      <c r="AH26" s="3995"/>
      <c r="AI26" s="3996">
        <v>0</v>
      </c>
      <c r="AJ26" s="3994"/>
      <c r="AK26" s="3999"/>
      <c r="AM26" s="1284"/>
    </row>
    <row r="27" spans="4:39" s="44" customFormat="1" ht="36.5" customHeight="1" x14ac:dyDescent="0.35">
      <c r="D27" s="1218"/>
      <c r="F27" s="1253"/>
      <c r="G27" s="3974" t="s">
        <v>1801</v>
      </c>
      <c r="H27" s="3974"/>
      <c r="I27" s="3974"/>
      <c r="J27" s="3974"/>
      <c r="K27" s="3974"/>
      <c r="L27" s="3974"/>
      <c r="M27" s="3974"/>
      <c r="N27" s="3974"/>
      <c r="O27" s="3974"/>
      <c r="P27" s="3974"/>
      <c r="Q27" s="3974"/>
      <c r="R27" s="3974"/>
      <c r="S27" s="3974"/>
      <c r="T27" s="3974"/>
      <c r="U27" s="3974"/>
      <c r="V27" s="3974"/>
      <c r="W27" s="3974"/>
      <c r="X27" s="3974"/>
      <c r="Y27" s="1254"/>
      <c r="Z27" s="3912">
        <v>0</v>
      </c>
      <c r="AA27" s="3912"/>
      <c r="AB27" s="3914"/>
      <c r="AC27" s="3911">
        <v>0</v>
      </c>
      <c r="AD27" s="3912"/>
      <c r="AE27" s="3913"/>
      <c r="AF27" s="3915">
        <v>0</v>
      </c>
      <c r="AG27" s="3912"/>
      <c r="AH27" s="3914"/>
      <c r="AI27" s="3911">
        <v>0</v>
      </c>
      <c r="AJ27" s="3912"/>
      <c r="AK27" s="3975"/>
      <c r="AM27" s="1284"/>
    </row>
    <row r="28" spans="4:39" s="44" customFormat="1" ht="22.5" customHeight="1" x14ac:dyDescent="0.35">
      <c r="D28" s="1218"/>
      <c r="F28" s="1255"/>
      <c r="G28" s="1288" t="s">
        <v>1802</v>
      </c>
      <c r="H28" s="1289"/>
      <c r="I28" s="1289"/>
      <c r="J28" s="1289"/>
      <c r="K28" s="3906"/>
      <c r="L28" s="3912"/>
      <c r="M28" s="3912"/>
      <c r="N28" s="3912"/>
      <c r="O28" s="3912"/>
      <c r="P28" s="3912"/>
      <c r="Q28" s="3912"/>
      <c r="R28" s="3912"/>
      <c r="S28" s="3912"/>
      <c r="T28" s="3912"/>
      <c r="U28" s="3912"/>
      <c r="V28" s="3912"/>
      <c r="W28" s="3912"/>
      <c r="X28" s="3912"/>
      <c r="Y28" s="1256"/>
      <c r="Z28" s="3964">
        <v>0</v>
      </c>
      <c r="AA28" s="3964"/>
      <c r="AB28" s="3965"/>
      <c r="AC28" s="3968">
        <v>0</v>
      </c>
      <c r="AD28" s="3964"/>
      <c r="AE28" s="3969"/>
      <c r="AF28" s="3972">
        <v>0</v>
      </c>
      <c r="AG28" s="3964"/>
      <c r="AH28" s="3965"/>
      <c r="AI28" s="3968">
        <v>0</v>
      </c>
      <c r="AJ28" s="3964"/>
      <c r="AK28" s="4007"/>
      <c r="AM28" s="1284"/>
    </row>
    <row r="29" spans="4:39" s="44" customFormat="1" ht="15" customHeight="1" thickBot="1" x14ac:dyDescent="0.4">
      <c r="D29" s="1218"/>
      <c r="F29" s="1296"/>
      <c r="G29" s="1297"/>
      <c r="H29" s="1297"/>
      <c r="I29" s="1297"/>
      <c r="J29" s="1297"/>
      <c r="K29" s="1298" t="str">
        <f>IF(AND(ISBLANK(stakeholder_drrmothers_specify), SUM(Z28:AK29)&gt;0), "Please specify.",  IF(AND(stakeholder_drrmothers_specify&gt;0, SUM(Z28:AK29)=0), "Please provide details.", ""))</f>
        <v/>
      </c>
      <c r="L29" s="1297"/>
      <c r="M29" s="1297"/>
      <c r="N29" s="1297"/>
      <c r="O29" s="1297"/>
      <c r="P29" s="1297"/>
      <c r="Q29" s="1297"/>
      <c r="R29" s="1297"/>
      <c r="S29" s="1297"/>
      <c r="T29" s="1297"/>
      <c r="U29" s="1297"/>
      <c r="V29" s="1297"/>
      <c r="W29" s="1297"/>
      <c r="X29" s="1297"/>
      <c r="Y29" s="1299"/>
      <c r="Z29" s="4002"/>
      <c r="AA29" s="4002"/>
      <c r="AB29" s="4003"/>
      <c r="AC29" s="4004"/>
      <c r="AD29" s="4002"/>
      <c r="AE29" s="4005"/>
      <c r="AF29" s="4006"/>
      <c r="AG29" s="4002"/>
      <c r="AH29" s="4003"/>
      <c r="AI29" s="4004"/>
      <c r="AJ29" s="4002"/>
      <c r="AK29" s="4008"/>
      <c r="AM29" s="1284"/>
    </row>
    <row r="30" spans="4:39" s="44" customFormat="1" ht="19.5" customHeight="1" thickTop="1" thickBot="1" x14ac:dyDescent="0.4">
      <c r="D30" s="1218"/>
      <c r="F30" s="1292" t="s">
        <v>1900</v>
      </c>
      <c r="G30" s="1293"/>
      <c r="H30" s="1293"/>
      <c r="I30" s="1293"/>
      <c r="J30" s="1293"/>
      <c r="K30" s="1293"/>
      <c r="L30" s="1293"/>
      <c r="M30" s="1293"/>
      <c r="N30" s="1293"/>
      <c r="O30" s="1293"/>
      <c r="P30" s="1293"/>
      <c r="Q30" s="1293"/>
      <c r="R30" s="1293"/>
      <c r="S30" s="1293"/>
      <c r="T30" s="1293"/>
      <c r="U30" s="1293"/>
      <c r="V30" s="1293"/>
      <c r="W30" s="1293"/>
      <c r="X30" s="1293"/>
      <c r="Y30" s="1294"/>
      <c r="Z30" s="1295"/>
      <c r="AA30" s="1093"/>
      <c r="AB30" s="1093"/>
      <c r="AC30" s="1093"/>
      <c r="AD30" s="1093"/>
      <c r="AE30" s="1093"/>
      <c r="AF30" s="1093"/>
      <c r="AG30" s="1093"/>
      <c r="AH30" s="1093"/>
      <c r="AI30" s="1093"/>
      <c r="AJ30" s="1093"/>
      <c r="AK30" s="1094"/>
      <c r="AM30" s="1284"/>
    </row>
    <row r="31" spans="4:39" s="44" customFormat="1" ht="22.5" customHeight="1" x14ac:dyDescent="0.35">
      <c r="D31" s="1218"/>
      <c r="F31" s="1290"/>
      <c r="G31" s="4000" t="s">
        <v>1803</v>
      </c>
      <c r="H31" s="4000"/>
      <c r="I31" s="4000"/>
      <c r="J31" s="4000"/>
      <c r="K31" s="4000"/>
      <c r="L31" s="4000"/>
      <c r="M31" s="4000"/>
      <c r="N31" s="4000"/>
      <c r="O31" s="4000"/>
      <c r="P31" s="4000"/>
      <c r="Q31" s="4000"/>
      <c r="R31" s="4000"/>
      <c r="S31" s="4000"/>
      <c r="T31" s="4000"/>
      <c r="U31" s="4000"/>
      <c r="V31" s="4000"/>
      <c r="W31" s="4000"/>
      <c r="X31" s="4000"/>
      <c r="Y31" s="1291"/>
      <c r="Z31" s="3994">
        <v>0</v>
      </c>
      <c r="AA31" s="3994"/>
      <c r="AB31" s="3995"/>
      <c r="AC31" s="3996">
        <v>0</v>
      </c>
      <c r="AD31" s="3994"/>
      <c r="AE31" s="3997"/>
      <c r="AF31" s="3998">
        <v>0</v>
      </c>
      <c r="AG31" s="3994"/>
      <c r="AH31" s="3995"/>
      <c r="AI31" s="3996">
        <v>0</v>
      </c>
      <c r="AJ31" s="3994"/>
      <c r="AK31" s="3999"/>
      <c r="AM31" s="1284"/>
    </row>
    <row r="32" spans="4:39" s="44" customFormat="1" ht="22.5" customHeight="1" x14ac:dyDescent="0.35">
      <c r="D32" s="1218"/>
      <c r="F32" s="1253"/>
      <c r="G32" s="3963" t="s">
        <v>1804</v>
      </c>
      <c r="H32" s="3963"/>
      <c r="I32" s="3963"/>
      <c r="J32" s="3963"/>
      <c r="K32" s="3963"/>
      <c r="L32" s="3963"/>
      <c r="M32" s="3963"/>
      <c r="N32" s="3963"/>
      <c r="O32" s="3963"/>
      <c r="P32" s="3963"/>
      <c r="Q32" s="3963"/>
      <c r="R32" s="3963"/>
      <c r="S32" s="3963"/>
      <c r="T32" s="3963"/>
      <c r="U32" s="3963"/>
      <c r="V32" s="3963"/>
      <c r="W32" s="3963"/>
      <c r="X32" s="3963"/>
      <c r="Y32" s="1254"/>
      <c r="Z32" s="3912">
        <v>0</v>
      </c>
      <c r="AA32" s="3912"/>
      <c r="AB32" s="3914"/>
      <c r="AC32" s="3911">
        <v>0</v>
      </c>
      <c r="AD32" s="3912"/>
      <c r="AE32" s="3913"/>
      <c r="AF32" s="3915">
        <v>0</v>
      </c>
      <c r="AG32" s="3912"/>
      <c r="AH32" s="3914"/>
      <c r="AI32" s="3911">
        <v>0</v>
      </c>
      <c r="AJ32" s="3912"/>
      <c r="AK32" s="3975"/>
      <c r="AM32" s="1284"/>
    </row>
    <row r="33" spans="4:39" s="44" customFormat="1" ht="22.5" customHeight="1" x14ac:dyDescent="0.35">
      <c r="D33" s="1218"/>
      <c r="F33" s="1257"/>
      <c r="G33" s="3963" t="s">
        <v>1805</v>
      </c>
      <c r="H33" s="3963"/>
      <c r="I33" s="3963"/>
      <c r="J33" s="3963"/>
      <c r="K33" s="3963"/>
      <c r="L33" s="3963"/>
      <c r="M33" s="3963"/>
      <c r="N33" s="3963"/>
      <c r="O33" s="3963"/>
      <c r="P33" s="3963"/>
      <c r="Q33" s="3963"/>
      <c r="R33" s="3963"/>
      <c r="S33" s="3963"/>
      <c r="T33" s="3963"/>
      <c r="U33" s="3963"/>
      <c r="V33" s="3963"/>
      <c r="W33" s="3963"/>
      <c r="X33" s="3963"/>
      <c r="Y33" s="1258"/>
      <c r="Z33" s="3912">
        <v>0</v>
      </c>
      <c r="AA33" s="3912"/>
      <c r="AB33" s="3914"/>
      <c r="AC33" s="3911">
        <v>0</v>
      </c>
      <c r="AD33" s="3912"/>
      <c r="AE33" s="3913"/>
      <c r="AF33" s="3915">
        <v>0</v>
      </c>
      <c r="AG33" s="3912"/>
      <c r="AH33" s="3914"/>
      <c r="AI33" s="3911">
        <v>0</v>
      </c>
      <c r="AJ33" s="3912"/>
      <c r="AK33" s="3975"/>
      <c r="AM33" s="1284"/>
    </row>
    <row r="34" spans="4:39" s="44" customFormat="1" ht="22.5" customHeight="1" x14ac:dyDescent="0.35">
      <c r="D34" s="1218"/>
      <c r="F34" s="1253"/>
      <c r="G34" s="3963" t="s">
        <v>1806</v>
      </c>
      <c r="H34" s="3963"/>
      <c r="I34" s="3963"/>
      <c r="J34" s="3963"/>
      <c r="K34" s="3963"/>
      <c r="L34" s="3963"/>
      <c r="M34" s="3963"/>
      <c r="N34" s="3963"/>
      <c r="O34" s="3963"/>
      <c r="P34" s="3963"/>
      <c r="Q34" s="3963"/>
      <c r="R34" s="3963"/>
      <c r="S34" s="3963"/>
      <c r="T34" s="3963"/>
      <c r="U34" s="3963"/>
      <c r="V34" s="3963"/>
      <c r="W34" s="3963"/>
      <c r="X34" s="3963"/>
      <c r="Y34" s="1254"/>
      <c r="Z34" s="3912">
        <v>0</v>
      </c>
      <c r="AA34" s="3912"/>
      <c r="AB34" s="3914"/>
      <c r="AC34" s="3911">
        <v>0</v>
      </c>
      <c r="AD34" s="3912"/>
      <c r="AE34" s="3913"/>
      <c r="AF34" s="3915">
        <v>0</v>
      </c>
      <c r="AG34" s="3912"/>
      <c r="AH34" s="3914"/>
      <c r="AI34" s="3911">
        <v>0</v>
      </c>
      <c r="AJ34" s="3912"/>
      <c r="AK34" s="3975"/>
      <c r="AM34" s="1284"/>
    </row>
    <row r="35" spans="4:39" s="44" customFormat="1" ht="22.5" customHeight="1" x14ac:dyDescent="0.35">
      <c r="D35" s="1218"/>
      <c r="F35" s="1253"/>
      <c r="G35" s="3963" t="s">
        <v>1807</v>
      </c>
      <c r="H35" s="3963"/>
      <c r="I35" s="3963"/>
      <c r="J35" s="3963"/>
      <c r="K35" s="3963"/>
      <c r="L35" s="3963"/>
      <c r="M35" s="3963"/>
      <c r="N35" s="3963"/>
      <c r="O35" s="3963"/>
      <c r="P35" s="3963"/>
      <c r="Q35" s="3963"/>
      <c r="R35" s="3963"/>
      <c r="S35" s="3963"/>
      <c r="T35" s="3963"/>
      <c r="U35" s="3963"/>
      <c r="V35" s="3963"/>
      <c r="W35" s="3963"/>
      <c r="X35" s="3963"/>
      <c r="Y35" s="1254"/>
      <c r="Z35" s="3912">
        <v>0</v>
      </c>
      <c r="AA35" s="3912"/>
      <c r="AB35" s="3914"/>
      <c r="AC35" s="3911">
        <v>0</v>
      </c>
      <c r="AD35" s="3912"/>
      <c r="AE35" s="3913"/>
      <c r="AF35" s="3915">
        <v>0</v>
      </c>
      <c r="AG35" s="3912"/>
      <c r="AH35" s="3914"/>
      <c r="AI35" s="3911">
        <v>0</v>
      </c>
      <c r="AJ35" s="3912"/>
      <c r="AK35" s="3975"/>
      <c r="AM35" s="1284"/>
    </row>
    <row r="36" spans="4:39" s="44" customFormat="1" ht="22.5" customHeight="1" x14ac:dyDescent="0.35">
      <c r="D36" s="1218"/>
      <c r="F36" s="1253"/>
      <c r="G36" s="3963" t="s">
        <v>1808</v>
      </c>
      <c r="H36" s="3963"/>
      <c r="I36" s="3963"/>
      <c r="J36" s="3963"/>
      <c r="K36" s="3963"/>
      <c r="L36" s="3963"/>
      <c r="M36" s="3963"/>
      <c r="N36" s="3963"/>
      <c r="O36" s="3963"/>
      <c r="P36" s="3963"/>
      <c r="Q36" s="3963"/>
      <c r="R36" s="3963"/>
      <c r="S36" s="3963"/>
      <c r="T36" s="3963"/>
      <c r="U36" s="3963"/>
      <c r="V36" s="3963"/>
      <c r="W36" s="3963"/>
      <c r="X36" s="3963"/>
      <c r="Y36" s="1254"/>
      <c r="Z36" s="3912">
        <v>2</v>
      </c>
      <c r="AA36" s="3912"/>
      <c r="AB36" s="3914"/>
      <c r="AC36" s="3911">
        <v>2</v>
      </c>
      <c r="AD36" s="3912"/>
      <c r="AE36" s="3913"/>
      <c r="AF36" s="3915">
        <v>0</v>
      </c>
      <c r="AG36" s="3912"/>
      <c r="AH36" s="3914"/>
      <c r="AI36" s="3911">
        <v>0</v>
      </c>
      <c r="AJ36" s="3912"/>
      <c r="AK36" s="3975"/>
      <c r="AM36" s="1284"/>
    </row>
    <row r="37" spans="4:39" s="44" customFormat="1" ht="22.5" customHeight="1" x14ac:dyDescent="0.35">
      <c r="D37" s="1218"/>
      <c r="F37" s="1253"/>
      <c r="G37" s="3963" t="s">
        <v>1809</v>
      </c>
      <c r="H37" s="3963"/>
      <c r="I37" s="3963"/>
      <c r="J37" s="3963"/>
      <c r="K37" s="3963"/>
      <c r="L37" s="3963"/>
      <c r="M37" s="3963"/>
      <c r="N37" s="3963"/>
      <c r="O37" s="3963"/>
      <c r="P37" s="3963"/>
      <c r="Q37" s="3963"/>
      <c r="R37" s="3963"/>
      <c r="S37" s="3963"/>
      <c r="T37" s="3963"/>
      <c r="U37" s="3963"/>
      <c r="V37" s="3963"/>
      <c r="W37" s="3963"/>
      <c r="X37" s="3963"/>
      <c r="Y37" s="1254"/>
      <c r="Z37" s="3912">
        <v>0</v>
      </c>
      <c r="AA37" s="3912"/>
      <c r="AB37" s="3914"/>
      <c r="AC37" s="3911">
        <v>0</v>
      </c>
      <c r="AD37" s="3912"/>
      <c r="AE37" s="3913"/>
      <c r="AF37" s="3915">
        <v>0</v>
      </c>
      <c r="AG37" s="3912"/>
      <c r="AH37" s="3914"/>
      <c r="AI37" s="3911">
        <v>0</v>
      </c>
      <c r="AJ37" s="3912"/>
      <c r="AK37" s="3975"/>
      <c r="AM37" s="1284"/>
    </row>
    <row r="38" spans="4:39" s="44" customFormat="1" ht="22.5" customHeight="1" x14ac:dyDescent="0.35">
      <c r="D38" s="1218"/>
      <c r="F38" s="1253"/>
      <c r="G38" s="3963" t="s">
        <v>1810</v>
      </c>
      <c r="H38" s="3963"/>
      <c r="I38" s="3963"/>
      <c r="J38" s="3963"/>
      <c r="K38" s="3963"/>
      <c r="L38" s="3963"/>
      <c r="M38" s="3963"/>
      <c r="N38" s="3963"/>
      <c r="O38" s="3963"/>
      <c r="P38" s="3963"/>
      <c r="Q38" s="3963"/>
      <c r="R38" s="3963"/>
      <c r="S38" s="3963"/>
      <c r="T38" s="3963"/>
      <c r="U38" s="3963"/>
      <c r="V38" s="3963"/>
      <c r="W38" s="3963"/>
      <c r="X38" s="3963"/>
      <c r="Y38" s="1254"/>
      <c r="Z38" s="3912">
        <v>0</v>
      </c>
      <c r="AA38" s="3912"/>
      <c r="AB38" s="3914"/>
      <c r="AC38" s="3911">
        <v>0</v>
      </c>
      <c r="AD38" s="3912"/>
      <c r="AE38" s="3913"/>
      <c r="AF38" s="3915">
        <v>0</v>
      </c>
      <c r="AG38" s="3912"/>
      <c r="AH38" s="3914"/>
      <c r="AI38" s="3911">
        <v>0</v>
      </c>
      <c r="AJ38" s="3912"/>
      <c r="AK38" s="3975"/>
      <c r="AM38" s="1284"/>
    </row>
    <row r="39" spans="4:39" s="44" customFormat="1" ht="22.5" customHeight="1" x14ac:dyDescent="0.35">
      <c r="D39" s="1218"/>
      <c r="F39" s="1253"/>
      <c r="G39" s="3963" t="s">
        <v>1811</v>
      </c>
      <c r="H39" s="3963"/>
      <c r="I39" s="3963"/>
      <c r="J39" s="3963"/>
      <c r="K39" s="3963"/>
      <c r="L39" s="3963"/>
      <c r="M39" s="3963"/>
      <c r="N39" s="3963"/>
      <c r="O39" s="3963"/>
      <c r="P39" s="3963"/>
      <c r="Q39" s="3963"/>
      <c r="R39" s="3963"/>
      <c r="S39" s="3963"/>
      <c r="T39" s="3963"/>
      <c r="U39" s="3963"/>
      <c r="V39" s="3963"/>
      <c r="W39" s="3963"/>
      <c r="X39" s="3963"/>
      <c r="Y39" s="1254"/>
      <c r="Z39" s="3912">
        <v>2</v>
      </c>
      <c r="AA39" s="3912"/>
      <c r="AB39" s="3914"/>
      <c r="AC39" s="3911">
        <v>2</v>
      </c>
      <c r="AD39" s="3912"/>
      <c r="AE39" s="3913"/>
      <c r="AF39" s="3915">
        <v>2</v>
      </c>
      <c r="AG39" s="3912"/>
      <c r="AH39" s="3914"/>
      <c r="AI39" s="3911">
        <v>2</v>
      </c>
      <c r="AJ39" s="3912"/>
      <c r="AK39" s="3975"/>
      <c r="AM39" s="1284"/>
    </row>
    <row r="40" spans="4:39" s="44" customFormat="1" ht="22.5" customHeight="1" x14ac:dyDescent="0.35">
      <c r="D40" s="1218"/>
      <c r="F40" s="1253"/>
      <c r="G40" s="3963" t="s">
        <v>1812</v>
      </c>
      <c r="H40" s="3963"/>
      <c r="I40" s="3963"/>
      <c r="J40" s="3963"/>
      <c r="K40" s="3963"/>
      <c r="L40" s="3963"/>
      <c r="M40" s="3963"/>
      <c r="N40" s="3963"/>
      <c r="O40" s="3963"/>
      <c r="P40" s="3963"/>
      <c r="Q40" s="3963"/>
      <c r="R40" s="3963"/>
      <c r="S40" s="3963"/>
      <c r="T40" s="3963"/>
      <c r="U40" s="3963"/>
      <c r="V40" s="3963"/>
      <c r="W40" s="3963"/>
      <c r="X40" s="3963"/>
      <c r="Y40" s="1254"/>
      <c r="Z40" s="3912">
        <v>2</v>
      </c>
      <c r="AA40" s="3912"/>
      <c r="AB40" s="3914"/>
      <c r="AC40" s="3911">
        <v>2</v>
      </c>
      <c r="AD40" s="3912"/>
      <c r="AE40" s="3913"/>
      <c r="AF40" s="3915">
        <v>0</v>
      </c>
      <c r="AG40" s="3912"/>
      <c r="AH40" s="3914"/>
      <c r="AI40" s="3911">
        <v>0</v>
      </c>
      <c r="AJ40" s="3912"/>
      <c r="AK40" s="3975"/>
      <c r="AM40" s="1284"/>
    </row>
    <row r="41" spans="4:39" s="44" customFormat="1" ht="22.5" customHeight="1" x14ac:dyDescent="0.35">
      <c r="D41" s="1218"/>
      <c r="F41" s="1253"/>
      <c r="G41" s="3963" t="s">
        <v>1813</v>
      </c>
      <c r="H41" s="3963"/>
      <c r="I41" s="3963"/>
      <c r="J41" s="3963"/>
      <c r="K41" s="3963"/>
      <c r="L41" s="3963"/>
      <c r="M41" s="3963"/>
      <c r="N41" s="3963"/>
      <c r="O41" s="3963"/>
      <c r="P41" s="3963"/>
      <c r="Q41" s="3963"/>
      <c r="R41" s="3963"/>
      <c r="S41" s="3963"/>
      <c r="T41" s="3963"/>
      <c r="U41" s="3963"/>
      <c r="V41" s="3963"/>
      <c r="W41" s="3963"/>
      <c r="X41" s="3963"/>
      <c r="Y41" s="1254"/>
      <c r="Z41" s="3912">
        <v>3</v>
      </c>
      <c r="AA41" s="3912"/>
      <c r="AB41" s="3914"/>
      <c r="AC41" s="3911">
        <v>5</v>
      </c>
      <c r="AD41" s="3912"/>
      <c r="AE41" s="3913"/>
      <c r="AF41" s="3915">
        <v>0</v>
      </c>
      <c r="AG41" s="3912"/>
      <c r="AH41" s="3914"/>
      <c r="AI41" s="3911">
        <v>2</v>
      </c>
      <c r="AJ41" s="3912"/>
      <c r="AK41" s="3975"/>
      <c r="AM41" s="1284"/>
    </row>
    <row r="42" spans="4:39" s="44" customFormat="1" ht="22.5" customHeight="1" x14ac:dyDescent="0.35">
      <c r="D42" s="1218"/>
      <c r="F42" s="1253"/>
      <c r="G42" s="3963" t="s">
        <v>1814</v>
      </c>
      <c r="H42" s="3963"/>
      <c r="I42" s="3963"/>
      <c r="J42" s="3963"/>
      <c r="K42" s="3963"/>
      <c r="L42" s="3963"/>
      <c r="M42" s="3963"/>
      <c r="N42" s="3963"/>
      <c r="O42" s="3963"/>
      <c r="P42" s="3963"/>
      <c r="Q42" s="3963"/>
      <c r="R42" s="3963"/>
      <c r="S42" s="3963"/>
      <c r="T42" s="3963"/>
      <c r="U42" s="3963"/>
      <c r="V42" s="3963"/>
      <c r="W42" s="3963"/>
      <c r="X42" s="3963"/>
      <c r="Y42" s="1254"/>
      <c r="Z42" s="3912">
        <v>0</v>
      </c>
      <c r="AA42" s="3912"/>
      <c r="AB42" s="3914"/>
      <c r="AC42" s="3911">
        <v>0</v>
      </c>
      <c r="AD42" s="3912"/>
      <c r="AE42" s="3913"/>
      <c r="AF42" s="3915">
        <v>0</v>
      </c>
      <c r="AG42" s="3912"/>
      <c r="AH42" s="3914"/>
      <c r="AI42" s="3911">
        <v>0</v>
      </c>
      <c r="AJ42" s="3912"/>
      <c r="AK42" s="3975"/>
      <c r="AM42" s="1284"/>
    </row>
    <row r="43" spans="4:39" s="44" customFormat="1" ht="22.5" customHeight="1" x14ac:dyDescent="0.35">
      <c r="D43" s="1218"/>
      <c r="F43" s="1253"/>
      <c r="G43" s="4001" t="s">
        <v>1815</v>
      </c>
      <c r="H43" s="3963"/>
      <c r="I43" s="3963"/>
      <c r="J43" s="3963"/>
      <c r="K43" s="3963"/>
      <c r="L43" s="3963"/>
      <c r="M43" s="3963"/>
      <c r="N43" s="3963"/>
      <c r="O43" s="3963"/>
      <c r="P43" s="3963"/>
      <c r="Q43" s="3963"/>
      <c r="R43" s="3963"/>
      <c r="S43" s="3963"/>
      <c r="T43" s="3963"/>
      <c r="U43" s="3963"/>
      <c r="V43" s="3963"/>
      <c r="W43" s="3963"/>
      <c r="X43" s="3963"/>
      <c r="Y43" s="1254"/>
      <c r="Z43" s="3912">
        <v>0</v>
      </c>
      <c r="AA43" s="3912"/>
      <c r="AB43" s="3914"/>
      <c r="AC43" s="3911">
        <v>0</v>
      </c>
      <c r="AD43" s="3912"/>
      <c r="AE43" s="3913"/>
      <c r="AF43" s="3915">
        <v>0</v>
      </c>
      <c r="AG43" s="3912"/>
      <c r="AH43" s="3914"/>
      <c r="AI43" s="3911">
        <v>0</v>
      </c>
      <c r="AJ43" s="3912"/>
      <c r="AK43" s="3975"/>
      <c r="AM43" s="1284"/>
    </row>
    <row r="44" spans="4:39" s="44" customFormat="1" ht="22.5" customHeight="1" x14ac:dyDescent="0.35">
      <c r="D44" s="1218"/>
      <c r="F44" s="1255"/>
      <c r="G44" s="1288" t="s">
        <v>1802</v>
      </c>
      <c r="H44" s="1289"/>
      <c r="I44" s="1289"/>
      <c r="J44" s="1289"/>
      <c r="K44" s="3906"/>
      <c r="L44" s="3912"/>
      <c r="M44" s="3912"/>
      <c r="N44" s="3912"/>
      <c r="O44" s="3912"/>
      <c r="P44" s="3912"/>
      <c r="Q44" s="3912"/>
      <c r="R44" s="3912"/>
      <c r="S44" s="3912"/>
      <c r="T44" s="3912"/>
      <c r="U44" s="3912"/>
      <c r="V44" s="3912"/>
      <c r="W44" s="3912"/>
      <c r="X44" s="3912"/>
      <c r="Y44" s="1256"/>
      <c r="Z44" s="3964">
        <v>0</v>
      </c>
      <c r="AA44" s="3964"/>
      <c r="AB44" s="3965"/>
      <c r="AC44" s="3968">
        <v>0</v>
      </c>
      <c r="AD44" s="3964"/>
      <c r="AE44" s="3969"/>
      <c r="AF44" s="3972">
        <v>0</v>
      </c>
      <c r="AG44" s="3964"/>
      <c r="AH44" s="3965"/>
      <c r="AI44" s="3968">
        <v>0</v>
      </c>
      <c r="AJ44" s="3964"/>
      <c r="AK44" s="4007"/>
      <c r="AM44" s="1284"/>
    </row>
    <row r="45" spans="4:39" s="44" customFormat="1" ht="15" customHeight="1" thickBot="1" x14ac:dyDescent="0.4">
      <c r="D45" s="1218"/>
      <c r="F45" s="1296"/>
      <c r="G45" s="1297"/>
      <c r="H45" s="1297"/>
      <c r="I45" s="1297"/>
      <c r="J45" s="1297"/>
      <c r="K45" s="1298" t="str">
        <f>IF(AND(ISBLANK(stakeholder_ccamothersspecify), SUM(Z44:AK45)&gt;0), "Please specify.",  IF(AND(stakeholder_ccamothersspecify&gt;0, SUM(Z44:AK45)=0), "Please provide details.", ""))</f>
        <v/>
      </c>
      <c r="L45" s="1297"/>
      <c r="M45" s="1297"/>
      <c r="N45" s="1297"/>
      <c r="O45" s="1297"/>
      <c r="P45" s="1297"/>
      <c r="Q45" s="1297"/>
      <c r="R45" s="1297"/>
      <c r="S45" s="1297"/>
      <c r="T45" s="1297"/>
      <c r="U45" s="1297"/>
      <c r="V45" s="1297"/>
      <c r="W45" s="1297"/>
      <c r="X45" s="1297"/>
      <c r="Y45" s="1299"/>
      <c r="Z45" s="4002"/>
      <c r="AA45" s="4002"/>
      <c r="AB45" s="4003"/>
      <c r="AC45" s="4004"/>
      <c r="AD45" s="4002"/>
      <c r="AE45" s="4005"/>
      <c r="AF45" s="4006"/>
      <c r="AG45" s="4002"/>
      <c r="AH45" s="4003"/>
      <c r="AI45" s="4004"/>
      <c r="AJ45" s="4002"/>
      <c r="AK45" s="4008"/>
      <c r="AM45" s="1284"/>
    </row>
    <row r="46" spans="4:39" s="44" customFormat="1" ht="19.5" customHeight="1" thickTop="1" thickBot="1" x14ac:dyDescent="0.4">
      <c r="D46" s="1218"/>
      <c r="F46" s="1292" t="s">
        <v>1901</v>
      </c>
      <c r="G46" s="1293"/>
      <c r="H46" s="1293"/>
      <c r="I46" s="1293"/>
      <c r="J46" s="1293"/>
      <c r="K46" s="1293"/>
      <c r="L46" s="1293"/>
      <c r="M46" s="1293"/>
      <c r="N46" s="1293"/>
      <c r="O46" s="1293"/>
      <c r="P46" s="1293"/>
      <c r="Q46" s="1293"/>
      <c r="R46" s="1293"/>
      <c r="S46" s="1293"/>
      <c r="T46" s="1293"/>
      <c r="U46" s="1293"/>
      <c r="V46" s="1293"/>
      <c r="W46" s="1293"/>
      <c r="X46" s="1293"/>
      <c r="Y46" s="1294"/>
      <c r="Z46" s="1295"/>
      <c r="AA46" s="1093"/>
      <c r="AB46" s="1093"/>
      <c r="AC46" s="1093"/>
      <c r="AD46" s="1093"/>
      <c r="AE46" s="1093"/>
      <c r="AF46" s="1093"/>
      <c r="AG46" s="1093"/>
      <c r="AH46" s="1093"/>
      <c r="AI46" s="1093"/>
      <c r="AJ46" s="1093"/>
      <c r="AK46" s="1094"/>
      <c r="AM46" s="1284"/>
    </row>
    <row r="47" spans="4:39" s="44" customFormat="1" ht="22.5" customHeight="1" x14ac:dyDescent="0.35">
      <c r="D47" s="1218"/>
      <c r="F47" s="1290"/>
      <c r="G47" s="4000" t="s">
        <v>873</v>
      </c>
      <c r="H47" s="4000"/>
      <c r="I47" s="4000"/>
      <c r="J47" s="4000"/>
      <c r="K47" s="4000"/>
      <c r="L47" s="4000"/>
      <c r="M47" s="4000"/>
      <c r="N47" s="4000"/>
      <c r="O47" s="4000"/>
      <c r="P47" s="4000"/>
      <c r="Q47" s="4000"/>
      <c r="R47" s="4000"/>
      <c r="S47" s="4000"/>
      <c r="T47" s="4000"/>
      <c r="U47" s="4000"/>
      <c r="V47" s="4000"/>
      <c r="W47" s="4000"/>
      <c r="X47" s="4000"/>
      <c r="Y47" s="1291"/>
      <c r="Z47" s="3994">
        <v>0</v>
      </c>
      <c r="AA47" s="3994"/>
      <c r="AB47" s="3995"/>
      <c r="AC47" s="3996">
        <v>0</v>
      </c>
      <c r="AD47" s="3994"/>
      <c r="AE47" s="3997"/>
      <c r="AF47" s="3998">
        <v>0</v>
      </c>
      <c r="AG47" s="3994"/>
      <c r="AH47" s="3995"/>
      <c r="AI47" s="3996">
        <v>0</v>
      </c>
      <c r="AJ47" s="3994"/>
      <c r="AK47" s="3999"/>
      <c r="AM47" s="1284"/>
    </row>
    <row r="48" spans="4:39" s="44" customFormat="1" ht="22.5" customHeight="1" x14ac:dyDescent="0.35">
      <c r="D48" s="1218"/>
      <c r="F48" s="1253"/>
      <c r="G48" s="3963" t="s">
        <v>1816</v>
      </c>
      <c r="H48" s="3963"/>
      <c r="I48" s="3963"/>
      <c r="J48" s="3963"/>
      <c r="K48" s="3963"/>
      <c r="L48" s="3963"/>
      <c r="M48" s="3963"/>
      <c r="N48" s="3963"/>
      <c r="O48" s="3963"/>
      <c r="P48" s="3963"/>
      <c r="Q48" s="3963"/>
      <c r="R48" s="3963"/>
      <c r="S48" s="3963"/>
      <c r="T48" s="3963"/>
      <c r="U48" s="3963"/>
      <c r="V48" s="3963"/>
      <c r="W48" s="3963"/>
      <c r="X48" s="3963"/>
      <c r="Y48" s="1254"/>
      <c r="Z48" s="3912">
        <v>0</v>
      </c>
      <c r="AA48" s="3912"/>
      <c r="AB48" s="3914"/>
      <c r="AC48" s="3911">
        <v>0</v>
      </c>
      <c r="AD48" s="3912"/>
      <c r="AE48" s="3913"/>
      <c r="AF48" s="3915">
        <v>0</v>
      </c>
      <c r="AG48" s="3912"/>
      <c r="AH48" s="3914"/>
      <c r="AI48" s="3911">
        <v>0</v>
      </c>
      <c r="AJ48" s="3912"/>
      <c r="AK48" s="3975"/>
      <c r="AM48" s="1284"/>
    </row>
    <row r="49" spans="2:41" s="44" customFormat="1" ht="22.5" customHeight="1" x14ac:dyDescent="0.35">
      <c r="D49" s="1218"/>
      <c r="F49" s="1257"/>
      <c r="G49" s="3963" t="s">
        <v>874</v>
      </c>
      <c r="H49" s="3963"/>
      <c r="I49" s="3963"/>
      <c r="J49" s="3963"/>
      <c r="K49" s="3963"/>
      <c r="L49" s="3963"/>
      <c r="M49" s="3963"/>
      <c r="N49" s="3963"/>
      <c r="O49" s="3963"/>
      <c r="P49" s="3963"/>
      <c r="Q49" s="3963"/>
      <c r="R49" s="3963"/>
      <c r="S49" s="3963"/>
      <c r="T49" s="3963"/>
      <c r="U49" s="3963"/>
      <c r="V49" s="3963"/>
      <c r="W49" s="3963"/>
      <c r="X49" s="3963"/>
      <c r="Y49" s="1258"/>
      <c r="Z49" s="4011">
        <v>0</v>
      </c>
      <c r="AA49" s="3912"/>
      <c r="AB49" s="3914"/>
      <c r="AC49" s="3911">
        <v>0</v>
      </c>
      <c r="AD49" s="3912"/>
      <c r="AE49" s="3913"/>
      <c r="AF49" s="3915">
        <v>0</v>
      </c>
      <c r="AG49" s="3912"/>
      <c r="AH49" s="3914"/>
      <c r="AI49" s="3911">
        <v>0</v>
      </c>
      <c r="AJ49" s="3912"/>
      <c r="AK49" s="3975"/>
      <c r="AM49" s="1284"/>
    </row>
    <row r="50" spans="2:41" s="44" customFormat="1" ht="36.5" customHeight="1" x14ac:dyDescent="0.35">
      <c r="D50" s="1218"/>
      <c r="F50" s="1253"/>
      <c r="G50" s="4010" t="s">
        <v>1817</v>
      </c>
      <c r="H50" s="3974"/>
      <c r="I50" s="3974"/>
      <c r="J50" s="3974"/>
      <c r="K50" s="3974"/>
      <c r="L50" s="3974"/>
      <c r="M50" s="3974"/>
      <c r="N50" s="3974"/>
      <c r="O50" s="3974"/>
      <c r="P50" s="3974"/>
      <c r="Q50" s="3974"/>
      <c r="R50" s="3974"/>
      <c r="S50" s="3974"/>
      <c r="T50" s="3974"/>
      <c r="U50" s="3974"/>
      <c r="V50" s="3974"/>
      <c r="W50" s="3974"/>
      <c r="X50" s="3974"/>
      <c r="Y50" s="1254"/>
      <c r="Z50" s="3912">
        <v>0</v>
      </c>
      <c r="AA50" s="3912"/>
      <c r="AB50" s="3914"/>
      <c r="AC50" s="3911">
        <v>0</v>
      </c>
      <c r="AD50" s="3912"/>
      <c r="AE50" s="3913"/>
      <c r="AF50" s="3915">
        <v>0</v>
      </c>
      <c r="AG50" s="3912"/>
      <c r="AH50" s="3914"/>
      <c r="AI50" s="3911">
        <v>0</v>
      </c>
      <c r="AJ50" s="3912"/>
      <c r="AK50" s="3975"/>
      <c r="AM50" s="1284"/>
    </row>
    <row r="51" spans="2:41" s="44" customFormat="1" ht="22.5" customHeight="1" x14ac:dyDescent="0.35">
      <c r="D51" s="1218"/>
      <c r="F51" s="1255"/>
      <c r="G51" s="1288" t="s">
        <v>1802</v>
      </c>
      <c r="H51" s="1289"/>
      <c r="I51" s="1289"/>
      <c r="J51" s="1289"/>
      <c r="K51" s="3906"/>
      <c r="L51" s="3912"/>
      <c r="M51" s="3912"/>
      <c r="N51" s="3912"/>
      <c r="O51" s="3912"/>
      <c r="P51" s="3912"/>
      <c r="Q51" s="3912"/>
      <c r="R51" s="3912"/>
      <c r="S51" s="3912"/>
      <c r="T51" s="3912"/>
      <c r="U51" s="3912"/>
      <c r="V51" s="3912"/>
      <c r="W51" s="3912"/>
      <c r="X51" s="3912"/>
      <c r="Y51" s="1256"/>
      <c r="Z51" s="3964">
        <v>0</v>
      </c>
      <c r="AA51" s="3964"/>
      <c r="AB51" s="3965"/>
      <c r="AC51" s="3968">
        <v>0</v>
      </c>
      <c r="AD51" s="3964"/>
      <c r="AE51" s="3969"/>
      <c r="AF51" s="3972">
        <v>0</v>
      </c>
      <c r="AG51" s="3964"/>
      <c r="AH51" s="3965"/>
      <c r="AI51" s="3968">
        <v>0</v>
      </c>
      <c r="AJ51" s="3964"/>
      <c r="AK51" s="4007"/>
      <c r="AM51" s="1284"/>
    </row>
    <row r="52" spans="2:41" s="44" customFormat="1" ht="15" customHeight="1" thickBot="1" x14ac:dyDescent="0.4">
      <c r="D52" s="1218"/>
      <c r="F52" s="1285"/>
      <c r="G52" s="342"/>
      <c r="H52" s="342"/>
      <c r="I52" s="342"/>
      <c r="J52" s="342"/>
      <c r="K52" s="1286" t="str">
        <f>IF(AND(ISBLANK(stakeholder_peacebuildingothers), SUM(Z51:AK52)&gt;0), "Please specify.",  IF(AND(stakeholder_peacebuildingothers&gt;0, SUM(Z51:AK52)=0), "Please provide details.", ""))</f>
        <v/>
      </c>
      <c r="L52" s="342"/>
      <c r="M52" s="342"/>
      <c r="N52" s="342"/>
      <c r="O52" s="342"/>
      <c r="P52" s="342"/>
      <c r="Q52" s="342"/>
      <c r="R52" s="342"/>
      <c r="S52" s="342"/>
      <c r="T52" s="342"/>
      <c r="U52" s="342"/>
      <c r="V52" s="342"/>
      <c r="W52" s="342"/>
      <c r="X52" s="342"/>
      <c r="Y52" s="1287"/>
      <c r="Z52" s="3966"/>
      <c r="AA52" s="3966"/>
      <c r="AB52" s="3967"/>
      <c r="AC52" s="3970"/>
      <c r="AD52" s="3966"/>
      <c r="AE52" s="3971"/>
      <c r="AF52" s="3973"/>
      <c r="AG52" s="3966"/>
      <c r="AH52" s="3967"/>
      <c r="AI52" s="3970"/>
      <c r="AJ52" s="3966"/>
      <c r="AK52" s="4009"/>
      <c r="AM52" s="1284"/>
    </row>
    <row r="53" spans="2:41" ht="10" customHeight="1" thickTop="1" thickBot="1" x14ac:dyDescent="0.4">
      <c r="D53" s="1278"/>
      <c r="E53" s="1279"/>
      <c r="F53" s="1280"/>
      <c r="G53" s="1281"/>
      <c r="H53" s="1281"/>
      <c r="I53" s="1281"/>
      <c r="J53" s="1281"/>
      <c r="K53" s="1281"/>
      <c r="L53" s="1281"/>
      <c r="M53" s="1282"/>
      <c r="N53" s="1282"/>
      <c r="O53" s="1282"/>
      <c r="P53" s="1282"/>
      <c r="Q53" s="1282"/>
      <c r="R53" s="1282"/>
      <c r="S53" s="1282"/>
      <c r="T53" s="1282"/>
      <c r="U53" s="1282"/>
      <c r="V53" s="1282"/>
      <c r="W53" s="1282"/>
      <c r="X53" s="1282"/>
      <c r="Y53" s="1282"/>
      <c r="Z53" s="1282"/>
      <c r="AA53" s="1282"/>
      <c r="AB53" s="1282"/>
      <c r="AC53" s="1282"/>
      <c r="AD53" s="1282"/>
      <c r="AE53" s="1282"/>
      <c r="AF53" s="1282"/>
      <c r="AG53" s="1282"/>
      <c r="AH53" s="1282"/>
      <c r="AI53" s="1282"/>
      <c r="AJ53" s="1282"/>
      <c r="AK53" s="1282"/>
      <c r="AL53" s="1282"/>
      <c r="AM53" s="1283"/>
    </row>
    <row r="54" spans="2:41" ht="10" customHeight="1" x14ac:dyDescent="0.35">
      <c r="B54" s="1118"/>
      <c r="C54" s="1098"/>
      <c r="E54" s="1052"/>
      <c r="F54" s="1052"/>
      <c r="G54" s="1052"/>
      <c r="H54" s="1052"/>
      <c r="I54" s="1052"/>
      <c r="J54" s="1052"/>
      <c r="K54" s="1041"/>
      <c r="L54" s="1041"/>
      <c r="M54" s="1041"/>
      <c r="N54" s="1041"/>
      <c r="O54" s="1041"/>
      <c r="P54" s="1041"/>
      <c r="Q54" s="1041"/>
      <c r="R54" s="1041"/>
      <c r="S54" s="1041"/>
      <c r="T54" s="1041"/>
      <c r="U54" s="1041"/>
      <c r="V54" s="1041"/>
      <c r="W54" s="1041"/>
      <c r="X54" s="1041"/>
      <c r="Y54" s="1041"/>
      <c r="Z54" s="1041"/>
      <c r="AA54" s="1041"/>
      <c r="AB54" s="1041"/>
      <c r="AC54" s="1041"/>
      <c r="AD54" s="1041"/>
      <c r="AE54" s="1041"/>
      <c r="AF54" s="1041"/>
      <c r="AG54" s="1041"/>
      <c r="AH54" s="1041"/>
      <c r="AI54" s="1041"/>
      <c r="AJ54" s="1041"/>
      <c r="AK54" s="1041"/>
      <c r="AL54" s="1041"/>
    </row>
    <row r="55" spans="2:41" s="98" customFormat="1" ht="17.25" customHeight="1" x14ac:dyDescent="0.35">
      <c r="D55" s="3670" t="s">
        <v>1895</v>
      </c>
      <c r="E55" s="3670"/>
      <c r="F55" s="3670"/>
      <c r="G55" s="3670"/>
      <c r="H55" s="3670"/>
      <c r="I55" s="3670"/>
      <c r="J55" s="3670"/>
      <c r="K55" s="3670"/>
      <c r="L55" s="3670"/>
      <c r="M55" s="3670"/>
      <c r="N55" s="3670"/>
      <c r="O55" s="3670"/>
      <c r="P55" s="3670"/>
      <c r="Q55" s="3670"/>
      <c r="R55" s="3670"/>
      <c r="S55" s="3670"/>
      <c r="T55" s="3670"/>
      <c r="U55" s="3670"/>
      <c r="V55" s="3670"/>
      <c r="W55" s="3670"/>
      <c r="X55" s="3670"/>
      <c r="Y55" s="3670"/>
      <c r="Z55" s="3670"/>
      <c r="AA55" s="3670"/>
      <c r="AB55" s="3670"/>
      <c r="AC55" s="3670"/>
      <c r="AD55" s="3670"/>
      <c r="AE55" s="3670"/>
      <c r="AF55" s="3670"/>
    </row>
    <row r="56" spans="2:41" s="501" customFormat="1" ht="30.75" customHeight="1" x14ac:dyDescent="0.35"/>
    <row r="57" spans="2:41" s="73" customFormat="1" ht="14" x14ac:dyDescent="0.3">
      <c r="B57" s="74" t="s">
        <v>913</v>
      </c>
      <c r="P57" s="74" t="s">
        <v>846</v>
      </c>
      <c r="AD57" s="74" t="s">
        <v>922</v>
      </c>
    </row>
    <row r="58" spans="2:41" s="73" customFormat="1" ht="21.75" customHeight="1" x14ac:dyDescent="0.3">
      <c r="B58" s="74" t="s">
        <v>811</v>
      </c>
      <c r="F58" s="1482" t="str">
        <f>SchInfo!F38</f>
        <v>MELCHESIEDICK Q. BOLANIO/ March 17, 2023</v>
      </c>
      <c r="G58" s="1482"/>
      <c r="H58" s="1482"/>
      <c r="I58" s="1482"/>
      <c r="J58" s="1482"/>
      <c r="K58" s="1482"/>
      <c r="L58" s="1482"/>
      <c r="M58" s="1482"/>
      <c r="P58" s="1482" t="str">
        <f>Table39!Q37</f>
        <v>ELYN KENDRA D. DELA CRUZ  /  March 17, 2023</v>
      </c>
      <c r="Q58" s="1482"/>
      <c r="R58" s="1482"/>
      <c r="S58" s="1482"/>
      <c r="T58" s="1482"/>
      <c r="U58" s="1482"/>
      <c r="V58" s="1482"/>
      <c r="W58" s="1482"/>
      <c r="X58" s="1482"/>
      <c r="Y58" s="1482"/>
      <c r="Z58" s="1482"/>
      <c r="AA58" s="1482"/>
      <c r="AD58" s="3720" t="str">
        <f>SchInfo!R38</f>
        <v>MICHAEL T. JAMIS   /  March 17, 2023</v>
      </c>
      <c r="AE58" s="3720"/>
      <c r="AF58" s="3720"/>
      <c r="AG58" s="3720"/>
      <c r="AH58" s="3720"/>
      <c r="AI58" s="3720"/>
      <c r="AJ58" s="3720"/>
      <c r="AK58" s="3720"/>
      <c r="AL58" s="3720"/>
      <c r="AM58" s="3720"/>
      <c r="AN58" s="3720"/>
      <c r="AO58" s="3720"/>
    </row>
    <row r="59" spans="2:41" s="68" customFormat="1" ht="14" customHeight="1" x14ac:dyDescent="0.3">
      <c r="B59" s="210"/>
      <c r="F59" s="1451" t="s">
        <v>779</v>
      </c>
      <c r="G59" s="1451"/>
      <c r="H59" s="1451"/>
      <c r="I59" s="1451"/>
      <c r="J59" s="1451"/>
      <c r="K59" s="1451"/>
      <c r="L59" s="1451"/>
      <c r="M59" s="1451"/>
      <c r="N59" s="65"/>
      <c r="O59" s="65"/>
      <c r="P59" s="1451" t="s">
        <v>779</v>
      </c>
      <c r="Q59" s="1451"/>
      <c r="R59" s="1451"/>
      <c r="S59" s="1451"/>
      <c r="T59" s="1451"/>
      <c r="U59" s="1451"/>
      <c r="V59" s="1451"/>
      <c r="W59" s="1451"/>
      <c r="X59" s="1451"/>
      <c r="Y59" s="1451"/>
      <c r="Z59" s="1451"/>
      <c r="AA59" s="1451"/>
      <c r="AB59" s="65"/>
      <c r="AC59" s="65"/>
      <c r="AD59" s="3721"/>
      <c r="AE59" s="3721"/>
      <c r="AF59" s="3721"/>
      <c r="AG59" s="3721"/>
      <c r="AH59" s="3721"/>
      <c r="AI59" s="3721"/>
      <c r="AJ59" s="3721"/>
      <c r="AK59" s="3721"/>
      <c r="AL59" s="3721"/>
      <c r="AM59" s="3721"/>
      <c r="AN59" s="3721"/>
      <c r="AO59" s="3721"/>
    </row>
    <row r="60" spans="2:41" s="73" customFormat="1" ht="21.75" customHeight="1" x14ac:dyDescent="0.3">
      <c r="B60" s="74" t="s">
        <v>784</v>
      </c>
      <c r="F60" s="1482" t="str">
        <f>SchInfo!F40</f>
        <v>Principal IV</v>
      </c>
      <c r="G60" s="1482"/>
      <c r="H60" s="1482"/>
      <c r="I60" s="1482"/>
      <c r="J60" s="1482"/>
      <c r="K60" s="1482"/>
      <c r="L60" s="1482"/>
      <c r="M60" s="1482"/>
      <c r="P60" s="74" t="s">
        <v>784</v>
      </c>
      <c r="V60" s="1482" t="str">
        <f>Table39!U39</f>
        <v>Project Development Officer III</v>
      </c>
      <c r="W60" s="1482"/>
      <c r="X60" s="1482"/>
      <c r="Y60" s="1482"/>
      <c r="Z60" s="1482"/>
      <c r="AA60" s="1482"/>
      <c r="AD60" s="1451" t="s">
        <v>779</v>
      </c>
      <c r="AE60" s="1451"/>
      <c r="AF60" s="1451"/>
      <c r="AG60" s="1451"/>
      <c r="AH60" s="1451"/>
      <c r="AI60" s="1451"/>
      <c r="AJ60" s="1451"/>
      <c r="AK60" s="1451"/>
      <c r="AL60" s="1451"/>
      <c r="AM60" s="1451"/>
      <c r="AN60" s="1451"/>
      <c r="AO60" s="1451"/>
    </row>
    <row r="61" spans="2:41" x14ac:dyDescent="0.35">
      <c r="D61" s="1041"/>
      <c r="E61" s="1041"/>
      <c r="F61" s="1041"/>
      <c r="G61" s="1041"/>
      <c r="H61" s="1041"/>
      <c r="I61" s="1041"/>
      <c r="J61" s="1041"/>
      <c r="K61" s="1041"/>
      <c r="L61" s="1041"/>
      <c r="M61" s="1041"/>
      <c r="N61" s="501"/>
      <c r="O61" s="501"/>
      <c r="P61" s="1041"/>
      <c r="Q61" s="1041"/>
      <c r="R61" s="1041"/>
      <c r="S61" s="1041"/>
      <c r="T61" s="1041"/>
      <c r="U61" s="1041"/>
      <c r="V61" s="1041"/>
      <c r="W61" s="1041"/>
      <c r="X61" s="1041"/>
      <c r="Y61" s="1041"/>
      <c r="Z61" s="1041"/>
      <c r="AA61" s="1041"/>
      <c r="AB61" s="501"/>
      <c r="AC61" s="501"/>
      <c r="AD61" s="1041"/>
      <c r="AE61" s="1041"/>
      <c r="AF61" s="1041"/>
      <c r="AG61" s="1041"/>
      <c r="AH61" s="1041"/>
      <c r="AI61" s="1041"/>
      <c r="AJ61" s="1041"/>
      <c r="AK61" s="1041"/>
      <c r="AL61" s="1041"/>
    </row>
  </sheetData>
  <sheetProtection algorithmName="SHA-512" hashValue="ebHf3Df5SwUfHiA0HVJ8rwZiEq992BmmuOm4G4biQILE5VvmYFmGeWxi6zoXN6m8Np9ghMhbsCCW4k5eHBdUGw==" saltValue="vDjEK5PAdNerWrMfQMRQ6A==" spinCount="100000" sheet="1" objects="1" scenarios="1"/>
  <mergeCells count="176">
    <mergeCell ref="D55:AF55"/>
    <mergeCell ref="AI51:AK52"/>
    <mergeCell ref="G50:X50"/>
    <mergeCell ref="Z50:AB50"/>
    <mergeCell ref="AC50:AE50"/>
    <mergeCell ref="AF50:AH50"/>
    <mergeCell ref="AI50:AK50"/>
    <mergeCell ref="AI48:AK48"/>
    <mergeCell ref="G49:X49"/>
    <mergeCell ref="Z49:AB49"/>
    <mergeCell ref="AC49:AE49"/>
    <mergeCell ref="AF49:AH49"/>
    <mergeCell ref="AI49:AK49"/>
    <mergeCell ref="AF44:AH45"/>
    <mergeCell ref="AI44:AK45"/>
    <mergeCell ref="K28:X28"/>
    <mergeCell ref="Z28:AB29"/>
    <mergeCell ref="AC28:AE29"/>
    <mergeCell ref="AF28:AH29"/>
    <mergeCell ref="AI28:AK29"/>
    <mergeCell ref="AC36:AE36"/>
    <mergeCell ref="AF36:AH36"/>
    <mergeCell ref="AI36:AK36"/>
    <mergeCell ref="G37:X37"/>
    <mergeCell ref="Z37:AB37"/>
    <mergeCell ref="AC37:AE37"/>
    <mergeCell ref="AF37:AH37"/>
    <mergeCell ref="AI37:AK37"/>
    <mergeCell ref="G34:X34"/>
    <mergeCell ref="Z34:AB34"/>
    <mergeCell ref="AC34:AE34"/>
    <mergeCell ref="AF34:AH34"/>
    <mergeCell ref="AI34:AK34"/>
    <mergeCell ref="AI42:AK42"/>
    <mergeCell ref="G41:X41"/>
    <mergeCell ref="Z41:AB41"/>
    <mergeCell ref="AC41:AE41"/>
    <mergeCell ref="G47:X47"/>
    <mergeCell ref="Z47:AB47"/>
    <mergeCell ref="AC47:AE47"/>
    <mergeCell ref="AF47:AH47"/>
    <mergeCell ref="AI47:AK47"/>
    <mergeCell ref="AF40:AH40"/>
    <mergeCell ref="AI40:AK40"/>
    <mergeCell ref="G39:X39"/>
    <mergeCell ref="Z39:AB39"/>
    <mergeCell ref="AC39:AE39"/>
    <mergeCell ref="AF39:AH39"/>
    <mergeCell ref="AI39:AK39"/>
    <mergeCell ref="G43:X43"/>
    <mergeCell ref="Z43:AB43"/>
    <mergeCell ref="AC43:AE43"/>
    <mergeCell ref="AF43:AH43"/>
    <mergeCell ref="AI43:AK43"/>
    <mergeCell ref="G42:X42"/>
    <mergeCell ref="Z42:AB42"/>
    <mergeCell ref="AC42:AE42"/>
    <mergeCell ref="AF42:AH42"/>
    <mergeCell ref="K44:X44"/>
    <mergeCell ref="Z44:AB45"/>
    <mergeCell ref="AC44:AE45"/>
    <mergeCell ref="AF41:AH41"/>
    <mergeCell ref="AI41:AK41"/>
    <mergeCell ref="G40:X40"/>
    <mergeCell ref="Z40:AB40"/>
    <mergeCell ref="AC40:AE40"/>
    <mergeCell ref="Z35:AB35"/>
    <mergeCell ref="AC35:AE35"/>
    <mergeCell ref="G33:X33"/>
    <mergeCell ref="Z33:AB33"/>
    <mergeCell ref="AC33:AE33"/>
    <mergeCell ref="AF33:AH33"/>
    <mergeCell ref="G35:X35"/>
    <mergeCell ref="AF35:AH35"/>
    <mergeCell ref="AI33:AK33"/>
    <mergeCell ref="G38:X38"/>
    <mergeCell ref="Z38:AB38"/>
    <mergeCell ref="AC38:AE38"/>
    <mergeCell ref="AF38:AH38"/>
    <mergeCell ref="AI38:AK38"/>
    <mergeCell ref="G26:X26"/>
    <mergeCell ref="Z26:AB26"/>
    <mergeCell ref="AC26:AE26"/>
    <mergeCell ref="AF26:AH26"/>
    <mergeCell ref="AI26:AK26"/>
    <mergeCell ref="AI35:AK35"/>
    <mergeCell ref="G25:X25"/>
    <mergeCell ref="Z25:AB25"/>
    <mergeCell ref="AC25:AE25"/>
    <mergeCell ref="AF25:AH25"/>
    <mergeCell ref="AI25:AK25"/>
    <mergeCell ref="G32:X32"/>
    <mergeCell ref="Z32:AB32"/>
    <mergeCell ref="AC32:AE32"/>
    <mergeCell ref="AF32:AH32"/>
    <mergeCell ref="AI32:AK32"/>
    <mergeCell ref="G31:X31"/>
    <mergeCell ref="Z31:AB31"/>
    <mergeCell ref="AC31:AE31"/>
    <mergeCell ref="AF31:AH31"/>
    <mergeCell ref="AI31:AK31"/>
    <mergeCell ref="AI21:AK21"/>
    <mergeCell ref="G20:X20"/>
    <mergeCell ref="Z20:AB20"/>
    <mergeCell ref="AC20:AE20"/>
    <mergeCell ref="AF20:AH20"/>
    <mergeCell ref="AI20:AK20"/>
    <mergeCell ref="Z24:AB24"/>
    <mergeCell ref="AC24:AE24"/>
    <mergeCell ref="AF24:AH24"/>
    <mergeCell ref="AI24:AK24"/>
    <mergeCell ref="AF23:AH23"/>
    <mergeCell ref="AI23:AK23"/>
    <mergeCell ref="G22:X22"/>
    <mergeCell ref="Z22:AB22"/>
    <mergeCell ref="AC22:AE22"/>
    <mergeCell ref="AF22:AH22"/>
    <mergeCell ref="AI22:AK22"/>
    <mergeCell ref="F13:J13"/>
    <mergeCell ref="K13:O13"/>
    <mergeCell ref="P13:T13"/>
    <mergeCell ref="U13:Y13"/>
    <mergeCell ref="Z13:AD13"/>
    <mergeCell ref="G21:X21"/>
    <mergeCell ref="Z21:AB21"/>
    <mergeCell ref="AC21:AE21"/>
    <mergeCell ref="AF21:AH21"/>
    <mergeCell ref="F17:Y18"/>
    <mergeCell ref="F6:K6"/>
    <mergeCell ref="L6:Q6"/>
    <mergeCell ref="F7:H7"/>
    <mergeCell ref="I7:K7"/>
    <mergeCell ref="L7:N7"/>
    <mergeCell ref="O7:Q7"/>
    <mergeCell ref="AD58:AO59"/>
    <mergeCell ref="F59:M59"/>
    <mergeCell ref="P59:AA59"/>
    <mergeCell ref="F8:H8"/>
    <mergeCell ref="I8:K8"/>
    <mergeCell ref="L8:N8"/>
    <mergeCell ref="O8:Q8"/>
    <mergeCell ref="F12:J12"/>
    <mergeCell ref="K12:O12"/>
    <mergeCell ref="P12:T12"/>
    <mergeCell ref="U12:Y12"/>
    <mergeCell ref="Z12:AD12"/>
    <mergeCell ref="Z17:AE17"/>
    <mergeCell ref="AF17:AK17"/>
    <mergeCell ref="Z18:AB18"/>
    <mergeCell ref="AC18:AE18"/>
    <mergeCell ref="AF18:AH18"/>
    <mergeCell ref="AI18:AK18"/>
    <mergeCell ref="F60:M60"/>
    <mergeCell ref="V60:AA60"/>
    <mergeCell ref="AD60:AO60"/>
    <mergeCell ref="F58:M58"/>
    <mergeCell ref="P58:AA58"/>
    <mergeCell ref="G23:X23"/>
    <mergeCell ref="Z23:AB23"/>
    <mergeCell ref="AC23:AE23"/>
    <mergeCell ref="G24:X24"/>
    <mergeCell ref="K51:X51"/>
    <mergeCell ref="Z51:AB52"/>
    <mergeCell ref="AC51:AE52"/>
    <mergeCell ref="AF51:AH52"/>
    <mergeCell ref="G48:X48"/>
    <mergeCell ref="Z48:AB48"/>
    <mergeCell ref="AC48:AE48"/>
    <mergeCell ref="AF48:AH48"/>
    <mergeCell ref="G36:X36"/>
    <mergeCell ref="Z36:AB36"/>
    <mergeCell ref="G27:X27"/>
    <mergeCell ref="Z27:AB27"/>
    <mergeCell ref="AC27:AE27"/>
    <mergeCell ref="AF27:AH27"/>
    <mergeCell ref="AI27:AK27"/>
  </mergeCells>
  <dataValidations count="2">
    <dataValidation type="whole" allowBlank="1" showInputMessage="1" showErrorMessage="1" errorTitle="GJHSP SY 2022-2023" error="Please enter valid number between 0-20,000." sqref="F13:J13" xr:uid="{60905F4A-CA05-4C60-8667-85AED1071228}">
      <formula1>0</formula1>
      <formula2>20000</formula2>
    </dataValidation>
    <dataValidation type="whole" allowBlank="1" showInputMessage="1" showErrorMessage="1" errorTitle="GJHSP SY 2022-2023" error="Please enter valid number between 0-999." sqref="F8:Q8 K13:AD13 Z20:AK29 Z31:AK45 Z47:AK52" xr:uid="{9A58AD00-5177-40AF-81AE-FB5EF952A4E4}">
      <formula1>0</formula1>
      <formula2>999</formula2>
    </dataValidation>
  </dataValidations>
  <printOptions horizontalCentered="1" verticalCentered="1"/>
  <pageMargins left="0.25" right="0.25" top="0.2" bottom="0.2" header="0" footer="0.1"/>
  <pageSetup paperSize="9" scale="63" orientation="portrait" r:id="rId1"/>
  <headerFooter>
    <oddFooter>&amp;L&amp;10&amp;F &amp;A&amp;R&amp;10Page 59 of 63</oddFooter>
  </headerFooter>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03256-B0DA-4EA6-BBE5-2305F5302A55}">
  <sheetPr>
    <pageSetUpPr fitToPage="1"/>
  </sheetPr>
  <dimension ref="A1:AO63"/>
  <sheetViews>
    <sheetView showGridLines="0" zoomScaleNormal="100" zoomScaleSheetLayoutView="100" workbookViewId="0">
      <selection activeCell="AI50" sqref="AI50:AI51"/>
    </sheetView>
  </sheetViews>
  <sheetFormatPr defaultColWidth="8" defaultRowHeight="15.5" x14ac:dyDescent="0.35"/>
  <cols>
    <col min="1" max="1" width="2.08203125" style="1041" customWidth="1"/>
    <col min="2" max="27" width="3.58203125" style="1042" customWidth="1"/>
    <col min="28" max="28" width="4.1640625" style="1042" customWidth="1"/>
    <col min="29" max="40" width="3.58203125" style="1042" customWidth="1"/>
    <col min="41" max="41" width="3.58203125" style="1041" customWidth="1"/>
    <col min="42" max="42" width="2.08203125" style="1041" customWidth="1"/>
    <col min="43" max="174" width="3.58203125" style="1041" customWidth="1"/>
    <col min="175" max="16384" width="8" style="1041"/>
  </cols>
  <sheetData>
    <row r="1" spans="2:41" ht="12" customHeight="1" x14ac:dyDescent="0.35"/>
    <row r="2" spans="2:41" ht="17" thickBot="1" x14ac:dyDescent="0.4">
      <c r="B2" s="1054" t="s">
        <v>1819</v>
      </c>
      <c r="C2" s="1041"/>
      <c r="D2" s="1041"/>
      <c r="E2" s="1041"/>
      <c r="F2" s="1041"/>
      <c r="G2" s="1041"/>
      <c r="H2" s="1041"/>
      <c r="I2" s="1041"/>
      <c r="J2" s="1041"/>
      <c r="K2" s="1041"/>
      <c r="L2" s="1041"/>
      <c r="M2" s="1041"/>
      <c r="N2" s="1041"/>
      <c r="O2" s="1041"/>
      <c r="P2" s="1041"/>
      <c r="Q2" s="1041"/>
      <c r="R2" s="1041"/>
      <c r="S2" s="1041"/>
      <c r="T2" s="1041"/>
      <c r="U2" s="1041"/>
      <c r="V2" s="1041"/>
      <c r="W2" s="1041"/>
      <c r="X2" s="1041"/>
      <c r="Y2" s="1041"/>
      <c r="Z2" s="1041"/>
      <c r="AA2" s="1041"/>
      <c r="AB2" s="1041"/>
      <c r="AC2" s="1041"/>
      <c r="AD2" s="1041"/>
      <c r="AE2" s="1041"/>
      <c r="AF2" s="1041"/>
      <c r="AG2" s="1041"/>
      <c r="AH2" s="1041"/>
      <c r="AI2" s="1041"/>
      <c r="AJ2" s="1041"/>
      <c r="AK2" s="1041"/>
      <c r="AL2" s="1041"/>
      <c r="AM2" s="1041"/>
      <c r="AN2" s="1041"/>
    </row>
    <row r="3" spans="2:41" ht="5" customHeight="1" thickTop="1" x14ac:dyDescent="0.35">
      <c r="B3" s="1056"/>
      <c r="C3" s="1057"/>
      <c r="D3" s="1057"/>
      <c r="E3" s="1057"/>
      <c r="F3" s="1057"/>
      <c r="G3" s="1057"/>
      <c r="H3" s="1057"/>
      <c r="I3" s="1057"/>
      <c r="J3" s="1057"/>
      <c r="K3" s="1057"/>
      <c r="L3" s="1057"/>
      <c r="M3" s="1057"/>
      <c r="N3" s="1057"/>
      <c r="O3" s="1057"/>
      <c r="P3" s="1057"/>
      <c r="Q3" s="1057"/>
      <c r="R3" s="1057"/>
      <c r="S3" s="1057"/>
      <c r="T3" s="1057"/>
      <c r="U3" s="1057"/>
      <c r="V3" s="1057"/>
      <c r="W3" s="1057"/>
      <c r="X3" s="1057"/>
      <c r="Y3" s="1057"/>
      <c r="Z3" s="1057"/>
      <c r="AA3" s="1057"/>
      <c r="AB3" s="1057"/>
      <c r="AC3" s="1057"/>
      <c r="AD3" s="1057"/>
      <c r="AE3" s="1057"/>
      <c r="AF3" s="1057"/>
      <c r="AG3" s="1057"/>
      <c r="AH3" s="1057"/>
      <c r="AI3" s="1057"/>
      <c r="AJ3" s="1057"/>
      <c r="AK3" s="1057"/>
      <c r="AL3" s="1057"/>
      <c r="AM3" s="1057"/>
      <c r="AN3" s="1057"/>
      <c r="AO3" s="1058"/>
    </row>
    <row r="4" spans="2:41" ht="15.5" customHeight="1" x14ac:dyDescent="0.35">
      <c r="B4" s="1049"/>
      <c r="C4" s="1050" t="s">
        <v>150</v>
      </c>
      <c r="D4" s="1103" t="s">
        <v>1820</v>
      </c>
      <c r="E4" s="1051"/>
      <c r="F4" s="1051"/>
      <c r="G4" s="1051"/>
      <c r="H4" s="1051"/>
      <c r="I4" s="1051"/>
      <c r="J4" s="1051"/>
      <c r="K4" s="1051"/>
      <c r="L4" s="1051"/>
      <c r="M4" s="1051"/>
      <c r="N4" s="1051"/>
      <c r="O4" s="1051"/>
      <c r="P4" s="1051"/>
      <c r="Q4" s="1051"/>
      <c r="R4" s="1051"/>
      <c r="S4" s="1051"/>
      <c r="T4" s="1051"/>
      <c r="U4" s="1051"/>
      <c r="V4" s="1051"/>
      <c r="W4" s="1051"/>
      <c r="X4" s="1051"/>
      <c r="Y4" s="1051"/>
      <c r="Z4" s="1051"/>
      <c r="AA4" s="1051"/>
      <c r="AB4" s="1051"/>
      <c r="AC4" s="1051"/>
      <c r="AD4" s="1051"/>
      <c r="AE4" s="1051"/>
      <c r="AF4" s="1051"/>
      <c r="AG4" s="1051"/>
      <c r="AH4" s="1051"/>
      <c r="AI4" s="1051"/>
      <c r="AJ4" s="1051"/>
      <c r="AK4" s="1051"/>
      <c r="AL4" s="1051"/>
      <c r="AM4" s="1052"/>
      <c r="AN4" s="1052"/>
      <c r="AO4" s="1053"/>
    </row>
    <row r="5" spans="2:41" ht="5" customHeight="1" thickBot="1" x14ac:dyDescent="0.4">
      <c r="B5" s="1084"/>
      <c r="C5" s="1105"/>
      <c r="D5" s="1105"/>
      <c r="E5" s="1105"/>
      <c r="F5" s="1105"/>
      <c r="G5" s="1105"/>
      <c r="H5" s="1105"/>
      <c r="I5" s="1105"/>
      <c r="J5" s="1105"/>
      <c r="K5" s="1105"/>
      <c r="L5" s="1105"/>
      <c r="M5" s="1105"/>
      <c r="N5" s="1105"/>
      <c r="O5" s="1105"/>
      <c r="P5" s="1105"/>
      <c r="Q5" s="1105"/>
      <c r="R5" s="1105"/>
      <c r="S5" s="1105"/>
      <c r="T5" s="1105"/>
      <c r="U5" s="1105"/>
      <c r="V5" s="1105"/>
      <c r="W5" s="1105"/>
      <c r="X5" s="1105"/>
      <c r="Y5" s="1105"/>
      <c r="Z5" s="1105"/>
      <c r="AA5" s="1105"/>
      <c r="AB5" s="1105"/>
      <c r="AC5" s="1105"/>
      <c r="AD5" s="1105"/>
      <c r="AE5" s="1105"/>
      <c r="AF5" s="1105"/>
      <c r="AG5" s="1105"/>
      <c r="AH5" s="1105"/>
      <c r="AI5" s="1105"/>
      <c r="AJ5" s="1105"/>
      <c r="AK5" s="1105"/>
      <c r="AL5" s="1105"/>
      <c r="AM5" s="1105"/>
      <c r="AN5" s="1105"/>
      <c r="AO5" s="1062"/>
    </row>
    <row r="6" spans="2:41" s="44" customFormat="1" ht="61" customHeight="1" thickTop="1" thickBot="1" x14ac:dyDescent="0.4">
      <c r="B6" s="412"/>
      <c r="D6" s="1969" t="s">
        <v>1899</v>
      </c>
      <c r="E6" s="1970"/>
      <c r="F6" s="1970"/>
      <c r="G6" s="1970"/>
      <c r="H6" s="1970"/>
      <c r="I6" s="1970"/>
      <c r="J6" s="1970"/>
      <c r="K6" s="1970"/>
      <c r="L6" s="1970"/>
      <c r="M6" s="1970"/>
      <c r="N6" s="1970"/>
      <c r="O6" s="2135"/>
      <c r="P6" s="3593" t="s">
        <v>1748</v>
      </c>
      <c r="Q6" s="3594"/>
      <c r="R6" s="3594"/>
      <c r="S6" s="3594"/>
      <c r="T6" s="3594"/>
      <c r="U6" s="3595"/>
      <c r="V6" s="3594" t="s">
        <v>1710</v>
      </c>
      <c r="W6" s="3594"/>
      <c r="X6" s="3594"/>
      <c r="Y6" s="3594"/>
      <c r="Z6" s="3594"/>
      <c r="AA6" s="3594"/>
      <c r="AB6" s="3596" t="s">
        <v>1711</v>
      </c>
      <c r="AC6" s="3594"/>
      <c r="AD6" s="3594"/>
      <c r="AE6" s="3594"/>
      <c r="AF6" s="3594"/>
      <c r="AG6" s="3595"/>
      <c r="AH6" s="3594" t="s">
        <v>1712</v>
      </c>
      <c r="AI6" s="3594"/>
      <c r="AJ6" s="3594"/>
      <c r="AK6" s="3594"/>
      <c r="AL6" s="3594"/>
      <c r="AM6" s="3597"/>
      <c r="AO6" s="405"/>
    </row>
    <row r="7" spans="2:41" s="44" customFormat="1" ht="19.5" customHeight="1" thickBot="1" x14ac:dyDescent="0.4">
      <c r="B7" s="412"/>
      <c r="D7" s="2287"/>
      <c r="E7" s="2288"/>
      <c r="F7" s="2288"/>
      <c r="G7" s="2288"/>
      <c r="H7" s="2288"/>
      <c r="I7" s="2288"/>
      <c r="J7" s="2288"/>
      <c r="K7" s="2288"/>
      <c r="L7" s="2288"/>
      <c r="M7" s="2288"/>
      <c r="N7" s="2288"/>
      <c r="O7" s="2531"/>
      <c r="P7" s="2287" t="s">
        <v>14</v>
      </c>
      <c r="Q7" s="2288"/>
      <c r="R7" s="2646"/>
      <c r="S7" s="2560" t="s">
        <v>15</v>
      </c>
      <c r="T7" s="2288"/>
      <c r="U7" s="2289"/>
      <c r="V7" s="2288" t="s">
        <v>14</v>
      </c>
      <c r="W7" s="2288"/>
      <c r="X7" s="2646"/>
      <c r="Y7" s="2560" t="s">
        <v>15</v>
      </c>
      <c r="Z7" s="2288"/>
      <c r="AA7" s="2288"/>
      <c r="AB7" s="2559" t="s">
        <v>14</v>
      </c>
      <c r="AC7" s="2288"/>
      <c r="AD7" s="2646"/>
      <c r="AE7" s="2560" t="s">
        <v>15</v>
      </c>
      <c r="AF7" s="2288"/>
      <c r="AG7" s="2289"/>
      <c r="AH7" s="2288" t="s">
        <v>14</v>
      </c>
      <c r="AI7" s="2288"/>
      <c r="AJ7" s="2646"/>
      <c r="AK7" s="2560" t="s">
        <v>15</v>
      </c>
      <c r="AL7" s="2288"/>
      <c r="AM7" s="2531"/>
      <c r="AO7" s="405"/>
    </row>
    <row r="8" spans="2:41" s="44" customFormat="1" ht="19.5" customHeight="1" thickTop="1" thickBot="1" x14ac:dyDescent="0.4">
      <c r="B8" s="412"/>
      <c r="D8" s="1292" t="s">
        <v>1898</v>
      </c>
      <c r="E8" s="1293"/>
      <c r="F8" s="1293"/>
      <c r="G8" s="1293"/>
      <c r="H8" s="1293"/>
      <c r="I8" s="1293"/>
      <c r="J8" s="1293"/>
      <c r="K8" s="1293"/>
      <c r="L8" s="1293"/>
      <c r="M8" s="1293"/>
      <c r="N8" s="1293"/>
      <c r="O8" s="1293"/>
      <c r="P8" s="3981"/>
      <c r="Q8" s="2160"/>
      <c r="R8" s="2160"/>
      <c r="S8" s="2160"/>
      <c r="T8" s="2160"/>
      <c r="U8" s="2160"/>
      <c r="V8" s="2160"/>
      <c r="W8" s="2160"/>
      <c r="X8" s="2160"/>
      <c r="Y8" s="2160"/>
      <c r="Z8" s="2160"/>
      <c r="AA8" s="2160"/>
      <c r="AB8" s="2160"/>
      <c r="AC8" s="2160"/>
      <c r="AD8" s="2160"/>
      <c r="AE8" s="2160"/>
      <c r="AF8" s="2160"/>
      <c r="AG8" s="2160"/>
      <c r="AH8" s="2160"/>
      <c r="AI8" s="2160"/>
      <c r="AJ8" s="2160"/>
      <c r="AK8" s="2160"/>
      <c r="AL8" s="2160"/>
      <c r="AM8" s="2555"/>
      <c r="AO8" s="405"/>
    </row>
    <row r="9" spans="2:41" s="44" customFormat="1" ht="22.5" customHeight="1" x14ac:dyDescent="0.35">
      <c r="B9" s="412"/>
      <c r="D9" s="4012" t="s">
        <v>875</v>
      </c>
      <c r="E9" s="4013"/>
      <c r="F9" s="4013"/>
      <c r="G9" s="4013"/>
      <c r="H9" s="4013"/>
      <c r="I9" s="4013"/>
      <c r="J9" s="4013"/>
      <c r="K9" s="4013"/>
      <c r="L9" s="4013"/>
      <c r="M9" s="4013"/>
      <c r="N9" s="4013"/>
      <c r="O9" s="1314"/>
      <c r="P9" s="3945">
        <v>0</v>
      </c>
      <c r="Q9" s="3925"/>
      <c r="R9" s="3926"/>
      <c r="S9" s="3927">
        <v>0</v>
      </c>
      <c r="T9" s="3925"/>
      <c r="U9" s="3944"/>
      <c r="V9" s="3925">
        <v>0</v>
      </c>
      <c r="W9" s="3925"/>
      <c r="X9" s="3926"/>
      <c r="Y9" s="3927">
        <v>0</v>
      </c>
      <c r="Z9" s="3925"/>
      <c r="AA9" s="3925"/>
      <c r="AB9" s="3943">
        <v>0</v>
      </c>
      <c r="AC9" s="3925"/>
      <c r="AD9" s="3926"/>
      <c r="AE9" s="3927">
        <v>0</v>
      </c>
      <c r="AF9" s="3925"/>
      <c r="AG9" s="3944"/>
      <c r="AH9" s="3925">
        <v>0</v>
      </c>
      <c r="AI9" s="3925"/>
      <c r="AJ9" s="3926"/>
      <c r="AK9" s="3927">
        <v>0</v>
      </c>
      <c r="AL9" s="3925"/>
      <c r="AM9" s="3928"/>
      <c r="AO9" s="405"/>
    </row>
    <row r="10" spans="2:41" s="44" customFormat="1" ht="22.5" customHeight="1" x14ac:dyDescent="0.35">
      <c r="B10" s="412"/>
      <c r="D10" s="4014" t="s">
        <v>833</v>
      </c>
      <c r="E10" s="4015"/>
      <c r="F10" s="4015"/>
      <c r="G10" s="4015"/>
      <c r="H10" s="4015"/>
      <c r="I10" s="4015"/>
      <c r="J10" s="4015"/>
      <c r="K10" s="4015"/>
      <c r="L10" s="4015"/>
      <c r="M10" s="4015"/>
      <c r="N10" s="4015"/>
      <c r="O10" s="1315"/>
      <c r="P10" s="3929">
        <v>0</v>
      </c>
      <c r="Q10" s="1462"/>
      <c r="R10" s="1465"/>
      <c r="S10" s="1461">
        <v>0</v>
      </c>
      <c r="T10" s="1462"/>
      <c r="U10" s="1471"/>
      <c r="V10" s="1462">
        <v>0</v>
      </c>
      <c r="W10" s="1462"/>
      <c r="X10" s="1465"/>
      <c r="Y10" s="1461">
        <v>0</v>
      </c>
      <c r="Z10" s="1462"/>
      <c r="AA10" s="1462"/>
      <c r="AB10" s="1464">
        <v>0</v>
      </c>
      <c r="AC10" s="1462"/>
      <c r="AD10" s="1465"/>
      <c r="AE10" s="1461">
        <v>0</v>
      </c>
      <c r="AF10" s="1462"/>
      <c r="AG10" s="1471"/>
      <c r="AH10" s="1462">
        <v>0</v>
      </c>
      <c r="AI10" s="1462"/>
      <c r="AJ10" s="1465"/>
      <c r="AK10" s="1461">
        <v>0</v>
      </c>
      <c r="AL10" s="1462"/>
      <c r="AM10" s="3932"/>
      <c r="AO10" s="405"/>
    </row>
    <row r="11" spans="2:41" s="44" customFormat="1" ht="22.5" customHeight="1" x14ac:dyDescent="0.35">
      <c r="B11" s="412"/>
      <c r="D11" s="4016" t="s">
        <v>831</v>
      </c>
      <c r="E11" s="4017"/>
      <c r="F11" s="4017"/>
      <c r="G11" s="4017"/>
      <c r="H11" s="4017"/>
      <c r="I11" s="4017"/>
      <c r="J11" s="4017"/>
      <c r="K11" s="4017"/>
      <c r="L11" s="4017"/>
      <c r="M11" s="4017"/>
      <c r="N11" s="4017"/>
      <c r="O11" s="1312"/>
      <c r="P11" s="3929">
        <v>0</v>
      </c>
      <c r="Q11" s="1462"/>
      <c r="R11" s="1465"/>
      <c r="S11" s="1461">
        <v>0</v>
      </c>
      <c r="T11" s="1462"/>
      <c r="U11" s="1471"/>
      <c r="V11" s="1462">
        <v>0</v>
      </c>
      <c r="W11" s="1462"/>
      <c r="X11" s="1465"/>
      <c r="Y11" s="1461">
        <v>0</v>
      </c>
      <c r="Z11" s="1462"/>
      <c r="AA11" s="1462"/>
      <c r="AB11" s="1464">
        <v>0</v>
      </c>
      <c r="AC11" s="1462"/>
      <c r="AD11" s="1465"/>
      <c r="AE11" s="1461">
        <v>0</v>
      </c>
      <c r="AF11" s="1462"/>
      <c r="AG11" s="1471"/>
      <c r="AH11" s="1462">
        <v>0</v>
      </c>
      <c r="AI11" s="1462"/>
      <c r="AJ11" s="1465"/>
      <c r="AK11" s="1461">
        <v>0</v>
      </c>
      <c r="AL11" s="1462"/>
      <c r="AM11" s="3932"/>
      <c r="AO11" s="405"/>
    </row>
    <row r="12" spans="2:41" s="44" customFormat="1" ht="22.5" customHeight="1" x14ac:dyDescent="0.35">
      <c r="B12" s="412"/>
      <c r="D12" s="4014" t="s">
        <v>1821</v>
      </c>
      <c r="E12" s="4015"/>
      <c r="F12" s="4015"/>
      <c r="G12" s="4015"/>
      <c r="H12" s="4015"/>
      <c r="I12" s="4015"/>
      <c r="J12" s="4015"/>
      <c r="K12" s="4015"/>
      <c r="L12" s="4015"/>
      <c r="M12" s="4015"/>
      <c r="N12" s="4015"/>
      <c r="O12" s="1311"/>
      <c r="P12" s="3929">
        <v>0</v>
      </c>
      <c r="Q12" s="1462"/>
      <c r="R12" s="1465"/>
      <c r="S12" s="1461">
        <v>0</v>
      </c>
      <c r="T12" s="1462"/>
      <c r="U12" s="1471"/>
      <c r="V12" s="1462">
        <v>0</v>
      </c>
      <c r="W12" s="1462"/>
      <c r="X12" s="1465"/>
      <c r="Y12" s="1461">
        <v>0</v>
      </c>
      <c r="Z12" s="1462"/>
      <c r="AA12" s="1462"/>
      <c r="AB12" s="1464">
        <v>0</v>
      </c>
      <c r="AC12" s="1462"/>
      <c r="AD12" s="1465"/>
      <c r="AE12" s="1461">
        <v>0</v>
      </c>
      <c r="AF12" s="1462"/>
      <c r="AG12" s="1471"/>
      <c r="AH12" s="1462">
        <v>0</v>
      </c>
      <c r="AI12" s="1462"/>
      <c r="AJ12" s="1465"/>
      <c r="AK12" s="1461">
        <v>0</v>
      </c>
      <c r="AL12" s="1462"/>
      <c r="AM12" s="3932"/>
      <c r="AO12" s="405"/>
    </row>
    <row r="13" spans="2:41" s="44" customFormat="1" ht="36.5" customHeight="1" x14ac:dyDescent="0.35">
      <c r="B13" s="412"/>
      <c r="D13" s="4014" t="s">
        <v>1822</v>
      </c>
      <c r="E13" s="4015"/>
      <c r="F13" s="4015"/>
      <c r="G13" s="4015"/>
      <c r="H13" s="4015"/>
      <c r="I13" s="4015"/>
      <c r="J13" s="4015"/>
      <c r="K13" s="4015"/>
      <c r="L13" s="4015"/>
      <c r="M13" s="4015"/>
      <c r="N13" s="4015"/>
      <c r="O13" s="1311"/>
      <c r="P13" s="3929">
        <v>0</v>
      </c>
      <c r="Q13" s="1462"/>
      <c r="R13" s="1465"/>
      <c r="S13" s="1461">
        <v>0</v>
      </c>
      <c r="T13" s="1462"/>
      <c r="U13" s="1471"/>
      <c r="V13" s="1462">
        <v>0</v>
      </c>
      <c r="W13" s="1462"/>
      <c r="X13" s="1465"/>
      <c r="Y13" s="1461">
        <v>0</v>
      </c>
      <c r="Z13" s="1462"/>
      <c r="AA13" s="1462"/>
      <c r="AB13" s="1464">
        <v>0</v>
      </c>
      <c r="AC13" s="1462"/>
      <c r="AD13" s="1465"/>
      <c r="AE13" s="1461">
        <v>0</v>
      </c>
      <c r="AF13" s="1462"/>
      <c r="AG13" s="1471"/>
      <c r="AH13" s="1462">
        <v>0</v>
      </c>
      <c r="AI13" s="1462"/>
      <c r="AJ13" s="1465"/>
      <c r="AK13" s="1461">
        <v>0</v>
      </c>
      <c r="AL13" s="1462"/>
      <c r="AM13" s="3932"/>
      <c r="AO13" s="405"/>
    </row>
    <row r="14" spans="2:41" s="44" customFormat="1" ht="22.5" customHeight="1" x14ac:dyDescent="0.35">
      <c r="B14" s="412"/>
      <c r="D14" s="4016" t="s">
        <v>1798</v>
      </c>
      <c r="E14" s="4017"/>
      <c r="F14" s="4017"/>
      <c r="G14" s="4017"/>
      <c r="H14" s="4017"/>
      <c r="I14" s="4017"/>
      <c r="J14" s="4017"/>
      <c r="K14" s="4017"/>
      <c r="L14" s="4017"/>
      <c r="M14" s="4017"/>
      <c r="N14" s="4017"/>
      <c r="O14" s="1311"/>
      <c r="P14" s="3929">
        <v>0</v>
      </c>
      <c r="Q14" s="1462"/>
      <c r="R14" s="1465"/>
      <c r="S14" s="1461">
        <v>0</v>
      </c>
      <c r="T14" s="1462"/>
      <c r="U14" s="1471"/>
      <c r="V14" s="1462">
        <v>0</v>
      </c>
      <c r="W14" s="1462"/>
      <c r="X14" s="1465"/>
      <c r="Y14" s="1461">
        <v>0</v>
      </c>
      <c r="Z14" s="1462"/>
      <c r="AA14" s="1462"/>
      <c r="AB14" s="1464">
        <v>0</v>
      </c>
      <c r="AC14" s="1462"/>
      <c r="AD14" s="1465"/>
      <c r="AE14" s="1461">
        <v>0</v>
      </c>
      <c r="AF14" s="1462"/>
      <c r="AG14" s="1471"/>
      <c r="AH14" s="1462">
        <v>0</v>
      </c>
      <c r="AI14" s="1462"/>
      <c r="AJ14" s="1465"/>
      <c r="AK14" s="1461">
        <v>0</v>
      </c>
      <c r="AL14" s="1462"/>
      <c r="AM14" s="3932"/>
      <c r="AO14" s="405"/>
    </row>
    <row r="15" spans="2:41" s="44" customFormat="1" ht="22.5" customHeight="1" x14ac:dyDescent="0.35">
      <c r="B15" s="412"/>
      <c r="D15" s="4016" t="s">
        <v>1799</v>
      </c>
      <c r="E15" s="4017"/>
      <c r="F15" s="4017"/>
      <c r="G15" s="4017"/>
      <c r="H15" s="4017"/>
      <c r="I15" s="4017"/>
      <c r="J15" s="4017"/>
      <c r="K15" s="4017"/>
      <c r="L15" s="4017"/>
      <c r="M15" s="4017"/>
      <c r="N15" s="4017"/>
      <c r="O15" s="1311"/>
      <c r="P15" s="3929">
        <v>0</v>
      </c>
      <c r="Q15" s="1462"/>
      <c r="R15" s="1465"/>
      <c r="S15" s="1461">
        <v>0</v>
      </c>
      <c r="T15" s="1462"/>
      <c r="U15" s="1471"/>
      <c r="V15" s="1462">
        <v>0</v>
      </c>
      <c r="W15" s="1462"/>
      <c r="X15" s="1465"/>
      <c r="Y15" s="1461">
        <v>0</v>
      </c>
      <c r="Z15" s="1462"/>
      <c r="AA15" s="1462"/>
      <c r="AB15" s="1464">
        <v>0</v>
      </c>
      <c r="AC15" s="1462"/>
      <c r="AD15" s="1465"/>
      <c r="AE15" s="1461">
        <v>0</v>
      </c>
      <c r="AF15" s="1462"/>
      <c r="AG15" s="1471"/>
      <c r="AH15" s="1462">
        <v>0</v>
      </c>
      <c r="AI15" s="1462"/>
      <c r="AJ15" s="1465"/>
      <c r="AK15" s="1461">
        <v>0</v>
      </c>
      <c r="AL15" s="1462"/>
      <c r="AM15" s="3932"/>
      <c r="AO15" s="405"/>
    </row>
    <row r="16" spans="2:41" s="44" customFormat="1" ht="22.5" customHeight="1" x14ac:dyDescent="0.35">
      <c r="B16" s="412"/>
      <c r="D16" s="4014" t="s">
        <v>1800</v>
      </c>
      <c r="E16" s="4015"/>
      <c r="F16" s="4015"/>
      <c r="G16" s="4015"/>
      <c r="H16" s="4015"/>
      <c r="I16" s="4015"/>
      <c r="J16" s="4015"/>
      <c r="K16" s="4015"/>
      <c r="L16" s="4015"/>
      <c r="M16" s="4015"/>
      <c r="N16" s="4015"/>
      <c r="O16" s="1311"/>
      <c r="P16" s="3929">
        <v>0</v>
      </c>
      <c r="Q16" s="1462"/>
      <c r="R16" s="1465"/>
      <c r="S16" s="1461">
        <v>0</v>
      </c>
      <c r="T16" s="1462"/>
      <c r="U16" s="1471"/>
      <c r="V16" s="1462">
        <v>0</v>
      </c>
      <c r="W16" s="1462"/>
      <c r="X16" s="1465"/>
      <c r="Y16" s="1461">
        <v>0</v>
      </c>
      <c r="Z16" s="1462"/>
      <c r="AA16" s="1462"/>
      <c r="AB16" s="1464">
        <v>0</v>
      </c>
      <c r="AC16" s="1462"/>
      <c r="AD16" s="1465"/>
      <c r="AE16" s="1461">
        <v>0</v>
      </c>
      <c r="AF16" s="1462"/>
      <c r="AG16" s="1471"/>
      <c r="AH16" s="1462">
        <v>0</v>
      </c>
      <c r="AI16" s="1462"/>
      <c r="AJ16" s="1465"/>
      <c r="AK16" s="1461">
        <v>0</v>
      </c>
      <c r="AL16" s="1462"/>
      <c r="AM16" s="3932"/>
      <c r="AO16" s="405"/>
    </row>
    <row r="17" spans="2:41" s="44" customFormat="1" ht="68" customHeight="1" x14ac:dyDescent="0.35">
      <c r="B17" s="412"/>
      <c r="D17" s="4014" t="s">
        <v>1801</v>
      </c>
      <c r="E17" s="4015"/>
      <c r="F17" s="4015"/>
      <c r="G17" s="4015"/>
      <c r="H17" s="4015"/>
      <c r="I17" s="4015"/>
      <c r="J17" s="4015"/>
      <c r="K17" s="4015"/>
      <c r="L17" s="4015"/>
      <c r="M17" s="4015"/>
      <c r="N17" s="4015"/>
      <c r="O17" s="1311"/>
      <c r="P17" s="3929">
        <v>0</v>
      </c>
      <c r="Q17" s="1462"/>
      <c r="R17" s="1465"/>
      <c r="S17" s="1461">
        <v>0</v>
      </c>
      <c r="T17" s="1462"/>
      <c r="U17" s="1471"/>
      <c r="V17" s="1462">
        <v>0</v>
      </c>
      <c r="W17" s="1462"/>
      <c r="X17" s="1465"/>
      <c r="Y17" s="1461">
        <v>0</v>
      </c>
      <c r="Z17" s="1462"/>
      <c r="AA17" s="1462"/>
      <c r="AB17" s="1464">
        <v>0</v>
      </c>
      <c r="AC17" s="1462"/>
      <c r="AD17" s="1465"/>
      <c r="AE17" s="1461">
        <v>0</v>
      </c>
      <c r="AF17" s="1462"/>
      <c r="AG17" s="1471"/>
      <c r="AH17" s="1462">
        <v>0</v>
      </c>
      <c r="AI17" s="1462"/>
      <c r="AJ17" s="1465"/>
      <c r="AK17" s="1461">
        <v>0</v>
      </c>
      <c r="AL17" s="1462"/>
      <c r="AM17" s="3932"/>
      <c r="AO17" s="405"/>
    </row>
    <row r="18" spans="2:41" s="44" customFormat="1" ht="22.5" customHeight="1" x14ac:dyDescent="0.35">
      <c r="B18" s="412"/>
      <c r="D18" s="4067" t="s">
        <v>1802</v>
      </c>
      <c r="E18" s="4043"/>
      <c r="F18" s="4043"/>
      <c r="G18" s="4043"/>
      <c r="H18" s="4043"/>
      <c r="I18" s="4043"/>
      <c r="J18" s="4043"/>
      <c r="K18" s="4043"/>
      <c r="L18" s="4043"/>
      <c r="M18" s="4043"/>
      <c r="N18" s="4043"/>
      <c r="O18" s="1289"/>
      <c r="P18" s="4044">
        <v>0</v>
      </c>
      <c r="Q18" s="2652"/>
      <c r="R18" s="2653"/>
      <c r="S18" s="2654">
        <v>0</v>
      </c>
      <c r="T18" s="2652"/>
      <c r="U18" s="4021"/>
      <c r="V18" s="2652">
        <v>0</v>
      </c>
      <c r="W18" s="2652"/>
      <c r="X18" s="2653"/>
      <c r="Y18" s="2654">
        <v>0</v>
      </c>
      <c r="Z18" s="2652"/>
      <c r="AA18" s="2652"/>
      <c r="AB18" s="2651">
        <v>0</v>
      </c>
      <c r="AC18" s="2652"/>
      <c r="AD18" s="2653"/>
      <c r="AE18" s="2654">
        <v>0</v>
      </c>
      <c r="AF18" s="2652"/>
      <c r="AG18" s="4021"/>
      <c r="AH18" s="2652">
        <v>0</v>
      </c>
      <c r="AI18" s="2652"/>
      <c r="AJ18" s="2653"/>
      <c r="AK18" s="2654">
        <v>0</v>
      </c>
      <c r="AL18" s="2652"/>
      <c r="AM18" s="4025"/>
      <c r="AO18" s="405"/>
    </row>
    <row r="19" spans="2:41" s="44" customFormat="1" ht="22.5" customHeight="1" x14ac:dyDescent="0.35">
      <c r="B19" s="412"/>
      <c r="D19" s="1309"/>
      <c r="E19" s="3811"/>
      <c r="F19" s="3811"/>
      <c r="G19" s="3811"/>
      <c r="H19" s="3811"/>
      <c r="I19" s="3811"/>
      <c r="J19" s="3811"/>
      <c r="K19" s="3811"/>
      <c r="L19" s="3811"/>
      <c r="M19" s="3811"/>
      <c r="N19" s="3811"/>
      <c r="O19" s="72"/>
      <c r="P19" s="4045"/>
      <c r="Q19" s="2312"/>
      <c r="R19" s="2313"/>
      <c r="S19" s="2314"/>
      <c r="T19" s="2312"/>
      <c r="U19" s="4022"/>
      <c r="V19" s="2312"/>
      <c r="W19" s="2312"/>
      <c r="X19" s="2313"/>
      <c r="Y19" s="2314"/>
      <c r="Z19" s="2312"/>
      <c r="AA19" s="2312"/>
      <c r="AB19" s="2311"/>
      <c r="AC19" s="2312"/>
      <c r="AD19" s="2313"/>
      <c r="AE19" s="2314"/>
      <c r="AF19" s="2312"/>
      <c r="AG19" s="4022"/>
      <c r="AH19" s="2312"/>
      <c r="AI19" s="2312"/>
      <c r="AJ19" s="2313"/>
      <c r="AK19" s="2314"/>
      <c r="AL19" s="2312"/>
      <c r="AM19" s="4026"/>
      <c r="AO19" s="405"/>
    </row>
    <row r="20" spans="2:41" s="44" customFormat="1" ht="15" customHeight="1" thickBot="1" x14ac:dyDescent="0.4">
      <c r="B20" s="412"/>
      <c r="D20" s="1296"/>
      <c r="E20" s="1313" t="str">
        <f>IF(AND(ISBLANK(lrns_drrmothers_specify), SUM(P18:AM20)&gt;0), "Please specify.", IF(AND(lrns_drrmothers_specify&gt;0, SUM(P18:AM20)=0), "Please provide details.", ""))</f>
        <v/>
      </c>
      <c r="F20" s="1297"/>
      <c r="G20" s="1297"/>
      <c r="H20" s="1297"/>
      <c r="I20" s="1297"/>
      <c r="J20" s="1297"/>
      <c r="K20" s="1297"/>
      <c r="L20" s="1297"/>
      <c r="M20" s="1297"/>
      <c r="N20" s="1297"/>
      <c r="O20" s="1297"/>
      <c r="P20" s="4046"/>
      <c r="Q20" s="4019"/>
      <c r="R20" s="4020"/>
      <c r="S20" s="4023"/>
      <c r="T20" s="4019"/>
      <c r="U20" s="4024"/>
      <c r="V20" s="4019"/>
      <c r="W20" s="4019"/>
      <c r="X20" s="4020"/>
      <c r="Y20" s="4023"/>
      <c r="Z20" s="4019"/>
      <c r="AA20" s="4019"/>
      <c r="AB20" s="4018"/>
      <c r="AC20" s="4019"/>
      <c r="AD20" s="4020"/>
      <c r="AE20" s="4023"/>
      <c r="AF20" s="4019"/>
      <c r="AG20" s="4024"/>
      <c r="AH20" s="4019"/>
      <c r="AI20" s="4019"/>
      <c r="AJ20" s="4020"/>
      <c r="AK20" s="4023"/>
      <c r="AL20" s="4019"/>
      <c r="AM20" s="4027"/>
      <c r="AO20" s="405"/>
    </row>
    <row r="21" spans="2:41" s="44" customFormat="1" ht="19.5" customHeight="1" thickTop="1" thickBot="1" x14ac:dyDescent="0.4">
      <c r="B21" s="412"/>
      <c r="D21" s="1292" t="s">
        <v>1900</v>
      </c>
      <c r="E21" s="1293"/>
      <c r="F21" s="1293"/>
      <c r="G21" s="1293"/>
      <c r="H21" s="1293"/>
      <c r="I21" s="1293"/>
      <c r="J21" s="1293"/>
      <c r="K21" s="1293"/>
      <c r="L21" s="1293"/>
      <c r="M21" s="1293"/>
      <c r="N21" s="1293"/>
      <c r="O21" s="1293"/>
      <c r="P21" s="3981"/>
      <c r="Q21" s="2160"/>
      <c r="R21" s="2160"/>
      <c r="S21" s="2160"/>
      <c r="T21" s="2160"/>
      <c r="U21" s="2160"/>
      <c r="V21" s="2160"/>
      <c r="W21" s="2160"/>
      <c r="X21" s="2160"/>
      <c r="Y21" s="2160"/>
      <c r="Z21" s="2160"/>
      <c r="AA21" s="2160"/>
      <c r="AB21" s="2160"/>
      <c r="AC21" s="2160"/>
      <c r="AD21" s="2160"/>
      <c r="AE21" s="2160"/>
      <c r="AF21" s="2160"/>
      <c r="AG21" s="2160"/>
      <c r="AH21" s="2160"/>
      <c r="AI21" s="2160"/>
      <c r="AJ21" s="2160"/>
      <c r="AK21" s="2160"/>
      <c r="AL21" s="2160"/>
      <c r="AM21" s="2555"/>
      <c r="AO21" s="405"/>
    </row>
    <row r="22" spans="2:41" s="44" customFormat="1" ht="36.5" customHeight="1" x14ac:dyDescent="0.35">
      <c r="B22" s="412"/>
      <c r="D22" s="4068" t="s">
        <v>1823</v>
      </c>
      <c r="E22" s="4069"/>
      <c r="F22" s="4069"/>
      <c r="G22" s="4069"/>
      <c r="H22" s="4069"/>
      <c r="I22" s="4069"/>
      <c r="J22" s="4069"/>
      <c r="K22" s="4069"/>
      <c r="L22" s="4069"/>
      <c r="M22" s="4069"/>
      <c r="N22" s="4069"/>
      <c r="O22" s="1314"/>
      <c r="P22" s="3945">
        <v>0</v>
      </c>
      <c r="Q22" s="3925"/>
      <c r="R22" s="3926"/>
      <c r="S22" s="3927">
        <v>0</v>
      </c>
      <c r="T22" s="3925"/>
      <c r="U22" s="3944"/>
      <c r="V22" s="3925">
        <v>0</v>
      </c>
      <c r="W22" s="3925"/>
      <c r="X22" s="3926"/>
      <c r="Y22" s="3927">
        <v>0</v>
      </c>
      <c r="Z22" s="3925"/>
      <c r="AA22" s="3925"/>
      <c r="AB22" s="3943">
        <v>0</v>
      </c>
      <c r="AC22" s="3925"/>
      <c r="AD22" s="3926"/>
      <c r="AE22" s="3927">
        <v>0</v>
      </c>
      <c r="AF22" s="3925"/>
      <c r="AG22" s="3944"/>
      <c r="AH22" s="3925">
        <v>0</v>
      </c>
      <c r="AI22" s="3925"/>
      <c r="AJ22" s="3926"/>
      <c r="AK22" s="3927">
        <v>0</v>
      </c>
      <c r="AL22" s="3925"/>
      <c r="AM22" s="3928"/>
      <c r="AO22" s="405"/>
    </row>
    <row r="23" spans="2:41" s="44" customFormat="1" ht="36.5" customHeight="1" x14ac:dyDescent="0.35">
      <c r="B23" s="412"/>
      <c r="D23" s="4014" t="s">
        <v>1824</v>
      </c>
      <c r="E23" s="4015"/>
      <c r="F23" s="4015"/>
      <c r="G23" s="4015"/>
      <c r="H23" s="4015"/>
      <c r="I23" s="4015"/>
      <c r="J23" s="4015"/>
      <c r="K23" s="4015"/>
      <c r="L23" s="4015"/>
      <c r="M23" s="4015"/>
      <c r="N23" s="4015"/>
      <c r="O23" s="1311"/>
      <c r="P23" s="3929">
        <v>0</v>
      </c>
      <c r="Q23" s="1462"/>
      <c r="R23" s="1465"/>
      <c r="S23" s="1461">
        <v>0</v>
      </c>
      <c r="T23" s="1462"/>
      <c r="U23" s="1471"/>
      <c r="V23" s="1462">
        <v>0</v>
      </c>
      <c r="W23" s="1462"/>
      <c r="X23" s="1465"/>
      <c r="Y23" s="1461">
        <v>0</v>
      </c>
      <c r="Z23" s="1462"/>
      <c r="AA23" s="1462"/>
      <c r="AB23" s="1464">
        <v>0</v>
      </c>
      <c r="AC23" s="1462"/>
      <c r="AD23" s="1465"/>
      <c r="AE23" s="1461">
        <v>0</v>
      </c>
      <c r="AF23" s="1462"/>
      <c r="AG23" s="1471"/>
      <c r="AH23" s="1462">
        <v>0</v>
      </c>
      <c r="AI23" s="1462"/>
      <c r="AJ23" s="1465"/>
      <c r="AK23" s="1461">
        <v>0</v>
      </c>
      <c r="AL23" s="1462"/>
      <c r="AM23" s="3932"/>
      <c r="AO23" s="405"/>
    </row>
    <row r="24" spans="2:41" s="44" customFormat="1" ht="36.5" customHeight="1" x14ac:dyDescent="0.35">
      <c r="B24" s="412"/>
      <c r="D24" s="4014" t="s">
        <v>1825</v>
      </c>
      <c r="E24" s="4015"/>
      <c r="F24" s="4015"/>
      <c r="G24" s="4015"/>
      <c r="H24" s="4015"/>
      <c r="I24" s="4015"/>
      <c r="J24" s="4015"/>
      <c r="K24" s="4015"/>
      <c r="L24" s="4015"/>
      <c r="M24" s="4015"/>
      <c r="N24" s="4015"/>
      <c r="O24" s="1311"/>
      <c r="P24" s="3945">
        <v>0</v>
      </c>
      <c r="Q24" s="3925"/>
      <c r="R24" s="3926"/>
      <c r="S24" s="3927">
        <v>0</v>
      </c>
      <c r="T24" s="3925"/>
      <c r="U24" s="3944"/>
      <c r="V24" s="3925">
        <v>0</v>
      </c>
      <c r="W24" s="3925"/>
      <c r="X24" s="3926"/>
      <c r="Y24" s="3927">
        <v>0</v>
      </c>
      <c r="Z24" s="3925"/>
      <c r="AA24" s="3925"/>
      <c r="AB24" s="3943">
        <v>0</v>
      </c>
      <c r="AC24" s="3925"/>
      <c r="AD24" s="3926"/>
      <c r="AE24" s="3927">
        <v>0</v>
      </c>
      <c r="AF24" s="3925"/>
      <c r="AG24" s="3944"/>
      <c r="AH24" s="3925">
        <v>0</v>
      </c>
      <c r="AI24" s="3925"/>
      <c r="AJ24" s="3926"/>
      <c r="AK24" s="3927">
        <v>0</v>
      </c>
      <c r="AL24" s="3925"/>
      <c r="AM24" s="3928"/>
      <c r="AO24" s="405"/>
    </row>
    <row r="25" spans="2:41" s="44" customFormat="1" ht="22.5" customHeight="1" x14ac:dyDescent="0.35">
      <c r="B25" s="412"/>
      <c r="D25" s="4014" t="s">
        <v>1807</v>
      </c>
      <c r="E25" s="4015"/>
      <c r="F25" s="4015"/>
      <c r="G25" s="4015"/>
      <c r="H25" s="4015"/>
      <c r="I25" s="4015"/>
      <c r="J25" s="4015"/>
      <c r="K25" s="4015"/>
      <c r="L25" s="4015"/>
      <c r="M25" s="4015"/>
      <c r="N25" s="4015"/>
      <c r="O25" s="1311"/>
      <c r="P25" s="3929">
        <v>0</v>
      </c>
      <c r="Q25" s="1462"/>
      <c r="R25" s="1465"/>
      <c r="S25" s="1461">
        <v>0</v>
      </c>
      <c r="T25" s="1462"/>
      <c r="U25" s="1471"/>
      <c r="V25" s="1462">
        <v>0</v>
      </c>
      <c r="W25" s="1462"/>
      <c r="X25" s="1465"/>
      <c r="Y25" s="1461">
        <v>0</v>
      </c>
      <c r="Z25" s="1462"/>
      <c r="AA25" s="1462"/>
      <c r="AB25" s="1464">
        <v>0</v>
      </c>
      <c r="AC25" s="1462"/>
      <c r="AD25" s="1465"/>
      <c r="AE25" s="1461">
        <v>0</v>
      </c>
      <c r="AF25" s="1462"/>
      <c r="AG25" s="1471"/>
      <c r="AH25" s="1462">
        <v>0</v>
      </c>
      <c r="AI25" s="1462"/>
      <c r="AJ25" s="1465"/>
      <c r="AK25" s="1461">
        <v>0</v>
      </c>
      <c r="AL25" s="1462"/>
      <c r="AM25" s="3932"/>
      <c r="AO25" s="405"/>
    </row>
    <row r="26" spans="2:41" s="44" customFormat="1" ht="22.5" customHeight="1" x14ac:dyDescent="0.35">
      <c r="B26" s="412"/>
      <c r="D26" s="4016" t="s">
        <v>1808</v>
      </c>
      <c r="E26" s="4017"/>
      <c r="F26" s="4017"/>
      <c r="G26" s="4017"/>
      <c r="H26" s="4017"/>
      <c r="I26" s="4017"/>
      <c r="J26" s="4017"/>
      <c r="K26" s="4017"/>
      <c r="L26" s="4017"/>
      <c r="M26" s="4017"/>
      <c r="N26" s="4017"/>
      <c r="O26" s="1311"/>
      <c r="P26" s="3945">
        <v>0</v>
      </c>
      <c r="Q26" s="3925"/>
      <c r="R26" s="3926"/>
      <c r="S26" s="3927">
        <v>0</v>
      </c>
      <c r="T26" s="3925"/>
      <c r="U26" s="3944"/>
      <c r="V26" s="3925">
        <v>0</v>
      </c>
      <c r="W26" s="3925"/>
      <c r="X26" s="3926"/>
      <c r="Y26" s="3927">
        <v>0</v>
      </c>
      <c r="Z26" s="3925"/>
      <c r="AA26" s="3925"/>
      <c r="AB26" s="3943">
        <v>0</v>
      </c>
      <c r="AC26" s="3925"/>
      <c r="AD26" s="3926"/>
      <c r="AE26" s="3927">
        <v>0</v>
      </c>
      <c r="AF26" s="3925"/>
      <c r="AG26" s="3944"/>
      <c r="AH26" s="3925">
        <v>0</v>
      </c>
      <c r="AI26" s="3925"/>
      <c r="AJ26" s="3926"/>
      <c r="AK26" s="3927">
        <v>0</v>
      </c>
      <c r="AL26" s="3925"/>
      <c r="AM26" s="3928"/>
      <c r="AO26" s="405"/>
    </row>
    <row r="27" spans="2:41" s="44" customFormat="1" ht="36.5" customHeight="1" x14ac:dyDescent="0.35">
      <c r="B27" s="412"/>
      <c r="D27" s="4014" t="s">
        <v>1826</v>
      </c>
      <c r="E27" s="4017"/>
      <c r="F27" s="4017"/>
      <c r="G27" s="4017"/>
      <c r="H27" s="4017"/>
      <c r="I27" s="4017"/>
      <c r="J27" s="4017"/>
      <c r="K27" s="4017"/>
      <c r="L27" s="4017"/>
      <c r="M27" s="4017"/>
      <c r="N27" s="4017"/>
      <c r="O27" s="1311"/>
      <c r="P27" s="3929">
        <v>0</v>
      </c>
      <c r="Q27" s="1462"/>
      <c r="R27" s="1465"/>
      <c r="S27" s="1461">
        <v>0</v>
      </c>
      <c r="T27" s="1462"/>
      <c r="U27" s="1471"/>
      <c r="V27" s="1462">
        <v>0</v>
      </c>
      <c r="W27" s="1462"/>
      <c r="X27" s="1465"/>
      <c r="Y27" s="1461">
        <v>0</v>
      </c>
      <c r="Z27" s="1462"/>
      <c r="AA27" s="1462"/>
      <c r="AB27" s="1464">
        <v>0</v>
      </c>
      <c r="AC27" s="1462"/>
      <c r="AD27" s="1465"/>
      <c r="AE27" s="1461">
        <v>0</v>
      </c>
      <c r="AF27" s="1462"/>
      <c r="AG27" s="1471"/>
      <c r="AH27" s="1462">
        <v>0</v>
      </c>
      <c r="AI27" s="1462"/>
      <c r="AJ27" s="1465"/>
      <c r="AK27" s="1461">
        <v>0</v>
      </c>
      <c r="AL27" s="1462"/>
      <c r="AM27" s="3932"/>
      <c r="AO27" s="405"/>
    </row>
    <row r="28" spans="2:41" s="44" customFormat="1" ht="22.5" customHeight="1" x14ac:dyDescent="0.35">
      <c r="B28" s="412"/>
      <c r="D28" s="4016" t="s">
        <v>1811</v>
      </c>
      <c r="E28" s="4017"/>
      <c r="F28" s="4017"/>
      <c r="G28" s="4017"/>
      <c r="H28" s="4017"/>
      <c r="I28" s="4017"/>
      <c r="J28" s="4017"/>
      <c r="K28" s="4017"/>
      <c r="L28" s="4017"/>
      <c r="M28" s="4017"/>
      <c r="N28" s="4017"/>
      <c r="O28" s="1311"/>
      <c r="P28" s="3945">
        <v>0</v>
      </c>
      <c r="Q28" s="3925"/>
      <c r="R28" s="3926"/>
      <c r="S28" s="3927">
        <v>0</v>
      </c>
      <c r="T28" s="3925"/>
      <c r="U28" s="3944"/>
      <c r="V28" s="3925">
        <v>0</v>
      </c>
      <c r="W28" s="3925"/>
      <c r="X28" s="3926"/>
      <c r="Y28" s="3927">
        <v>0</v>
      </c>
      <c r="Z28" s="3925"/>
      <c r="AA28" s="3925"/>
      <c r="AB28" s="3943">
        <v>0</v>
      </c>
      <c r="AC28" s="3925"/>
      <c r="AD28" s="3926"/>
      <c r="AE28" s="3927">
        <v>0</v>
      </c>
      <c r="AF28" s="3925"/>
      <c r="AG28" s="3944"/>
      <c r="AH28" s="3925">
        <v>0</v>
      </c>
      <c r="AI28" s="3925"/>
      <c r="AJ28" s="3926"/>
      <c r="AK28" s="3927">
        <v>0</v>
      </c>
      <c r="AL28" s="3925"/>
      <c r="AM28" s="3928"/>
      <c r="AO28" s="405"/>
    </row>
    <row r="29" spans="2:41" s="44" customFormat="1" ht="22.5" customHeight="1" x14ac:dyDescent="0.35">
      <c r="B29" s="412"/>
      <c r="D29" s="4016" t="s">
        <v>1812</v>
      </c>
      <c r="E29" s="4017"/>
      <c r="F29" s="4017"/>
      <c r="G29" s="4017"/>
      <c r="H29" s="4017"/>
      <c r="I29" s="4017"/>
      <c r="J29" s="4017"/>
      <c r="K29" s="4017"/>
      <c r="L29" s="4017"/>
      <c r="M29" s="4017"/>
      <c r="N29" s="4017"/>
      <c r="O29" s="1311"/>
      <c r="P29" s="3929">
        <v>0</v>
      </c>
      <c r="Q29" s="1462"/>
      <c r="R29" s="1465"/>
      <c r="S29" s="1461">
        <v>0</v>
      </c>
      <c r="T29" s="1462"/>
      <c r="U29" s="1471"/>
      <c r="V29" s="1462">
        <v>0</v>
      </c>
      <c r="W29" s="1462"/>
      <c r="X29" s="1465"/>
      <c r="Y29" s="1461">
        <v>0</v>
      </c>
      <c r="Z29" s="1462"/>
      <c r="AA29" s="1462"/>
      <c r="AB29" s="1464">
        <v>0</v>
      </c>
      <c r="AC29" s="1462"/>
      <c r="AD29" s="1465"/>
      <c r="AE29" s="1461">
        <v>0</v>
      </c>
      <c r="AF29" s="1462"/>
      <c r="AG29" s="1471"/>
      <c r="AH29" s="1462">
        <v>0</v>
      </c>
      <c r="AI29" s="1462"/>
      <c r="AJ29" s="1465"/>
      <c r="AK29" s="1461">
        <v>0</v>
      </c>
      <c r="AL29" s="1462"/>
      <c r="AM29" s="3932"/>
      <c r="AO29" s="405"/>
    </row>
    <row r="30" spans="2:41" s="44" customFormat="1" ht="22.5" customHeight="1" x14ac:dyDescent="0.35">
      <c r="B30" s="412"/>
      <c r="D30" s="4016" t="s">
        <v>1813</v>
      </c>
      <c r="E30" s="4017"/>
      <c r="F30" s="4017"/>
      <c r="G30" s="4017"/>
      <c r="H30" s="4017"/>
      <c r="I30" s="4017"/>
      <c r="J30" s="4017"/>
      <c r="K30" s="4017"/>
      <c r="L30" s="4017"/>
      <c r="M30" s="4017"/>
      <c r="N30" s="4017"/>
      <c r="O30" s="1311"/>
      <c r="P30" s="3945">
        <v>0</v>
      </c>
      <c r="Q30" s="3925"/>
      <c r="R30" s="3926"/>
      <c r="S30" s="3927">
        <v>0</v>
      </c>
      <c r="T30" s="3925"/>
      <c r="U30" s="3944"/>
      <c r="V30" s="3925">
        <v>0</v>
      </c>
      <c r="W30" s="3925"/>
      <c r="X30" s="3926"/>
      <c r="Y30" s="3927">
        <v>0</v>
      </c>
      <c r="Z30" s="3925"/>
      <c r="AA30" s="3925"/>
      <c r="AB30" s="3943">
        <v>0</v>
      </c>
      <c r="AC30" s="3925"/>
      <c r="AD30" s="3926"/>
      <c r="AE30" s="3927">
        <v>0</v>
      </c>
      <c r="AF30" s="3925"/>
      <c r="AG30" s="3944"/>
      <c r="AH30" s="3925">
        <v>0</v>
      </c>
      <c r="AI30" s="3925"/>
      <c r="AJ30" s="3926"/>
      <c r="AK30" s="3927">
        <v>0</v>
      </c>
      <c r="AL30" s="3925"/>
      <c r="AM30" s="3928"/>
      <c r="AO30" s="405"/>
    </row>
    <row r="31" spans="2:41" s="44" customFormat="1" ht="22.5" customHeight="1" x14ac:dyDescent="0.35">
      <c r="B31" s="412"/>
      <c r="D31" s="4016" t="s">
        <v>1814</v>
      </c>
      <c r="E31" s="4017"/>
      <c r="F31" s="4017"/>
      <c r="G31" s="4017"/>
      <c r="H31" s="4017"/>
      <c r="I31" s="4017"/>
      <c r="J31" s="4017"/>
      <c r="K31" s="4017"/>
      <c r="L31" s="4017"/>
      <c r="M31" s="4017"/>
      <c r="N31" s="4017"/>
      <c r="O31" s="1311"/>
      <c r="P31" s="3929">
        <v>0</v>
      </c>
      <c r="Q31" s="1462"/>
      <c r="R31" s="1465"/>
      <c r="S31" s="1461">
        <v>0</v>
      </c>
      <c r="T31" s="1462"/>
      <c r="U31" s="1471"/>
      <c r="V31" s="1462">
        <v>0</v>
      </c>
      <c r="W31" s="1462"/>
      <c r="X31" s="1465"/>
      <c r="Y31" s="1461">
        <v>0</v>
      </c>
      <c r="Z31" s="1462"/>
      <c r="AA31" s="1462"/>
      <c r="AB31" s="1464">
        <v>0</v>
      </c>
      <c r="AC31" s="1462"/>
      <c r="AD31" s="1465"/>
      <c r="AE31" s="1461">
        <v>0</v>
      </c>
      <c r="AF31" s="1462"/>
      <c r="AG31" s="1471"/>
      <c r="AH31" s="1462">
        <v>0</v>
      </c>
      <c r="AI31" s="1462"/>
      <c r="AJ31" s="1465"/>
      <c r="AK31" s="1461">
        <v>0</v>
      </c>
      <c r="AL31" s="1462"/>
      <c r="AM31" s="3932"/>
      <c r="AO31" s="405"/>
    </row>
    <row r="32" spans="2:41" s="44" customFormat="1" ht="36.5" customHeight="1" x14ac:dyDescent="0.35">
      <c r="B32" s="412"/>
      <c r="D32" s="4014" t="s">
        <v>1827</v>
      </c>
      <c r="E32" s="4015"/>
      <c r="F32" s="4015"/>
      <c r="G32" s="4015"/>
      <c r="H32" s="4015"/>
      <c r="I32" s="4015"/>
      <c r="J32" s="4015"/>
      <c r="K32" s="4015"/>
      <c r="L32" s="4015"/>
      <c r="M32" s="4015"/>
      <c r="N32" s="4015"/>
      <c r="O32" s="1311"/>
      <c r="P32" s="3945">
        <v>0</v>
      </c>
      <c r="Q32" s="3925"/>
      <c r="R32" s="3926"/>
      <c r="S32" s="3927">
        <v>0</v>
      </c>
      <c r="T32" s="3925"/>
      <c r="U32" s="3944"/>
      <c r="V32" s="3925">
        <v>0</v>
      </c>
      <c r="W32" s="3925"/>
      <c r="X32" s="3926"/>
      <c r="Y32" s="3927">
        <v>0</v>
      </c>
      <c r="Z32" s="3925"/>
      <c r="AA32" s="3925"/>
      <c r="AB32" s="3943">
        <v>0</v>
      </c>
      <c r="AC32" s="3925"/>
      <c r="AD32" s="3926"/>
      <c r="AE32" s="3927">
        <v>0</v>
      </c>
      <c r="AF32" s="3925"/>
      <c r="AG32" s="3944"/>
      <c r="AH32" s="3925">
        <v>0</v>
      </c>
      <c r="AI32" s="3925"/>
      <c r="AJ32" s="3926"/>
      <c r="AK32" s="3927">
        <v>0</v>
      </c>
      <c r="AL32" s="3925"/>
      <c r="AM32" s="3928"/>
      <c r="AO32" s="405"/>
    </row>
    <row r="33" spans="1:41" s="44" customFormat="1" ht="22.5" customHeight="1" x14ac:dyDescent="0.35">
      <c r="B33" s="412"/>
      <c r="D33" s="4067" t="s">
        <v>1802</v>
      </c>
      <c r="E33" s="4043"/>
      <c r="F33" s="4043"/>
      <c r="G33" s="4043"/>
      <c r="H33" s="4043"/>
      <c r="I33" s="4043"/>
      <c r="J33" s="4043"/>
      <c r="K33" s="4043"/>
      <c r="L33" s="4043"/>
      <c r="M33" s="4043"/>
      <c r="N33" s="4043"/>
      <c r="O33" s="1289"/>
      <c r="P33" s="4073">
        <v>0</v>
      </c>
      <c r="Q33" s="4049"/>
      <c r="R33" s="4050"/>
      <c r="S33" s="4057">
        <v>0</v>
      </c>
      <c r="T33" s="4049"/>
      <c r="U33" s="4058"/>
      <c r="V33" s="4049">
        <v>0</v>
      </c>
      <c r="W33" s="4049"/>
      <c r="X33" s="4050"/>
      <c r="Y33" s="4057">
        <v>0</v>
      </c>
      <c r="Z33" s="4049"/>
      <c r="AA33" s="4049"/>
      <c r="AB33" s="4048">
        <v>0</v>
      </c>
      <c r="AC33" s="4049"/>
      <c r="AD33" s="4050"/>
      <c r="AE33" s="4057">
        <v>0</v>
      </c>
      <c r="AF33" s="4049"/>
      <c r="AG33" s="4058"/>
      <c r="AH33" s="4049">
        <v>0</v>
      </c>
      <c r="AI33" s="4049"/>
      <c r="AJ33" s="4050"/>
      <c r="AK33" s="4057">
        <v>0</v>
      </c>
      <c r="AL33" s="4049"/>
      <c r="AM33" s="4070"/>
      <c r="AO33" s="405"/>
    </row>
    <row r="34" spans="1:41" s="44" customFormat="1" ht="22.5" customHeight="1" x14ac:dyDescent="0.35">
      <c r="B34" s="412"/>
      <c r="D34" s="1309"/>
      <c r="E34" s="3811"/>
      <c r="F34" s="3811"/>
      <c r="G34" s="3811"/>
      <c r="H34" s="3811"/>
      <c r="I34" s="3811"/>
      <c r="J34" s="3811"/>
      <c r="K34" s="3811"/>
      <c r="L34" s="3811"/>
      <c r="M34" s="3811"/>
      <c r="N34" s="3811"/>
      <c r="O34" s="72"/>
      <c r="P34" s="4074"/>
      <c r="Q34" s="4052"/>
      <c r="R34" s="4053"/>
      <c r="S34" s="4059"/>
      <c r="T34" s="4052"/>
      <c r="U34" s="4060"/>
      <c r="V34" s="4052"/>
      <c r="W34" s="4052"/>
      <c r="X34" s="4053"/>
      <c r="Y34" s="4059"/>
      <c r="Z34" s="4052"/>
      <c r="AA34" s="4052"/>
      <c r="AB34" s="4051"/>
      <c r="AC34" s="4052"/>
      <c r="AD34" s="4053"/>
      <c r="AE34" s="4059"/>
      <c r="AF34" s="4052"/>
      <c r="AG34" s="4060"/>
      <c r="AH34" s="4052"/>
      <c r="AI34" s="4052"/>
      <c r="AJ34" s="4053"/>
      <c r="AK34" s="4059"/>
      <c r="AL34" s="4052"/>
      <c r="AM34" s="4071"/>
      <c r="AO34" s="405"/>
    </row>
    <row r="35" spans="1:41" s="44" customFormat="1" ht="15" customHeight="1" thickBot="1" x14ac:dyDescent="0.4">
      <c r="B35" s="412"/>
      <c r="D35" s="1296"/>
      <c r="E35" s="1313" t="str">
        <f>IF(AND(ISBLANK(lrnrs_ccamothers_specify), SUM(P33:AM35)&gt;0), "Please specify.", IF(AND(lrnrs_ccamothers_specify&gt;0, SUM(P33:AM35)=0), "Please provide details.", ""))</f>
        <v/>
      </c>
      <c r="F35" s="1297"/>
      <c r="G35" s="1297"/>
      <c r="H35" s="1297"/>
      <c r="I35" s="1297"/>
      <c r="J35" s="1297"/>
      <c r="K35" s="1297"/>
      <c r="L35" s="1297"/>
      <c r="M35" s="1297"/>
      <c r="N35" s="1297"/>
      <c r="O35" s="1297"/>
      <c r="P35" s="4075"/>
      <c r="Q35" s="4055"/>
      <c r="R35" s="4056"/>
      <c r="S35" s="4061"/>
      <c r="T35" s="4055"/>
      <c r="U35" s="4062"/>
      <c r="V35" s="4055"/>
      <c r="W35" s="4055"/>
      <c r="X35" s="4056"/>
      <c r="Y35" s="4061"/>
      <c r="Z35" s="4055"/>
      <c r="AA35" s="4055"/>
      <c r="AB35" s="4054"/>
      <c r="AC35" s="4055"/>
      <c r="AD35" s="4056"/>
      <c r="AE35" s="4061"/>
      <c r="AF35" s="4055"/>
      <c r="AG35" s="4062"/>
      <c r="AH35" s="4055"/>
      <c r="AI35" s="4055"/>
      <c r="AJ35" s="4056"/>
      <c r="AK35" s="4061"/>
      <c r="AL35" s="4055"/>
      <c r="AM35" s="4072"/>
      <c r="AO35" s="405"/>
    </row>
    <row r="36" spans="1:41" s="44" customFormat="1" ht="19.5" customHeight="1" thickTop="1" thickBot="1" x14ac:dyDescent="0.4">
      <c r="B36" s="412"/>
      <c r="D36" s="1292" t="s">
        <v>1901</v>
      </c>
      <c r="E36" s="1293"/>
      <c r="F36" s="1293"/>
      <c r="G36" s="1293"/>
      <c r="H36" s="1293"/>
      <c r="I36" s="1293"/>
      <c r="J36" s="1293"/>
      <c r="K36" s="1293"/>
      <c r="L36" s="1293"/>
      <c r="M36" s="1293"/>
      <c r="N36" s="1293"/>
      <c r="O36" s="1293"/>
      <c r="P36" s="3981"/>
      <c r="Q36" s="2160"/>
      <c r="R36" s="2160"/>
      <c r="S36" s="2160"/>
      <c r="T36" s="2160"/>
      <c r="U36" s="2160"/>
      <c r="V36" s="2160"/>
      <c r="W36" s="2160"/>
      <c r="X36" s="2160"/>
      <c r="Y36" s="2160"/>
      <c r="Z36" s="2160"/>
      <c r="AA36" s="2160"/>
      <c r="AB36" s="2160"/>
      <c r="AC36" s="2160"/>
      <c r="AD36" s="2160"/>
      <c r="AE36" s="2160"/>
      <c r="AF36" s="2160"/>
      <c r="AG36" s="2160"/>
      <c r="AH36" s="2160"/>
      <c r="AI36" s="2160"/>
      <c r="AJ36" s="2160"/>
      <c r="AK36" s="2160"/>
      <c r="AL36" s="2160"/>
      <c r="AM36" s="2555"/>
      <c r="AO36" s="405"/>
    </row>
    <row r="37" spans="1:41" s="44" customFormat="1" ht="22.5" customHeight="1" x14ac:dyDescent="0.35">
      <c r="B37" s="412"/>
      <c r="D37" s="4065" t="s">
        <v>873</v>
      </c>
      <c r="E37" s="4066"/>
      <c r="F37" s="4066"/>
      <c r="G37" s="4066"/>
      <c r="H37" s="4066"/>
      <c r="I37" s="4066"/>
      <c r="J37" s="4066"/>
      <c r="K37" s="4066"/>
      <c r="L37" s="4066"/>
      <c r="M37" s="4066"/>
      <c r="N37" s="4066"/>
      <c r="O37" s="1310"/>
      <c r="P37" s="4063">
        <v>0</v>
      </c>
      <c r="Q37" s="2294"/>
      <c r="R37" s="2295"/>
      <c r="S37" s="2293">
        <v>0</v>
      </c>
      <c r="T37" s="2294"/>
      <c r="U37" s="4064"/>
      <c r="V37" s="2294">
        <v>0</v>
      </c>
      <c r="W37" s="2294"/>
      <c r="X37" s="2295"/>
      <c r="Y37" s="2293">
        <v>0</v>
      </c>
      <c r="Z37" s="2294"/>
      <c r="AA37" s="2294"/>
      <c r="AB37" s="2301">
        <v>0</v>
      </c>
      <c r="AC37" s="2294"/>
      <c r="AD37" s="2295"/>
      <c r="AE37" s="2293">
        <v>0</v>
      </c>
      <c r="AF37" s="2294"/>
      <c r="AG37" s="4064"/>
      <c r="AH37" s="2294">
        <v>0</v>
      </c>
      <c r="AI37" s="2294"/>
      <c r="AJ37" s="2295"/>
      <c r="AK37" s="2293">
        <v>0</v>
      </c>
      <c r="AL37" s="2294"/>
      <c r="AM37" s="4047"/>
      <c r="AO37" s="405"/>
    </row>
    <row r="38" spans="1:41" s="44" customFormat="1" ht="36.5" customHeight="1" x14ac:dyDescent="0.35">
      <c r="B38" s="412"/>
      <c r="D38" s="4016" t="s">
        <v>1816</v>
      </c>
      <c r="E38" s="4017"/>
      <c r="F38" s="4017"/>
      <c r="G38" s="4017"/>
      <c r="H38" s="4017"/>
      <c r="I38" s="4017"/>
      <c r="J38" s="4017"/>
      <c r="K38" s="4017"/>
      <c r="L38" s="4017"/>
      <c r="M38" s="4017"/>
      <c r="N38" s="4017"/>
      <c r="O38" s="1311"/>
      <c r="P38" s="3929">
        <v>0</v>
      </c>
      <c r="Q38" s="1462"/>
      <c r="R38" s="1465"/>
      <c r="S38" s="1461">
        <v>0</v>
      </c>
      <c r="T38" s="1462"/>
      <c r="U38" s="1471"/>
      <c r="V38" s="1462">
        <v>0</v>
      </c>
      <c r="W38" s="1462"/>
      <c r="X38" s="1465"/>
      <c r="Y38" s="1461">
        <v>0</v>
      </c>
      <c r="Z38" s="1462"/>
      <c r="AA38" s="1462"/>
      <c r="AB38" s="1464">
        <v>0</v>
      </c>
      <c r="AC38" s="1462"/>
      <c r="AD38" s="1465"/>
      <c r="AE38" s="1461">
        <v>0</v>
      </c>
      <c r="AF38" s="1462"/>
      <c r="AG38" s="1471"/>
      <c r="AH38" s="1462">
        <v>0</v>
      </c>
      <c r="AI38" s="1462"/>
      <c r="AJ38" s="1465"/>
      <c r="AK38" s="1461">
        <v>0</v>
      </c>
      <c r="AL38" s="1462"/>
      <c r="AM38" s="3932"/>
      <c r="AO38" s="405"/>
    </row>
    <row r="39" spans="1:41" s="44" customFormat="1" ht="22.5" customHeight="1" x14ac:dyDescent="0.35">
      <c r="B39" s="412"/>
      <c r="D39" s="4016" t="s">
        <v>874</v>
      </c>
      <c r="E39" s="4017"/>
      <c r="F39" s="4017"/>
      <c r="G39" s="4017"/>
      <c r="H39" s="4017"/>
      <c r="I39" s="4017"/>
      <c r="J39" s="4017"/>
      <c r="K39" s="4017"/>
      <c r="L39" s="4017"/>
      <c r="M39" s="4017"/>
      <c r="N39" s="4017"/>
      <c r="O39" s="1312"/>
      <c r="P39" s="3929">
        <v>0</v>
      </c>
      <c r="Q39" s="1462"/>
      <c r="R39" s="1465"/>
      <c r="S39" s="1461">
        <v>0</v>
      </c>
      <c r="T39" s="1462"/>
      <c r="U39" s="1471"/>
      <c r="V39" s="1462">
        <v>0</v>
      </c>
      <c r="W39" s="1462"/>
      <c r="X39" s="1465"/>
      <c r="Y39" s="1461">
        <v>0</v>
      </c>
      <c r="Z39" s="1462"/>
      <c r="AA39" s="1462"/>
      <c r="AB39" s="1464">
        <v>0</v>
      </c>
      <c r="AC39" s="1462"/>
      <c r="AD39" s="1465"/>
      <c r="AE39" s="1461">
        <v>0</v>
      </c>
      <c r="AF39" s="1462"/>
      <c r="AG39" s="1471"/>
      <c r="AH39" s="1462">
        <v>0</v>
      </c>
      <c r="AI39" s="1462"/>
      <c r="AJ39" s="1465"/>
      <c r="AK39" s="1461">
        <v>0</v>
      </c>
      <c r="AL39" s="1462"/>
      <c r="AM39" s="3932"/>
      <c r="AO39" s="405"/>
    </row>
    <row r="40" spans="1:41" s="44" customFormat="1" ht="36.5" customHeight="1" x14ac:dyDescent="0.35">
      <c r="B40" s="412"/>
      <c r="D40" s="4014" t="s">
        <v>1828</v>
      </c>
      <c r="E40" s="4015"/>
      <c r="F40" s="4015"/>
      <c r="G40" s="4015"/>
      <c r="H40" s="4015"/>
      <c r="I40" s="4015"/>
      <c r="J40" s="4015"/>
      <c r="K40" s="4015"/>
      <c r="L40" s="4015"/>
      <c r="M40" s="4015"/>
      <c r="N40" s="4015"/>
      <c r="O40" s="1311"/>
      <c r="P40" s="3929">
        <v>0</v>
      </c>
      <c r="Q40" s="1462"/>
      <c r="R40" s="1465"/>
      <c r="S40" s="1461">
        <v>0</v>
      </c>
      <c r="T40" s="1462"/>
      <c r="U40" s="1471"/>
      <c r="V40" s="1462">
        <v>0</v>
      </c>
      <c r="W40" s="1462"/>
      <c r="X40" s="1465"/>
      <c r="Y40" s="1461">
        <v>0</v>
      </c>
      <c r="Z40" s="1462"/>
      <c r="AA40" s="1462"/>
      <c r="AB40" s="1464">
        <v>0</v>
      </c>
      <c r="AC40" s="1462"/>
      <c r="AD40" s="1465"/>
      <c r="AE40" s="1461">
        <v>0</v>
      </c>
      <c r="AF40" s="1462"/>
      <c r="AG40" s="1471"/>
      <c r="AH40" s="1462">
        <v>0</v>
      </c>
      <c r="AI40" s="1462"/>
      <c r="AJ40" s="1465"/>
      <c r="AK40" s="1461">
        <v>0</v>
      </c>
      <c r="AL40" s="1462"/>
      <c r="AM40" s="3932"/>
      <c r="AO40" s="405"/>
    </row>
    <row r="41" spans="1:41" s="44" customFormat="1" ht="22.5" customHeight="1" x14ac:dyDescent="0.35">
      <c r="B41" s="412"/>
      <c r="D41" s="4042" t="s">
        <v>1802</v>
      </c>
      <c r="E41" s="4043"/>
      <c r="F41" s="4043"/>
      <c r="G41" s="4043"/>
      <c r="H41" s="4043"/>
      <c r="I41" s="4043"/>
      <c r="J41" s="4043"/>
      <c r="K41" s="4043"/>
      <c r="L41" s="4043"/>
      <c r="M41" s="4043"/>
      <c r="N41" s="4043"/>
      <c r="O41" s="1289"/>
      <c r="P41" s="3929">
        <v>0</v>
      </c>
      <c r="Q41" s="1462"/>
      <c r="R41" s="1465"/>
      <c r="S41" s="1461">
        <v>0</v>
      </c>
      <c r="T41" s="1462"/>
      <c r="U41" s="1471"/>
      <c r="V41" s="1462">
        <v>0</v>
      </c>
      <c r="W41" s="1462"/>
      <c r="X41" s="1465"/>
      <c r="Y41" s="1461">
        <v>0</v>
      </c>
      <c r="Z41" s="1462"/>
      <c r="AA41" s="1462"/>
      <c r="AB41" s="1464">
        <v>0</v>
      </c>
      <c r="AC41" s="1462"/>
      <c r="AD41" s="1465"/>
      <c r="AE41" s="1461">
        <v>0</v>
      </c>
      <c r="AF41" s="1462"/>
      <c r="AG41" s="1471"/>
      <c r="AH41" s="1462">
        <v>0</v>
      </c>
      <c r="AI41" s="1462"/>
      <c r="AJ41" s="1465"/>
      <c r="AK41" s="1461">
        <v>0</v>
      </c>
      <c r="AL41" s="1462"/>
      <c r="AM41" s="3932"/>
      <c r="AO41" s="405"/>
    </row>
    <row r="42" spans="1:41" s="44" customFormat="1" ht="22.5" customHeight="1" x14ac:dyDescent="0.35">
      <c r="B42" s="412"/>
      <c r="D42" s="1309"/>
      <c r="E42" s="3811"/>
      <c r="F42" s="3811"/>
      <c r="G42" s="3811"/>
      <c r="H42" s="3811"/>
      <c r="I42" s="3811"/>
      <c r="J42" s="3811"/>
      <c r="K42" s="3811"/>
      <c r="L42" s="3811"/>
      <c r="M42" s="3811"/>
      <c r="N42" s="3811"/>
      <c r="O42" s="72"/>
      <c r="P42" s="3929"/>
      <c r="Q42" s="1462"/>
      <c r="R42" s="1465"/>
      <c r="S42" s="1461"/>
      <c r="T42" s="1462"/>
      <c r="U42" s="1471"/>
      <c r="V42" s="1462"/>
      <c r="W42" s="1462"/>
      <c r="X42" s="1465"/>
      <c r="Y42" s="1461"/>
      <c r="Z42" s="1462"/>
      <c r="AA42" s="1462"/>
      <c r="AB42" s="1464"/>
      <c r="AC42" s="1462"/>
      <c r="AD42" s="1465"/>
      <c r="AE42" s="1461"/>
      <c r="AF42" s="1462"/>
      <c r="AG42" s="1471"/>
      <c r="AH42" s="1462"/>
      <c r="AI42" s="1462"/>
      <c r="AJ42" s="1465"/>
      <c r="AK42" s="1461"/>
      <c r="AL42" s="1462"/>
      <c r="AM42" s="3932"/>
      <c r="AO42" s="405"/>
    </row>
    <row r="43" spans="1:41" s="44" customFormat="1" ht="15" customHeight="1" thickBot="1" x14ac:dyDescent="0.4">
      <c r="B43" s="412"/>
      <c r="D43" s="1285"/>
      <c r="E43" s="889" t="str">
        <f>IF(AND(ISBLANK(lrnrs_peaceothers_specify), SUM(P41:AM43)&gt;0), "Please specify.", IF(AND(lrnrs_peaceothers_specify&gt;0, SUM(P41:AM43)=0), "Please provide details.", ""))</f>
        <v/>
      </c>
      <c r="F43" s="342"/>
      <c r="G43" s="342"/>
      <c r="H43" s="342"/>
      <c r="I43" s="342"/>
      <c r="J43" s="342"/>
      <c r="K43" s="342"/>
      <c r="L43" s="342"/>
      <c r="M43" s="342"/>
      <c r="N43" s="342"/>
      <c r="O43" s="342"/>
      <c r="P43" s="3936"/>
      <c r="Q43" s="3937"/>
      <c r="R43" s="3938"/>
      <c r="S43" s="3939"/>
      <c r="T43" s="3937"/>
      <c r="U43" s="3940"/>
      <c r="V43" s="3937"/>
      <c r="W43" s="3937"/>
      <c r="X43" s="3938"/>
      <c r="Y43" s="3939"/>
      <c r="Z43" s="3937"/>
      <c r="AA43" s="3937"/>
      <c r="AB43" s="3941"/>
      <c r="AC43" s="3937"/>
      <c r="AD43" s="3938"/>
      <c r="AE43" s="3939"/>
      <c r="AF43" s="3937"/>
      <c r="AG43" s="3940"/>
      <c r="AH43" s="3937"/>
      <c r="AI43" s="3937"/>
      <c r="AJ43" s="3938"/>
      <c r="AK43" s="3939"/>
      <c r="AL43" s="3937"/>
      <c r="AM43" s="3942"/>
      <c r="AO43" s="405"/>
    </row>
    <row r="44" spans="1:41" s="44" customFormat="1" ht="5" customHeight="1" thickTop="1" x14ac:dyDescent="0.35">
      <c r="A44" s="405"/>
      <c r="D44" s="669"/>
      <c r="E44" s="72"/>
      <c r="F44" s="72"/>
      <c r="G44" s="72"/>
      <c r="H44" s="72"/>
      <c r="I44" s="72"/>
      <c r="J44" s="72"/>
      <c r="K44" s="72"/>
      <c r="L44" s="72"/>
      <c r="M44" s="72"/>
      <c r="N44" s="72"/>
      <c r="O44" s="72"/>
      <c r="P44" s="1095"/>
      <c r="Q44" s="1095"/>
      <c r="R44" s="1095"/>
      <c r="S44" s="1095"/>
      <c r="T44" s="1095"/>
      <c r="U44" s="1095"/>
      <c r="V44" s="1095"/>
      <c r="W44" s="1095"/>
      <c r="X44" s="1095"/>
      <c r="Y44" s="1095"/>
      <c r="Z44" s="1095"/>
      <c r="AA44" s="1095"/>
      <c r="AB44" s="1095"/>
      <c r="AC44" s="1095"/>
      <c r="AD44" s="1095"/>
      <c r="AE44" s="1095"/>
      <c r="AF44" s="1095"/>
      <c r="AG44" s="1095"/>
      <c r="AH44" s="1095"/>
      <c r="AI44" s="1095"/>
      <c r="AJ44" s="1095"/>
      <c r="AK44" s="1095"/>
      <c r="AL44" s="1095"/>
      <c r="AM44" s="1095"/>
      <c r="AO44" s="405"/>
    </row>
    <row r="45" spans="1:41" s="1042" customFormat="1" ht="22.5" customHeight="1" x14ac:dyDescent="0.35">
      <c r="B45" s="1044"/>
      <c r="C45" s="1045"/>
      <c r="D45" s="417" t="s">
        <v>171</v>
      </c>
      <c r="E45" s="1046"/>
      <c r="F45" s="1046"/>
      <c r="G45" s="3933" t="s">
        <v>1932</v>
      </c>
      <c r="H45" s="3933"/>
      <c r="I45" s="3933"/>
      <c r="J45" s="3933"/>
      <c r="K45" s="3933"/>
      <c r="L45" s="3933"/>
      <c r="M45" s="3933"/>
      <c r="N45" s="3933"/>
      <c r="O45" s="3933"/>
      <c r="P45" s="3933"/>
      <c r="Q45" s="3933"/>
      <c r="R45" s="3933"/>
      <c r="S45" s="3933"/>
      <c r="T45" s="3933"/>
      <c r="U45" s="3933"/>
      <c r="V45" s="3933"/>
      <c r="W45" s="3933"/>
      <c r="X45" s="3933"/>
      <c r="Y45" s="3933"/>
      <c r="Z45" s="3933"/>
      <c r="AA45" s="3933"/>
      <c r="AB45" s="3933"/>
      <c r="AC45" s="3933"/>
      <c r="AD45" s="3933"/>
      <c r="AE45" s="3933"/>
      <c r="AF45" s="3933"/>
      <c r="AG45" s="3933"/>
      <c r="AH45" s="3933"/>
      <c r="AI45" s="3933"/>
      <c r="AJ45" s="3933"/>
      <c r="AK45" s="3933"/>
      <c r="AL45" s="3933"/>
      <c r="AM45" s="3933"/>
      <c r="AO45" s="1043"/>
    </row>
    <row r="46" spans="1:41" s="44" customFormat="1" ht="10" customHeight="1" x14ac:dyDescent="0.35">
      <c r="B46" s="412"/>
      <c r="D46" s="669"/>
      <c r="E46" s="72"/>
      <c r="F46" s="72"/>
      <c r="G46" s="72"/>
      <c r="H46" s="72"/>
      <c r="I46" s="72"/>
      <c r="J46" s="72"/>
      <c r="K46" s="72"/>
      <c r="L46" s="72"/>
      <c r="M46" s="72"/>
      <c r="N46" s="72"/>
      <c r="O46" s="72"/>
      <c r="P46" s="1095"/>
      <c r="Q46" s="1095"/>
      <c r="R46" s="1095"/>
      <c r="S46" s="1095"/>
      <c r="T46" s="1095"/>
      <c r="U46" s="1095"/>
      <c r="V46" s="1095"/>
      <c r="W46" s="1095"/>
      <c r="X46" s="1095"/>
      <c r="Y46" s="1095"/>
      <c r="Z46" s="1095"/>
      <c r="AA46" s="1095"/>
      <c r="AB46" s="1095"/>
      <c r="AC46" s="1095"/>
      <c r="AD46" s="1095"/>
      <c r="AE46" s="1095"/>
      <c r="AF46" s="1095"/>
      <c r="AG46" s="1095"/>
      <c r="AH46" s="1095"/>
      <c r="AI46" s="1095"/>
      <c r="AJ46" s="1095"/>
      <c r="AK46" s="1095"/>
      <c r="AL46" s="1095"/>
      <c r="AM46" s="1095"/>
      <c r="AO46" s="405"/>
    </row>
    <row r="47" spans="1:41" s="1101" customFormat="1" ht="24.75" customHeight="1" x14ac:dyDescent="0.35">
      <c r="B47" s="1097"/>
      <c r="C47" s="1220" t="s">
        <v>151</v>
      </c>
      <c r="D47" s="833" t="b">
        <v>0</v>
      </c>
      <c r="E47" s="1172" t="s">
        <v>1829</v>
      </c>
      <c r="F47" s="1099"/>
      <c r="G47" s="1099"/>
      <c r="H47" s="1099"/>
      <c r="I47" s="1099"/>
      <c r="J47" s="1099"/>
      <c r="K47" s="1099"/>
      <c r="L47" s="1099"/>
      <c r="M47" s="1099"/>
      <c r="N47" s="1099"/>
      <c r="O47" s="1099"/>
      <c r="P47" s="1099"/>
      <c r="Q47" s="1099"/>
      <c r="R47" s="1099"/>
      <c r="S47" s="1099"/>
      <c r="T47" s="1099"/>
      <c r="U47" s="1099"/>
      <c r="V47" s="1099"/>
      <c r="W47" s="1099"/>
      <c r="X47" s="1099"/>
      <c r="Y47" s="1099"/>
      <c r="Z47" s="1099"/>
      <c r="AA47" s="1099"/>
      <c r="AB47" s="1099"/>
      <c r="AC47" s="1099"/>
      <c r="AD47" s="1099"/>
      <c r="AE47" s="1099"/>
      <c r="AF47" s="1099"/>
      <c r="AG47" s="1099"/>
      <c r="AH47" s="1099"/>
      <c r="AI47" s="1099"/>
      <c r="AJ47" s="1099"/>
      <c r="AK47" s="1099"/>
      <c r="AL47" s="1099"/>
      <c r="AM47" s="1099"/>
      <c r="AO47" s="1144"/>
    </row>
    <row r="48" spans="1:41" s="1101" customFormat="1" ht="16" customHeight="1" x14ac:dyDescent="0.35">
      <c r="B48" s="1097"/>
      <c r="C48" s="1050" t="s">
        <v>152</v>
      </c>
      <c r="D48" s="1103" t="s">
        <v>1830</v>
      </c>
      <c r="E48" s="1051"/>
      <c r="F48" s="1051"/>
      <c r="G48" s="1051"/>
      <c r="H48" s="1051"/>
      <c r="I48" s="1051"/>
      <c r="J48" s="1051"/>
      <c r="K48" s="1051"/>
      <c r="L48" s="1051"/>
      <c r="M48" s="1051"/>
      <c r="N48" s="1051"/>
      <c r="O48" s="1051"/>
      <c r="P48" s="1051"/>
      <c r="Q48" s="1051"/>
      <c r="R48" s="1051"/>
      <c r="S48" s="1051"/>
      <c r="T48" s="1051"/>
      <c r="U48" s="1051"/>
      <c r="V48" s="1051"/>
      <c r="W48" s="1051"/>
      <c r="X48" s="1051"/>
      <c r="Y48" s="1051"/>
      <c r="Z48" s="1051"/>
      <c r="AA48" s="1051"/>
      <c r="AO48" s="1144"/>
    </row>
    <row r="49" spans="2:41" s="44" customFormat="1" ht="5" customHeight="1" thickBot="1" x14ac:dyDescent="0.4">
      <c r="B49" s="665"/>
      <c r="C49" s="669"/>
      <c r="AO49" s="405"/>
    </row>
    <row r="50" spans="2:41" s="72" customFormat="1" ht="18.5" customHeight="1" thickTop="1" x14ac:dyDescent="0.35">
      <c r="B50" s="280"/>
      <c r="C50" s="1236"/>
      <c r="D50" s="1969" t="s">
        <v>1783</v>
      </c>
      <c r="E50" s="1970"/>
      <c r="F50" s="1970"/>
      <c r="G50" s="1970"/>
      <c r="H50" s="1970"/>
      <c r="I50" s="2135"/>
      <c r="J50" s="1970" t="s">
        <v>1831</v>
      </c>
      <c r="K50" s="1970"/>
      <c r="L50" s="1970"/>
      <c r="M50" s="1970"/>
      <c r="N50" s="1970"/>
      <c r="O50" s="213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O50" s="1247"/>
    </row>
    <row r="51" spans="2:41" s="72" customFormat="1" ht="18.5" customHeight="1" thickBot="1" x14ac:dyDescent="0.4">
      <c r="B51" s="280"/>
      <c r="C51" s="1236"/>
      <c r="D51" s="1972"/>
      <c r="E51" s="1973"/>
      <c r="F51" s="1973"/>
      <c r="G51" s="1973"/>
      <c r="H51" s="1973"/>
      <c r="I51" s="2137"/>
      <c r="J51" s="1973"/>
      <c r="K51" s="1973"/>
      <c r="L51" s="1973"/>
      <c r="M51" s="1973"/>
      <c r="N51" s="1973"/>
      <c r="O51" s="2137"/>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O51" s="1247"/>
    </row>
    <row r="52" spans="2:41" s="72" customFormat="1" ht="24.5" customHeight="1" thickTop="1" x14ac:dyDescent="0.35">
      <c r="B52" s="280"/>
      <c r="C52" s="1236"/>
      <c r="D52" s="4036" t="s">
        <v>877</v>
      </c>
      <c r="E52" s="4037"/>
      <c r="F52" s="4037"/>
      <c r="G52" s="4037"/>
      <c r="H52" s="4037"/>
      <c r="I52" s="4038"/>
      <c r="J52" s="4031">
        <v>0</v>
      </c>
      <c r="K52" s="4031"/>
      <c r="L52" s="4031"/>
      <c r="M52" s="4031"/>
      <c r="N52" s="4031"/>
      <c r="O52" s="4032"/>
      <c r="P52" s="1233"/>
      <c r="Q52" s="1234"/>
      <c r="R52" s="1233"/>
      <c r="S52" s="1233"/>
      <c r="T52" s="1234"/>
      <c r="U52" s="1233"/>
      <c r="V52" s="1233"/>
      <c r="W52" s="1234"/>
      <c r="X52" s="1233"/>
      <c r="Y52" s="1233"/>
      <c r="Z52" s="1234"/>
      <c r="AA52" s="1233"/>
      <c r="AB52" s="1233"/>
      <c r="AC52" s="1234"/>
      <c r="AD52" s="1233"/>
      <c r="AE52" s="1233"/>
      <c r="AF52" s="1233"/>
      <c r="AG52" s="1234"/>
      <c r="AH52" s="1233"/>
      <c r="AI52" s="1233"/>
      <c r="AJ52" s="1234"/>
      <c r="AK52" s="1233"/>
      <c r="AO52" s="1247"/>
    </row>
    <row r="53" spans="2:41" s="72" customFormat="1" ht="24.5" customHeight="1" x14ac:dyDescent="0.35">
      <c r="B53" s="280"/>
      <c r="C53" s="1236"/>
      <c r="D53" s="4039" t="s">
        <v>1780</v>
      </c>
      <c r="E53" s="4040"/>
      <c r="F53" s="4040"/>
      <c r="G53" s="4040"/>
      <c r="H53" s="4040"/>
      <c r="I53" s="4041"/>
      <c r="J53" s="1545">
        <v>0</v>
      </c>
      <c r="K53" s="1545"/>
      <c r="L53" s="1545"/>
      <c r="M53" s="1545"/>
      <c r="N53" s="1545"/>
      <c r="O53" s="4033"/>
      <c r="P53" s="1233"/>
      <c r="Q53" s="1234"/>
      <c r="R53" s="1233"/>
      <c r="S53" s="1233"/>
      <c r="T53" s="1234"/>
      <c r="U53" s="1233"/>
      <c r="V53" s="1233"/>
      <c r="W53" s="1234"/>
      <c r="X53" s="1233"/>
      <c r="Y53" s="1233"/>
      <c r="Z53" s="1234"/>
      <c r="AA53" s="1233"/>
      <c r="AB53" s="1233"/>
      <c r="AC53" s="1234"/>
      <c r="AD53" s="1233"/>
      <c r="AE53" s="1233"/>
      <c r="AF53" s="1233"/>
      <c r="AG53" s="1234"/>
      <c r="AH53" s="1233"/>
      <c r="AI53" s="1233"/>
      <c r="AJ53" s="1234"/>
      <c r="AK53" s="1233"/>
      <c r="AO53" s="1247"/>
    </row>
    <row r="54" spans="2:41" s="72" customFormat="1" ht="24.5" customHeight="1" thickBot="1" x14ac:dyDescent="0.4">
      <c r="B54" s="280"/>
      <c r="C54" s="1236"/>
      <c r="D54" s="4028" t="s">
        <v>876</v>
      </c>
      <c r="E54" s="4029"/>
      <c r="F54" s="4029"/>
      <c r="G54" s="4029"/>
      <c r="H54" s="4029"/>
      <c r="I54" s="4030"/>
      <c r="J54" s="4034">
        <v>0</v>
      </c>
      <c r="K54" s="4034"/>
      <c r="L54" s="4034"/>
      <c r="M54" s="4034"/>
      <c r="N54" s="4034"/>
      <c r="O54" s="4035"/>
      <c r="P54" s="1233"/>
      <c r="Q54" s="1234"/>
      <c r="R54" s="1233"/>
      <c r="S54" s="1233"/>
      <c r="T54" s="1234"/>
      <c r="U54" s="1233"/>
      <c r="V54" s="1233"/>
      <c r="W54" s="1234"/>
      <c r="X54" s="1233"/>
      <c r="Y54" s="1233"/>
      <c r="Z54" s="1234"/>
      <c r="AA54" s="1233"/>
      <c r="AB54" s="1233"/>
      <c r="AC54" s="1234"/>
      <c r="AD54" s="1233"/>
      <c r="AE54" s="1233"/>
      <c r="AF54" s="1233"/>
      <c r="AG54" s="1234"/>
      <c r="AH54" s="1233"/>
      <c r="AI54" s="1233"/>
      <c r="AJ54" s="1234"/>
      <c r="AK54" s="1233"/>
      <c r="AO54" s="1247"/>
    </row>
    <row r="55" spans="2:41" ht="10" customHeight="1" thickTop="1" thickBot="1" x14ac:dyDescent="0.4">
      <c r="B55" s="1035"/>
      <c r="C55" s="1036"/>
      <c r="D55" s="1037"/>
      <c r="E55" s="1038"/>
      <c r="F55" s="1038"/>
      <c r="G55" s="1038"/>
      <c r="H55" s="1038"/>
      <c r="I55" s="1038"/>
      <c r="J55" s="1038"/>
      <c r="K55" s="1038"/>
      <c r="L55" s="1038"/>
      <c r="M55" s="1038"/>
      <c r="N55" s="1038"/>
      <c r="O55" s="1039"/>
      <c r="P55" s="1039"/>
      <c r="Q55" s="1039"/>
      <c r="R55" s="1039"/>
      <c r="S55" s="1039"/>
      <c r="T55" s="1039"/>
      <c r="U55" s="1039"/>
      <c r="V55" s="1039"/>
      <c r="W55" s="1039"/>
      <c r="X55" s="1039"/>
      <c r="Y55" s="1039"/>
      <c r="Z55" s="1039"/>
      <c r="AA55" s="1039"/>
      <c r="AB55" s="1039"/>
      <c r="AC55" s="1039"/>
      <c r="AD55" s="1039"/>
      <c r="AE55" s="1039"/>
      <c r="AF55" s="1039"/>
      <c r="AG55" s="1039"/>
      <c r="AH55" s="1039"/>
      <c r="AI55" s="1039"/>
      <c r="AJ55" s="1039"/>
      <c r="AK55" s="1039"/>
      <c r="AL55" s="1039"/>
      <c r="AM55" s="1039"/>
      <c r="AN55" s="1039"/>
      <c r="AO55" s="1040"/>
    </row>
    <row r="56" spans="2:41" ht="10" customHeight="1" thickTop="1" x14ac:dyDescent="0.35">
      <c r="B56" s="1118"/>
      <c r="C56" s="1098"/>
      <c r="E56" s="1052"/>
      <c r="F56" s="1052"/>
      <c r="G56" s="1052"/>
      <c r="H56" s="1052"/>
      <c r="I56" s="1052"/>
      <c r="J56" s="1052"/>
      <c r="K56" s="1041"/>
      <c r="L56" s="1041"/>
      <c r="M56" s="1041"/>
      <c r="N56" s="1041"/>
      <c r="O56" s="1041"/>
      <c r="P56" s="1041"/>
      <c r="Q56" s="1041"/>
      <c r="R56" s="1041"/>
      <c r="S56" s="1041"/>
      <c r="T56" s="1041"/>
      <c r="U56" s="1041"/>
      <c r="V56" s="1041"/>
      <c r="W56" s="1041"/>
      <c r="X56" s="1041"/>
      <c r="Y56" s="1041"/>
      <c r="Z56" s="1041"/>
      <c r="AA56" s="1041"/>
      <c r="AB56" s="1041"/>
      <c r="AC56" s="1041"/>
      <c r="AD56" s="1041"/>
      <c r="AE56" s="1041"/>
      <c r="AF56" s="1041"/>
      <c r="AG56" s="1041"/>
      <c r="AH56" s="1041"/>
      <c r="AI56" s="1041"/>
      <c r="AJ56" s="1041"/>
      <c r="AK56" s="1041"/>
      <c r="AL56" s="1041"/>
      <c r="AM56" s="1041"/>
      <c r="AN56" s="1041"/>
    </row>
    <row r="57" spans="2:41" s="98" customFormat="1" ht="17.25" customHeight="1" x14ac:dyDescent="0.35">
      <c r="B57" s="3670" t="s">
        <v>1895</v>
      </c>
      <c r="C57" s="3670"/>
      <c r="D57" s="3670"/>
      <c r="E57" s="3670"/>
      <c r="F57" s="3670"/>
      <c r="G57" s="3670"/>
      <c r="H57" s="3670"/>
      <c r="I57" s="3670"/>
      <c r="J57" s="3670"/>
      <c r="K57" s="3670"/>
      <c r="L57" s="3670"/>
      <c r="M57" s="3670"/>
      <c r="N57" s="3670"/>
      <c r="O57" s="3670"/>
      <c r="P57" s="3670"/>
      <c r="Q57" s="3670"/>
      <c r="R57" s="3670"/>
      <c r="S57" s="3670"/>
      <c r="T57" s="3670"/>
      <c r="U57" s="3670"/>
      <c r="V57" s="3670"/>
      <c r="W57" s="3670"/>
      <c r="X57" s="3670"/>
      <c r="Y57" s="3670"/>
      <c r="Z57" s="3670"/>
      <c r="AA57" s="3670"/>
      <c r="AB57" s="3670"/>
      <c r="AC57" s="3670"/>
      <c r="AD57" s="3670"/>
    </row>
    <row r="58" spans="2:41" s="501" customFormat="1" ht="30.75" customHeight="1" x14ac:dyDescent="0.35"/>
    <row r="59" spans="2:41" s="73" customFormat="1" ht="14" x14ac:dyDescent="0.3">
      <c r="B59" s="74" t="s">
        <v>913</v>
      </c>
      <c r="P59" s="74" t="s">
        <v>846</v>
      </c>
      <c r="AD59" s="74" t="s">
        <v>922</v>
      </c>
    </row>
    <row r="60" spans="2:41" s="73" customFormat="1" ht="21.75" customHeight="1" x14ac:dyDescent="0.3">
      <c r="B60" s="74" t="s">
        <v>811</v>
      </c>
      <c r="F60" s="1482" t="str">
        <f>SchInfo!F38</f>
        <v>MELCHESIEDICK Q. BOLANIO/ March 17, 2023</v>
      </c>
      <c r="G60" s="1482"/>
      <c r="H60" s="1482"/>
      <c r="I60" s="1482"/>
      <c r="J60" s="1482"/>
      <c r="K60" s="1482"/>
      <c r="L60" s="1482"/>
      <c r="M60" s="1482"/>
      <c r="P60" s="1482" t="str">
        <f>Table39!Q37</f>
        <v>ELYN KENDRA D. DELA CRUZ  /  March 17, 2023</v>
      </c>
      <c r="Q60" s="1482"/>
      <c r="R60" s="1482"/>
      <c r="S60" s="1482"/>
      <c r="T60" s="1482"/>
      <c r="U60" s="1482"/>
      <c r="V60" s="1482"/>
      <c r="W60" s="1482"/>
      <c r="X60" s="1482"/>
      <c r="Y60" s="1482"/>
      <c r="Z60" s="1482"/>
      <c r="AA60" s="1482"/>
      <c r="AD60" s="3720" t="str">
        <f>SchInfo!R38</f>
        <v>MICHAEL T. JAMIS   /  March 17, 2023</v>
      </c>
      <c r="AE60" s="3720"/>
      <c r="AF60" s="3720"/>
      <c r="AG60" s="3720"/>
      <c r="AH60" s="3720"/>
      <c r="AI60" s="3720"/>
      <c r="AJ60" s="3720"/>
      <c r="AK60" s="3720"/>
      <c r="AL60" s="3720"/>
      <c r="AM60" s="3720"/>
      <c r="AN60" s="3720"/>
      <c r="AO60" s="3720"/>
    </row>
    <row r="61" spans="2:41" s="68" customFormat="1" ht="14" customHeight="1" x14ac:dyDescent="0.3">
      <c r="B61" s="210"/>
      <c r="F61" s="1451" t="s">
        <v>779</v>
      </c>
      <c r="G61" s="1451"/>
      <c r="H61" s="1451"/>
      <c r="I61" s="1451"/>
      <c r="J61" s="1451"/>
      <c r="K61" s="1451"/>
      <c r="L61" s="1451"/>
      <c r="M61" s="1451"/>
      <c r="N61" s="65"/>
      <c r="O61" s="65"/>
      <c r="P61" s="1451" t="s">
        <v>779</v>
      </c>
      <c r="Q61" s="1451"/>
      <c r="R61" s="1451"/>
      <c r="S61" s="1451"/>
      <c r="T61" s="1451"/>
      <c r="U61" s="1451"/>
      <c r="V61" s="1451"/>
      <c r="W61" s="1451"/>
      <c r="X61" s="1451"/>
      <c r="Y61" s="1451"/>
      <c r="Z61" s="1451"/>
      <c r="AA61" s="1451"/>
      <c r="AB61" s="65"/>
      <c r="AC61" s="65"/>
      <c r="AD61" s="3721"/>
      <c r="AE61" s="3721"/>
      <c r="AF61" s="3721"/>
      <c r="AG61" s="3721"/>
      <c r="AH61" s="3721"/>
      <c r="AI61" s="3721"/>
      <c r="AJ61" s="3721"/>
      <c r="AK61" s="3721"/>
      <c r="AL61" s="3721"/>
      <c r="AM61" s="3721"/>
      <c r="AN61" s="3721"/>
      <c r="AO61" s="3721"/>
    </row>
    <row r="62" spans="2:41" s="73" customFormat="1" ht="21.75" customHeight="1" x14ac:dyDescent="0.3">
      <c r="B62" s="74" t="s">
        <v>784</v>
      </c>
      <c r="F62" s="1482" t="str">
        <f>SchInfo!F40</f>
        <v>Principal IV</v>
      </c>
      <c r="G62" s="1482"/>
      <c r="H62" s="1482"/>
      <c r="I62" s="1482"/>
      <c r="J62" s="1482"/>
      <c r="K62" s="1482"/>
      <c r="L62" s="1482"/>
      <c r="M62" s="1482"/>
      <c r="P62" s="74" t="s">
        <v>784</v>
      </c>
      <c r="V62" s="1482" t="str">
        <f>Table39!U39</f>
        <v>Project Development Officer III</v>
      </c>
      <c r="W62" s="1482"/>
      <c r="X62" s="1482"/>
      <c r="Y62" s="1482"/>
      <c r="Z62" s="1482"/>
      <c r="AA62" s="1482"/>
      <c r="AD62" s="1451" t="s">
        <v>779</v>
      </c>
      <c r="AE62" s="1451"/>
      <c r="AF62" s="1451"/>
      <c r="AG62" s="1451"/>
      <c r="AH62" s="1451"/>
      <c r="AI62" s="1451"/>
      <c r="AJ62" s="1451"/>
      <c r="AK62" s="1451"/>
      <c r="AL62" s="1451"/>
      <c r="AM62" s="1451"/>
      <c r="AN62" s="1451"/>
      <c r="AO62" s="1451"/>
    </row>
    <row r="63" spans="2:41" x14ac:dyDescent="0.35">
      <c r="B63" s="1041"/>
      <c r="C63" s="1041"/>
      <c r="D63" s="1041"/>
      <c r="E63" s="1041"/>
      <c r="F63" s="1041"/>
      <c r="G63" s="1041"/>
      <c r="H63" s="1041"/>
      <c r="I63" s="1041"/>
      <c r="J63" s="1041"/>
      <c r="K63" s="1041"/>
      <c r="L63" s="1041"/>
      <c r="M63" s="1041"/>
      <c r="N63" s="501"/>
      <c r="O63" s="501"/>
      <c r="P63" s="1041"/>
      <c r="Q63" s="1041"/>
      <c r="R63" s="1041"/>
      <c r="S63" s="1041"/>
      <c r="T63" s="1041"/>
      <c r="U63" s="1041"/>
      <c r="V63" s="1041"/>
      <c r="W63" s="1041"/>
      <c r="X63" s="1041"/>
      <c r="Y63" s="1041"/>
      <c r="Z63" s="1041"/>
      <c r="AA63" s="1041"/>
      <c r="AB63" s="1041"/>
      <c r="AC63" s="1041"/>
      <c r="AD63" s="1041"/>
      <c r="AE63" s="1041"/>
      <c r="AF63" s="1041"/>
      <c r="AG63" s="1041"/>
      <c r="AH63" s="1041"/>
      <c r="AI63" s="1041"/>
      <c r="AJ63" s="1041"/>
      <c r="AK63" s="1041"/>
      <c r="AL63" s="1041"/>
      <c r="AM63" s="1041"/>
      <c r="AN63" s="1041"/>
    </row>
  </sheetData>
  <sheetProtection algorithmName="SHA-512" hashValue="6yOjR4w1pk35+cbNxSYtBuixwI+neE1A/OJwzK5K27oetZiGwt0R7QpGK+bLPsezixfpL6LhUsZKmNkabbRh1g==" saltValue="2XCDPM2JSS9uLLjA/RsP7g==" spinCount="100000" sheet="1" objects="1" scenarios="1"/>
  <mergeCells count="280">
    <mergeCell ref="D12:N12"/>
    <mergeCell ref="D13:N13"/>
    <mergeCell ref="D14:N14"/>
    <mergeCell ref="D15:N15"/>
    <mergeCell ref="D16:N16"/>
    <mergeCell ref="AB41:AD43"/>
    <mergeCell ref="AB12:AD12"/>
    <mergeCell ref="V32:X32"/>
    <mergeCell ref="Y32:AA32"/>
    <mergeCell ref="V30:X30"/>
    <mergeCell ref="Y30:AA30"/>
    <mergeCell ref="P36:AM36"/>
    <mergeCell ref="AH33:AJ35"/>
    <mergeCell ref="AK33:AM35"/>
    <mergeCell ref="P33:R35"/>
    <mergeCell ref="S41:U43"/>
    <mergeCell ref="V41:X43"/>
    <mergeCell ref="Y41:AA43"/>
    <mergeCell ref="Y37:AA37"/>
    <mergeCell ref="S33:U35"/>
    <mergeCell ref="V33:X35"/>
    <mergeCell ref="Y33:AA35"/>
    <mergeCell ref="AB37:AD37"/>
    <mergeCell ref="AE37:AG37"/>
    <mergeCell ref="E19:N19"/>
    <mergeCell ref="P31:R31"/>
    <mergeCell ref="S31:U31"/>
    <mergeCell ref="V31:X31"/>
    <mergeCell ref="Y31:AA31"/>
    <mergeCell ref="V28:X28"/>
    <mergeCell ref="Y28:AA28"/>
    <mergeCell ref="P29:R29"/>
    <mergeCell ref="S29:U29"/>
    <mergeCell ref="V29:X29"/>
    <mergeCell ref="Y29:AA29"/>
    <mergeCell ref="D29:N29"/>
    <mergeCell ref="D30:N30"/>
    <mergeCell ref="D31:N31"/>
    <mergeCell ref="D28:N28"/>
    <mergeCell ref="V25:X25"/>
    <mergeCell ref="Y25:AA25"/>
    <mergeCell ref="P24:R24"/>
    <mergeCell ref="S24:U24"/>
    <mergeCell ref="D17:N17"/>
    <mergeCell ref="V40:X40"/>
    <mergeCell ref="Y40:AA40"/>
    <mergeCell ref="V38:X38"/>
    <mergeCell ref="Y38:AA38"/>
    <mergeCell ref="P39:R39"/>
    <mergeCell ref="S39:U39"/>
    <mergeCell ref="V39:X39"/>
    <mergeCell ref="Y39:AA39"/>
    <mergeCell ref="P37:R37"/>
    <mergeCell ref="S37:U37"/>
    <mergeCell ref="V37:X37"/>
    <mergeCell ref="E34:N34"/>
    <mergeCell ref="D37:N37"/>
    <mergeCell ref="D40:N40"/>
    <mergeCell ref="D32:N32"/>
    <mergeCell ref="D33:N33"/>
    <mergeCell ref="D18:N18"/>
    <mergeCell ref="D22:N22"/>
    <mergeCell ref="D23:N23"/>
    <mergeCell ref="D24:N24"/>
    <mergeCell ref="D25:N25"/>
    <mergeCell ref="D26:N26"/>
    <mergeCell ref="D27:N27"/>
    <mergeCell ref="AH37:AJ37"/>
    <mergeCell ref="AK37:AM37"/>
    <mergeCell ref="AB38:AD38"/>
    <mergeCell ref="AE38:AG38"/>
    <mergeCell ref="AH38:AJ38"/>
    <mergeCell ref="AB32:AD32"/>
    <mergeCell ref="AB33:AD35"/>
    <mergeCell ref="AE33:AG35"/>
    <mergeCell ref="P22:R22"/>
    <mergeCell ref="S22:U22"/>
    <mergeCell ref="P26:R26"/>
    <mergeCell ref="S26:U26"/>
    <mergeCell ref="V26:X26"/>
    <mergeCell ref="Y26:AA26"/>
    <mergeCell ref="P28:R28"/>
    <mergeCell ref="S28:U28"/>
    <mergeCell ref="P25:R25"/>
    <mergeCell ref="S25:U25"/>
    <mergeCell ref="V24:X24"/>
    <mergeCell ref="Y24:AA24"/>
    <mergeCell ref="P27:R27"/>
    <mergeCell ref="S27:U27"/>
    <mergeCell ref="V27:X27"/>
    <mergeCell ref="Y27:AA27"/>
    <mergeCell ref="P12:R12"/>
    <mergeCell ref="S12:U12"/>
    <mergeCell ref="V12:X12"/>
    <mergeCell ref="Y12:AA12"/>
    <mergeCell ref="V22:X22"/>
    <mergeCell ref="Y22:AA22"/>
    <mergeCell ref="P23:R23"/>
    <mergeCell ref="S23:U23"/>
    <mergeCell ref="V23:X23"/>
    <mergeCell ref="Y23:AA23"/>
    <mergeCell ref="P21:AM21"/>
    <mergeCell ref="Y17:AA17"/>
    <mergeCell ref="P18:R20"/>
    <mergeCell ref="S18:U20"/>
    <mergeCell ref="V18:X20"/>
    <mergeCell ref="Y18:AA20"/>
    <mergeCell ref="S15:U15"/>
    <mergeCell ref="V15:X15"/>
    <mergeCell ref="Y15:AA15"/>
    <mergeCell ref="P16:R16"/>
    <mergeCell ref="S16:U16"/>
    <mergeCell ref="V16:X16"/>
    <mergeCell ref="Y16:AA16"/>
    <mergeCell ref="P17:R17"/>
    <mergeCell ref="S17:U17"/>
    <mergeCell ref="P15:R15"/>
    <mergeCell ref="P32:R32"/>
    <mergeCell ref="S32:U32"/>
    <mergeCell ref="P30:R30"/>
    <mergeCell ref="S30:U30"/>
    <mergeCell ref="V6:AA6"/>
    <mergeCell ref="P7:R7"/>
    <mergeCell ref="S7:U7"/>
    <mergeCell ref="V7:X7"/>
    <mergeCell ref="Y7:AA7"/>
    <mergeCell ref="P9:R9"/>
    <mergeCell ref="S9:U9"/>
    <mergeCell ref="V9:X9"/>
    <mergeCell ref="Y9:AA9"/>
    <mergeCell ref="P13:R13"/>
    <mergeCell ref="S13:U13"/>
    <mergeCell ref="V13:X13"/>
    <mergeCell ref="Y13:AA13"/>
    <mergeCell ref="P14:R14"/>
    <mergeCell ref="S14:U14"/>
    <mergeCell ref="V14:X14"/>
    <mergeCell ref="Y14:AA14"/>
    <mergeCell ref="S10:U10"/>
    <mergeCell ref="V10:X10"/>
    <mergeCell ref="V17:X17"/>
    <mergeCell ref="D38:N38"/>
    <mergeCell ref="D39:N39"/>
    <mergeCell ref="B57:AD57"/>
    <mergeCell ref="AK38:AM38"/>
    <mergeCell ref="P40:R40"/>
    <mergeCell ref="S40:U40"/>
    <mergeCell ref="P38:R38"/>
    <mergeCell ref="S38:U38"/>
    <mergeCell ref="AB39:AD39"/>
    <mergeCell ref="AE39:AG39"/>
    <mergeCell ref="AH39:AJ39"/>
    <mergeCell ref="AK39:AM39"/>
    <mergeCell ref="AB40:AD40"/>
    <mergeCell ref="AE40:AG40"/>
    <mergeCell ref="AH40:AJ40"/>
    <mergeCell ref="AK40:AM40"/>
    <mergeCell ref="AE32:AG32"/>
    <mergeCell ref="AH32:AJ32"/>
    <mergeCell ref="AK32:AM32"/>
    <mergeCell ref="AB30:AD30"/>
    <mergeCell ref="AE30:AG30"/>
    <mergeCell ref="AH30:AJ30"/>
    <mergeCell ref="P60:AA60"/>
    <mergeCell ref="AD60:AO61"/>
    <mergeCell ref="P61:AA61"/>
    <mergeCell ref="P41:R43"/>
    <mergeCell ref="F62:M62"/>
    <mergeCell ref="D54:I54"/>
    <mergeCell ref="J50:O51"/>
    <mergeCell ref="D50:I51"/>
    <mergeCell ref="F60:M60"/>
    <mergeCell ref="F61:M61"/>
    <mergeCell ref="AE41:AG43"/>
    <mergeCell ref="AH41:AJ43"/>
    <mergeCell ref="AK41:AM43"/>
    <mergeCell ref="E42:N42"/>
    <mergeCell ref="J52:O52"/>
    <mergeCell ref="J53:O53"/>
    <mergeCell ref="J54:O54"/>
    <mergeCell ref="D52:I52"/>
    <mergeCell ref="D53:I53"/>
    <mergeCell ref="V62:AA62"/>
    <mergeCell ref="AD62:AO62"/>
    <mergeCell ref="D41:N41"/>
    <mergeCell ref="G45:AM45"/>
    <mergeCell ref="AK30:AM30"/>
    <mergeCell ref="AB31:AD31"/>
    <mergeCell ref="AE31:AG31"/>
    <mergeCell ref="AH31:AJ31"/>
    <mergeCell ref="AK31:AM31"/>
    <mergeCell ref="AB28:AD28"/>
    <mergeCell ref="AE28:AG28"/>
    <mergeCell ref="AH28:AJ28"/>
    <mergeCell ref="AK28:AM28"/>
    <mergeCell ref="AB29:AD29"/>
    <mergeCell ref="AE29:AG29"/>
    <mergeCell ref="AH29:AJ29"/>
    <mergeCell ref="AK29:AM29"/>
    <mergeCell ref="AB27:AD27"/>
    <mergeCell ref="AE27:AG27"/>
    <mergeCell ref="AH27:AJ27"/>
    <mergeCell ref="AK27:AM27"/>
    <mergeCell ref="AB25:AD25"/>
    <mergeCell ref="AE25:AG25"/>
    <mergeCell ref="AH25:AJ25"/>
    <mergeCell ref="AK25:AM25"/>
    <mergeCell ref="AB26:AD26"/>
    <mergeCell ref="AE26:AG26"/>
    <mergeCell ref="AH26:AJ26"/>
    <mergeCell ref="AK26:AM26"/>
    <mergeCell ref="AB24:AD24"/>
    <mergeCell ref="AE24:AG24"/>
    <mergeCell ref="AH24:AJ24"/>
    <mergeCell ref="AK24:AM24"/>
    <mergeCell ref="AB22:AD22"/>
    <mergeCell ref="AE22:AG22"/>
    <mergeCell ref="AH22:AJ22"/>
    <mergeCell ref="AK22:AM22"/>
    <mergeCell ref="AB23:AD23"/>
    <mergeCell ref="AE23:AG23"/>
    <mergeCell ref="AH23:AJ23"/>
    <mergeCell ref="AK23:AM23"/>
    <mergeCell ref="AB18:AD20"/>
    <mergeCell ref="AE18:AG20"/>
    <mergeCell ref="AH18:AJ20"/>
    <mergeCell ref="AK18:AM20"/>
    <mergeCell ref="AB16:AD16"/>
    <mergeCell ref="AE16:AG16"/>
    <mergeCell ref="AH16:AJ16"/>
    <mergeCell ref="AK16:AM16"/>
    <mergeCell ref="AB17:AD17"/>
    <mergeCell ref="AE17:AG17"/>
    <mergeCell ref="AH17:AJ17"/>
    <mergeCell ref="AK17:AM17"/>
    <mergeCell ref="AB14:AD14"/>
    <mergeCell ref="AE14:AG14"/>
    <mergeCell ref="AH14:AJ14"/>
    <mergeCell ref="AK14:AM14"/>
    <mergeCell ref="AB15:AD15"/>
    <mergeCell ref="AE15:AG15"/>
    <mergeCell ref="AH15:AJ15"/>
    <mergeCell ref="AK15:AM15"/>
    <mergeCell ref="AB13:AD13"/>
    <mergeCell ref="AE13:AG13"/>
    <mergeCell ref="AH13:AJ13"/>
    <mergeCell ref="AK13:AM13"/>
    <mergeCell ref="AH9:AJ9"/>
    <mergeCell ref="AK9:AM9"/>
    <mergeCell ref="AB10:AD10"/>
    <mergeCell ref="AE10:AG10"/>
    <mergeCell ref="AH10:AJ10"/>
    <mergeCell ref="AK10:AM10"/>
    <mergeCell ref="AE12:AG12"/>
    <mergeCell ref="AH12:AJ12"/>
    <mergeCell ref="AK12:AM12"/>
    <mergeCell ref="D9:N9"/>
    <mergeCell ref="D10:N10"/>
    <mergeCell ref="D11:N11"/>
    <mergeCell ref="AB9:AD9"/>
    <mergeCell ref="AE9:AG9"/>
    <mergeCell ref="AB6:AG6"/>
    <mergeCell ref="AH6:AM6"/>
    <mergeCell ref="AB7:AD7"/>
    <mergeCell ref="AE7:AG7"/>
    <mergeCell ref="AH7:AJ7"/>
    <mergeCell ref="AK7:AM7"/>
    <mergeCell ref="P6:U6"/>
    <mergeCell ref="AB11:AD11"/>
    <mergeCell ref="AE11:AG11"/>
    <mergeCell ref="AH11:AJ11"/>
    <mergeCell ref="AK11:AM11"/>
    <mergeCell ref="Y10:AA10"/>
    <mergeCell ref="P11:R11"/>
    <mergeCell ref="S11:U11"/>
    <mergeCell ref="V11:X11"/>
    <mergeCell ref="Y11:AA11"/>
    <mergeCell ref="P10:R10"/>
    <mergeCell ref="D6:O7"/>
    <mergeCell ref="P8:AM8"/>
  </mergeCells>
  <dataValidations count="2">
    <dataValidation type="whole" allowBlank="1" showInputMessage="1" showErrorMessage="1" errorTitle="GJHSP SY 2022-2023" error="Please enter valid number between 0-20,000." sqref="P9:AM20 P22:AM35 P37:AM43" xr:uid="{7CCAFA18-7CFD-40DC-A9D6-73FF513D0A29}">
      <formula1>0</formula1>
      <formula2>20000</formula2>
    </dataValidation>
    <dataValidation type="whole" allowBlank="1" showInputMessage="1" showErrorMessage="1" errorTitle="GJHSP SY 2022-2023" error="Please enter valid number between 0-99." sqref="J52:O54" xr:uid="{47F02E05-2FD2-4251-8974-4C15FA679358}">
      <formula1>0</formula1>
      <formula2>99</formula2>
    </dataValidation>
  </dataValidations>
  <printOptions horizontalCentered="1" verticalCentered="1"/>
  <pageMargins left="0.25" right="0.25" top="0.2" bottom="0.2" header="0" footer="0.1"/>
  <pageSetup paperSize="9" scale="28" orientation="portrait" r:id="rId1"/>
  <headerFooter>
    <oddFooter>&amp;L&amp;10&amp;F &amp;A&amp;R&amp;10Page 60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92161" r:id="rId4" name="Check Box 1">
              <controlPr defaultSize="0" autoFill="0" autoLine="0" autoPict="0">
                <anchor moveWithCells="1">
                  <from>
                    <xdr:col>3</xdr:col>
                    <xdr:colOff>25400</xdr:colOff>
                    <xdr:row>46</xdr:row>
                    <xdr:rowOff>31750</xdr:rowOff>
                  </from>
                  <to>
                    <xdr:col>3</xdr:col>
                    <xdr:colOff>254000</xdr:colOff>
                    <xdr:row>46</xdr:row>
                    <xdr:rowOff>254000</xdr:rowOff>
                  </to>
                </anchor>
              </controlPr>
            </control>
          </mc:Choice>
        </mc:AlternateContent>
      </controls>
    </mc:Choice>
  </mc:AlternateContent>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F73B2-7CAF-4AD6-B7EC-02DA3B5B67B4}">
  <sheetPr>
    <pageSetUpPr fitToPage="1"/>
  </sheetPr>
  <dimension ref="B1:AX62"/>
  <sheetViews>
    <sheetView showGridLines="0" zoomScaleNormal="100" zoomScaleSheetLayoutView="100" workbookViewId="0">
      <selection activeCell="AE47" sqref="AE47:AG47"/>
    </sheetView>
  </sheetViews>
  <sheetFormatPr defaultColWidth="8" defaultRowHeight="15.5" x14ac:dyDescent="0.35"/>
  <cols>
    <col min="1" max="1" width="2.08203125" style="1041" customWidth="1"/>
    <col min="2" max="3" width="3.58203125" style="1041" customWidth="1"/>
    <col min="4" max="41" width="3.58203125" style="1042" customWidth="1"/>
    <col min="42" max="42" width="2.08203125" style="1042" customWidth="1"/>
    <col min="43" max="43" width="3.58203125" style="1041" customWidth="1"/>
    <col min="44" max="44" width="2.08203125" style="1041" customWidth="1"/>
    <col min="45" max="176" width="3.58203125" style="1041" customWidth="1"/>
    <col min="177" max="16384" width="8" style="1041"/>
  </cols>
  <sheetData>
    <row r="1" spans="3:50" ht="12" customHeight="1" x14ac:dyDescent="0.35">
      <c r="D1" s="1041"/>
      <c r="AQ1" s="1042"/>
    </row>
    <row r="2" spans="3:50" ht="17" thickBot="1" x14ac:dyDescent="0.4">
      <c r="C2" s="1054" t="s">
        <v>1833</v>
      </c>
      <c r="D2" s="1041"/>
      <c r="F2" s="1041"/>
      <c r="G2" s="1041"/>
      <c r="H2" s="1041"/>
      <c r="I2" s="1041"/>
      <c r="J2" s="1041"/>
      <c r="K2" s="1041"/>
      <c r="L2" s="1041"/>
      <c r="M2" s="1041"/>
      <c r="N2" s="1041"/>
      <c r="O2" s="1041"/>
      <c r="P2" s="1041"/>
      <c r="Q2" s="1041"/>
      <c r="R2" s="1041"/>
      <c r="S2" s="1041"/>
      <c r="T2" s="1041"/>
      <c r="U2" s="1041"/>
      <c r="V2" s="1041"/>
      <c r="W2" s="1041"/>
      <c r="X2" s="1041"/>
      <c r="Y2" s="1041"/>
      <c r="Z2" s="1041"/>
      <c r="AA2" s="1041"/>
      <c r="AB2" s="1041"/>
      <c r="AC2" s="1041"/>
      <c r="AD2" s="1041"/>
      <c r="AE2" s="1041"/>
      <c r="AF2" s="1041"/>
      <c r="AG2" s="1041"/>
      <c r="AH2" s="1041"/>
      <c r="AI2" s="1041"/>
      <c r="AJ2" s="1041"/>
      <c r="AK2" s="1041"/>
      <c r="AL2" s="1041"/>
      <c r="AM2" s="1041"/>
      <c r="AN2" s="1041"/>
      <c r="AO2" s="1041"/>
      <c r="AP2" s="1041"/>
    </row>
    <row r="3" spans="3:50" ht="5" customHeight="1" thickTop="1" x14ac:dyDescent="0.35">
      <c r="C3" s="1272"/>
      <c r="D3" s="1231"/>
      <c r="E3" s="1273"/>
      <c r="F3" s="1057"/>
      <c r="G3" s="1057"/>
      <c r="H3" s="1057"/>
      <c r="I3" s="1057"/>
      <c r="J3" s="1057"/>
      <c r="K3" s="1057"/>
      <c r="L3" s="1057"/>
      <c r="M3" s="1057"/>
      <c r="N3" s="1057"/>
      <c r="O3" s="1057"/>
      <c r="P3" s="1057"/>
      <c r="Q3" s="1057"/>
      <c r="R3" s="1057"/>
      <c r="S3" s="1057"/>
      <c r="T3" s="1057"/>
      <c r="U3" s="1057"/>
      <c r="V3" s="1057"/>
      <c r="W3" s="1057"/>
      <c r="X3" s="1057"/>
      <c r="Y3" s="1057"/>
      <c r="Z3" s="1057"/>
      <c r="AA3" s="1057"/>
      <c r="AB3" s="1057"/>
      <c r="AC3" s="1057"/>
      <c r="AD3" s="1057"/>
      <c r="AE3" s="1057"/>
      <c r="AF3" s="1057"/>
      <c r="AG3" s="1057"/>
      <c r="AH3" s="1057"/>
      <c r="AI3" s="1057"/>
      <c r="AJ3" s="1057"/>
      <c r="AK3" s="1057"/>
      <c r="AL3" s="1057"/>
      <c r="AM3" s="1057"/>
      <c r="AN3" s="1057"/>
      <c r="AO3" s="1049"/>
      <c r="AP3" s="1041"/>
    </row>
    <row r="4" spans="3:50" s="1101" customFormat="1" x14ac:dyDescent="0.35">
      <c r="C4" s="1158"/>
      <c r="D4" s="1159" t="s">
        <v>150</v>
      </c>
      <c r="E4" s="3759" t="s">
        <v>1904</v>
      </c>
      <c r="F4" s="3759"/>
      <c r="G4" s="3759"/>
      <c r="H4" s="3759"/>
      <c r="I4" s="3759"/>
      <c r="J4" s="3759"/>
      <c r="K4" s="3759"/>
      <c r="L4" s="3759"/>
      <c r="M4" s="3759"/>
      <c r="N4" s="3759"/>
      <c r="O4" s="3759"/>
      <c r="P4" s="3759"/>
      <c r="Q4" s="3759"/>
      <c r="R4" s="3759"/>
      <c r="S4" s="3759"/>
      <c r="T4" s="3759"/>
      <c r="U4" s="3759"/>
      <c r="V4" s="3759"/>
      <c r="W4" s="3759"/>
      <c r="X4" s="3759"/>
      <c r="Y4" s="3759"/>
      <c r="Z4" s="3759"/>
      <c r="AA4" s="3759"/>
      <c r="AB4" s="3759"/>
      <c r="AC4" s="1051"/>
      <c r="AO4" s="1158"/>
    </row>
    <row r="5" spans="3:50" s="1101" customFormat="1" ht="5" customHeight="1" thickBot="1" x14ac:dyDescent="0.4">
      <c r="C5" s="1158"/>
      <c r="E5" s="1160"/>
      <c r="F5" s="1161"/>
      <c r="G5" s="1162"/>
      <c r="H5" s="1162"/>
      <c r="I5" s="1162"/>
      <c r="J5" s="1162"/>
      <c r="K5" s="1162"/>
      <c r="L5" s="1162"/>
      <c r="M5" s="1162"/>
      <c r="N5" s="1162"/>
      <c r="O5" s="1162"/>
      <c r="P5" s="1162"/>
      <c r="Q5" s="1162"/>
      <c r="R5" s="1162"/>
      <c r="S5" s="1162"/>
      <c r="T5" s="1162"/>
      <c r="U5" s="1162"/>
      <c r="V5" s="1162"/>
      <c r="W5" s="1162"/>
      <c r="X5" s="1162"/>
      <c r="Y5" s="1162"/>
      <c r="Z5" s="1162"/>
      <c r="AA5" s="1162"/>
      <c r="AB5" s="1162"/>
      <c r="AC5" s="1162"/>
      <c r="AD5" s="1162"/>
      <c r="AE5" s="1162"/>
      <c r="AF5" s="1163"/>
      <c r="AG5" s="1163"/>
      <c r="AH5" s="1163"/>
      <c r="AI5" s="1163"/>
      <c r="AJ5" s="1163"/>
      <c r="AK5" s="1163"/>
      <c r="AL5" s="1163"/>
      <c r="AO5" s="1158"/>
    </row>
    <row r="6" spans="3:50" s="44" customFormat="1" ht="61" customHeight="1" thickTop="1" thickBot="1" x14ac:dyDescent="0.4">
      <c r="C6" s="412"/>
      <c r="E6" s="1969" t="s">
        <v>1899</v>
      </c>
      <c r="F6" s="1970"/>
      <c r="G6" s="1970"/>
      <c r="H6" s="1970"/>
      <c r="I6" s="1970"/>
      <c r="J6" s="1970"/>
      <c r="K6" s="1970"/>
      <c r="L6" s="1970"/>
      <c r="M6" s="1970"/>
      <c r="N6" s="2135"/>
      <c r="O6" s="3593" t="s">
        <v>1748</v>
      </c>
      <c r="P6" s="3594"/>
      <c r="Q6" s="3594"/>
      <c r="R6" s="3594"/>
      <c r="S6" s="3594"/>
      <c r="T6" s="3595"/>
      <c r="U6" s="3594" t="s">
        <v>1710</v>
      </c>
      <c r="V6" s="3594"/>
      <c r="W6" s="3594"/>
      <c r="X6" s="3594"/>
      <c r="Y6" s="3594"/>
      <c r="Z6" s="3594"/>
      <c r="AA6" s="3596" t="s">
        <v>1711</v>
      </c>
      <c r="AB6" s="3594"/>
      <c r="AC6" s="3594"/>
      <c r="AD6" s="3594"/>
      <c r="AE6" s="3594"/>
      <c r="AF6" s="3595"/>
      <c r="AG6" s="3594" t="s">
        <v>1712</v>
      </c>
      <c r="AH6" s="3594"/>
      <c r="AI6" s="3594"/>
      <c r="AJ6" s="3594"/>
      <c r="AK6" s="3594"/>
      <c r="AL6" s="3597"/>
      <c r="AM6" s="412"/>
      <c r="AO6" s="412"/>
    </row>
    <row r="7" spans="3:50" s="44" customFormat="1" ht="19.5" customHeight="1" thickBot="1" x14ac:dyDescent="0.4">
      <c r="C7" s="412"/>
      <c r="E7" s="2287"/>
      <c r="F7" s="2288"/>
      <c r="G7" s="2288"/>
      <c r="H7" s="2288"/>
      <c r="I7" s="2288"/>
      <c r="J7" s="2288"/>
      <c r="K7" s="2288"/>
      <c r="L7" s="2288"/>
      <c r="M7" s="2288"/>
      <c r="N7" s="2531"/>
      <c r="O7" s="2287" t="s">
        <v>14</v>
      </c>
      <c r="P7" s="2288"/>
      <c r="Q7" s="2646"/>
      <c r="R7" s="2560" t="s">
        <v>15</v>
      </c>
      <c r="S7" s="2288"/>
      <c r="T7" s="2289"/>
      <c r="U7" s="2288" t="s">
        <v>14</v>
      </c>
      <c r="V7" s="2288"/>
      <c r="W7" s="2646"/>
      <c r="X7" s="2560" t="s">
        <v>15</v>
      </c>
      <c r="Y7" s="2288"/>
      <c r="Z7" s="2288"/>
      <c r="AA7" s="2559" t="s">
        <v>14</v>
      </c>
      <c r="AB7" s="2288"/>
      <c r="AC7" s="2646"/>
      <c r="AD7" s="2560" t="s">
        <v>15</v>
      </c>
      <c r="AE7" s="2288"/>
      <c r="AF7" s="2289"/>
      <c r="AG7" s="2288" t="s">
        <v>14</v>
      </c>
      <c r="AH7" s="2288"/>
      <c r="AI7" s="2646"/>
      <c r="AJ7" s="2560" t="s">
        <v>15</v>
      </c>
      <c r="AK7" s="2288"/>
      <c r="AL7" s="2531"/>
      <c r="AO7" s="412"/>
    </row>
    <row r="8" spans="3:50" s="44" customFormat="1" ht="22.5" customHeight="1" thickTop="1" x14ac:dyDescent="0.35">
      <c r="C8" s="412"/>
      <c r="E8" s="1268" t="s">
        <v>150</v>
      </c>
      <c r="F8" s="4104" t="s">
        <v>1902</v>
      </c>
      <c r="G8" s="4104"/>
      <c r="H8" s="4104"/>
      <c r="I8" s="4104"/>
      <c r="J8" s="4104"/>
      <c r="K8" s="4104"/>
      <c r="L8" s="4104"/>
      <c r="M8" s="4104"/>
      <c r="N8" s="1269"/>
      <c r="O8" s="3945">
        <v>0</v>
      </c>
      <c r="P8" s="3925"/>
      <c r="Q8" s="3926"/>
      <c r="R8" s="3927">
        <v>0</v>
      </c>
      <c r="S8" s="3925"/>
      <c r="T8" s="3944"/>
      <c r="U8" s="3925">
        <v>0</v>
      </c>
      <c r="V8" s="3925"/>
      <c r="W8" s="3926"/>
      <c r="X8" s="3927">
        <v>0</v>
      </c>
      <c r="Y8" s="3925"/>
      <c r="Z8" s="3925"/>
      <c r="AA8" s="3943">
        <v>0</v>
      </c>
      <c r="AB8" s="3925"/>
      <c r="AC8" s="3926"/>
      <c r="AD8" s="3927">
        <v>0</v>
      </c>
      <c r="AE8" s="3925"/>
      <c r="AF8" s="3944"/>
      <c r="AG8" s="3925">
        <v>0</v>
      </c>
      <c r="AH8" s="3925"/>
      <c r="AI8" s="3926"/>
      <c r="AJ8" s="3927">
        <v>0</v>
      </c>
      <c r="AK8" s="3925"/>
      <c r="AL8" s="3928"/>
      <c r="AO8" s="412"/>
    </row>
    <row r="9" spans="3:50" s="44" customFormat="1" ht="22.5" customHeight="1" x14ac:dyDescent="0.35">
      <c r="C9" s="412"/>
      <c r="E9" s="1219" t="s">
        <v>151</v>
      </c>
      <c r="F9" s="4105" t="s">
        <v>1903</v>
      </c>
      <c r="G9" s="4105"/>
      <c r="H9" s="4105"/>
      <c r="I9" s="4105"/>
      <c r="J9" s="4105"/>
      <c r="K9" s="4105"/>
      <c r="L9" s="4105"/>
      <c r="M9" s="4105"/>
      <c r="N9" s="430"/>
      <c r="O9" s="3929">
        <v>0</v>
      </c>
      <c r="P9" s="1462"/>
      <c r="Q9" s="1465"/>
      <c r="R9" s="1461">
        <v>0</v>
      </c>
      <c r="S9" s="1462"/>
      <c r="T9" s="1471"/>
      <c r="U9" s="1462">
        <v>0</v>
      </c>
      <c r="V9" s="1462"/>
      <c r="W9" s="1465"/>
      <c r="X9" s="1461">
        <v>0</v>
      </c>
      <c r="Y9" s="1462"/>
      <c r="Z9" s="1462"/>
      <c r="AA9" s="1464">
        <v>0</v>
      </c>
      <c r="AB9" s="1462"/>
      <c r="AC9" s="1465"/>
      <c r="AD9" s="1461">
        <v>0</v>
      </c>
      <c r="AE9" s="1462"/>
      <c r="AF9" s="1471"/>
      <c r="AG9" s="1462">
        <v>0</v>
      </c>
      <c r="AH9" s="1462"/>
      <c r="AI9" s="1465"/>
      <c r="AJ9" s="1461">
        <v>0</v>
      </c>
      <c r="AK9" s="1462"/>
      <c r="AL9" s="3932"/>
      <c r="AO9" s="412"/>
    </row>
    <row r="10" spans="3:50" s="44" customFormat="1" ht="22.5" customHeight="1" x14ac:dyDescent="0.35">
      <c r="C10" s="412"/>
      <c r="E10" s="1219" t="s">
        <v>152</v>
      </c>
      <c r="F10" s="4105" t="s">
        <v>1905</v>
      </c>
      <c r="G10" s="4105"/>
      <c r="H10" s="4105"/>
      <c r="I10" s="4105"/>
      <c r="J10" s="4105"/>
      <c r="K10" s="4105"/>
      <c r="L10" s="4105"/>
      <c r="M10" s="4105"/>
      <c r="N10" s="1270"/>
      <c r="O10" s="3929">
        <v>0</v>
      </c>
      <c r="P10" s="1462"/>
      <c r="Q10" s="1465"/>
      <c r="R10" s="1461">
        <v>0</v>
      </c>
      <c r="S10" s="1462"/>
      <c r="T10" s="1471"/>
      <c r="U10" s="1462">
        <v>0</v>
      </c>
      <c r="V10" s="1462"/>
      <c r="W10" s="1465"/>
      <c r="X10" s="1461">
        <v>0</v>
      </c>
      <c r="Y10" s="1462"/>
      <c r="Z10" s="1462"/>
      <c r="AA10" s="1464">
        <v>0</v>
      </c>
      <c r="AB10" s="1462"/>
      <c r="AC10" s="1465"/>
      <c r="AD10" s="1461">
        <v>0</v>
      </c>
      <c r="AE10" s="1462"/>
      <c r="AF10" s="1471"/>
      <c r="AG10" s="1462">
        <v>0</v>
      </c>
      <c r="AH10" s="1462"/>
      <c r="AI10" s="1465"/>
      <c r="AJ10" s="1461">
        <v>0</v>
      </c>
      <c r="AK10" s="1462"/>
      <c r="AL10" s="3932"/>
      <c r="AO10" s="412"/>
    </row>
    <row r="11" spans="3:50" s="44" customFormat="1" ht="22.5" customHeight="1" thickBot="1" x14ac:dyDescent="0.4">
      <c r="C11" s="412"/>
      <c r="E11" s="1165" t="s">
        <v>155</v>
      </c>
      <c r="F11" s="4106" t="s">
        <v>1906</v>
      </c>
      <c r="G11" s="4106"/>
      <c r="H11" s="4106"/>
      <c r="I11" s="4106"/>
      <c r="J11" s="4106"/>
      <c r="K11" s="4106"/>
      <c r="L11" s="4106"/>
      <c r="M11" s="4106"/>
      <c r="N11" s="1271"/>
      <c r="O11" s="3936">
        <v>0</v>
      </c>
      <c r="P11" s="3937"/>
      <c r="Q11" s="3938"/>
      <c r="R11" s="3939">
        <v>0</v>
      </c>
      <c r="S11" s="3937"/>
      <c r="T11" s="3940"/>
      <c r="U11" s="3937">
        <v>0</v>
      </c>
      <c r="V11" s="3937"/>
      <c r="W11" s="3938"/>
      <c r="X11" s="3939">
        <v>0</v>
      </c>
      <c r="Y11" s="3937"/>
      <c r="Z11" s="3937"/>
      <c r="AA11" s="3941">
        <v>0</v>
      </c>
      <c r="AB11" s="3937"/>
      <c r="AC11" s="3938"/>
      <c r="AD11" s="3939">
        <v>0</v>
      </c>
      <c r="AE11" s="3937"/>
      <c r="AF11" s="3940"/>
      <c r="AG11" s="3937">
        <v>0</v>
      </c>
      <c r="AH11" s="3937"/>
      <c r="AI11" s="3938"/>
      <c r="AJ11" s="3939">
        <v>0</v>
      </c>
      <c r="AK11" s="3937"/>
      <c r="AL11" s="3942"/>
      <c r="AO11" s="412"/>
    </row>
    <row r="12" spans="3:50" s="44" customFormat="1" ht="5" customHeight="1" thickTop="1" x14ac:dyDescent="0.35">
      <c r="C12" s="412"/>
      <c r="E12" s="1167"/>
      <c r="F12" s="427"/>
      <c r="G12" s="427"/>
      <c r="H12" s="427"/>
      <c r="I12" s="427"/>
      <c r="J12" s="427"/>
      <c r="K12" s="427"/>
      <c r="L12" s="427"/>
      <c r="M12" s="427"/>
      <c r="N12" s="1264"/>
      <c r="O12" s="1095"/>
      <c r="P12" s="1095"/>
      <c r="Q12" s="1095"/>
      <c r="R12" s="1095"/>
      <c r="S12" s="1095"/>
      <c r="T12" s="1095"/>
      <c r="U12" s="1095"/>
      <c r="V12" s="1095"/>
      <c r="W12" s="1095"/>
      <c r="X12" s="1095"/>
      <c r="Y12" s="1095"/>
      <c r="Z12" s="1095"/>
      <c r="AA12" s="1095"/>
      <c r="AB12" s="1095"/>
      <c r="AC12" s="1095"/>
      <c r="AD12" s="1095"/>
      <c r="AE12" s="1095"/>
      <c r="AF12" s="1095"/>
      <c r="AG12" s="1095"/>
      <c r="AH12" s="1095"/>
      <c r="AI12" s="1095"/>
      <c r="AJ12" s="1095"/>
      <c r="AK12" s="1095"/>
      <c r="AL12" s="1095"/>
      <c r="AN12" s="405"/>
    </row>
    <row r="13" spans="3:50" s="1042" customFormat="1" ht="22.5" customHeight="1" x14ac:dyDescent="0.35">
      <c r="C13" s="1044"/>
      <c r="D13" s="1045"/>
      <c r="E13" s="417" t="s">
        <v>171</v>
      </c>
      <c r="F13" s="1046"/>
      <c r="G13" s="1046"/>
      <c r="H13" s="1265" t="s">
        <v>1932</v>
      </c>
      <c r="I13" s="1265"/>
      <c r="J13" s="1265"/>
      <c r="K13" s="1265"/>
      <c r="L13" s="1265"/>
      <c r="M13" s="1265"/>
      <c r="N13" s="1265"/>
      <c r="O13" s="1265"/>
      <c r="P13" s="1265"/>
      <c r="Q13" s="1265"/>
      <c r="R13" s="1265"/>
      <c r="S13" s="1265"/>
      <c r="T13" s="1265"/>
      <c r="U13" s="1265"/>
      <c r="V13" s="1265"/>
      <c r="W13" s="1265"/>
      <c r="X13" s="1265"/>
      <c r="Y13" s="1265"/>
      <c r="Z13" s="1265"/>
      <c r="AA13" s="1265"/>
      <c r="AB13" s="1265"/>
      <c r="AC13" s="1265"/>
      <c r="AD13" s="1265"/>
      <c r="AE13" s="1265"/>
      <c r="AF13" s="1265"/>
      <c r="AG13" s="1265"/>
      <c r="AH13" s="1265"/>
      <c r="AI13" s="1265"/>
      <c r="AJ13" s="1265"/>
      <c r="AK13" s="1265"/>
      <c r="AL13" s="1265"/>
      <c r="AM13" s="1265"/>
      <c r="AN13" s="1043"/>
    </row>
    <row r="14" spans="3:50" s="1101" customFormat="1" ht="10" customHeight="1" x14ac:dyDescent="0.35">
      <c r="C14" s="1097"/>
      <c r="D14" s="1045"/>
      <c r="E14" s="1046"/>
      <c r="F14" s="1046"/>
      <c r="G14" s="1046"/>
      <c r="H14" s="1123"/>
      <c r="I14" s="1123"/>
      <c r="J14" s="1123"/>
      <c r="K14" s="1046"/>
      <c r="L14" s="1046"/>
      <c r="M14" s="1046"/>
      <c r="N14" s="1123"/>
      <c r="O14" s="1123"/>
      <c r="P14" s="1123"/>
      <c r="Q14" s="1046"/>
      <c r="R14" s="1046"/>
      <c r="S14" s="1046"/>
      <c r="T14" s="1123"/>
      <c r="U14" s="1123"/>
      <c r="V14" s="1123"/>
      <c r="W14" s="1046"/>
      <c r="X14" s="1046"/>
      <c r="Y14" s="1046"/>
      <c r="Z14" s="1123"/>
      <c r="AA14" s="1123"/>
      <c r="AB14" s="1123"/>
      <c r="AO14" s="1158"/>
    </row>
    <row r="15" spans="3:50" s="1101" customFormat="1" ht="16" customHeight="1" x14ac:dyDescent="0.35">
      <c r="C15" s="1097"/>
      <c r="D15" s="1050" t="s">
        <v>151</v>
      </c>
      <c r="E15" s="1103" t="s">
        <v>1834</v>
      </c>
      <c r="F15" s="1051"/>
      <c r="G15" s="1051"/>
      <c r="H15" s="1051"/>
      <c r="I15" s="1051"/>
      <c r="J15" s="1051"/>
      <c r="K15" s="1051"/>
      <c r="L15" s="1051"/>
      <c r="M15" s="1051"/>
      <c r="N15" s="1051"/>
      <c r="O15" s="1051"/>
      <c r="P15" s="1051"/>
      <c r="Q15" s="1051"/>
      <c r="R15" s="1051"/>
      <c r="S15" s="1051"/>
      <c r="T15" s="1051"/>
      <c r="U15" s="1051"/>
      <c r="V15" s="1051"/>
      <c r="W15" s="1051"/>
      <c r="X15" s="1051"/>
      <c r="Y15" s="1051"/>
      <c r="Z15" s="1051"/>
      <c r="AA15" s="1051"/>
      <c r="AB15" s="1051"/>
      <c r="AD15" s="1220"/>
      <c r="AE15" s="1266"/>
      <c r="AF15" s="1266"/>
      <c r="AG15" s="1266"/>
      <c r="AH15" s="1266"/>
      <c r="AI15" s="1266"/>
      <c r="AJ15" s="1266"/>
      <c r="AK15" s="1266"/>
      <c r="AL15" s="1266"/>
      <c r="AM15" s="1266"/>
      <c r="AN15" s="1266"/>
      <c r="AO15" s="1267"/>
      <c r="AP15" s="1266"/>
      <c r="AQ15" s="1266"/>
      <c r="AR15" s="1266"/>
      <c r="AS15" s="1266"/>
      <c r="AT15" s="1266"/>
      <c r="AU15" s="1266"/>
      <c r="AV15" s="1266"/>
      <c r="AW15" s="1266"/>
    </row>
    <row r="16" spans="3:50" s="44" customFormat="1" ht="5" customHeight="1" thickBot="1" x14ac:dyDescent="0.4">
      <c r="C16" s="665"/>
      <c r="D16" s="669"/>
      <c r="AE16" s="1266"/>
      <c r="AF16" s="1266"/>
      <c r="AG16" s="1266"/>
      <c r="AH16" s="1266"/>
      <c r="AI16" s="1266"/>
      <c r="AJ16" s="1266"/>
      <c r="AK16" s="1266"/>
      <c r="AL16" s="1266"/>
      <c r="AM16" s="1266"/>
      <c r="AN16" s="1266"/>
      <c r="AO16" s="1267"/>
      <c r="AP16" s="1266"/>
      <c r="AQ16" s="1266"/>
      <c r="AR16" s="1266"/>
      <c r="AS16" s="1266"/>
      <c r="AT16" s="1266"/>
      <c r="AU16" s="1266"/>
      <c r="AV16" s="1266"/>
      <c r="AW16" s="1266"/>
      <c r="AX16" s="72"/>
    </row>
    <row r="17" spans="3:49" s="72" customFormat="1" ht="18.5" customHeight="1" thickTop="1" x14ac:dyDescent="0.35">
      <c r="C17" s="280"/>
      <c r="D17" s="1236"/>
      <c r="E17" s="1969" t="s">
        <v>1783</v>
      </c>
      <c r="F17" s="1970"/>
      <c r="G17" s="1970"/>
      <c r="H17" s="1970"/>
      <c r="I17" s="1970"/>
      <c r="J17" s="2135"/>
      <c r="K17" s="1970" t="s">
        <v>1835</v>
      </c>
      <c r="L17" s="1970"/>
      <c r="M17" s="1970"/>
      <c r="N17" s="1970"/>
      <c r="O17" s="1970"/>
      <c r="P17" s="2135"/>
      <c r="Q17" s="415"/>
      <c r="R17" s="415"/>
      <c r="S17" s="415"/>
      <c r="T17" s="415"/>
      <c r="U17" s="415"/>
      <c r="V17" s="415"/>
      <c r="W17" s="429"/>
      <c r="X17" s="429"/>
      <c r="Y17" s="429"/>
      <c r="Z17" s="429"/>
      <c r="AA17" s="429"/>
      <c r="AB17" s="429"/>
      <c r="AC17" s="429"/>
      <c r="AD17" s="429"/>
      <c r="AE17" s="429"/>
      <c r="AF17" s="429"/>
      <c r="AG17" s="1266"/>
      <c r="AH17" s="1266"/>
      <c r="AI17" s="1266"/>
      <c r="AJ17" s="1266"/>
      <c r="AK17" s="1266"/>
      <c r="AL17" s="1266"/>
      <c r="AM17" s="1266"/>
      <c r="AN17" s="1266"/>
      <c r="AO17" s="1267"/>
      <c r="AP17" s="1266"/>
      <c r="AQ17" s="1266"/>
      <c r="AR17" s="1266"/>
      <c r="AS17" s="1266"/>
      <c r="AT17" s="1266"/>
      <c r="AU17" s="1266"/>
      <c r="AV17" s="1266"/>
      <c r="AW17" s="1266"/>
    </row>
    <row r="18" spans="3:49" s="72" customFormat="1" ht="18.5" customHeight="1" thickBot="1" x14ac:dyDescent="0.4">
      <c r="C18" s="280"/>
      <c r="D18" s="1236"/>
      <c r="E18" s="1972"/>
      <c r="F18" s="1973"/>
      <c r="G18" s="1973"/>
      <c r="H18" s="1973"/>
      <c r="I18" s="1973"/>
      <c r="J18" s="2137"/>
      <c r="K18" s="1973"/>
      <c r="L18" s="1973"/>
      <c r="M18" s="1973"/>
      <c r="N18" s="1973"/>
      <c r="O18" s="1973"/>
      <c r="P18" s="2137"/>
      <c r="Q18" s="415"/>
      <c r="R18" s="415"/>
      <c r="S18" s="415"/>
      <c r="T18" s="415"/>
      <c r="U18" s="415"/>
      <c r="V18" s="415"/>
      <c r="W18" s="429"/>
      <c r="X18" s="429"/>
      <c r="Y18" s="429"/>
      <c r="Z18" s="429"/>
      <c r="AA18" s="429"/>
      <c r="AB18" s="429"/>
      <c r="AC18" s="429"/>
      <c r="AD18" s="429"/>
      <c r="AE18" s="429"/>
      <c r="AF18" s="429"/>
      <c r="AO18" s="280"/>
    </row>
    <row r="19" spans="3:49" s="72" customFormat="1" ht="24.5" customHeight="1" thickTop="1" x14ac:dyDescent="0.35">
      <c r="C19" s="280"/>
      <c r="D19" s="1236"/>
      <c r="E19" s="4036" t="s">
        <v>877</v>
      </c>
      <c r="F19" s="4037"/>
      <c r="G19" s="4037"/>
      <c r="H19" s="4037"/>
      <c r="I19" s="4037"/>
      <c r="J19" s="4038"/>
      <c r="K19" s="4031">
        <v>0</v>
      </c>
      <c r="L19" s="4031"/>
      <c r="M19" s="4031"/>
      <c r="N19" s="4031"/>
      <c r="O19" s="4031"/>
      <c r="P19" s="4032"/>
      <c r="Q19" s="1233"/>
      <c r="R19" s="1233"/>
      <c r="S19" s="1234"/>
      <c r="T19" s="1233"/>
      <c r="U19" s="1233"/>
      <c r="V19" s="1234"/>
      <c r="X19" s="428"/>
      <c r="Y19" s="428"/>
      <c r="AB19" s="1234"/>
      <c r="AC19" s="1234"/>
      <c r="AD19" s="1234"/>
      <c r="AE19" s="1234"/>
      <c r="AF19" s="1234"/>
      <c r="AO19" s="280"/>
    </row>
    <row r="20" spans="3:49" s="72" customFormat="1" ht="24.5" customHeight="1" x14ac:dyDescent="0.35">
      <c r="C20" s="280"/>
      <c r="D20" s="1236"/>
      <c r="E20" s="4039" t="s">
        <v>1780</v>
      </c>
      <c r="F20" s="4040"/>
      <c r="G20" s="4040"/>
      <c r="H20" s="4040"/>
      <c r="I20" s="4040"/>
      <c r="J20" s="4041"/>
      <c r="K20" s="1545">
        <v>0</v>
      </c>
      <c r="L20" s="1545"/>
      <c r="M20" s="1545"/>
      <c r="N20" s="1545"/>
      <c r="O20" s="1545"/>
      <c r="P20" s="4033"/>
      <c r="Q20" s="1233"/>
      <c r="R20" s="1233"/>
      <c r="S20" s="1234"/>
      <c r="T20" s="1233"/>
      <c r="U20" s="1233"/>
      <c r="V20" s="1234"/>
      <c r="X20" s="428"/>
      <c r="Y20" s="428"/>
      <c r="AB20" s="1234"/>
      <c r="AC20" s="1234"/>
      <c r="AD20" s="1234"/>
      <c r="AE20" s="1234"/>
      <c r="AF20" s="1234"/>
      <c r="AO20" s="280"/>
    </row>
    <row r="21" spans="3:49" s="72" customFormat="1" ht="24.5" customHeight="1" thickBot="1" x14ac:dyDescent="0.4">
      <c r="C21" s="280"/>
      <c r="D21" s="1236"/>
      <c r="E21" s="4028" t="s">
        <v>876</v>
      </c>
      <c r="F21" s="4029"/>
      <c r="G21" s="4029"/>
      <c r="H21" s="4029"/>
      <c r="I21" s="4029"/>
      <c r="J21" s="4030"/>
      <c r="K21" s="4034">
        <v>0</v>
      </c>
      <c r="L21" s="4034"/>
      <c r="M21" s="4034"/>
      <c r="N21" s="4034"/>
      <c r="O21" s="4034"/>
      <c r="P21" s="4035"/>
      <c r="Q21" s="1233"/>
      <c r="R21" s="1233"/>
      <c r="S21" s="1234"/>
      <c r="T21" s="1233"/>
      <c r="U21" s="1233"/>
      <c r="V21" s="1234"/>
      <c r="X21" s="428"/>
      <c r="Y21" s="428"/>
      <c r="AB21" s="1234"/>
      <c r="AC21" s="1234"/>
      <c r="AD21" s="1234"/>
      <c r="AE21" s="1234"/>
      <c r="AF21" s="1234"/>
      <c r="AG21" s="1233"/>
      <c r="AH21" s="1233"/>
      <c r="AI21" s="1234"/>
      <c r="AJ21" s="1233"/>
      <c r="AO21" s="280"/>
      <c r="AS21" s="1233"/>
    </row>
    <row r="22" spans="3:49" s="1101" customFormat="1" ht="24.75" customHeight="1" thickTop="1" x14ac:dyDescent="0.35">
      <c r="C22" s="1097"/>
      <c r="D22" s="1220" t="s">
        <v>152</v>
      </c>
      <c r="E22" s="833" t="b">
        <v>0</v>
      </c>
      <c r="F22" s="1172" t="s">
        <v>1836</v>
      </c>
      <c r="G22" s="1099"/>
      <c r="H22" s="1099"/>
      <c r="I22" s="1099"/>
      <c r="J22" s="1099"/>
      <c r="K22" s="1099"/>
      <c r="L22" s="1099"/>
      <c r="M22" s="1099"/>
      <c r="N22" s="1099"/>
      <c r="O22" s="1099"/>
      <c r="P22" s="1099"/>
      <c r="Q22" s="1099"/>
      <c r="R22" s="1099"/>
      <c r="S22" s="1099"/>
      <c r="T22" s="1099"/>
      <c r="U22" s="1099"/>
      <c r="V22" s="1099"/>
      <c r="W22" s="1099"/>
      <c r="X22" s="1099"/>
      <c r="Y22" s="1099"/>
      <c r="Z22" s="1099"/>
      <c r="AA22" s="1099"/>
      <c r="AB22" s="1099"/>
      <c r="AC22" s="1099"/>
      <c r="AD22" s="1099"/>
      <c r="AE22" s="1099"/>
      <c r="AF22" s="1099"/>
      <c r="AG22" s="1099"/>
      <c r="AH22" s="1099"/>
      <c r="AI22" s="1099"/>
      <c r="AJ22" s="1099"/>
      <c r="AK22" s="1099"/>
      <c r="AL22" s="1099"/>
      <c r="AM22" s="1099"/>
      <c r="AN22" s="1099"/>
      <c r="AO22" s="1261"/>
      <c r="AP22" s="1099"/>
      <c r="AQ22" s="1099"/>
      <c r="AR22" s="1099"/>
      <c r="AS22" s="1099"/>
      <c r="AT22" s="1099"/>
      <c r="AU22" s="1099"/>
      <c r="AV22" s="1099"/>
      <c r="AW22" s="1099"/>
    </row>
    <row r="23" spans="3:49" s="1101" customFormat="1" ht="10" customHeight="1" x14ac:dyDescent="0.35">
      <c r="C23" s="1097"/>
      <c r="D23" s="1220"/>
      <c r="E23" s="1098"/>
      <c r="F23" s="1172"/>
      <c r="G23" s="1099"/>
      <c r="H23" s="1099"/>
      <c r="I23" s="1099"/>
      <c r="J23" s="1099"/>
      <c r="K23" s="1099"/>
      <c r="L23" s="1099"/>
      <c r="M23" s="1099"/>
      <c r="N23" s="1099"/>
      <c r="O23" s="1099"/>
      <c r="P23" s="1099"/>
      <c r="Q23" s="1099"/>
      <c r="R23" s="1099"/>
      <c r="S23" s="1099"/>
      <c r="T23" s="1099"/>
      <c r="U23" s="1099"/>
      <c r="V23" s="1099"/>
      <c r="W23" s="1099"/>
      <c r="X23" s="1099"/>
      <c r="Y23" s="1099"/>
      <c r="Z23" s="1099"/>
      <c r="AA23" s="1099"/>
      <c r="AB23" s="1099"/>
      <c r="AC23" s="1099"/>
      <c r="AD23" s="1099"/>
      <c r="AE23" s="1099"/>
      <c r="AF23" s="1099"/>
      <c r="AG23" s="1099"/>
      <c r="AH23" s="1099"/>
      <c r="AI23" s="1099"/>
      <c r="AJ23" s="1099"/>
      <c r="AK23" s="1099"/>
      <c r="AL23" s="1099"/>
      <c r="AM23" s="1099"/>
      <c r="AN23" s="1099"/>
      <c r="AO23" s="1261"/>
      <c r="AP23" s="1099"/>
      <c r="AQ23" s="1099"/>
      <c r="AR23" s="1099"/>
      <c r="AS23" s="1099"/>
      <c r="AT23" s="1099"/>
      <c r="AU23" s="1099"/>
      <c r="AV23" s="1099"/>
      <c r="AW23" s="1099"/>
    </row>
    <row r="24" spans="3:49" ht="15.5" customHeight="1" x14ac:dyDescent="0.35">
      <c r="C24" s="1049"/>
      <c r="D24" s="1050" t="s">
        <v>155</v>
      </c>
      <c r="E24" s="1103" t="s">
        <v>1837</v>
      </c>
      <c r="F24" s="1051"/>
      <c r="G24" s="1051"/>
      <c r="H24" s="1051"/>
      <c r="I24" s="1051"/>
      <c r="J24" s="1051"/>
      <c r="K24" s="1051"/>
      <c r="L24" s="1051"/>
      <c r="M24" s="1051"/>
      <c r="N24" s="1051"/>
      <c r="O24" s="1051"/>
      <c r="P24" s="1051"/>
      <c r="Q24" s="1051"/>
      <c r="R24" s="1051"/>
      <c r="S24" s="1051"/>
      <c r="T24" s="1051"/>
      <c r="U24" s="1051"/>
      <c r="V24" s="1051"/>
      <c r="W24" s="1051"/>
      <c r="X24" s="1051"/>
      <c r="Y24" s="1051"/>
      <c r="Z24" s="1051"/>
      <c r="AA24" s="1051"/>
      <c r="AB24" s="1051"/>
      <c r="AC24" s="1051"/>
      <c r="AD24" s="1051"/>
      <c r="AE24" s="1051"/>
      <c r="AF24" s="1051"/>
      <c r="AG24" s="1051"/>
      <c r="AH24" s="1051"/>
      <c r="AI24" s="1051"/>
      <c r="AJ24" s="1051"/>
      <c r="AK24" s="1051"/>
      <c r="AL24" s="1051"/>
      <c r="AM24" s="1051"/>
      <c r="AN24" s="1051"/>
      <c r="AO24" s="1262"/>
      <c r="AP24" s="1051"/>
      <c r="AQ24" s="1051"/>
      <c r="AR24" s="1052"/>
      <c r="AS24" s="1051"/>
      <c r="AT24" s="1051"/>
      <c r="AU24" s="1051"/>
      <c r="AV24" s="1051"/>
      <c r="AW24" s="1052"/>
    </row>
    <row r="25" spans="3:49" ht="5" customHeight="1" thickBot="1" x14ac:dyDescent="0.4">
      <c r="C25" s="1084"/>
      <c r="D25" s="1105"/>
      <c r="E25" s="1105"/>
      <c r="F25" s="1105"/>
      <c r="G25" s="1105"/>
      <c r="H25" s="1105"/>
      <c r="I25" s="1105"/>
      <c r="J25" s="1105"/>
      <c r="K25" s="1105"/>
      <c r="L25" s="1105"/>
      <c r="M25" s="1105"/>
      <c r="N25" s="1105"/>
      <c r="O25" s="1105"/>
      <c r="P25" s="1105"/>
      <c r="Q25" s="1105"/>
      <c r="R25" s="1105"/>
      <c r="S25" s="1105"/>
      <c r="T25" s="1105"/>
      <c r="U25" s="1105"/>
      <c r="V25" s="1105"/>
      <c r="W25" s="1105"/>
      <c r="X25" s="1105"/>
      <c r="Y25" s="1105"/>
      <c r="Z25" s="1105"/>
      <c r="AA25" s="1105"/>
      <c r="AB25" s="1105"/>
      <c r="AC25" s="1105"/>
      <c r="AD25" s="1105"/>
      <c r="AE25" s="1105"/>
      <c r="AF25" s="1105"/>
      <c r="AG25" s="1105"/>
      <c r="AH25" s="1105"/>
      <c r="AI25" s="1105"/>
      <c r="AJ25" s="1105"/>
      <c r="AK25" s="1105"/>
      <c r="AL25" s="1105"/>
      <c r="AM25" s="1105"/>
      <c r="AN25" s="1105"/>
      <c r="AO25" s="1263"/>
      <c r="AP25" s="1105"/>
      <c r="AQ25" s="1105"/>
      <c r="AR25" s="1105"/>
      <c r="AS25" s="1105"/>
      <c r="AT25" s="1105"/>
      <c r="AU25" s="1105"/>
      <c r="AV25" s="1105"/>
      <c r="AW25" s="1105"/>
    </row>
    <row r="26" spans="3:49" s="44" customFormat="1" ht="15.75" customHeight="1" thickTop="1" x14ac:dyDescent="0.35">
      <c r="C26" s="412"/>
      <c r="E26" s="2302" t="s">
        <v>1838</v>
      </c>
      <c r="F26" s="2303"/>
      <c r="G26" s="2303"/>
      <c r="H26" s="2303"/>
      <c r="I26" s="2303"/>
      <c r="J26" s="2303"/>
      <c r="K26" s="2303"/>
      <c r="L26" s="2303"/>
      <c r="M26" s="2303"/>
      <c r="N26" s="2303"/>
      <c r="O26" s="2303"/>
      <c r="P26" s="2303"/>
      <c r="Q26" s="2303"/>
      <c r="R26" s="2303"/>
      <c r="S26" s="2303"/>
      <c r="T26" s="2303"/>
      <c r="U26" s="2303"/>
      <c r="V26" s="2303"/>
      <c r="W26" s="2303"/>
      <c r="X26" s="3992"/>
      <c r="Y26" s="2302" t="s">
        <v>898</v>
      </c>
      <c r="Z26" s="2303"/>
      <c r="AA26" s="2303"/>
      <c r="AB26" s="2303"/>
      <c r="AC26" s="2303"/>
      <c r="AD26" s="2304"/>
      <c r="AE26" s="3887" t="s">
        <v>899</v>
      </c>
      <c r="AF26" s="1970"/>
      <c r="AG26" s="1970"/>
      <c r="AH26" s="1970"/>
      <c r="AI26" s="1970"/>
      <c r="AJ26" s="2135"/>
      <c r="AO26" s="412"/>
    </row>
    <row r="27" spans="3:49" s="44" customFormat="1" ht="15.75" customHeight="1" thickBot="1" x14ac:dyDescent="0.4">
      <c r="C27" s="412"/>
      <c r="E27" s="2305"/>
      <c r="F27" s="2306"/>
      <c r="G27" s="2306"/>
      <c r="H27" s="2306"/>
      <c r="I27" s="2306"/>
      <c r="J27" s="2306"/>
      <c r="K27" s="2306"/>
      <c r="L27" s="2306"/>
      <c r="M27" s="2306"/>
      <c r="N27" s="2306"/>
      <c r="O27" s="2306"/>
      <c r="P27" s="2306"/>
      <c r="Q27" s="2306"/>
      <c r="R27" s="2306"/>
      <c r="S27" s="2306"/>
      <c r="T27" s="2306"/>
      <c r="U27" s="2306"/>
      <c r="V27" s="2306"/>
      <c r="W27" s="2306"/>
      <c r="X27" s="2349"/>
      <c r="Y27" s="2342"/>
      <c r="Z27" s="2343"/>
      <c r="AA27" s="2343"/>
      <c r="AB27" s="2343"/>
      <c r="AC27" s="2343"/>
      <c r="AD27" s="2344"/>
      <c r="AE27" s="4080"/>
      <c r="AF27" s="4081"/>
      <c r="AG27" s="4081"/>
      <c r="AH27" s="4081"/>
      <c r="AI27" s="4081"/>
      <c r="AJ27" s="4082"/>
      <c r="AO27" s="412"/>
    </row>
    <row r="28" spans="3:49" s="44" customFormat="1" ht="20" customHeight="1" thickBot="1" x14ac:dyDescent="0.4">
      <c r="C28" s="412"/>
      <c r="E28" s="2305"/>
      <c r="F28" s="2306"/>
      <c r="G28" s="2306"/>
      <c r="H28" s="2306"/>
      <c r="I28" s="2306"/>
      <c r="J28" s="2306"/>
      <c r="K28" s="2306"/>
      <c r="L28" s="2306"/>
      <c r="M28" s="2306"/>
      <c r="N28" s="2306"/>
      <c r="O28" s="2306"/>
      <c r="P28" s="2306"/>
      <c r="Q28" s="2306"/>
      <c r="R28" s="2306"/>
      <c r="S28" s="2306"/>
      <c r="T28" s="2306"/>
      <c r="U28" s="2306"/>
      <c r="V28" s="2306"/>
      <c r="W28" s="2306"/>
      <c r="X28" s="2349"/>
      <c r="Y28" s="1973" t="s">
        <v>14</v>
      </c>
      <c r="Z28" s="1973"/>
      <c r="AA28" s="3982"/>
      <c r="AB28" s="2165" t="s">
        <v>15</v>
      </c>
      <c r="AC28" s="1973"/>
      <c r="AD28" s="1974"/>
      <c r="AE28" s="3888" t="s">
        <v>14</v>
      </c>
      <c r="AF28" s="1973"/>
      <c r="AG28" s="3982"/>
      <c r="AH28" s="2165" t="s">
        <v>15</v>
      </c>
      <c r="AI28" s="1973"/>
      <c r="AJ28" s="2137"/>
      <c r="AO28" s="412"/>
    </row>
    <row r="29" spans="3:49" s="44" customFormat="1" ht="23" customHeight="1" thickTop="1" x14ac:dyDescent="0.35">
      <c r="C29" s="412"/>
      <c r="E29" s="1259"/>
      <c r="F29" s="4077" t="s">
        <v>878</v>
      </c>
      <c r="G29" s="4077"/>
      <c r="H29" s="4077"/>
      <c r="I29" s="4077"/>
      <c r="J29" s="4077"/>
      <c r="K29" s="4077"/>
      <c r="L29" s="4077"/>
      <c r="M29" s="4077"/>
      <c r="N29" s="4077"/>
      <c r="O29" s="4077"/>
      <c r="P29" s="4077"/>
      <c r="Q29" s="4077"/>
      <c r="R29" s="4077"/>
      <c r="S29" s="4077"/>
      <c r="T29" s="4077"/>
      <c r="U29" s="4077"/>
      <c r="V29" s="4077"/>
      <c r="W29" s="4077"/>
      <c r="X29" s="1260"/>
      <c r="Y29" s="4078">
        <v>0</v>
      </c>
      <c r="Z29" s="3917"/>
      <c r="AA29" s="3918"/>
      <c r="AB29" s="3916">
        <v>0</v>
      </c>
      <c r="AC29" s="3917"/>
      <c r="AD29" s="3919"/>
      <c r="AE29" s="3921">
        <v>0</v>
      </c>
      <c r="AF29" s="3917"/>
      <c r="AG29" s="3918"/>
      <c r="AH29" s="3916">
        <v>0</v>
      </c>
      <c r="AI29" s="3917"/>
      <c r="AJ29" s="4079"/>
      <c r="AO29" s="412"/>
    </row>
    <row r="30" spans="3:49" s="44" customFormat="1" ht="23" customHeight="1" x14ac:dyDescent="0.35">
      <c r="C30" s="412"/>
      <c r="E30" s="1253"/>
      <c r="F30" s="4076" t="s">
        <v>879</v>
      </c>
      <c r="G30" s="4076"/>
      <c r="H30" s="4076"/>
      <c r="I30" s="4076"/>
      <c r="J30" s="4076"/>
      <c r="K30" s="4076"/>
      <c r="L30" s="4076"/>
      <c r="M30" s="4076"/>
      <c r="N30" s="4076"/>
      <c r="O30" s="4076"/>
      <c r="P30" s="4076"/>
      <c r="Q30" s="4076"/>
      <c r="R30" s="4076"/>
      <c r="S30" s="4076"/>
      <c r="T30" s="4076"/>
      <c r="U30" s="4076"/>
      <c r="V30" s="4076"/>
      <c r="W30" s="4076"/>
      <c r="X30" s="1254"/>
      <c r="Y30" s="4011"/>
      <c r="Z30" s="3912"/>
      <c r="AA30" s="3914"/>
      <c r="AB30" s="3911">
        <v>0</v>
      </c>
      <c r="AC30" s="3912"/>
      <c r="AD30" s="3913"/>
      <c r="AE30" s="3915">
        <v>0</v>
      </c>
      <c r="AF30" s="3912"/>
      <c r="AG30" s="3914"/>
      <c r="AH30" s="3911">
        <v>0</v>
      </c>
      <c r="AI30" s="3912"/>
      <c r="AJ30" s="3975"/>
      <c r="AO30" s="412"/>
    </row>
    <row r="31" spans="3:49" s="44" customFormat="1" ht="32.25" customHeight="1" x14ac:dyDescent="0.35">
      <c r="C31" s="412"/>
      <c r="E31" s="1257"/>
      <c r="F31" s="4076" t="s">
        <v>880</v>
      </c>
      <c r="G31" s="4076"/>
      <c r="H31" s="4076"/>
      <c r="I31" s="4076"/>
      <c r="J31" s="4076"/>
      <c r="K31" s="4076"/>
      <c r="L31" s="4076"/>
      <c r="M31" s="4076"/>
      <c r="N31" s="4076"/>
      <c r="O31" s="4076"/>
      <c r="P31" s="4076"/>
      <c r="Q31" s="4076"/>
      <c r="R31" s="4076"/>
      <c r="S31" s="4076"/>
      <c r="T31" s="4076"/>
      <c r="U31" s="4076"/>
      <c r="V31" s="4076"/>
      <c r="W31" s="4076"/>
      <c r="X31" s="1258"/>
      <c r="Y31" s="4011">
        <v>0</v>
      </c>
      <c r="Z31" s="3912"/>
      <c r="AA31" s="3914"/>
      <c r="AB31" s="3911">
        <v>0</v>
      </c>
      <c r="AC31" s="3912"/>
      <c r="AD31" s="3913"/>
      <c r="AE31" s="3915">
        <v>0</v>
      </c>
      <c r="AF31" s="3912"/>
      <c r="AG31" s="3914"/>
      <c r="AH31" s="3911">
        <v>0</v>
      </c>
      <c r="AI31" s="3912"/>
      <c r="AJ31" s="3975"/>
      <c r="AO31" s="412"/>
    </row>
    <row r="32" spans="3:49" s="44" customFormat="1" ht="23" customHeight="1" x14ac:dyDescent="0.35">
      <c r="C32" s="412"/>
      <c r="E32" s="1253"/>
      <c r="F32" s="4083" t="s">
        <v>881</v>
      </c>
      <c r="G32" s="4083"/>
      <c r="H32" s="4083"/>
      <c r="I32" s="4083"/>
      <c r="J32" s="4083"/>
      <c r="K32" s="4083"/>
      <c r="L32" s="4083"/>
      <c r="M32" s="4083"/>
      <c r="N32" s="4083"/>
      <c r="O32" s="4083"/>
      <c r="P32" s="4083"/>
      <c r="Q32" s="4083"/>
      <c r="R32" s="4083"/>
      <c r="S32" s="4083"/>
      <c r="T32" s="4083"/>
      <c r="U32" s="4083"/>
      <c r="V32" s="4083"/>
      <c r="W32" s="4083"/>
      <c r="X32" s="1254"/>
      <c r="Y32" s="4011">
        <v>0</v>
      </c>
      <c r="Z32" s="3912"/>
      <c r="AA32" s="3914"/>
      <c r="AB32" s="3911">
        <v>0</v>
      </c>
      <c r="AC32" s="3912"/>
      <c r="AD32" s="3913"/>
      <c r="AE32" s="3915">
        <v>0</v>
      </c>
      <c r="AF32" s="3912"/>
      <c r="AG32" s="3914"/>
      <c r="AH32" s="3911">
        <v>0</v>
      </c>
      <c r="AI32" s="3912"/>
      <c r="AJ32" s="3975"/>
      <c r="AO32" s="412"/>
    </row>
    <row r="33" spans="3:41" s="44" customFormat="1" ht="23" customHeight="1" x14ac:dyDescent="0.35">
      <c r="C33" s="412"/>
      <c r="E33" s="1253"/>
      <c r="F33" s="4083" t="s">
        <v>882</v>
      </c>
      <c r="G33" s="4083"/>
      <c r="H33" s="4083"/>
      <c r="I33" s="4083"/>
      <c r="J33" s="4083"/>
      <c r="K33" s="4083"/>
      <c r="L33" s="4083"/>
      <c r="M33" s="4083"/>
      <c r="N33" s="4083"/>
      <c r="O33" s="4083"/>
      <c r="P33" s="4083"/>
      <c r="Q33" s="4083"/>
      <c r="R33" s="4083"/>
      <c r="S33" s="4083"/>
      <c r="T33" s="4083"/>
      <c r="U33" s="4083"/>
      <c r="V33" s="4083"/>
      <c r="W33" s="4083"/>
      <c r="X33" s="1254"/>
      <c r="Y33" s="4011">
        <v>0</v>
      </c>
      <c r="Z33" s="3912"/>
      <c r="AA33" s="3914"/>
      <c r="AB33" s="3911">
        <v>0</v>
      </c>
      <c r="AC33" s="3912"/>
      <c r="AD33" s="3913"/>
      <c r="AE33" s="3915">
        <v>0</v>
      </c>
      <c r="AF33" s="3912"/>
      <c r="AG33" s="3914"/>
      <c r="AH33" s="3911">
        <v>0</v>
      </c>
      <c r="AI33" s="3912"/>
      <c r="AJ33" s="3975"/>
      <c r="AO33" s="412"/>
    </row>
    <row r="34" spans="3:41" s="44" customFormat="1" ht="23" customHeight="1" x14ac:dyDescent="0.35">
      <c r="C34" s="412"/>
      <c r="E34" s="1253"/>
      <c r="F34" s="4083" t="s">
        <v>883</v>
      </c>
      <c r="G34" s="4083"/>
      <c r="H34" s="4083"/>
      <c r="I34" s="4083"/>
      <c r="J34" s="4083"/>
      <c r="K34" s="4083"/>
      <c r="L34" s="4083"/>
      <c r="M34" s="4083"/>
      <c r="N34" s="4083"/>
      <c r="O34" s="4083"/>
      <c r="P34" s="4083"/>
      <c r="Q34" s="4083"/>
      <c r="R34" s="4083"/>
      <c r="S34" s="4083"/>
      <c r="T34" s="4083"/>
      <c r="U34" s="4083"/>
      <c r="V34" s="4083"/>
      <c r="W34" s="4083"/>
      <c r="X34" s="1254"/>
      <c r="Y34" s="4011">
        <v>0</v>
      </c>
      <c r="Z34" s="3912"/>
      <c r="AA34" s="3914"/>
      <c r="AB34" s="3911">
        <v>0</v>
      </c>
      <c r="AC34" s="3912"/>
      <c r="AD34" s="3913"/>
      <c r="AE34" s="3915">
        <v>0</v>
      </c>
      <c r="AF34" s="3912"/>
      <c r="AG34" s="3914"/>
      <c r="AH34" s="3911">
        <v>0</v>
      </c>
      <c r="AI34" s="3912"/>
      <c r="AJ34" s="3975"/>
      <c r="AO34" s="412"/>
    </row>
    <row r="35" spans="3:41" s="44" customFormat="1" ht="23" customHeight="1" x14ac:dyDescent="0.35">
      <c r="C35" s="412"/>
      <c r="E35" s="1253"/>
      <c r="F35" s="4083" t="s">
        <v>884</v>
      </c>
      <c r="G35" s="4083"/>
      <c r="H35" s="4083"/>
      <c r="I35" s="4083"/>
      <c r="J35" s="4083"/>
      <c r="K35" s="4083"/>
      <c r="L35" s="4083"/>
      <c r="M35" s="4083"/>
      <c r="N35" s="4083"/>
      <c r="O35" s="4083"/>
      <c r="P35" s="4083"/>
      <c r="Q35" s="4083"/>
      <c r="R35" s="4083"/>
      <c r="S35" s="4083"/>
      <c r="T35" s="4083"/>
      <c r="U35" s="4083"/>
      <c r="V35" s="4083"/>
      <c r="W35" s="4083"/>
      <c r="X35" s="1254"/>
      <c r="Y35" s="4011">
        <v>0</v>
      </c>
      <c r="Z35" s="3912"/>
      <c r="AA35" s="3914"/>
      <c r="AB35" s="3911">
        <v>0</v>
      </c>
      <c r="AC35" s="3912"/>
      <c r="AD35" s="3913"/>
      <c r="AE35" s="3915">
        <v>0</v>
      </c>
      <c r="AF35" s="3912"/>
      <c r="AG35" s="3914"/>
      <c r="AH35" s="3911">
        <v>0</v>
      </c>
      <c r="AI35" s="3912"/>
      <c r="AJ35" s="3975"/>
      <c r="AO35" s="412"/>
    </row>
    <row r="36" spans="3:41" s="44" customFormat="1" ht="23" customHeight="1" x14ac:dyDescent="0.35">
      <c r="C36" s="412"/>
      <c r="E36" s="1253"/>
      <c r="F36" s="4083" t="s">
        <v>885</v>
      </c>
      <c r="G36" s="4083"/>
      <c r="H36" s="4083"/>
      <c r="I36" s="4083"/>
      <c r="J36" s="4083"/>
      <c r="K36" s="4083"/>
      <c r="L36" s="4083"/>
      <c r="M36" s="4083"/>
      <c r="N36" s="4083"/>
      <c r="O36" s="4083"/>
      <c r="P36" s="4083"/>
      <c r="Q36" s="4083"/>
      <c r="R36" s="4083"/>
      <c r="S36" s="4083"/>
      <c r="T36" s="4083"/>
      <c r="U36" s="4083"/>
      <c r="V36" s="4083"/>
      <c r="W36" s="4083"/>
      <c r="X36" s="1254"/>
      <c r="Y36" s="4011">
        <v>0</v>
      </c>
      <c r="Z36" s="3912"/>
      <c r="AA36" s="3914"/>
      <c r="AB36" s="3911">
        <v>0</v>
      </c>
      <c r="AC36" s="3912"/>
      <c r="AD36" s="3913"/>
      <c r="AE36" s="3915">
        <v>0</v>
      </c>
      <c r="AF36" s="3912"/>
      <c r="AG36" s="3914"/>
      <c r="AH36" s="3911">
        <v>0</v>
      </c>
      <c r="AI36" s="3912"/>
      <c r="AJ36" s="3975"/>
      <c r="AO36" s="412"/>
    </row>
    <row r="37" spans="3:41" s="44" customFormat="1" ht="23" customHeight="1" x14ac:dyDescent="0.35">
      <c r="C37" s="412"/>
      <c r="E37" s="1253"/>
      <c r="F37" s="4083" t="s">
        <v>886</v>
      </c>
      <c r="G37" s="4083"/>
      <c r="H37" s="4083"/>
      <c r="I37" s="4083"/>
      <c r="J37" s="4083"/>
      <c r="K37" s="4083"/>
      <c r="L37" s="4083"/>
      <c r="M37" s="4083"/>
      <c r="N37" s="4083"/>
      <c r="O37" s="4083"/>
      <c r="P37" s="4083"/>
      <c r="Q37" s="4083"/>
      <c r="R37" s="4083"/>
      <c r="S37" s="4083"/>
      <c r="T37" s="4083"/>
      <c r="U37" s="4083"/>
      <c r="V37" s="4083"/>
      <c r="W37" s="4083"/>
      <c r="X37" s="1254"/>
      <c r="Y37" s="4011">
        <v>0</v>
      </c>
      <c r="Z37" s="3912"/>
      <c r="AA37" s="3914"/>
      <c r="AB37" s="3911">
        <v>0</v>
      </c>
      <c r="AC37" s="3912"/>
      <c r="AD37" s="3913"/>
      <c r="AE37" s="3915">
        <v>0</v>
      </c>
      <c r="AF37" s="3912"/>
      <c r="AG37" s="3914"/>
      <c r="AH37" s="3911">
        <v>0</v>
      </c>
      <c r="AI37" s="3912"/>
      <c r="AJ37" s="3975"/>
      <c r="AO37" s="412"/>
    </row>
    <row r="38" spans="3:41" s="44" customFormat="1" ht="23" customHeight="1" x14ac:dyDescent="0.35">
      <c r="C38" s="412"/>
      <c r="E38" s="1253"/>
      <c r="F38" s="4083" t="s">
        <v>861</v>
      </c>
      <c r="G38" s="4083"/>
      <c r="H38" s="4083"/>
      <c r="I38" s="4083"/>
      <c r="J38" s="4083"/>
      <c r="K38" s="4083"/>
      <c r="L38" s="4083"/>
      <c r="M38" s="4083"/>
      <c r="N38" s="4083"/>
      <c r="O38" s="4083"/>
      <c r="P38" s="4083"/>
      <c r="Q38" s="4083"/>
      <c r="R38" s="4083"/>
      <c r="S38" s="4083"/>
      <c r="T38" s="4083"/>
      <c r="U38" s="4083"/>
      <c r="V38" s="4083"/>
      <c r="W38" s="4083"/>
      <c r="X38" s="1254"/>
      <c r="Y38" s="4011">
        <v>0</v>
      </c>
      <c r="Z38" s="3912"/>
      <c r="AA38" s="3914"/>
      <c r="AB38" s="3911">
        <v>0</v>
      </c>
      <c r="AC38" s="3912"/>
      <c r="AD38" s="3913"/>
      <c r="AE38" s="3915">
        <v>0</v>
      </c>
      <c r="AF38" s="3912"/>
      <c r="AG38" s="3914"/>
      <c r="AH38" s="3911">
        <v>0</v>
      </c>
      <c r="AI38" s="3912"/>
      <c r="AJ38" s="3975"/>
      <c r="AO38" s="412"/>
    </row>
    <row r="39" spans="3:41" s="44" customFormat="1" ht="23" customHeight="1" x14ac:dyDescent="0.35">
      <c r="C39" s="412"/>
      <c r="E39" s="1253"/>
      <c r="F39" s="4083" t="s">
        <v>887</v>
      </c>
      <c r="G39" s="4083"/>
      <c r="H39" s="4083"/>
      <c r="I39" s="4083"/>
      <c r="J39" s="4083"/>
      <c r="K39" s="4083"/>
      <c r="L39" s="4083"/>
      <c r="M39" s="4083"/>
      <c r="N39" s="4083"/>
      <c r="O39" s="4083"/>
      <c r="P39" s="4083"/>
      <c r="Q39" s="4083"/>
      <c r="R39" s="4083"/>
      <c r="S39" s="4083"/>
      <c r="T39" s="4083"/>
      <c r="U39" s="4083"/>
      <c r="V39" s="4083"/>
      <c r="W39" s="4083"/>
      <c r="X39" s="1254"/>
      <c r="Y39" s="4011">
        <v>0</v>
      </c>
      <c r="Z39" s="3912"/>
      <c r="AA39" s="3914"/>
      <c r="AB39" s="3911">
        <v>0</v>
      </c>
      <c r="AC39" s="3912"/>
      <c r="AD39" s="3913"/>
      <c r="AE39" s="3915">
        <v>0</v>
      </c>
      <c r="AF39" s="3912"/>
      <c r="AG39" s="3914"/>
      <c r="AH39" s="3911">
        <v>0</v>
      </c>
      <c r="AI39" s="3912"/>
      <c r="AJ39" s="3975"/>
      <c r="AO39" s="412"/>
    </row>
    <row r="40" spans="3:41" s="44" customFormat="1" ht="23" customHeight="1" x14ac:dyDescent="0.35">
      <c r="C40" s="412"/>
      <c r="E40" s="1253"/>
      <c r="F40" s="4083" t="s">
        <v>888</v>
      </c>
      <c r="G40" s="4083"/>
      <c r="H40" s="4083"/>
      <c r="I40" s="4083"/>
      <c r="J40" s="4083"/>
      <c r="K40" s="4083"/>
      <c r="L40" s="4083"/>
      <c r="M40" s="4083"/>
      <c r="N40" s="4083"/>
      <c r="O40" s="4083"/>
      <c r="P40" s="4083"/>
      <c r="Q40" s="4083"/>
      <c r="R40" s="4083"/>
      <c r="S40" s="4083"/>
      <c r="T40" s="4083"/>
      <c r="U40" s="4083"/>
      <c r="V40" s="4083"/>
      <c r="W40" s="4083"/>
      <c r="X40" s="1254"/>
      <c r="Y40" s="4011">
        <v>0</v>
      </c>
      <c r="Z40" s="3912"/>
      <c r="AA40" s="3914"/>
      <c r="AB40" s="3911">
        <v>0</v>
      </c>
      <c r="AC40" s="3912"/>
      <c r="AD40" s="3913"/>
      <c r="AE40" s="3915">
        <v>0</v>
      </c>
      <c r="AF40" s="3912"/>
      <c r="AG40" s="3914"/>
      <c r="AH40" s="3911">
        <v>0</v>
      </c>
      <c r="AI40" s="3912"/>
      <c r="AJ40" s="3975"/>
      <c r="AO40" s="412"/>
    </row>
    <row r="41" spans="3:41" s="44" customFormat="1" ht="23" customHeight="1" x14ac:dyDescent="0.35">
      <c r="C41" s="412"/>
      <c r="E41" s="1253"/>
      <c r="F41" s="4083" t="s">
        <v>889</v>
      </c>
      <c r="G41" s="4083"/>
      <c r="H41" s="4083"/>
      <c r="I41" s="4083"/>
      <c r="J41" s="4083"/>
      <c r="K41" s="4083"/>
      <c r="L41" s="4083"/>
      <c r="M41" s="4083"/>
      <c r="N41" s="4083"/>
      <c r="O41" s="4083"/>
      <c r="P41" s="4083"/>
      <c r="Q41" s="4083"/>
      <c r="R41" s="4083"/>
      <c r="S41" s="4083"/>
      <c r="T41" s="4083"/>
      <c r="U41" s="4083"/>
      <c r="V41" s="4083"/>
      <c r="W41" s="4083"/>
      <c r="X41" s="1254"/>
      <c r="Y41" s="4011">
        <v>0</v>
      </c>
      <c r="Z41" s="3912"/>
      <c r="AA41" s="3914"/>
      <c r="AB41" s="3911">
        <v>0</v>
      </c>
      <c r="AC41" s="3912"/>
      <c r="AD41" s="3913"/>
      <c r="AE41" s="3915">
        <v>0</v>
      </c>
      <c r="AF41" s="3912"/>
      <c r="AG41" s="3914"/>
      <c r="AH41" s="3911">
        <v>0</v>
      </c>
      <c r="AI41" s="3912"/>
      <c r="AJ41" s="3975"/>
      <c r="AO41" s="412"/>
    </row>
    <row r="42" spans="3:41" s="44" customFormat="1" ht="23" customHeight="1" x14ac:dyDescent="0.35">
      <c r="C42" s="412"/>
      <c r="E42" s="1253"/>
      <c r="F42" s="4083" t="s">
        <v>890</v>
      </c>
      <c r="G42" s="4083"/>
      <c r="H42" s="4083"/>
      <c r="I42" s="4083"/>
      <c r="J42" s="4083"/>
      <c r="K42" s="4083"/>
      <c r="L42" s="4083"/>
      <c r="M42" s="4083"/>
      <c r="N42" s="4083"/>
      <c r="O42" s="4083"/>
      <c r="P42" s="4083"/>
      <c r="Q42" s="4083"/>
      <c r="R42" s="4083"/>
      <c r="S42" s="4083"/>
      <c r="T42" s="4083"/>
      <c r="U42" s="4083"/>
      <c r="V42" s="4083"/>
      <c r="W42" s="4083"/>
      <c r="X42" s="1254"/>
      <c r="Y42" s="4011">
        <v>0</v>
      </c>
      <c r="Z42" s="3912"/>
      <c r="AA42" s="3914"/>
      <c r="AB42" s="3911">
        <v>0</v>
      </c>
      <c r="AC42" s="3912"/>
      <c r="AD42" s="3913"/>
      <c r="AE42" s="3915">
        <v>0</v>
      </c>
      <c r="AF42" s="3912"/>
      <c r="AG42" s="3914"/>
      <c r="AH42" s="3911">
        <v>0</v>
      </c>
      <c r="AI42" s="3912"/>
      <c r="AJ42" s="3975"/>
      <c r="AO42" s="412"/>
    </row>
    <row r="43" spans="3:41" s="44" customFormat="1" ht="23" customHeight="1" x14ac:dyDescent="0.35">
      <c r="C43" s="412"/>
      <c r="E43" s="1253"/>
      <c r="F43" s="4083" t="s">
        <v>891</v>
      </c>
      <c r="G43" s="4083"/>
      <c r="H43" s="4083"/>
      <c r="I43" s="4083"/>
      <c r="J43" s="4083"/>
      <c r="K43" s="4083"/>
      <c r="L43" s="4083"/>
      <c r="M43" s="4083"/>
      <c r="N43" s="4083"/>
      <c r="O43" s="4083"/>
      <c r="P43" s="4083"/>
      <c r="Q43" s="4083"/>
      <c r="R43" s="4083"/>
      <c r="S43" s="4083"/>
      <c r="T43" s="4083"/>
      <c r="U43" s="4083"/>
      <c r="V43" s="4083"/>
      <c r="W43" s="4083"/>
      <c r="X43" s="1254"/>
      <c r="Y43" s="4011">
        <v>0</v>
      </c>
      <c r="Z43" s="3912"/>
      <c r="AA43" s="3914"/>
      <c r="AB43" s="3911">
        <v>0</v>
      </c>
      <c r="AC43" s="3912"/>
      <c r="AD43" s="3913"/>
      <c r="AE43" s="3915">
        <v>0</v>
      </c>
      <c r="AF43" s="3912"/>
      <c r="AG43" s="3914"/>
      <c r="AH43" s="3911">
        <v>0</v>
      </c>
      <c r="AI43" s="3912"/>
      <c r="AJ43" s="3975"/>
      <c r="AO43" s="412"/>
    </row>
    <row r="44" spans="3:41" s="44" customFormat="1" ht="23" customHeight="1" x14ac:dyDescent="0.35">
      <c r="C44" s="412"/>
      <c r="E44" s="1253"/>
      <c r="F44" s="4083" t="s">
        <v>892</v>
      </c>
      <c r="G44" s="4083"/>
      <c r="H44" s="4083"/>
      <c r="I44" s="4083"/>
      <c r="J44" s="4083"/>
      <c r="K44" s="4083"/>
      <c r="L44" s="4083"/>
      <c r="M44" s="4083"/>
      <c r="N44" s="4083"/>
      <c r="O44" s="4083"/>
      <c r="P44" s="4083"/>
      <c r="Q44" s="4083"/>
      <c r="R44" s="4083"/>
      <c r="S44" s="4083"/>
      <c r="T44" s="4083"/>
      <c r="U44" s="4083"/>
      <c r="V44" s="4083"/>
      <c r="W44" s="4083"/>
      <c r="X44" s="1254"/>
      <c r="Y44" s="4011">
        <v>0</v>
      </c>
      <c r="Z44" s="3912"/>
      <c r="AA44" s="3914"/>
      <c r="AB44" s="3911">
        <v>0</v>
      </c>
      <c r="AC44" s="3912"/>
      <c r="AD44" s="3913"/>
      <c r="AE44" s="3915">
        <v>0</v>
      </c>
      <c r="AF44" s="3912"/>
      <c r="AG44" s="3914"/>
      <c r="AH44" s="3911">
        <v>0</v>
      </c>
      <c r="AI44" s="3912"/>
      <c r="AJ44" s="3975"/>
      <c r="AO44" s="412"/>
    </row>
    <row r="45" spans="3:41" s="44" customFormat="1" ht="23" customHeight="1" x14ac:dyDescent="0.35">
      <c r="C45" s="412"/>
      <c r="E45" s="1253"/>
      <c r="F45" s="4083" t="s">
        <v>893</v>
      </c>
      <c r="G45" s="4083"/>
      <c r="H45" s="4083"/>
      <c r="I45" s="4083"/>
      <c r="J45" s="4083"/>
      <c r="K45" s="4083"/>
      <c r="L45" s="4083"/>
      <c r="M45" s="4083"/>
      <c r="N45" s="4083"/>
      <c r="O45" s="4083"/>
      <c r="P45" s="4083"/>
      <c r="Q45" s="4083"/>
      <c r="R45" s="4083"/>
      <c r="S45" s="4083"/>
      <c r="T45" s="4083"/>
      <c r="U45" s="4083"/>
      <c r="V45" s="4083"/>
      <c r="W45" s="4083"/>
      <c r="X45" s="1254"/>
      <c r="Y45" s="4011">
        <v>0</v>
      </c>
      <c r="Z45" s="3912"/>
      <c r="AA45" s="3914"/>
      <c r="AB45" s="3911">
        <v>0</v>
      </c>
      <c r="AC45" s="3912"/>
      <c r="AD45" s="3913"/>
      <c r="AE45" s="3915">
        <v>0</v>
      </c>
      <c r="AF45" s="3912"/>
      <c r="AG45" s="3914"/>
      <c r="AH45" s="3911">
        <v>0</v>
      </c>
      <c r="AI45" s="3912"/>
      <c r="AJ45" s="3975"/>
      <c r="AO45" s="412"/>
    </row>
    <row r="46" spans="3:41" s="44" customFormat="1" ht="23" customHeight="1" x14ac:dyDescent="0.35">
      <c r="C46" s="412"/>
      <c r="E46" s="1253"/>
      <c r="F46" s="4083" t="s">
        <v>894</v>
      </c>
      <c r="G46" s="4083"/>
      <c r="H46" s="4083"/>
      <c r="I46" s="4083"/>
      <c r="J46" s="4083"/>
      <c r="K46" s="4083"/>
      <c r="L46" s="4083"/>
      <c r="M46" s="4083"/>
      <c r="N46" s="4083"/>
      <c r="O46" s="4083"/>
      <c r="P46" s="4083"/>
      <c r="Q46" s="4083"/>
      <c r="R46" s="4083"/>
      <c r="S46" s="4083"/>
      <c r="T46" s="4083"/>
      <c r="U46" s="4083"/>
      <c r="V46" s="4083"/>
      <c r="W46" s="4083"/>
      <c r="X46" s="1254"/>
      <c r="Y46" s="4011">
        <v>0</v>
      </c>
      <c r="Z46" s="3912"/>
      <c r="AA46" s="3914"/>
      <c r="AB46" s="3911">
        <v>0</v>
      </c>
      <c r="AC46" s="3912"/>
      <c r="AD46" s="3913"/>
      <c r="AE46" s="3915">
        <v>0</v>
      </c>
      <c r="AF46" s="3912"/>
      <c r="AG46" s="3914"/>
      <c r="AH46" s="3911">
        <v>0</v>
      </c>
      <c r="AI46" s="3912"/>
      <c r="AJ46" s="3975"/>
      <c r="AO46" s="412"/>
    </row>
    <row r="47" spans="3:41" s="44" customFormat="1" ht="23" customHeight="1" x14ac:dyDescent="0.35">
      <c r="C47" s="412"/>
      <c r="E47" s="1253"/>
      <c r="F47" s="4083" t="s">
        <v>895</v>
      </c>
      <c r="G47" s="4083"/>
      <c r="H47" s="4083"/>
      <c r="I47" s="4083"/>
      <c r="J47" s="4083"/>
      <c r="K47" s="4083"/>
      <c r="L47" s="4083"/>
      <c r="M47" s="4083"/>
      <c r="N47" s="4083"/>
      <c r="O47" s="4083"/>
      <c r="P47" s="4083"/>
      <c r="Q47" s="4083"/>
      <c r="R47" s="4083"/>
      <c r="S47" s="4083"/>
      <c r="T47" s="4083"/>
      <c r="U47" s="4083"/>
      <c r="V47" s="4083"/>
      <c r="W47" s="4083"/>
      <c r="X47" s="1254"/>
      <c r="Y47" s="4011">
        <v>0</v>
      </c>
      <c r="Z47" s="3912"/>
      <c r="AA47" s="3914"/>
      <c r="AB47" s="3911">
        <v>0</v>
      </c>
      <c r="AC47" s="3912"/>
      <c r="AD47" s="3913"/>
      <c r="AE47" s="3915">
        <v>0</v>
      </c>
      <c r="AF47" s="3912"/>
      <c r="AG47" s="3914"/>
      <c r="AH47" s="3911">
        <v>0</v>
      </c>
      <c r="AI47" s="3912"/>
      <c r="AJ47" s="3975"/>
      <c r="AO47" s="412"/>
    </row>
    <row r="48" spans="3:41" s="44" customFormat="1" ht="23" customHeight="1" x14ac:dyDescent="0.35">
      <c r="C48" s="412"/>
      <c r="E48" s="1253"/>
      <c r="F48" s="4084" t="s">
        <v>1839</v>
      </c>
      <c r="G48" s="4083"/>
      <c r="H48" s="4083"/>
      <c r="I48" s="4083"/>
      <c r="J48" s="4083"/>
      <c r="K48" s="4083"/>
      <c r="L48" s="4083"/>
      <c r="M48" s="4083"/>
      <c r="N48" s="4083"/>
      <c r="O48" s="4083"/>
      <c r="P48" s="4083"/>
      <c r="Q48" s="4083"/>
      <c r="R48" s="4083"/>
      <c r="S48" s="4083"/>
      <c r="T48" s="4083"/>
      <c r="U48" s="4083"/>
      <c r="V48" s="4083"/>
      <c r="W48" s="4083"/>
      <c r="X48" s="1254"/>
      <c r="Y48" s="4011">
        <v>0</v>
      </c>
      <c r="Z48" s="3912"/>
      <c r="AA48" s="3914"/>
      <c r="AB48" s="3911">
        <v>0</v>
      </c>
      <c r="AC48" s="3912"/>
      <c r="AD48" s="3913"/>
      <c r="AE48" s="3915">
        <v>0</v>
      </c>
      <c r="AF48" s="3912"/>
      <c r="AG48" s="3914"/>
      <c r="AH48" s="3911">
        <v>0</v>
      </c>
      <c r="AI48" s="3912"/>
      <c r="AJ48" s="3975"/>
      <c r="AO48" s="412"/>
    </row>
    <row r="49" spans="2:42" s="44" customFormat="1" ht="23" customHeight="1" x14ac:dyDescent="0.35">
      <c r="C49" s="412"/>
      <c r="E49" s="1253"/>
      <c r="F49" s="4083" t="s">
        <v>896</v>
      </c>
      <c r="G49" s="4083"/>
      <c r="H49" s="4083"/>
      <c r="I49" s="4083"/>
      <c r="J49" s="4083"/>
      <c r="K49" s="4083"/>
      <c r="L49" s="4083"/>
      <c r="M49" s="4083"/>
      <c r="N49" s="4083"/>
      <c r="O49" s="4083"/>
      <c r="P49" s="4083"/>
      <c r="Q49" s="4083"/>
      <c r="R49" s="4083"/>
      <c r="S49" s="4083"/>
      <c r="T49" s="4083"/>
      <c r="U49" s="4083"/>
      <c r="V49" s="4083"/>
      <c r="W49" s="4083"/>
      <c r="X49" s="1254"/>
      <c r="Y49" s="4011">
        <v>0</v>
      </c>
      <c r="Z49" s="3912"/>
      <c r="AA49" s="3914"/>
      <c r="AB49" s="3911">
        <v>0</v>
      </c>
      <c r="AC49" s="3912"/>
      <c r="AD49" s="3913"/>
      <c r="AE49" s="3915">
        <v>0</v>
      </c>
      <c r="AF49" s="3912"/>
      <c r="AG49" s="3914"/>
      <c r="AH49" s="3911">
        <v>0</v>
      </c>
      <c r="AI49" s="3912"/>
      <c r="AJ49" s="3975"/>
      <c r="AO49" s="412"/>
    </row>
    <row r="50" spans="2:42" s="44" customFormat="1" ht="23" customHeight="1" x14ac:dyDescent="0.35">
      <c r="C50" s="412"/>
      <c r="E50" s="1253"/>
      <c r="F50" s="4083" t="s">
        <v>897</v>
      </c>
      <c r="G50" s="4083"/>
      <c r="H50" s="4083"/>
      <c r="I50" s="4083"/>
      <c r="J50" s="4083"/>
      <c r="K50" s="4083"/>
      <c r="L50" s="4083"/>
      <c r="M50" s="4083"/>
      <c r="N50" s="4083"/>
      <c r="O50" s="4083"/>
      <c r="P50" s="4083"/>
      <c r="Q50" s="4083"/>
      <c r="R50" s="4083"/>
      <c r="S50" s="4083"/>
      <c r="T50" s="4083"/>
      <c r="U50" s="4083"/>
      <c r="V50" s="4083"/>
      <c r="W50" s="4083"/>
      <c r="X50" s="1254"/>
      <c r="Y50" s="4011">
        <v>0</v>
      </c>
      <c r="Z50" s="3912"/>
      <c r="AA50" s="3914"/>
      <c r="AB50" s="3911">
        <v>0</v>
      </c>
      <c r="AC50" s="3912"/>
      <c r="AD50" s="3913"/>
      <c r="AE50" s="3915">
        <v>0</v>
      </c>
      <c r="AF50" s="3912"/>
      <c r="AG50" s="3914"/>
      <c r="AH50" s="3911">
        <v>0</v>
      </c>
      <c r="AI50" s="3912"/>
      <c r="AJ50" s="3975"/>
      <c r="AO50" s="412"/>
    </row>
    <row r="51" spans="2:42" s="44" customFormat="1" ht="23" customHeight="1" x14ac:dyDescent="0.35">
      <c r="C51" s="412"/>
      <c r="E51" s="1255"/>
      <c r="F51" s="4085" t="s">
        <v>1802</v>
      </c>
      <c r="G51" s="4085"/>
      <c r="H51" s="4085"/>
      <c r="I51" s="4085"/>
      <c r="J51" s="4085"/>
      <c r="K51" s="4085"/>
      <c r="L51" s="4085"/>
      <c r="M51" s="4085"/>
      <c r="N51" s="4085"/>
      <c r="O51" s="4085"/>
      <c r="P51" s="4085"/>
      <c r="Q51" s="4085"/>
      <c r="R51" s="4085"/>
      <c r="S51" s="4085"/>
      <c r="T51" s="4085"/>
      <c r="U51" s="4085"/>
      <c r="V51" s="4085"/>
      <c r="W51" s="4085"/>
      <c r="X51" s="1256"/>
      <c r="Y51" s="4086">
        <v>0</v>
      </c>
      <c r="Z51" s="4086"/>
      <c r="AA51" s="4087"/>
      <c r="AB51" s="4092">
        <v>0</v>
      </c>
      <c r="AC51" s="4086"/>
      <c r="AD51" s="4093"/>
      <c r="AE51" s="4098">
        <v>0</v>
      </c>
      <c r="AF51" s="4086"/>
      <c r="AG51" s="4087"/>
      <c r="AH51" s="4092">
        <v>0</v>
      </c>
      <c r="AI51" s="4086"/>
      <c r="AJ51" s="4101"/>
      <c r="AO51" s="412"/>
    </row>
    <row r="52" spans="2:42" s="44" customFormat="1" ht="23" customHeight="1" x14ac:dyDescent="0.35">
      <c r="C52" s="412"/>
      <c r="E52" s="1252"/>
      <c r="F52" s="3811"/>
      <c r="G52" s="3994"/>
      <c r="H52" s="3994"/>
      <c r="I52" s="3994"/>
      <c r="J52" s="3994"/>
      <c r="K52" s="3994"/>
      <c r="L52" s="3994"/>
      <c r="M52" s="3994"/>
      <c r="N52" s="3994"/>
      <c r="O52" s="3994"/>
      <c r="P52" s="3994"/>
      <c r="Q52" s="3994"/>
      <c r="R52" s="3994"/>
      <c r="S52" s="3994"/>
      <c r="T52" s="3994"/>
      <c r="U52" s="3994"/>
      <c r="V52" s="3994"/>
      <c r="W52" s="3994"/>
      <c r="X52" s="1247"/>
      <c r="Y52" s="4088"/>
      <c r="Z52" s="4088"/>
      <c r="AA52" s="4089"/>
      <c r="AB52" s="4094"/>
      <c r="AC52" s="4088"/>
      <c r="AD52" s="4095"/>
      <c r="AE52" s="4099"/>
      <c r="AF52" s="4088"/>
      <c r="AG52" s="4089"/>
      <c r="AH52" s="4094"/>
      <c r="AI52" s="4088"/>
      <c r="AJ52" s="4102"/>
      <c r="AO52" s="412"/>
    </row>
    <row r="53" spans="2:42" ht="15" customHeight="1" thickBot="1" x14ac:dyDescent="0.4">
      <c r="C53" s="1250"/>
      <c r="D53" s="1098"/>
      <c r="E53" s="1251"/>
      <c r="F53" s="1274" t="str">
        <f>IF(AND(ISBLANK(number_trained_module_others_specify),SUM(Y51:AJ53)&gt;0),"Please specify.",IF(AND(number_trained_module_others_specify&gt;0,SUM(Y51:AJ53)=0),"Please provide details.",""))</f>
        <v/>
      </c>
      <c r="G53" s="1038"/>
      <c r="H53" s="1038"/>
      <c r="I53" s="1038"/>
      <c r="J53" s="1038"/>
      <c r="K53" s="1038"/>
      <c r="L53" s="1038"/>
      <c r="M53" s="1038"/>
      <c r="N53" s="1038"/>
      <c r="O53" s="1038"/>
      <c r="P53" s="1039"/>
      <c r="Q53" s="1039"/>
      <c r="R53" s="1039"/>
      <c r="S53" s="1039"/>
      <c r="T53" s="1039"/>
      <c r="U53" s="1039"/>
      <c r="V53" s="1039"/>
      <c r="W53" s="1039"/>
      <c r="X53" s="1040"/>
      <c r="Y53" s="4090"/>
      <c r="Z53" s="4090"/>
      <c r="AA53" s="4091"/>
      <c r="AB53" s="4096"/>
      <c r="AC53" s="4090"/>
      <c r="AD53" s="4097"/>
      <c r="AE53" s="4100"/>
      <c r="AF53" s="4090"/>
      <c r="AG53" s="4091"/>
      <c r="AH53" s="4096"/>
      <c r="AI53" s="4090"/>
      <c r="AJ53" s="4103"/>
      <c r="AK53" s="1041"/>
      <c r="AL53" s="1041"/>
      <c r="AM53" s="1041"/>
      <c r="AN53" s="1041"/>
      <c r="AO53" s="1049"/>
      <c r="AP53" s="1041"/>
    </row>
    <row r="54" spans="2:42" ht="10" customHeight="1" thickTop="1" thickBot="1" x14ac:dyDescent="0.4">
      <c r="C54" s="1035"/>
      <c r="D54" s="1036"/>
      <c r="E54" s="1037"/>
      <c r="F54" s="1038"/>
      <c r="G54" s="1038"/>
      <c r="H54" s="1038"/>
      <c r="I54" s="1038"/>
      <c r="J54" s="1038"/>
      <c r="K54" s="1038"/>
      <c r="L54" s="1038"/>
      <c r="M54" s="1038"/>
      <c r="N54" s="1038"/>
      <c r="O54" s="1038"/>
      <c r="P54" s="1039"/>
      <c r="Q54" s="1039"/>
      <c r="R54" s="1039"/>
      <c r="S54" s="1039"/>
      <c r="T54" s="1039"/>
      <c r="U54" s="1039"/>
      <c r="V54" s="1039"/>
      <c r="W54" s="1039"/>
      <c r="X54" s="1039"/>
      <c r="Y54" s="1249"/>
      <c r="Z54" s="1249"/>
      <c r="AA54" s="1249"/>
      <c r="AB54" s="1249"/>
      <c r="AC54" s="1249"/>
      <c r="AD54" s="1249"/>
      <c r="AE54" s="1249"/>
      <c r="AF54" s="1249"/>
      <c r="AG54" s="1249"/>
      <c r="AH54" s="1249"/>
      <c r="AI54" s="1249"/>
      <c r="AJ54" s="1249"/>
      <c r="AK54" s="1039"/>
      <c r="AL54" s="1039"/>
      <c r="AM54" s="1039"/>
      <c r="AN54" s="1039"/>
      <c r="AO54" s="1049"/>
      <c r="AP54" s="1041"/>
    </row>
    <row r="55" spans="2:42" ht="10" customHeight="1" thickTop="1" x14ac:dyDescent="0.35">
      <c r="B55" s="1118"/>
      <c r="C55" s="1098"/>
      <c r="E55" s="1052"/>
      <c r="F55" s="1052"/>
      <c r="G55" s="1052"/>
      <c r="H55" s="1052"/>
      <c r="I55" s="1052"/>
      <c r="J55" s="1052"/>
      <c r="K55" s="1041"/>
      <c r="L55" s="1041"/>
      <c r="M55" s="1041"/>
      <c r="N55" s="1041"/>
      <c r="O55" s="1041"/>
      <c r="P55" s="1041"/>
      <c r="Q55" s="1041"/>
      <c r="R55" s="1041"/>
      <c r="S55" s="1041"/>
      <c r="T55" s="1041"/>
      <c r="U55" s="1041"/>
      <c r="V55" s="1041"/>
      <c r="W55" s="1041"/>
      <c r="X55" s="1041"/>
      <c r="Y55" s="1041"/>
      <c r="Z55" s="1041"/>
      <c r="AA55" s="1041"/>
      <c r="AB55" s="1041"/>
      <c r="AC55" s="1041"/>
      <c r="AD55" s="1041"/>
      <c r="AE55" s="1041"/>
      <c r="AF55" s="1041"/>
      <c r="AG55" s="1041"/>
      <c r="AH55" s="1041"/>
      <c r="AI55" s="1041"/>
      <c r="AJ55" s="1041"/>
      <c r="AK55" s="1041"/>
      <c r="AL55" s="1041"/>
      <c r="AM55" s="1041"/>
      <c r="AN55" s="1041"/>
      <c r="AO55" s="1041"/>
      <c r="AP55" s="1041"/>
    </row>
    <row r="56" spans="2:42" s="399" customFormat="1" ht="16.5" x14ac:dyDescent="0.35">
      <c r="C56" s="85" t="s">
        <v>1286</v>
      </c>
      <c r="E56" s="1001"/>
      <c r="F56" s="997"/>
      <c r="G56" s="997"/>
      <c r="H56" s="997"/>
      <c r="I56" s="997"/>
      <c r="J56" s="997"/>
      <c r="K56" s="997"/>
      <c r="L56" s="997"/>
      <c r="M56" s="997"/>
      <c r="N56" s="997"/>
      <c r="O56" s="997"/>
      <c r="P56" s="997"/>
      <c r="Q56" s="997"/>
      <c r="R56" s="997"/>
      <c r="S56" s="997"/>
      <c r="T56" s="997"/>
      <c r="U56" s="997"/>
      <c r="V56" s="997"/>
    </row>
    <row r="57" spans="2:42" s="501" customFormat="1" ht="30.75" customHeight="1" x14ac:dyDescent="0.35"/>
    <row r="58" spans="2:42" s="73" customFormat="1" ht="14" x14ac:dyDescent="0.3">
      <c r="B58" s="74" t="s">
        <v>913</v>
      </c>
      <c r="P58" s="74" t="s">
        <v>846</v>
      </c>
      <c r="AD58" s="74" t="s">
        <v>922</v>
      </c>
    </row>
    <row r="59" spans="2:42" s="73" customFormat="1" ht="21.75" customHeight="1" x14ac:dyDescent="0.3">
      <c r="B59" s="74" t="s">
        <v>811</v>
      </c>
      <c r="F59" s="1482" t="str">
        <f>SchInfo!F38</f>
        <v>MELCHESIEDICK Q. BOLANIO/ March 17, 2023</v>
      </c>
      <c r="G59" s="1482"/>
      <c r="H59" s="1482"/>
      <c r="I59" s="1482"/>
      <c r="J59" s="1482"/>
      <c r="K59" s="1482"/>
      <c r="L59" s="1482"/>
      <c r="M59" s="1482"/>
      <c r="P59" s="1482" t="str">
        <f>Table39!Q37</f>
        <v>ELYN KENDRA D. DELA CRUZ  /  March 17, 2023</v>
      </c>
      <c r="Q59" s="1482"/>
      <c r="R59" s="1482"/>
      <c r="S59" s="1482"/>
      <c r="T59" s="1482"/>
      <c r="U59" s="1482"/>
      <c r="V59" s="1482"/>
      <c r="W59" s="1482"/>
      <c r="X59" s="1482"/>
      <c r="Y59" s="1482"/>
      <c r="Z59" s="1482"/>
      <c r="AA59" s="1482"/>
      <c r="AD59" s="3720" t="str">
        <f>SchInfo!R38</f>
        <v>MICHAEL T. JAMIS   /  March 17, 2023</v>
      </c>
      <c r="AE59" s="3720"/>
      <c r="AF59" s="3720"/>
      <c r="AG59" s="3720"/>
      <c r="AH59" s="3720"/>
      <c r="AI59" s="3720"/>
      <c r="AJ59" s="3720"/>
      <c r="AK59" s="3720"/>
      <c r="AL59" s="3720"/>
      <c r="AM59" s="3720"/>
      <c r="AN59" s="3720"/>
      <c r="AO59" s="3720"/>
    </row>
    <row r="60" spans="2:42" s="68" customFormat="1" ht="14" customHeight="1" x14ac:dyDescent="0.3">
      <c r="B60" s="210"/>
      <c r="F60" s="1451" t="s">
        <v>779</v>
      </c>
      <c r="G60" s="1451"/>
      <c r="H60" s="1451"/>
      <c r="I60" s="1451"/>
      <c r="J60" s="1451"/>
      <c r="K60" s="1451"/>
      <c r="L60" s="1451"/>
      <c r="M60" s="1451"/>
      <c r="N60" s="65"/>
      <c r="O60" s="65"/>
      <c r="P60" s="1451" t="s">
        <v>779</v>
      </c>
      <c r="Q60" s="1451"/>
      <c r="R60" s="1451"/>
      <c r="S60" s="1451"/>
      <c r="T60" s="1451"/>
      <c r="U60" s="1451"/>
      <c r="V60" s="1451"/>
      <c r="W60" s="1451"/>
      <c r="X60" s="1451"/>
      <c r="Y60" s="1451"/>
      <c r="Z60" s="1451"/>
      <c r="AA60" s="1451"/>
      <c r="AB60" s="65"/>
      <c r="AC60" s="65"/>
      <c r="AD60" s="3721"/>
      <c r="AE60" s="3721"/>
      <c r="AF60" s="3721"/>
      <c r="AG60" s="3721"/>
      <c r="AH60" s="3721"/>
      <c r="AI60" s="3721"/>
      <c r="AJ60" s="3721"/>
      <c r="AK60" s="3721"/>
      <c r="AL60" s="3721"/>
      <c r="AM60" s="3721"/>
      <c r="AN60" s="3721"/>
      <c r="AO60" s="3721"/>
    </row>
    <row r="61" spans="2:42" s="73" customFormat="1" ht="21.75" customHeight="1" x14ac:dyDescent="0.3">
      <c r="B61" s="74" t="s">
        <v>784</v>
      </c>
      <c r="F61" s="1482" t="str">
        <f>SchInfo!F40</f>
        <v>Principal IV</v>
      </c>
      <c r="G61" s="1482"/>
      <c r="H61" s="1482"/>
      <c r="I61" s="1482"/>
      <c r="J61" s="1482"/>
      <c r="K61" s="1482"/>
      <c r="L61" s="1482"/>
      <c r="M61" s="1482"/>
      <c r="P61" s="74" t="s">
        <v>784</v>
      </c>
      <c r="V61" s="1482" t="str">
        <f>Table39!U39</f>
        <v>Project Development Officer III</v>
      </c>
      <c r="W61" s="1482"/>
      <c r="X61" s="1482"/>
      <c r="Y61" s="1482"/>
      <c r="Z61" s="1482"/>
      <c r="AA61" s="1482"/>
      <c r="AD61" s="1451" t="s">
        <v>779</v>
      </c>
      <c r="AE61" s="1451"/>
      <c r="AF61" s="1451"/>
      <c r="AG61" s="1451"/>
      <c r="AH61" s="1451"/>
      <c r="AI61" s="1451"/>
      <c r="AJ61" s="1451"/>
      <c r="AK61" s="1451"/>
      <c r="AL61" s="1451"/>
      <c r="AM61" s="1451"/>
      <c r="AN61" s="1451"/>
      <c r="AO61" s="1451"/>
    </row>
    <row r="62" spans="2:42" x14ac:dyDescent="0.35">
      <c r="D62" s="1041"/>
      <c r="E62" s="1041"/>
      <c r="F62" s="1041"/>
      <c r="G62" s="1041"/>
      <c r="H62" s="1041"/>
      <c r="I62" s="1041"/>
      <c r="J62" s="1041"/>
      <c r="K62" s="1041"/>
      <c r="L62" s="1041"/>
      <c r="M62" s="1041"/>
      <c r="N62" s="1041"/>
      <c r="O62" s="1041"/>
      <c r="P62" s="501"/>
      <c r="Q62" s="501"/>
      <c r="R62" s="1041"/>
      <c r="S62" s="1041"/>
      <c r="T62" s="1041"/>
      <c r="U62" s="1041"/>
      <c r="V62" s="1041"/>
      <c r="W62" s="1041"/>
      <c r="X62" s="1041"/>
      <c r="Y62" s="1041"/>
      <c r="Z62" s="1041"/>
      <c r="AA62" s="1041"/>
      <c r="AB62" s="1041"/>
      <c r="AC62" s="1041"/>
      <c r="AD62" s="1041"/>
      <c r="AE62" s="1041"/>
      <c r="AF62" s="1041"/>
      <c r="AG62" s="1041"/>
      <c r="AH62" s="1041"/>
      <c r="AI62" s="1041"/>
      <c r="AJ62" s="1041"/>
      <c r="AK62" s="1041"/>
      <c r="AL62" s="1041"/>
      <c r="AM62" s="1041"/>
      <c r="AN62" s="1041"/>
      <c r="AO62" s="1041"/>
      <c r="AP62" s="1041"/>
    </row>
  </sheetData>
  <sheetProtection algorithmName="SHA-512" hashValue="mdMzifmcdpirjtgsQtJH859Yr3sFT+jUUw6jILgNsLJnLYnEGReK8WVjcHjAAA7MQjoc6oUBhMlG7HKddS5BEA==" saltValue="1rqvG8oCAXsKhxeBxuqaPQ==" spinCount="100000" sheet="1" objects="1" scenarios="1"/>
  <mergeCells count="189">
    <mergeCell ref="E6:N7"/>
    <mergeCell ref="F8:M8"/>
    <mergeCell ref="F9:M9"/>
    <mergeCell ref="F10:M10"/>
    <mergeCell ref="F11:M11"/>
    <mergeCell ref="O11:Q11"/>
    <mergeCell ref="R11:T11"/>
    <mergeCell ref="U11:W11"/>
    <mergeCell ref="X11:Z11"/>
    <mergeCell ref="O9:Q9"/>
    <mergeCell ref="R9:T9"/>
    <mergeCell ref="U9:W9"/>
    <mergeCell ref="X9:Z9"/>
    <mergeCell ref="O6:T6"/>
    <mergeCell ref="U6:Z6"/>
    <mergeCell ref="AA11:AC11"/>
    <mergeCell ref="AD11:AF11"/>
    <mergeCell ref="AG11:AI11"/>
    <mergeCell ref="AJ11:AL11"/>
    <mergeCell ref="O10:Q10"/>
    <mergeCell ref="R10:T10"/>
    <mergeCell ref="U10:W10"/>
    <mergeCell ref="X10:Z10"/>
    <mergeCell ref="AA10:AC10"/>
    <mergeCell ref="AD10:AF10"/>
    <mergeCell ref="AG10:AI10"/>
    <mergeCell ref="AJ10:AL10"/>
    <mergeCell ref="AA9:AC9"/>
    <mergeCell ref="AD9:AF9"/>
    <mergeCell ref="AG9:AI9"/>
    <mergeCell ref="AJ9:AL9"/>
    <mergeCell ref="O8:Q8"/>
    <mergeCell ref="R8:T8"/>
    <mergeCell ref="U8:W8"/>
    <mergeCell ref="X8:Z8"/>
    <mergeCell ref="AA8:AC8"/>
    <mergeCell ref="AD8:AF8"/>
    <mergeCell ref="AG8:AI8"/>
    <mergeCell ref="AJ8:AL8"/>
    <mergeCell ref="AA6:AF6"/>
    <mergeCell ref="AG6:AL6"/>
    <mergeCell ref="O7:Q7"/>
    <mergeCell ref="R7:T7"/>
    <mergeCell ref="U7:W7"/>
    <mergeCell ref="X7:Z7"/>
    <mergeCell ref="AA7:AC7"/>
    <mergeCell ref="AD7:AF7"/>
    <mergeCell ref="AG7:AI7"/>
    <mergeCell ref="AJ7:AL7"/>
    <mergeCell ref="F51:W51"/>
    <mergeCell ref="Y51:AA53"/>
    <mergeCell ref="AB51:AD53"/>
    <mergeCell ref="AE51:AG53"/>
    <mergeCell ref="AH51:AJ53"/>
    <mergeCell ref="AE46:AG46"/>
    <mergeCell ref="AH46:AJ46"/>
    <mergeCell ref="AE45:AG45"/>
    <mergeCell ref="AH45:AJ45"/>
    <mergeCell ref="F52:W52"/>
    <mergeCell ref="Y46:AA46"/>
    <mergeCell ref="AB46:AD46"/>
    <mergeCell ref="F45:W45"/>
    <mergeCell ref="Y45:AA45"/>
    <mergeCell ref="AB45:AD45"/>
    <mergeCell ref="F46:W46"/>
    <mergeCell ref="F50:W50"/>
    <mergeCell ref="Y50:AA50"/>
    <mergeCell ref="AB50:AD50"/>
    <mergeCell ref="AE50:AG50"/>
    <mergeCell ref="AH50:AJ50"/>
    <mergeCell ref="F49:W49"/>
    <mergeCell ref="Y49:AA49"/>
    <mergeCell ref="AB49:AD49"/>
    <mergeCell ref="E17:J18"/>
    <mergeCell ref="K17:P18"/>
    <mergeCell ref="E19:J19"/>
    <mergeCell ref="K19:P19"/>
    <mergeCell ref="E20:J20"/>
    <mergeCell ref="Y26:AD27"/>
    <mergeCell ref="E21:J21"/>
    <mergeCell ref="K21:P21"/>
    <mergeCell ref="F32:W32"/>
    <mergeCell ref="AB47:AD47"/>
    <mergeCell ref="AE47:AG47"/>
    <mergeCell ref="AH47:AJ47"/>
    <mergeCell ref="F41:W41"/>
    <mergeCell ref="Y41:AA41"/>
    <mergeCell ref="AB41:AD41"/>
    <mergeCell ref="F38:W38"/>
    <mergeCell ref="F35:W35"/>
    <mergeCell ref="Y35:AA35"/>
    <mergeCell ref="AB35:AD35"/>
    <mergeCell ref="AE49:AG49"/>
    <mergeCell ref="AH49:AJ49"/>
    <mergeCell ref="AH44:AJ44"/>
    <mergeCell ref="F43:W43"/>
    <mergeCell ref="Y43:AA43"/>
    <mergeCell ref="AB43:AD43"/>
    <mergeCell ref="AE43:AG43"/>
    <mergeCell ref="AH43:AJ43"/>
    <mergeCell ref="F42:W42"/>
    <mergeCell ref="Y42:AA42"/>
    <mergeCell ref="AB42:AD42"/>
    <mergeCell ref="AE42:AG42"/>
    <mergeCell ref="AH42:AJ42"/>
    <mergeCell ref="Y44:AA44"/>
    <mergeCell ref="AB44:AD44"/>
    <mergeCell ref="AE44:AG44"/>
    <mergeCell ref="F44:W44"/>
    <mergeCell ref="F48:W48"/>
    <mergeCell ref="Y48:AA48"/>
    <mergeCell ref="AB48:AD48"/>
    <mergeCell ref="AE48:AG48"/>
    <mergeCell ref="AH48:AJ48"/>
    <mergeCell ref="F47:W47"/>
    <mergeCell ref="Y47:AA47"/>
    <mergeCell ref="AB33:AD33"/>
    <mergeCell ref="AE41:AG41"/>
    <mergeCell ref="AH41:AJ41"/>
    <mergeCell ref="F40:W40"/>
    <mergeCell ref="Y40:AA40"/>
    <mergeCell ref="AB40:AD40"/>
    <mergeCell ref="AE40:AG40"/>
    <mergeCell ref="AH40:AJ40"/>
    <mergeCell ref="F39:W39"/>
    <mergeCell ref="Y39:AA39"/>
    <mergeCell ref="AB39:AD39"/>
    <mergeCell ref="AE39:AG39"/>
    <mergeCell ref="AH39:AJ39"/>
    <mergeCell ref="AE32:AG32"/>
    <mergeCell ref="AH32:AJ32"/>
    <mergeCell ref="F31:W31"/>
    <mergeCell ref="AE31:AG31"/>
    <mergeCell ref="AH31:AJ31"/>
    <mergeCell ref="AE38:AG38"/>
    <mergeCell ref="AH38:AJ38"/>
    <mergeCell ref="F37:W37"/>
    <mergeCell ref="AE37:AG37"/>
    <mergeCell ref="AH37:AJ37"/>
    <mergeCell ref="F36:W36"/>
    <mergeCell ref="Y36:AA36"/>
    <mergeCell ref="AB36:AD36"/>
    <mergeCell ref="AE36:AG36"/>
    <mergeCell ref="AH36:AJ36"/>
    <mergeCell ref="AE35:AG35"/>
    <mergeCell ref="AH35:AJ35"/>
    <mergeCell ref="F34:W34"/>
    <mergeCell ref="Y34:AA34"/>
    <mergeCell ref="AB34:AD34"/>
    <mergeCell ref="AE34:AG34"/>
    <mergeCell ref="AH34:AJ34"/>
    <mergeCell ref="F33:W33"/>
    <mergeCell ref="Y33:AA33"/>
    <mergeCell ref="AH30:AJ30"/>
    <mergeCell ref="F29:W29"/>
    <mergeCell ref="Y29:AA29"/>
    <mergeCell ref="AB29:AD29"/>
    <mergeCell ref="AE29:AG29"/>
    <mergeCell ref="AH29:AJ29"/>
    <mergeCell ref="Y28:AA28"/>
    <mergeCell ref="AB28:AD28"/>
    <mergeCell ref="AE28:AG28"/>
    <mergeCell ref="AH28:AJ28"/>
    <mergeCell ref="E26:X28"/>
    <mergeCell ref="AE26:AJ27"/>
    <mergeCell ref="E4:AB4"/>
    <mergeCell ref="F61:M61"/>
    <mergeCell ref="V61:AA61"/>
    <mergeCell ref="AD61:AO61"/>
    <mergeCell ref="F59:M59"/>
    <mergeCell ref="P59:AA59"/>
    <mergeCell ref="AD59:AO60"/>
    <mergeCell ref="F60:M60"/>
    <mergeCell ref="P60:AA60"/>
    <mergeCell ref="Y38:AA38"/>
    <mergeCell ref="AB38:AD38"/>
    <mergeCell ref="Y37:AA37"/>
    <mergeCell ref="AB37:AD37"/>
    <mergeCell ref="Y32:AA32"/>
    <mergeCell ref="AB32:AD32"/>
    <mergeCell ref="Y31:AA31"/>
    <mergeCell ref="AB31:AD31"/>
    <mergeCell ref="AE33:AG33"/>
    <mergeCell ref="AH33:AJ33"/>
    <mergeCell ref="K20:P20"/>
    <mergeCell ref="F30:W30"/>
    <mergeCell ref="Y30:AA30"/>
    <mergeCell ref="AB30:AD30"/>
    <mergeCell ref="AE30:AG30"/>
  </mergeCells>
  <dataValidations count="3">
    <dataValidation type="whole" allowBlank="1" showInputMessage="1" showErrorMessage="1" errorTitle="GJHSP SY 2022-2023" error="Please enter valid number between 0-20,000." sqref="O8:AL11" xr:uid="{37B8D600-4071-4BF9-A80E-450F59994994}">
      <formula1>0</formula1>
      <formula2>20000</formula2>
    </dataValidation>
    <dataValidation type="whole" allowBlank="1" showInputMessage="1" showErrorMessage="1" errorTitle="GJHSP SY 2022-2023" error="Please enter valid number between 0-999." sqref="Y29:AJ53" xr:uid="{E17F26CF-F0D5-4BB5-A192-E1F938048EA4}">
      <formula1>0</formula1>
      <formula2>999</formula2>
    </dataValidation>
    <dataValidation type="whole" allowBlank="1" showInputMessage="1" showErrorMessage="1" errorTitle="GJHSP SY 2022-2023" error="Please enter valid number between 0-99." sqref="K19:P21" xr:uid="{ED7A3A2B-DF50-4247-931D-E0E47B969EE9}">
      <formula1>0</formula1>
      <formula2>99</formula2>
    </dataValidation>
  </dataValidations>
  <printOptions horizontalCentered="1" verticalCentered="1"/>
  <pageMargins left="0.25" right="0.25" top="0.2" bottom="0.2" header="0" footer="0.1"/>
  <pageSetup paperSize="9" scale="29" orientation="portrait" r:id="rId1"/>
  <headerFooter>
    <oddFooter>&amp;L&amp;10&amp;F &amp;A&amp;R&amp;10Page 61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93185" r:id="rId4" name="Check Box 1">
              <controlPr defaultSize="0" autoFill="0" autoLine="0" autoPict="0">
                <anchor moveWithCells="1">
                  <from>
                    <xdr:col>4</xdr:col>
                    <xdr:colOff>25400</xdr:colOff>
                    <xdr:row>21</xdr:row>
                    <xdr:rowOff>38100</xdr:rowOff>
                  </from>
                  <to>
                    <xdr:col>5</xdr:col>
                    <xdr:colOff>190500</xdr:colOff>
                    <xdr:row>21</xdr:row>
                    <xdr:rowOff>260350</xdr:rowOff>
                  </to>
                </anchor>
              </controlPr>
            </control>
          </mc:Choice>
        </mc:AlternateContent>
      </controls>
    </mc:Choice>
  </mc:AlternateContent>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FC89A-4FD7-44AD-B199-3E906E32FFC1}">
  <sheetPr>
    <pageSetUpPr fitToPage="1"/>
  </sheetPr>
  <dimension ref="A1:CA48"/>
  <sheetViews>
    <sheetView showGridLines="0" zoomScaleNormal="100" zoomScaleSheetLayoutView="100" workbookViewId="0">
      <selection activeCell="D10" sqref="D10:F10"/>
    </sheetView>
  </sheetViews>
  <sheetFormatPr defaultColWidth="8" defaultRowHeight="15.5" x14ac:dyDescent="0.35"/>
  <cols>
    <col min="1" max="1" width="2.08203125" style="1041" customWidth="1"/>
    <col min="2" max="36" width="3.58203125" style="1042" customWidth="1"/>
    <col min="37" max="38" width="3.58203125" style="1041" customWidth="1"/>
    <col min="39" max="39" width="2.08203125" style="1041" customWidth="1"/>
    <col min="40" max="171" width="3.58203125" style="1041" customWidth="1"/>
    <col min="172" max="16384" width="8" style="1041"/>
  </cols>
  <sheetData>
    <row r="1" spans="2:79" ht="12" customHeight="1" x14ac:dyDescent="0.35"/>
    <row r="2" spans="2:79" ht="17" thickBot="1" x14ac:dyDescent="0.4">
      <c r="B2" s="1054" t="s">
        <v>1840</v>
      </c>
      <c r="C2" s="1041"/>
      <c r="D2" s="1041"/>
      <c r="E2" s="1041"/>
      <c r="F2" s="1041"/>
      <c r="G2" s="1041"/>
      <c r="H2" s="1041"/>
      <c r="I2" s="1041"/>
      <c r="J2" s="1041"/>
      <c r="K2" s="1041"/>
      <c r="L2" s="1041"/>
      <c r="M2" s="1041"/>
      <c r="N2" s="1041"/>
      <c r="O2" s="1041"/>
      <c r="P2" s="1041"/>
      <c r="Q2" s="1041"/>
      <c r="R2" s="1041"/>
      <c r="S2" s="1041"/>
      <c r="T2" s="1041"/>
      <c r="U2" s="1041"/>
      <c r="V2" s="1041"/>
      <c r="W2" s="1041"/>
      <c r="X2" s="1041"/>
      <c r="Y2" s="1041"/>
      <c r="Z2" s="1041"/>
      <c r="AA2" s="1041"/>
      <c r="AB2" s="1041"/>
      <c r="AC2" s="1041"/>
      <c r="AD2" s="1041"/>
      <c r="AE2" s="1041"/>
      <c r="AF2" s="1041"/>
      <c r="AG2" s="1041"/>
      <c r="AH2" s="1041"/>
      <c r="AI2" s="1041"/>
      <c r="AJ2" s="1041"/>
    </row>
    <row r="3" spans="2:79" ht="5" customHeight="1" thickTop="1" x14ac:dyDescent="0.35">
      <c r="B3" s="1056"/>
      <c r="C3" s="1057"/>
      <c r="D3" s="1057"/>
      <c r="E3" s="1057"/>
      <c r="F3" s="1057"/>
      <c r="G3" s="1057"/>
      <c r="H3" s="1057"/>
      <c r="I3" s="1057"/>
      <c r="J3" s="1057"/>
      <c r="K3" s="1057"/>
      <c r="L3" s="1057"/>
      <c r="M3" s="1057"/>
      <c r="N3" s="1057"/>
      <c r="O3" s="1057"/>
      <c r="P3" s="1057"/>
      <c r="Q3" s="1057"/>
      <c r="R3" s="1057"/>
      <c r="S3" s="1057"/>
      <c r="T3" s="1057"/>
      <c r="U3" s="1057"/>
      <c r="V3" s="1057"/>
      <c r="W3" s="1057"/>
      <c r="X3" s="1057"/>
      <c r="Y3" s="1057"/>
      <c r="Z3" s="1057"/>
      <c r="AA3" s="1057"/>
      <c r="AB3" s="1057"/>
      <c r="AC3" s="1057"/>
      <c r="AD3" s="1057"/>
      <c r="AE3" s="1057"/>
      <c r="AF3" s="1057"/>
      <c r="AG3" s="1057"/>
      <c r="AH3" s="1057"/>
      <c r="AI3" s="1057"/>
      <c r="AJ3" s="1057"/>
      <c r="AK3" s="1057"/>
      <c r="AL3" s="1058"/>
      <c r="AM3" s="1105"/>
    </row>
    <row r="4" spans="2:79" ht="15.5" customHeight="1" x14ac:dyDescent="0.35">
      <c r="B4" s="1049"/>
      <c r="C4" s="1050" t="s">
        <v>150</v>
      </c>
      <c r="D4" s="3554" t="s">
        <v>1841</v>
      </c>
      <c r="E4" s="3554"/>
      <c r="F4" s="3554"/>
      <c r="G4" s="3554"/>
      <c r="H4" s="3554"/>
      <c r="I4" s="3554"/>
      <c r="J4" s="3554"/>
      <c r="K4" s="3554"/>
      <c r="L4" s="3554"/>
      <c r="M4" s="3554"/>
      <c r="N4" s="3554"/>
      <c r="O4" s="3554"/>
      <c r="P4" s="1051"/>
      <c r="Q4" s="1051"/>
      <c r="R4" s="1051"/>
      <c r="S4" s="1051"/>
      <c r="T4" s="1051"/>
      <c r="U4" s="1051"/>
      <c r="V4" s="1051"/>
      <c r="W4" s="1050" t="s">
        <v>151</v>
      </c>
      <c r="X4" s="3554" t="s">
        <v>1842</v>
      </c>
      <c r="Y4" s="3554"/>
      <c r="Z4" s="3554"/>
      <c r="AA4" s="3554"/>
      <c r="AB4" s="3554"/>
      <c r="AC4" s="3554"/>
      <c r="AD4" s="3554"/>
      <c r="AE4" s="3554"/>
      <c r="AF4" s="3554"/>
      <c r="AG4" s="3554"/>
      <c r="AH4" s="3554"/>
      <c r="AI4" s="1051"/>
      <c r="AJ4" s="1051"/>
      <c r="AK4" s="1052"/>
      <c r="AL4" s="1053"/>
      <c r="AM4" s="1052"/>
    </row>
    <row r="5" spans="2:79" ht="15.5" customHeight="1" x14ac:dyDescent="0.35">
      <c r="B5" s="1049"/>
      <c r="C5" s="1050"/>
      <c r="D5" s="3554"/>
      <c r="E5" s="3554"/>
      <c r="F5" s="3554"/>
      <c r="G5" s="3554"/>
      <c r="H5" s="3554"/>
      <c r="I5" s="3554"/>
      <c r="J5" s="3554"/>
      <c r="K5" s="3554"/>
      <c r="L5" s="3554"/>
      <c r="M5" s="3554"/>
      <c r="N5" s="3554"/>
      <c r="O5" s="3554"/>
      <c r="P5" s="1051"/>
      <c r="Q5" s="1051"/>
      <c r="R5" s="1051"/>
      <c r="S5" s="1051"/>
      <c r="T5" s="1051"/>
      <c r="U5" s="1051"/>
      <c r="V5" s="1051"/>
      <c r="W5" s="1050"/>
      <c r="X5" s="3554"/>
      <c r="Y5" s="3554"/>
      <c r="Z5" s="3554"/>
      <c r="AA5" s="3554"/>
      <c r="AB5" s="3554"/>
      <c r="AC5" s="3554"/>
      <c r="AD5" s="3554"/>
      <c r="AE5" s="3554"/>
      <c r="AF5" s="3554"/>
      <c r="AG5" s="3554"/>
      <c r="AH5" s="3554"/>
      <c r="AI5" s="1051"/>
      <c r="AJ5" s="1051"/>
      <c r="AK5" s="1052"/>
      <c r="AL5" s="1053"/>
      <c r="AM5" s="1052"/>
    </row>
    <row r="6" spans="2:79" ht="15.5" customHeight="1" x14ac:dyDescent="0.35">
      <c r="B6" s="1049"/>
      <c r="C6" s="1050"/>
      <c r="D6" s="3554"/>
      <c r="E6" s="3554"/>
      <c r="F6" s="3554"/>
      <c r="G6" s="3554"/>
      <c r="H6" s="3554"/>
      <c r="I6" s="3554"/>
      <c r="J6" s="3554"/>
      <c r="K6" s="3554"/>
      <c r="L6" s="3554"/>
      <c r="M6" s="3554"/>
      <c r="N6" s="3554"/>
      <c r="O6" s="3554"/>
      <c r="P6" s="1051"/>
      <c r="Q6" s="1051"/>
      <c r="R6" s="1051"/>
      <c r="S6" s="1051"/>
      <c r="T6" s="1051"/>
      <c r="U6" s="1051"/>
      <c r="V6" s="1051"/>
      <c r="W6" s="1050"/>
      <c r="X6" s="3554"/>
      <c r="Y6" s="3554"/>
      <c r="Z6" s="3554"/>
      <c r="AA6" s="3554"/>
      <c r="AB6" s="3554"/>
      <c r="AC6" s="3554"/>
      <c r="AD6" s="3554"/>
      <c r="AE6" s="3554"/>
      <c r="AF6" s="3554"/>
      <c r="AG6" s="3554"/>
      <c r="AH6" s="3554"/>
      <c r="AI6" s="1051"/>
      <c r="AJ6" s="1051"/>
      <c r="AK6" s="1052"/>
      <c r="AL6" s="1053"/>
      <c r="AM6" s="1052"/>
    </row>
    <row r="7" spans="2:79" ht="5" customHeight="1" thickBot="1" x14ac:dyDescent="0.4">
      <c r="B7" s="1084"/>
      <c r="C7" s="1105"/>
      <c r="D7" s="1105"/>
      <c r="E7" s="1105"/>
      <c r="F7" s="1105"/>
      <c r="G7" s="1105"/>
      <c r="H7" s="1105"/>
      <c r="I7" s="1105"/>
      <c r="J7" s="1105"/>
      <c r="K7" s="1105"/>
      <c r="L7" s="1105"/>
      <c r="M7" s="1105"/>
      <c r="N7" s="1105"/>
      <c r="O7" s="1105"/>
      <c r="P7" s="1105"/>
      <c r="Q7" s="1105"/>
      <c r="R7" s="1105"/>
      <c r="S7" s="1105"/>
      <c r="T7" s="1105"/>
      <c r="U7" s="1105"/>
      <c r="V7" s="1105"/>
      <c r="W7" s="1105"/>
      <c r="X7" s="1105"/>
      <c r="Y7" s="1105"/>
      <c r="Z7" s="1105"/>
      <c r="AA7" s="1105"/>
      <c r="AB7" s="1105"/>
      <c r="AC7" s="1105"/>
      <c r="AD7" s="1105"/>
      <c r="AE7" s="1105"/>
      <c r="AF7" s="1105"/>
      <c r="AG7" s="1105"/>
      <c r="AH7" s="1105"/>
      <c r="AI7" s="1105"/>
      <c r="AJ7" s="1105"/>
      <c r="AK7" s="1105"/>
      <c r="AL7" s="1062"/>
      <c r="AM7" s="1105"/>
    </row>
    <row r="8" spans="2:79" s="1042" customFormat="1" ht="30.5" customHeight="1" thickTop="1" thickBot="1" x14ac:dyDescent="0.4">
      <c r="B8" s="1084"/>
      <c r="C8" s="1085"/>
      <c r="D8" s="3543" t="s">
        <v>898</v>
      </c>
      <c r="E8" s="3544"/>
      <c r="F8" s="3544"/>
      <c r="G8" s="3544"/>
      <c r="H8" s="3544"/>
      <c r="I8" s="3546"/>
      <c r="J8" s="3544" t="s">
        <v>899</v>
      </c>
      <c r="K8" s="3544"/>
      <c r="L8" s="3544"/>
      <c r="M8" s="3544"/>
      <c r="N8" s="3544"/>
      <c r="O8" s="3547"/>
      <c r="P8" s="1085"/>
      <c r="Q8" s="1085"/>
      <c r="R8" s="1085"/>
      <c r="S8" s="1085"/>
      <c r="T8" s="1085"/>
      <c r="U8" s="1085"/>
      <c r="V8" s="1085"/>
      <c r="W8" s="1085"/>
      <c r="X8" s="3543" t="s">
        <v>898</v>
      </c>
      <c r="Y8" s="3544"/>
      <c r="Z8" s="3544"/>
      <c r="AA8" s="3544"/>
      <c r="AB8" s="3544"/>
      <c r="AC8" s="3544"/>
      <c r="AD8" s="3544"/>
      <c r="AE8" s="3547"/>
      <c r="AF8" s="1133"/>
      <c r="AG8" s="1133"/>
      <c r="AH8" s="1133"/>
      <c r="AI8" s="1133"/>
      <c r="AJ8" s="1085"/>
      <c r="AK8" s="1085"/>
      <c r="AL8" s="1086"/>
      <c r="AM8" s="1085"/>
    </row>
    <row r="9" spans="2:79" s="1042" customFormat="1" ht="19.5" customHeight="1" thickBot="1" x14ac:dyDescent="0.4">
      <c r="B9" s="1044"/>
      <c r="C9" s="1045"/>
      <c r="D9" s="3522" t="s">
        <v>14</v>
      </c>
      <c r="E9" s="3514"/>
      <c r="F9" s="3516"/>
      <c r="G9" s="3517" t="s">
        <v>15</v>
      </c>
      <c r="H9" s="3514"/>
      <c r="I9" s="3515"/>
      <c r="J9" s="3514" t="s">
        <v>14</v>
      </c>
      <c r="K9" s="3514"/>
      <c r="L9" s="3516"/>
      <c r="M9" s="3517" t="s">
        <v>15</v>
      </c>
      <c r="N9" s="3514"/>
      <c r="O9" s="3518"/>
      <c r="W9" s="1045"/>
      <c r="X9" s="3522" t="s">
        <v>14</v>
      </c>
      <c r="Y9" s="3514"/>
      <c r="Z9" s="3514"/>
      <c r="AA9" s="3516"/>
      <c r="AB9" s="3517" t="s">
        <v>15</v>
      </c>
      <c r="AC9" s="3514"/>
      <c r="AD9" s="3514"/>
      <c r="AE9" s="3518"/>
      <c r="AF9" s="1277"/>
      <c r="AG9" s="1277"/>
      <c r="AH9" s="1277"/>
      <c r="AI9" s="1277"/>
      <c r="AL9" s="1043"/>
    </row>
    <row r="10" spans="2:79" s="1042" customFormat="1" ht="25" customHeight="1" thickTop="1" thickBot="1" x14ac:dyDescent="0.4">
      <c r="B10" s="1044"/>
      <c r="C10" s="1045"/>
      <c r="D10" s="4109">
        <v>0</v>
      </c>
      <c r="E10" s="4110"/>
      <c r="F10" s="4111"/>
      <c r="G10" s="4112">
        <v>0</v>
      </c>
      <c r="H10" s="4113"/>
      <c r="I10" s="4115"/>
      <c r="J10" s="4110">
        <v>0</v>
      </c>
      <c r="K10" s="4110"/>
      <c r="L10" s="4111"/>
      <c r="M10" s="4112">
        <v>0</v>
      </c>
      <c r="N10" s="4113"/>
      <c r="O10" s="4114"/>
      <c r="W10" s="1045"/>
      <c r="X10" s="4109">
        <v>0</v>
      </c>
      <c r="Y10" s="4110"/>
      <c r="Z10" s="4110"/>
      <c r="AA10" s="4111"/>
      <c r="AB10" s="4112">
        <v>0</v>
      </c>
      <c r="AC10" s="4113"/>
      <c r="AD10" s="4113"/>
      <c r="AE10" s="4114"/>
      <c r="AF10" s="1123"/>
      <c r="AG10" s="1123"/>
      <c r="AH10" s="1123"/>
      <c r="AI10" s="1123"/>
      <c r="AL10" s="1043"/>
    </row>
    <row r="11" spans="2:79" s="1172" customFormat="1" ht="10" customHeight="1" thickTop="1" x14ac:dyDescent="0.35">
      <c r="B11" s="1262"/>
      <c r="C11" s="1051"/>
      <c r="D11" s="1051"/>
      <c r="E11" s="1051"/>
      <c r="F11" s="1051"/>
      <c r="G11" s="1051"/>
      <c r="H11" s="1051"/>
      <c r="I11" s="1051"/>
      <c r="J11" s="1051"/>
      <c r="K11" s="1051"/>
      <c r="L11" s="1051"/>
      <c r="M11" s="1051"/>
      <c r="N11" s="1051"/>
      <c r="O11" s="1051"/>
      <c r="P11" s="1051"/>
      <c r="Q11" s="1051"/>
      <c r="R11" s="1051"/>
      <c r="S11" s="1051"/>
      <c r="T11" s="1051"/>
      <c r="U11" s="1051"/>
      <c r="V11" s="1051"/>
      <c r="W11" s="1041"/>
      <c r="X11" s="1171"/>
      <c r="Y11" s="1171"/>
      <c r="Z11" s="1052"/>
      <c r="AA11" s="1041"/>
      <c r="AB11" s="1041"/>
      <c r="AC11" s="1041"/>
      <c r="AD11" s="1041"/>
      <c r="AE11" s="1041"/>
      <c r="AF11" s="1041"/>
      <c r="AG11" s="1041"/>
      <c r="AH11" s="1041"/>
      <c r="AI11" s="1041"/>
      <c r="AJ11" s="1041"/>
      <c r="AK11" s="1041"/>
      <c r="AL11" s="1077"/>
      <c r="AM11" s="1041"/>
      <c r="AN11" s="1041"/>
      <c r="AO11" s="1041"/>
      <c r="AP11" s="1041"/>
      <c r="AQ11" s="1041"/>
      <c r="AR11" s="1041"/>
      <c r="AS11" s="1041"/>
      <c r="AT11" s="1041"/>
      <c r="AU11" s="1041"/>
      <c r="AV11" s="1041"/>
      <c r="AW11" s="1041"/>
      <c r="AX11" s="1041"/>
      <c r="AY11" s="1041"/>
      <c r="AZ11" s="1041"/>
      <c r="BA11" s="1041"/>
      <c r="BB11" s="1041"/>
      <c r="BC11" s="1041"/>
      <c r="BD11" s="1041"/>
      <c r="BE11" s="1041"/>
      <c r="BF11" s="1041"/>
      <c r="BG11" s="1041"/>
      <c r="BH11" s="1041"/>
      <c r="BI11" s="1041"/>
      <c r="BJ11" s="1041"/>
      <c r="BK11" s="1041"/>
      <c r="BL11" s="1041"/>
      <c r="BM11" s="1041"/>
      <c r="BN11" s="1041"/>
      <c r="BO11" s="1041"/>
      <c r="BP11" s="1041"/>
      <c r="BQ11" s="1041"/>
      <c r="BR11" s="1041"/>
      <c r="BS11" s="1041"/>
      <c r="BT11" s="1041"/>
      <c r="BU11" s="1041"/>
      <c r="BV11" s="1041"/>
      <c r="BW11" s="1041"/>
      <c r="BX11" s="1041"/>
      <c r="BY11" s="1316"/>
      <c r="BZ11" s="1104"/>
      <c r="CA11" s="1098"/>
    </row>
    <row r="12" spans="2:79" s="1172" customFormat="1" ht="24.75" customHeight="1" x14ac:dyDescent="0.35">
      <c r="B12" s="1317"/>
      <c r="C12" s="1318" t="s">
        <v>152</v>
      </c>
      <c r="D12" s="1320" t="b">
        <v>0</v>
      </c>
      <c r="E12" s="3947" t="s">
        <v>1843</v>
      </c>
      <c r="F12" s="3947"/>
      <c r="G12" s="3947"/>
      <c r="H12" s="3947"/>
      <c r="I12" s="3947"/>
      <c r="J12" s="3947"/>
      <c r="K12" s="3947"/>
      <c r="L12" s="3947"/>
      <c r="M12" s="3947"/>
      <c r="N12" s="3947"/>
      <c r="O12" s="3947"/>
      <c r="P12" s="3947"/>
      <c r="Q12" s="3947"/>
      <c r="R12" s="3947"/>
      <c r="S12" s="3947"/>
      <c r="T12" s="3947"/>
      <c r="U12" s="3947"/>
      <c r="V12" s="3947"/>
      <c r="W12" s="3947"/>
      <c r="X12" s="3947"/>
      <c r="Y12" s="4107"/>
      <c r="Z12" s="4107"/>
      <c r="AA12" s="4107"/>
      <c r="AB12" s="4107"/>
      <c r="AC12" s="4107"/>
      <c r="AD12" s="4107"/>
      <c r="AE12" s="4107"/>
      <c r="AF12" s="4107"/>
      <c r="AG12" s="4107"/>
      <c r="AH12" s="4107"/>
      <c r="AI12" s="4108"/>
      <c r="AJ12" s="1101"/>
      <c r="AK12" s="1101"/>
      <c r="AL12" s="1144"/>
      <c r="AM12" s="1101"/>
      <c r="AN12" s="1101"/>
      <c r="AO12" s="1101"/>
      <c r="AP12" s="1101"/>
      <c r="AQ12" s="1101"/>
      <c r="AR12" s="1101"/>
      <c r="AS12" s="1101"/>
      <c r="AT12" s="1101"/>
      <c r="AU12" s="1101"/>
      <c r="AV12" s="1101"/>
      <c r="AW12" s="1101"/>
      <c r="AX12" s="1101"/>
      <c r="AY12" s="1101"/>
      <c r="AZ12" s="1101"/>
      <c r="BA12" s="1101"/>
      <c r="BB12" s="1101"/>
      <c r="BC12" s="1101"/>
      <c r="BD12" s="1101"/>
      <c r="BE12" s="1101"/>
      <c r="BF12" s="1101"/>
      <c r="BG12" s="1101"/>
      <c r="BH12" s="1101"/>
      <c r="BI12" s="1101"/>
      <c r="BJ12" s="1101"/>
      <c r="BK12" s="1101"/>
      <c r="BL12" s="1101"/>
      <c r="BM12" s="1101"/>
      <c r="BN12" s="1101"/>
      <c r="BO12" s="1101"/>
      <c r="BP12" s="1101"/>
      <c r="BQ12" s="1101"/>
      <c r="BR12" s="1101"/>
      <c r="BS12" s="1101"/>
      <c r="BT12" s="1101"/>
      <c r="BU12" s="1101"/>
      <c r="BV12" s="1101"/>
      <c r="BW12" s="1101"/>
      <c r="BX12" s="1101"/>
      <c r="BY12" s="1316"/>
      <c r="BZ12" s="1104"/>
      <c r="CA12" s="1098"/>
    </row>
    <row r="13" spans="2:79" s="1245" customFormat="1" ht="10" customHeight="1" x14ac:dyDescent="0.35">
      <c r="B13" s="1317"/>
      <c r="C13" s="1172"/>
      <c r="D13" s="1172"/>
      <c r="E13" s="1172"/>
      <c r="F13" s="1172"/>
      <c r="G13" s="1172"/>
      <c r="H13" s="1172"/>
      <c r="I13" s="1172"/>
      <c r="J13" s="1172"/>
      <c r="K13" s="1172"/>
      <c r="L13" s="1172"/>
      <c r="M13" s="1172"/>
      <c r="N13" s="1172"/>
      <c r="O13" s="1172"/>
      <c r="P13" s="1172"/>
      <c r="Q13" s="1172"/>
      <c r="R13" s="1172"/>
      <c r="S13" s="1172"/>
      <c r="T13" s="1172"/>
      <c r="U13" s="1172"/>
      <c r="V13" s="1172"/>
      <c r="W13" s="1172"/>
      <c r="X13" s="1172"/>
      <c r="Y13" s="1172"/>
      <c r="Z13" s="1099"/>
      <c r="AA13" s="1099"/>
      <c r="AB13" s="1099"/>
      <c r="AC13" s="1099"/>
      <c r="AD13" s="1099"/>
      <c r="AE13" s="1099"/>
      <c r="AF13" s="1099"/>
      <c r="AG13" s="1099"/>
      <c r="AH13" s="1099"/>
      <c r="AI13" s="1099"/>
      <c r="AJ13" s="1099"/>
      <c r="AK13" s="1101"/>
      <c r="AL13" s="1144"/>
      <c r="AM13" s="1101"/>
      <c r="AN13" s="1101"/>
      <c r="AO13" s="1101"/>
      <c r="AP13" s="1101"/>
      <c r="AQ13" s="1101"/>
      <c r="AR13" s="1101"/>
      <c r="AS13" s="1101"/>
      <c r="AT13" s="1101"/>
      <c r="AU13" s="1101"/>
      <c r="AV13" s="1101"/>
      <c r="AW13" s="1101"/>
      <c r="AX13" s="1101"/>
      <c r="AY13" s="1101"/>
      <c r="AZ13" s="1101"/>
      <c r="BA13" s="1101"/>
      <c r="BB13" s="1101"/>
      <c r="BC13" s="1101"/>
      <c r="BD13" s="1101"/>
      <c r="BE13" s="1101"/>
      <c r="BF13" s="1101"/>
      <c r="BG13" s="1101"/>
      <c r="BH13" s="1101"/>
      <c r="BI13" s="1101"/>
      <c r="BJ13" s="1101"/>
      <c r="BK13" s="1101"/>
      <c r="BL13" s="1101"/>
      <c r="BM13" s="1101"/>
      <c r="BN13" s="1101"/>
      <c r="BO13" s="1101"/>
      <c r="BP13" s="1101"/>
      <c r="BQ13" s="1101"/>
      <c r="BR13" s="1101"/>
      <c r="BS13" s="1101"/>
      <c r="BT13" s="1101"/>
      <c r="BU13" s="1101"/>
      <c r="BV13" s="1101"/>
      <c r="BW13" s="1101"/>
      <c r="BX13" s="1101"/>
      <c r="BY13" s="44"/>
      <c r="BZ13" s="1244"/>
    </row>
    <row r="14" spans="2:79" s="44" customFormat="1" ht="15.5" customHeight="1" x14ac:dyDescent="0.35">
      <c r="B14" s="1319"/>
      <c r="C14" s="1245" t="s">
        <v>155</v>
      </c>
      <c r="D14" s="3900" t="s">
        <v>1844</v>
      </c>
      <c r="E14" s="3900"/>
      <c r="F14" s="3900"/>
      <c r="G14" s="3900"/>
      <c r="H14" s="3900"/>
      <c r="I14" s="3900"/>
      <c r="J14" s="3900"/>
      <c r="K14" s="3900"/>
      <c r="L14" s="4119"/>
      <c r="M14" s="3554"/>
      <c r="N14" s="3554"/>
      <c r="O14" s="3554"/>
      <c r="P14" s="3554"/>
      <c r="Q14" s="3554"/>
      <c r="R14" s="3554"/>
      <c r="S14" s="3554"/>
      <c r="T14" s="1051"/>
      <c r="U14" s="1051"/>
      <c r="V14" s="1051"/>
      <c r="W14" s="1051"/>
      <c r="X14" s="1051" t="s">
        <v>156</v>
      </c>
      <c r="Y14" s="3554" t="s">
        <v>1845</v>
      </c>
      <c r="Z14" s="3900"/>
      <c r="AA14" s="3900"/>
      <c r="AB14" s="3900"/>
      <c r="AC14" s="4116"/>
      <c r="AD14" s="4116"/>
      <c r="AE14" s="4116"/>
      <c r="AF14" s="4116"/>
      <c r="AG14" s="4116"/>
      <c r="AH14" s="4116"/>
      <c r="AI14" s="4116"/>
      <c r="AJ14" s="4116"/>
      <c r="AL14" s="405"/>
      <c r="BY14" s="49"/>
      <c r="BZ14" s="669"/>
    </row>
    <row r="15" spans="2:79" s="222" customFormat="1" ht="5" customHeight="1" thickBot="1" x14ac:dyDescent="0.4">
      <c r="B15" s="412"/>
      <c r="C15" s="44"/>
      <c r="D15" s="44"/>
      <c r="E15" s="44"/>
      <c r="F15" s="44"/>
      <c r="G15" s="44"/>
      <c r="H15" s="44"/>
      <c r="I15" s="44"/>
      <c r="J15" s="44"/>
      <c r="K15" s="44"/>
      <c r="L15" s="1050"/>
      <c r="M15" s="1051"/>
      <c r="N15" s="1051"/>
      <c r="O15" s="1051"/>
      <c r="P15" s="1051"/>
      <c r="Q15" s="1051"/>
      <c r="R15" s="1051"/>
      <c r="S15" s="1051"/>
      <c r="T15" s="1051"/>
      <c r="U15" s="1051"/>
      <c r="V15" s="1051"/>
      <c r="W15" s="1051"/>
      <c r="X15" s="1051"/>
      <c r="Y15" s="3554"/>
      <c r="Z15" s="4116"/>
      <c r="AA15" s="4116"/>
      <c r="AB15" s="4116"/>
      <c r="AC15" s="4116"/>
      <c r="AD15" s="4116"/>
      <c r="AE15" s="4116"/>
      <c r="AF15" s="4116"/>
      <c r="AG15" s="4116"/>
      <c r="AH15" s="4116"/>
      <c r="AI15" s="4116"/>
      <c r="AJ15" s="4116"/>
      <c r="AK15" s="44"/>
      <c r="AL15" s="405"/>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72"/>
      <c r="BZ15" s="1236"/>
    </row>
    <row r="16" spans="2:79" s="222" customFormat="1" ht="18.5" customHeight="1" thickTop="1" thickBot="1" x14ac:dyDescent="0.4">
      <c r="B16" s="1092"/>
      <c r="D16" s="4125" t="s">
        <v>1783</v>
      </c>
      <c r="E16" s="4120"/>
      <c r="F16" s="4120"/>
      <c r="G16" s="4126"/>
      <c r="H16" s="4126"/>
      <c r="I16" s="4120" t="s">
        <v>1846</v>
      </c>
      <c r="J16" s="4120"/>
      <c r="K16" s="4120"/>
      <c r="L16" s="4120"/>
      <c r="M16" s="4120"/>
      <c r="N16" s="4120"/>
      <c r="O16" s="4120"/>
      <c r="P16" s="4120"/>
      <c r="Q16" s="4120"/>
      <c r="R16" s="4121"/>
      <c r="S16" s="1051"/>
      <c r="T16" s="1051"/>
      <c r="U16" s="1051"/>
      <c r="V16" s="1051"/>
      <c r="W16" s="1051"/>
      <c r="X16" s="1051"/>
      <c r="Y16" s="3554"/>
      <c r="Z16" s="4117"/>
      <c r="AA16" s="4117"/>
      <c r="AB16" s="4117"/>
      <c r="AC16" s="4117"/>
      <c r="AD16" s="4117"/>
      <c r="AE16" s="4118"/>
      <c r="AF16" s="4118"/>
      <c r="AG16" s="4118"/>
      <c r="AH16" s="4118"/>
      <c r="AI16" s="4118"/>
      <c r="AJ16" s="4118"/>
      <c r="AK16" s="72"/>
      <c r="AL16" s="1247"/>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1236"/>
    </row>
    <row r="17" spans="1:54" s="72" customFormat="1" ht="18.5" customHeight="1" thickTop="1" thickBot="1" x14ac:dyDescent="0.4">
      <c r="A17" s="222"/>
      <c r="B17" s="1092"/>
      <c r="C17" s="222"/>
      <c r="D17" s="4127"/>
      <c r="E17" s="4122"/>
      <c r="F17" s="4122"/>
      <c r="G17" s="4128"/>
      <c r="H17" s="4128"/>
      <c r="I17" s="4122" t="s">
        <v>448</v>
      </c>
      <c r="J17" s="4122"/>
      <c r="K17" s="4122"/>
      <c r="L17" s="4122"/>
      <c r="M17" s="4123"/>
      <c r="N17" s="2233" t="s">
        <v>852</v>
      </c>
      <c r="O17" s="4122"/>
      <c r="P17" s="4122"/>
      <c r="Q17" s="4122"/>
      <c r="R17" s="4124"/>
      <c r="S17" s="1133"/>
      <c r="T17" s="1133"/>
      <c r="U17" s="1133"/>
      <c r="V17" s="1133"/>
      <c r="W17" s="1133"/>
      <c r="X17" s="1130"/>
      <c r="Y17" s="3543" t="s">
        <v>898</v>
      </c>
      <c r="Z17" s="3544"/>
      <c r="AA17" s="3544"/>
      <c r="AB17" s="3544"/>
      <c r="AC17" s="3544"/>
      <c r="AD17" s="3546"/>
      <c r="AE17" s="3544" t="s">
        <v>899</v>
      </c>
      <c r="AF17" s="3544"/>
      <c r="AG17" s="3544"/>
      <c r="AH17" s="3544"/>
      <c r="AI17" s="3544"/>
      <c r="AJ17" s="3547"/>
      <c r="AK17" s="1051"/>
      <c r="AL17" s="1246"/>
      <c r="AM17" s="415"/>
      <c r="AN17" s="415"/>
      <c r="AO17" s="415"/>
      <c r="AP17" s="415"/>
    </row>
    <row r="18" spans="1:54" s="72" customFormat="1" ht="24.5" customHeight="1" thickBot="1" x14ac:dyDescent="0.4">
      <c r="B18" s="280"/>
      <c r="C18" s="1236"/>
      <c r="D18" s="1421" t="s">
        <v>877</v>
      </c>
      <c r="E18" s="1422"/>
      <c r="F18" s="1423"/>
      <c r="G18" s="1424"/>
      <c r="H18" s="1425"/>
      <c r="I18" s="4134">
        <v>0</v>
      </c>
      <c r="J18" s="4134"/>
      <c r="K18" s="4134"/>
      <c r="L18" s="4134"/>
      <c r="M18" s="4135"/>
      <c r="N18" s="4136">
        <v>0</v>
      </c>
      <c r="O18" s="4134"/>
      <c r="P18" s="4134"/>
      <c r="Q18" s="4134"/>
      <c r="R18" s="4137"/>
      <c r="S18" s="1233"/>
      <c r="T18" s="1233"/>
      <c r="U18" s="1233"/>
      <c r="V18" s="1234"/>
      <c r="W18" s="1233"/>
      <c r="X18" s="1085"/>
      <c r="Y18" s="3866"/>
      <c r="Z18" s="3867"/>
      <c r="AA18" s="3867"/>
      <c r="AB18" s="3867"/>
      <c r="AC18" s="3867"/>
      <c r="AD18" s="3868"/>
      <c r="AE18" s="3867"/>
      <c r="AF18" s="3867"/>
      <c r="AG18" s="3867"/>
      <c r="AH18" s="3867"/>
      <c r="AI18" s="3867"/>
      <c r="AJ18" s="3871"/>
      <c r="AK18" s="1133"/>
      <c r="AL18" s="1235"/>
      <c r="AM18" s="1233"/>
      <c r="AN18" s="1233"/>
      <c r="AO18" s="1234"/>
      <c r="AP18" s="1233"/>
    </row>
    <row r="19" spans="1:54" s="72" customFormat="1" ht="24.5" customHeight="1" thickBot="1" x14ac:dyDescent="0.4">
      <c r="B19" s="280"/>
      <c r="C19" s="1236"/>
      <c r="D19" s="1426" t="s">
        <v>1780</v>
      </c>
      <c r="E19" s="1427"/>
      <c r="F19" s="1428"/>
      <c r="G19" s="349"/>
      <c r="H19" s="350"/>
      <c r="I19" s="4131">
        <v>0</v>
      </c>
      <c r="J19" s="4131"/>
      <c r="K19" s="4131"/>
      <c r="L19" s="4131"/>
      <c r="M19" s="4132"/>
      <c r="N19" s="2491">
        <v>0</v>
      </c>
      <c r="O19" s="4131"/>
      <c r="P19" s="4131"/>
      <c r="Q19" s="4131"/>
      <c r="R19" s="4133"/>
      <c r="S19" s="1233"/>
      <c r="T19" s="1233"/>
      <c r="U19" s="1233"/>
      <c r="V19" s="1234"/>
      <c r="W19" s="1233"/>
      <c r="X19" s="1045"/>
      <c r="Y19" s="3522" t="s">
        <v>14</v>
      </c>
      <c r="Z19" s="3514"/>
      <c r="AA19" s="3516"/>
      <c r="AB19" s="3517" t="s">
        <v>15</v>
      </c>
      <c r="AC19" s="3514"/>
      <c r="AD19" s="3515"/>
      <c r="AE19" s="3514" t="s">
        <v>14</v>
      </c>
      <c r="AF19" s="3514"/>
      <c r="AG19" s="3516"/>
      <c r="AH19" s="3517" t="s">
        <v>15</v>
      </c>
      <c r="AI19" s="3514"/>
      <c r="AJ19" s="3518"/>
      <c r="AK19" s="1277"/>
      <c r="AL19" s="1235"/>
      <c r="AM19" s="1233"/>
      <c r="AN19" s="1233"/>
      <c r="AO19" s="1234"/>
      <c r="AP19" s="1233"/>
    </row>
    <row r="20" spans="1:54" s="72" customFormat="1" ht="24.5" customHeight="1" thickTop="1" thickBot="1" x14ac:dyDescent="0.4">
      <c r="B20" s="280"/>
      <c r="C20" s="1236"/>
      <c r="D20" s="1429" t="s">
        <v>876</v>
      </c>
      <c r="E20" s="1430"/>
      <c r="F20" s="1430"/>
      <c r="G20" s="1431"/>
      <c r="H20" s="1431"/>
      <c r="I20" s="4129">
        <v>0</v>
      </c>
      <c r="J20" s="4129"/>
      <c r="K20" s="4129"/>
      <c r="L20" s="4129"/>
      <c r="M20" s="4138"/>
      <c r="N20" s="2499">
        <v>0</v>
      </c>
      <c r="O20" s="4129"/>
      <c r="P20" s="4129"/>
      <c r="Q20" s="4129"/>
      <c r="R20" s="4130"/>
      <c r="S20" s="1233"/>
      <c r="T20" s="1233"/>
      <c r="U20" s="1233"/>
      <c r="V20" s="1234"/>
      <c r="W20" s="1233"/>
      <c r="X20" s="1045"/>
      <c r="Y20" s="4109">
        <v>0</v>
      </c>
      <c r="Z20" s="4110"/>
      <c r="AA20" s="4111"/>
      <c r="AB20" s="4112">
        <v>0</v>
      </c>
      <c r="AC20" s="4113"/>
      <c r="AD20" s="4115"/>
      <c r="AE20" s="4139">
        <v>0</v>
      </c>
      <c r="AF20" s="4110"/>
      <c r="AG20" s="4111"/>
      <c r="AH20" s="4112">
        <v>0</v>
      </c>
      <c r="AI20" s="4113"/>
      <c r="AJ20" s="4114"/>
      <c r="AK20" s="1123"/>
      <c r="AL20" s="1235"/>
      <c r="AM20" s="1233"/>
      <c r="AN20" s="1233"/>
      <c r="AO20" s="1234"/>
      <c r="AP20" s="1233"/>
    </row>
    <row r="21" spans="1:54" s="1101" customFormat="1" ht="9" customHeight="1" thickTop="1" x14ac:dyDescent="0.35">
      <c r="A21" s="72"/>
      <c r="B21" s="1276"/>
      <c r="C21" s="1217"/>
      <c r="D21" s="1217"/>
      <c r="E21" s="1217"/>
      <c r="F21" s="1217"/>
      <c r="G21" s="1217"/>
      <c r="H21" s="1217"/>
      <c r="I21" s="1217"/>
      <c r="J21" s="1217"/>
      <c r="K21" s="1217"/>
      <c r="L21" s="1217"/>
      <c r="M21" s="1217"/>
      <c r="N21" s="1217"/>
      <c r="O21" s="1217"/>
      <c r="AL21" s="1235"/>
    </row>
    <row r="22" spans="1:54" ht="15.5" customHeight="1" x14ac:dyDescent="0.35">
      <c r="B22" s="1049"/>
      <c r="C22" s="1050" t="s">
        <v>157</v>
      </c>
      <c r="D22" s="3554" t="s">
        <v>1847</v>
      </c>
      <c r="E22" s="3554"/>
      <c r="F22" s="3554"/>
      <c r="G22" s="3554"/>
      <c r="H22" s="3554"/>
      <c r="I22" s="3554"/>
      <c r="J22" s="3554"/>
      <c r="K22" s="3554"/>
      <c r="L22" s="3554"/>
      <c r="M22" s="3554"/>
      <c r="N22" s="3554"/>
      <c r="O22" s="3554"/>
      <c r="P22" s="3554"/>
      <c r="Q22" s="3554"/>
      <c r="R22" s="3554"/>
      <c r="S22" s="3554"/>
      <c r="T22" s="3554"/>
      <c r="U22" s="3554"/>
      <c r="V22" s="3554"/>
      <c r="W22" s="3554"/>
      <c r="X22" s="3554"/>
      <c r="Y22" s="3554"/>
      <c r="Z22" s="3554"/>
      <c r="AA22" s="3554"/>
      <c r="AB22" s="3554"/>
      <c r="AC22" s="3554"/>
      <c r="AD22" s="3554"/>
      <c r="AE22" s="3554"/>
      <c r="AF22" s="3554"/>
      <c r="AG22" s="3554"/>
      <c r="AH22" s="3554"/>
      <c r="AI22" s="3554"/>
      <c r="AJ22" s="3554"/>
      <c r="AK22" s="1052"/>
      <c r="AL22" s="1053"/>
    </row>
    <row r="23" spans="1:54" ht="5" customHeight="1" thickBot="1" x14ac:dyDescent="0.4">
      <c r="B23" s="1084"/>
      <c r="C23" s="1105"/>
      <c r="D23" s="1105"/>
      <c r="E23" s="1105"/>
      <c r="F23" s="1105"/>
      <c r="G23" s="1105"/>
      <c r="H23" s="1105"/>
      <c r="I23" s="1105"/>
      <c r="J23" s="1105"/>
      <c r="K23" s="1105"/>
      <c r="L23" s="1105"/>
      <c r="M23" s="1105"/>
      <c r="N23" s="1105"/>
      <c r="O23" s="1105"/>
      <c r="P23" s="1105"/>
      <c r="Q23" s="1105"/>
      <c r="R23" s="1105"/>
      <c r="S23" s="1105"/>
      <c r="T23" s="1105"/>
      <c r="U23" s="1105"/>
      <c r="V23" s="1105"/>
      <c r="W23" s="1105"/>
      <c r="X23" s="1105"/>
      <c r="Y23" s="1105"/>
      <c r="Z23" s="1105"/>
      <c r="AA23" s="1105"/>
      <c r="AB23" s="1105"/>
      <c r="AC23" s="1105"/>
      <c r="AD23" s="1105"/>
      <c r="AE23" s="1105"/>
      <c r="AF23" s="1105"/>
      <c r="AG23" s="1105"/>
      <c r="AH23" s="1105"/>
      <c r="AI23" s="1105"/>
      <c r="AJ23" s="1105"/>
      <c r="AK23" s="1105"/>
      <c r="AL23" s="1062"/>
    </row>
    <row r="24" spans="1:54" s="1042" customFormat="1" ht="59" customHeight="1" thickTop="1" thickBot="1" x14ac:dyDescent="0.4">
      <c r="B24" s="1084"/>
      <c r="C24" s="1085"/>
      <c r="D24" s="3543" t="s">
        <v>1748</v>
      </c>
      <c r="E24" s="3544"/>
      <c r="F24" s="3544"/>
      <c r="G24" s="3544"/>
      <c r="H24" s="3544"/>
      <c r="I24" s="3544"/>
      <c r="J24" s="3545" t="s">
        <v>1710</v>
      </c>
      <c r="K24" s="3544"/>
      <c r="L24" s="3544"/>
      <c r="M24" s="3544"/>
      <c r="N24" s="3544"/>
      <c r="O24" s="3546"/>
      <c r="P24" s="3545" t="s">
        <v>1711</v>
      </c>
      <c r="Q24" s="3544"/>
      <c r="R24" s="3544"/>
      <c r="S24" s="3544"/>
      <c r="T24" s="3544"/>
      <c r="U24" s="3546"/>
      <c r="V24" s="3544" t="s">
        <v>1712</v>
      </c>
      <c r="W24" s="3544"/>
      <c r="X24" s="3544"/>
      <c r="Y24" s="3544"/>
      <c r="Z24" s="3544"/>
      <c r="AA24" s="3547"/>
      <c r="AB24" s="1085"/>
      <c r="AC24" s="1085"/>
      <c r="AD24" s="1085"/>
      <c r="AE24" s="1085"/>
      <c r="AF24" s="1085"/>
      <c r="AG24" s="1085"/>
      <c r="AH24" s="1085"/>
      <c r="AI24" s="1085"/>
      <c r="AJ24" s="1085"/>
      <c r="AK24" s="1085"/>
      <c r="AL24" s="1043"/>
    </row>
    <row r="25" spans="1:54" s="1042" customFormat="1" ht="19.5" customHeight="1" thickBot="1" x14ac:dyDescent="0.4">
      <c r="B25" s="1044"/>
      <c r="C25" s="1045"/>
      <c r="D25" s="3522" t="s">
        <v>14</v>
      </c>
      <c r="E25" s="3514"/>
      <c r="F25" s="3516"/>
      <c r="G25" s="3514" t="s">
        <v>15</v>
      </c>
      <c r="H25" s="3514"/>
      <c r="I25" s="3514"/>
      <c r="J25" s="3523" t="s">
        <v>14</v>
      </c>
      <c r="K25" s="3514" t="s">
        <v>15</v>
      </c>
      <c r="L25" s="3516"/>
      <c r="M25" s="3514" t="s">
        <v>15</v>
      </c>
      <c r="N25" s="3514"/>
      <c r="O25" s="3515"/>
      <c r="P25" s="3523" t="s">
        <v>14</v>
      </c>
      <c r="Q25" s="3514"/>
      <c r="R25" s="3516"/>
      <c r="S25" s="3514" t="s">
        <v>15</v>
      </c>
      <c r="T25" s="3514"/>
      <c r="U25" s="3515"/>
      <c r="V25" s="3514" t="s">
        <v>14</v>
      </c>
      <c r="W25" s="3514" t="s">
        <v>15</v>
      </c>
      <c r="X25" s="3516"/>
      <c r="Y25" s="3517" t="s">
        <v>15</v>
      </c>
      <c r="Z25" s="3514"/>
      <c r="AA25" s="3518"/>
      <c r="AL25" s="1043"/>
    </row>
    <row r="26" spans="1:54" s="1042" customFormat="1" ht="25" customHeight="1" thickTop="1" thickBot="1" x14ac:dyDescent="0.4">
      <c r="B26" s="1044"/>
      <c r="C26" s="1045"/>
      <c r="D26" s="3600">
        <v>0</v>
      </c>
      <c r="E26" s="3559"/>
      <c r="F26" s="3560"/>
      <c r="G26" s="3561">
        <v>0</v>
      </c>
      <c r="H26" s="3562"/>
      <c r="I26" s="3562"/>
      <c r="J26" s="3598">
        <v>0</v>
      </c>
      <c r="K26" s="3559"/>
      <c r="L26" s="3560"/>
      <c r="M26" s="3562">
        <v>0</v>
      </c>
      <c r="N26" s="3562"/>
      <c r="O26" s="3569"/>
      <c r="P26" s="3598">
        <v>0</v>
      </c>
      <c r="Q26" s="3559"/>
      <c r="R26" s="3560"/>
      <c r="S26" s="3562">
        <v>0</v>
      </c>
      <c r="T26" s="3562"/>
      <c r="U26" s="3569"/>
      <c r="V26" s="3559">
        <v>0</v>
      </c>
      <c r="W26" s="3559"/>
      <c r="X26" s="3560"/>
      <c r="Y26" s="3561">
        <v>0</v>
      </c>
      <c r="Z26" s="3562"/>
      <c r="AA26" s="3563"/>
      <c r="AL26" s="1043"/>
    </row>
    <row r="27" spans="1:54" s="1042" customFormat="1" ht="5" customHeight="1" thickTop="1" x14ac:dyDescent="0.35">
      <c r="B27" s="1044"/>
      <c r="C27" s="1045"/>
      <c r="D27" s="1048"/>
      <c r="E27" s="1048"/>
      <c r="F27" s="1048"/>
      <c r="G27" s="1047"/>
      <c r="H27" s="1047"/>
      <c r="I27" s="1047"/>
      <c r="J27" s="1048"/>
      <c r="K27" s="1048"/>
      <c r="L27" s="1048"/>
      <c r="M27" s="1047"/>
      <c r="N27" s="1047"/>
      <c r="O27" s="1047"/>
      <c r="P27" s="1048"/>
      <c r="Q27" s="1048"/>
      <c r="R27" s="1048"/>
      <c r="S27" s="1047"/>
      <c r="T27" s="1047"/>
      <c r="U27" s="1047"/>
      <c r="V27" s="1048"/>
      <c r="W27" s="1048"/>
      <c r="X27" s="1048"/>
      <c r="Y27" s="1047"/>
      <c r="Z27" s="1047"/>
      <c r="AA27" s="1047"/>
      <c r="AL27" s="1043"/>
    </row>
    <row r="28" spans="1:54" s="1042" customFormat="1" ht="22.5" customHeight="1" x14ac:dyDescent="0.35">
      <c r="B28" s="1044"/>
      <c r="C28" s="1045"/>
      <c r="D28" s="417" t="s">
        <v>171</v>
      </c>
      <c r="E28" s="1046"/>
      <c r="F28" s="1046"/>
      <c r="G28" s="3542" t="s">
        <v>1932</v>
      </c>
      <c r="H28" s="3542"/>
      <c r="I28" s="3542"/>
      <c r="J28" s="3542"/>
      <c r="K28" s="3542"/>
      <c r="L28" s="3542"/>
      <c r="M28" s="3542"/>
      <c r="N28" s="3542"/>
      <c r="O28" s="3542"/>
      <c r="P28" s="3542"/>
      <c r="Q28" s="3542"/>
      <c r="R28" s="3542"/>
      <c r="S28" s="3542"/>
      <c r="T28" s="3542"/>
      <c r="U28" s="3542"/>
      <c r="V28" s="3542"/>
      <c r="W28" s="3542"/>
      <c r="X28" s="3542"/>
      <c r="Y28" s="3542"/>
      <c r="Z28" s="3542"/>
      <c r="AA28" s="3542"/>
      <c r="AB28" s="1265"/>
      <c r="AC28" s="1265"/>
      <c r="AD28" s="1265"/>
      <c r="AE28" s="1265"/>
      <c r="AF28" s="1265"/>
      <c r="AG28" s="1265"/>
      <c r="AH28" s="1265"/>
      <c r="AI28" s="1265"/>
      <c r="AJ28" s="1265"/>
      <c r="AK28" s="1265"/>
      <c r="AL28" s="1043"/>
    </row>
    <row r="29" spans="1:54" s="1042" customFormat="1" ht="22.5" customHeight="1" x14ac:dyDescent="0.35">
      <c r="B29" s="1044"/>
      <c r="C29" s="1045"/>
      <c r="D29" s="417"/>
      <c r="E29" s="1046"/>
      <c r="F29" s="1046"/>
      <c r="G29" s="3542"/>
      <c r="H29" s="3542"/>
      <c r="I29" s="3542"/>
      <c r="J29" s="3542"/>
      <c r="K29" s="3542"/>
      <c r="L29" s="3542"/>
      <c r="M29" s="3542"/>
      <c r="N29" s="3542"/>
      <c r="O29" s="3542"/>
      <c r="P29" s="3542"/>
      <c r="Q29" s="3542"/>
      <c r="R29" s="3542"/>
      <c r="S29" s="3542"/>
      <c r="T29" s="3542"/>
      <c r="U29" s="3542"/>
      <c r="V29" s="3542"/>
      <c r="W29" s="3542"/>
      <c r="X29" s="3542"/>
      <c r="Y29" s="3542"/>
      <c r="Z29" s="3542"/>
      <c r="AA29" s="3542"/>
      <c r="AB29" s="1265"/>
      <c r="AC29" s="1265"/>
      <c r="AD29" s="1265"/>
      <c r="AE29" s="1265"/>
      <c r="AF29" s="1265"/>
      <c r="AG29" s="1265"/>
      <c r="AH29" s="1265"/>
      <c r="AI29" s="1265"/>
      <c r="AJ29" s="1265"/>
      <c r="AK29" s="1265"/>
      <c r="AL29" s="1043"/>
    </row>
    <row r="30" spans="1:54" ht="10" customHeight="1" thickBot="1" x14ac:dyDescent="0.4">
      <c r="B30" s="1035"/>
      <c r="C30" s="1036"/>
      <c r="D30" s="1037"/>
      <c r="E30" s="1038"/>
      <c r="F30" s="1038"/>
      <c r="G30" s="1038"/>
      <c r="H30" s="1038"/>
      <c r="I30" s="1038"/>
      <c r="J30" s="1038"/>
      <c r="K30" s="1039"/>
      <c r="L30" s="1039"/>
      <c r="M30" s="1039"/>
      <c r="N30" s="1039"/>
      <c r="O30" s="1039"/>
      <c r="P30" s="1039"/>
      <c r="Q30" s="1039"/>
      <c r="R30" s="1039"/>
      <c r="S30" s="1039"/>
      <c r="T30" s="1039"/>
      <c r="U30" s="1039"/>
      <c r="V30" s="1039"/>
      <c r="W30" s="1039"/>
      <c r="X30" s="1039"/>
      <c r="Y30" s="1039"/>
      <c r="Z30" s="1039"/>
      <c r="AA30" s="1039"/>
      <c r="AB30" s="1039"/>
      <c r="AC30" s="1039"/>
      <c r="AD30" s="1039"/>
      <c r="AE30" s="1039"/>
      <c r="AF30" s="1039"/>
      <c r="AG30" s="1039"/>
      <c r="AH30" s="1039"/>
      <c r="AI30" s="1039"/>
      <c r="AJ30" s="1039"/>
      <c r="AK30" s="1039"/>
      <c r="AL30" s="1040"/>
    </row>
    <row r="31" spans="1:54" ht="10" customHeight="1" thickTop="1" x14ac:dyDescent="0.35">
      <c r="B31" s="1118"/>
      <c r="C31" s="1098"/>
      <c r="E31" s="1052"/>
      <c r="F31" s="1052"/>
      <c r="G31" s="1052"/>
      <c r="H31" s="1052"/>
      <c r="I31" s="1052"/>
      <c r="J31" s="1052"/>
      <c r="K31" s="1041"/>
      <c r="L31" s="1041"/>
      <c r="M31" s="1041"/>
      <c r="N31" s="1041"/>
      <c r="O31" s="1041"/>
      <c r="P31" s="1041"/>
      <c r="Q31" s="1041"/>
      <c r="R31" s="1041"/>
      <c r="S31" s="1041"/>
      <c r="T31" s="1041"/>
      <c r="U31" s="1041"/>
      <c r="V31" s="1041"/>
      <c r="W31" s="1041"/>
      <c r="X31" s="1041"/>
      <c r="Y31" s="1041"/>
      <c r="Z31" s="1041"/>
      <c r="AA31" s="1041"/>
      <c r="AB31" s="1041"/>
      <c r="AC31" s="1041"/>
      <c r="AD31" s="1041"/>
      <c r="AE31" s="1041"/>
      <c r="AF31" s="1041"/>
      <c r="AG31" s="1041"/>
      <c r="AH31" s="1041"/>
      <c r="AI31" s="1041"/>
      <c r="AJ31" s="1041"/>
    </row>
    <row r="32" spans="1:54" s="1101" customFormat="1" ht="98" customHeight="1" x14ac:dyDescent="0.35">
      <c r="B32" s="1135" t="s">
        <v>150</v>
      </c>
      <c r="C32" s="3884" t="s">
        <v>1848</v>
      </c>
      <c r="D32" s="3884"/>
      <c r="E32" s="3884"/>
      <c r="F32" s="3884"/>
      <c r="G32" s="3884"/>
      <c r="H32" s="3884"/>
      <c r="I32" s="3884"/>
      <c r="J32" s="3884"/>
      <c r="K32" s="3884"/>
      <c r="L32" s="3884"/>
      <c r="M32" s="3884"/>
      <c r="N32" s="3884"/>
      <c r="O32" s="3884"/>
      <c r="P32" s="3884"/>
      <c r="Q32" s="3884"/>
      <c r="R32" s="3884"/>
      <c r="S32" s="3884"/>
      <c r="T32" s="3884"/>
      <c r="U32" s="3884"/>
      <c r="V32" s="3884"/>
      <c r="W32" s="3884"/>
      <c r="X32" s="3884"/>
      <c r="Y32" s="3884"/>
      <c r="Z32" s="3884"/>
      <c r="AA32" s="3884"/>
      <c r="AB32" s="3884"/>
      <c r="AC32" s="3884"/>
      <c r="AD32" s="3884"/>
      <c r="AE32" s="3884"/>
      <c r="AF32" s="3884"/>
      <c r="AG32" s="3884"/>
      <c r="AH32" s="3884"/>
      <c r="AI32" s="3884"/>
      <c r="AJ32" s="3884"/>
      <c r="AK32" s="3884"/>
      <c r="AL32" s="3884"/>
      <c r="AM32" s="1275"/>
      <c r="AN32" s="1275"/>
      <c r="AO32" s="1275"/>
      <c r="AP32" s="1275"/>
      <c r="AQ32" s="1275"/>
      <c r="AR32" s="1275"/>
      <c r="AS32" s="1275"/>
      <c r="AT32" s="1275"/>
      <c r="AU32" s="1275"/>
      <c r="AV32" s="1275"/>
      <c r="AW32" s="1275"/>
      <c r="AX32" s="1275"/>
      <c r="AY32" s="1275"/>
      <c r="AZ32" s="1275"/>
      <c r="BA32" s="1041"/>
      <c r="BB32" s="1041"/>
    </row>
    <row r="33" spans="1:54" s="1101" customFormat="1" ht="51" customHeight="1" x14ac:dyDescent="0.35">
      <c r="B33" s="1135" t="s">
        <v>151</v>
      </c>
      <c r="C33" s="3884" t="s">
        <v>1849</v>
      </c>
      <c r="D33" s="3884"/>
      <c r="E33" s="3884"/>
      <c r="F33" s="3884"/>
      <c r="G33" s="3884"/>
      <c r="H33" s="3884"/>
      <c r="I33" s="3884"/>
      <c r="J33" s="3884"/>
      <c r="K33" s="3884"/>
      <c r="L33" s="3884"/>
      <c r="M33" s="3884"/>
      <c r="N33" s="3884"/>
      <c r="O33" s="3884"/>
      <c r="P33" s="3884"/>
      <c r="Q33" s="3884"/>
      <c r="R33" s="3884"/>
      <c r="S33" s="3884"/>
      <c r="T33" s="3884"/>
      <c r="U33" s="3884"/>
      <c r="V33" s="3884"/>
      <c r="W33" s="3884"/>
      <c r="X33" s="3884"/>
      <c r="Y33" s="3884"/>
      <c r="Z33" s="3884"/>
      <c r="AA33" s="3884"/>
      <c r="AB33" s="3884"/>
      <c r="AC33" s="3884"/>
      <c r="AD33" s="3884"/>
      <c r="AE33" s="3884"/>
      <c r="AF33" s="3884"/>
      <c r="AG33" s="3884"/>
      <c r="AH33" s="3884"/>
      <c r="AI33" s="3884"/>
      <c r="AJ33" s="3884"/>
      <c r="AK33" s="3884"/>
      <c r="AL33" s="3884"/>
      <c r="AM33" s="1275"/>
      <c r="AN33" s="1275"/>
      <c r="AO33" s="1275"/>
      <c r="AP33" s="1275"/>
      <c r="AQ33" s="1275"/>
      <c r="AR33" s="1275"/>
      <c r="AS33" s="1275"/>
      <c r="AT33" s="1275"/>
      <c r="AU33" s="1275"/>
      <c r="AV33" s="1275"/>
      <c r="AW33" s="1275"/>
      <c r="AX33" s="1275"/>
      <c r="AY33" s="1275"/>
      <c r="AZ33" s="1275"/>
      <c r="BA33" s="1041"/>
      <c r="BB33" s="1041"/>
    </row>
    <row r="34" spans="1:54" s="1101" customFormat="1" ht="66.5" customHeight="1" x14ac:dyDescent="0.35">
      <c r="A34" s="1101" t="s">
        <v>705</v>
      </c>
      <c r="B34" s="1135" t="s">
        <v>152</v>
      </c>
      <c r="C34" s="3884" t="s">
        <v>1851</v>
      </c>
      <c r="D34" s="3884"/>
      <c r="E34" s="3884"/>
      <c r="F34" s="3884"/>
      <c r="G34" s="3884"/>
      <c r="H34" s="3884"/>
      <c r="I34" s="3884"/>
      <c r="J34" s="3884"/>
      <c r="K34" s="3884"/>
      <c r="L34" s="3884"/>
      <c r="M34" s="3884"/>
      <c r="N34" s="3884"/>
      <c r="O34" s="3884"/>
      <c r="P34" s="3884"/>
      <c r="Q34" s="3884"/>
      <c r="R34" s="3884"/>
      <c r="S34" s="3884"/>
      <c r="T34" s="3884"/>
      <c r="U34" s="3884"/>
      <c r="V34" s="3884"/>
      <c r="W34" s="3884"/>
      <c r="X34" s="3884"/>
      <c r="Y34" s="3884"/>
      <c r="Z34" s="3884"/>
      <c r="AA34" s="3884"/>
      <c r="AB34" s="3884"/>
      <c r="AC34" s="3884"/>
      <c r="AD34" s="3884"/>
      <c r="AE34" s="3884"/>
      <c r="AF34" s="3884"/>
      <c r="AG34" s="3884"/>
      <c r="AH34" s="3884"/>
      <c r="AI34" s="3884"/>
      <c r="AJ34" s="3884"/>
      <c r="AK34" s="3884"/>
      <c r="AL34" s="3884"/>
      <c r="AM34" s="1275"/>
      <c r="AN34" s="1275"/>
      <c r="AO34" s="1275"/>
      <c r="AP34" s="1275"/>
      <c r="AQ34" s="1275"/>
      <c r="AR34" s="1275"/>
      <c r="AS34" s="1275"/>
      <c r="AT34" s="1275"/>
      <c r="AU34" s="1275"/>
      <c r="AV34" s="1275"/>
      <c r="AW34" s="1275"/>
      <c r="AX34" s="1275"/>
      <c r="AY34" s="1275"/>
      <c r="AZ34" s="1275"/>
      <c r="BA34" s="1041"/>
      <c r="BB34" s="1041"/>
    </row>
    <row r="35" spans="1:54" s="1101" customFormat="1" ht="50.5" customHeight="1" x14ac:dyDescent="0.35">
      <c r="B35" s="1135" t="s">
        <v>155</v>
      </c>
      <c r="C35" s="3884" t="s">
        <v>1852</v>
      </c>
      <c r="D35" s="3884"/>
      <c r="E35" s="3884"/>
      <c r="F35" s="3884"/>
      <c r="G35" s="3884"/>
      <c r="H35" s="3884"/>
      <c r="I35" s="3884"/>
      <c r="J35" s="3884"/>
      <c r="K35" s="3884"/>
      <c r="L35" s="3884"/>
      <c r="M35" s="3884"/>
      <c r="N35" s="3884"/>
      <c r="O35" s="3884"/>
      <c r="P35" s="3884"/>
      <c r="Q35" s="3884"/>
      <c r="R35" s="3884"/>
      <c r="S35" s="3884"/>
      <c r="T35" s="3884"/>
      <c r="U35" s="3884"/>
      <c r="V35" s="3884"/>
      <c r="W35" s="3884"/>
      <c r="X35" s="3884"/>
      <c r="Y35" s="3884"/>
      <c r="Z35" s="3884"/>
      <c r="AA35" s="3884"/>
      <c r="AB35" s="3884"/>
      <c r="AC35" s="3884"/>
      <c r="AD35" s="3884"/>
      <c r="AE35" s="3884"/>
      <c r="AF35" s="3884"/>
      <c r="AG35" s="3884"/>
      <c r="AH35" s="3884"/>
      <c r="AI35" s="3884"/>
      <c r="AJ35" s="3884"/>
      <c r="AK35" s="3884"/>
      <c r="AL35" s="3884"/>
      <c r="AM35" s="1275"/>
      <c r="AN35" s="1275"/>
      <c r="AO35" s="1275"/>
      <c r="AP35" s="1275"/>
      <c r="AQ35" s="1275"/>
      <c r="AR35" s="1275"/>
      <c r="AS35" s="1275"/>
      <c r="AT35" s="1275"/>
      <c r="AU35" s="1275"/>
      <c r="AV35" s="1275"/>
      <c r="AW35" s="1275"/>
      <c r="AX35" s="1275"/>
      <c r="AY35" s="1275"/>
      <c r="AZ35" s="1275"/>
      <c r="BA35" s="1041"/>
      <c r="BB35" s="1041"/>
    </row>
    <row r="36" spans="1:54" s="1101" customFormat="1" ht="34" customHeight="1" x14ac:dyDescent="0.35">
      <c r="B36" s="1135" t="s">
        <v>156</v>
      </c>
      <c r="C36" s="3884" t="s">
        <v>1853</v>
      </c>
      <c r="D36" s="3884"/>
      <c r="E36" s="3884"/>
      <c r="F36" s="3884"/>
      <c r="G36" s="3884"/>
      <c r="H36" s="3884"/>
      <c r="I36" s="3884"/>
      <c r="J36" s="3884"/>
      <c r="K36" s="3884"/>
      <c r="L36" s="3884"/>
      <c r="M36" s="3884"/>
      <c r="N36" s="3884"/>
      <c r="O36" s="3884"/>
      <c r="P36" s="3884"/>
      <c r="Q36" s="3884"/>
      <c r="R36" s="3884"/>
      <c r="S36" s="3884"/>
      <c r="T36" s="3884"/>
      <c r="U36" s="3884"/>
      <c r="V36" s="3884"/>
      <c r="W36" s="3884"/>
      <c r="X36" s="3884"/>
      <c r="Y36" s="3884"/>
      <c r="Z36" s="3884"/>
      <c r="AA36" s="3884"/>
      <c r="AB36" s="3884"/>
      <c r="AC36" s="3884"/>
      <c r="AD36" s="3884"/>
      <c r="AE36" s="3884"/>
      <c r="AF36" s="3884"/>
      <c r="AG36" s="3884"/>
      <c r="AH36" s="3884"/>
      <c r="AI36" s="3884"/>
      <c r="AJ36" s="3884"/>
      <c r="AK36" s="3884"/>
      <c r="AL36" s="3884"/>
      <c r="AM36" s="1275"/>
      <c r="AN36" s="1275"/>
      <c r="AO36" s="1275"/>
      <c r="AP36" s="1275"/>
      <c r="AQ36" s="1275"/>
      <c r="AR36" s="1275"/>
      <c r="AS36" s="1275"/>
      <c r="AT36" s="1275"/>
      <c r="AU36" s="1275"/>
      <c r="AV36" s="1275"/>
      <c r="AW36" s="1275"/>
      <c r="AX36" s="1275"/>
      <c r="AY36" s="1275"/>
      <c r="AZ36" s="1275"/>
      <c r="BA36" s="1041"/>
      <c r="BB36" s="1041"/>
    </row>
    <row r="37" spans="1:54" s="1101" customFormat="1" ht="66.5" customHeight="1" x14ac:dyDescent="0.35">
      <c r="B37" s="1135" t="s">
        <v>157</v>
      </c>
      <c r="C37" s="3884" t="s">
        <v>1854</v>
      </c>
      <c r="D37" s="3884"/>
      <c r="E37" s="3884"/>
      <c r="F37" s="3884"/>
      <c r="G37" s="3884"/>
      <c r="H37" s="3884"/>
      <c r="I37" s="3884"/>
      <c r="J37" s="3884"/>
      <c r="K37" s="3884"/>
      <c r="L37" s="3884"/>
      <c r="M37" s="3884"/>
      <c r="N37" s="3884"/>
      <c r="O37" s="3884"/>
      <c r="P37" s="3884"/>
      <c r="Q37" s="3884"/>
      <c r="R37" s="3884"/>
      <c r="S37" s="3884"/>
      <c r="T37" s="3884"/>
      <c r="U37" s="3884"/>
      <c r="V37" s="3884"/>
      <c r="W37" s="3884"/>
      <c r="X37" s="3884"/>
      <c r="Y37" s="3884"/>
      <c r="Z37" s="3884"/>
      <c r="AA37" s="3884"/>
      <c r="AB37" s="3884"/>
      <c r="AC37" s="3884"/>
      <c r="AD37" s="3884"/>
      <c r="AE37" s="3884"/>
      <c r="AF37" s="3884"/>
      <c r="AG37" s="3884"/>
      <c r="AH37" s="3884"/>
      <c r="AI37" s="3884"/>
      <c r="AJ37" s="3884"/>
      <c r="AK37" s="3884"/>
      <c r="AL37" s="3884"/>
      <c r="AM37" s="1275"/>
      <c r="AN37" s="1275"/>
      <c r="AO37" s="1275"/>
      <c r="AP37" s="1275"/>
      <c r="AQ37" s="1275"/>
      <c r="AR37" s="1275"/>
      <c r="AS37" s="1275"/>
      <c r="AT37" s="1275"/>
      <c r="AU37" s="1275"/>
      <c r="AV37" s="1275"/>
      <c r="AW37" s="1275"/>
      <c r="AX37" s="1275"/>
      <c r="AY37" s="1275"/>
      <c r="AZ37" s="1275"/>
      <c r="BA37" s="1041"/>
      <c r="BB37" s="1041"/>
    </row>
    <row r="38" spans="1:54" s="501" customFormat="1" ht="30.75" customHeight="1" x14ac:dyDescent="0.35"/>
    <row r="39" spans="1:54" s="73" customFormat="1" ht="14" x14ac:dyDescent="0.3">
      <c r="B39" s="74" t="s">
        <v>913</v>
      </c>
      <c r="X39" s="74" t="s">
        <v>846</v>
      </c>
    </row>
    <row r="40" spans="1:54" s="73" customFormat="1" ht="21.75" customHeight="1" x14ac:dyDescent="0.3">
      <c r="B40" s="74" t="s">
        <v>811</v>
      </c>
      <c r="F40" s="1482" t="str">
        <f>SchInfo!F38</f>
        <v>MELCHESIEDICK Q. BOLANIO/ March 17, 2023</v>
      </c>
      <c r="G40" s="1482"/>
      <c r="H40" s="1482"/>
      <c r="I40" s="1482"/>
      <c r="J40" s="1482"/>
      <c r="K40" s="1482"/>
      <c r="L40" s="1482"/>
      <c r="M40" s="1482"/>
      <c r="N40" s="1482"/>
      <c r="O40" s="1482"/>
      <c r="P40" s="1482"/>
      <c r="Q40" s="545"/>
      <c r="R40" s="545"/>
      <c r="S40" s="545"/>
      <c r="T40" s="545"/>
      <c r="U40" s="545"/>
      <c r="V40" s="545"/>
      <c r="W40" s="545"/>
      <c r="X40" s="1482" t="str">
        <f>Table39!Q37</f>
        <v>ELYN KENDRA D. DELA CRUZ  /  March 17, 2023</v>
      </c>
      <c r="Y40" s="1482"/>
      <c r="Z40" s="1482"/>
      <c r="AA40" s="1482"/>
      <c r="AB40" s="1482"/>
      <c r="AC40" s="1482"/>
      <c r="AD40" s="1482"/>
      <c r="AE40" s="1482"/>
      <c r="AF40" s="1482"/>
      <c r="AG40" s="1482"/>
      <c r="AH40" s="1482"/>
      <c r="AI40" s="1482"/>
      <c r="AJ40" s="1482"/>
      <c r="AK40" s="1482"/>
      <c r="AL40" s="1482"/>
    </row>
    <row r="41" spans="1:54" s="68" customFormat="1" ht="14" customHeight="1" x14ac:dyDescent="0.3">
      <c r="B41" s="210"/>
      <c r="F41" s="1451" t="s">
        <v>779</v>
      </c>
      <c r="G41" s="1451"/>
      <c r="H41" s="1451"/>
      <c r="I41" s="1451"/>
      <c r="J41" s="1451"/>
      <c r="K41" s="1451"/>
      <c r="L41" s="1451"/>
      <c r="M41" s="1451"/>
      <c r="N41" s="1451"/>
      <c r="O41" s="1451"/>
      <c r="P41" s="1451"/>
      <c r="Q41" s="63"/>
      <c r="R41" s="63"/>
      <c r="S41" s="63"/>
      <c r="T41" s="63"/>
      <c r="U41" s="63"/>
      <c r="V41" s="63"/>
      <c r="W41" s="63"/>
      <c r="X41" s="1451" t="s">
        <v>779</v>
      </c>
      <c r="Y41" s="1451"/>
      <c r="Z41" s="1451"/>
      <c r="AA41" s="1451"/>
      <c r="AB41" s="1451"/>
      <c r="AC41" s="1451"/>
      <c r="AD41" s="1451"/>
      <c r="AE41" s="1451"/>
      <c r="AF41" s="1451"/>
      <c r="AG41" s="1451"/>
      <c r="AH41" s="1451"/>
      <c r="AI41" s="1451"/>
      <c r="AJ41" s="1451"/>
      <c r="AK41" s="1451"/>
      <c r="AL41" s="1451"/>
    </row>
    <row r="42" spans="1:54" s="73" customFormat="1" ht="21.75" customHeight="1" x14ac:dyDescent="0.3">
      <c r="B42" s="74" t="s">
        <v>784</v>
      </c>
      <c r="F42" s="1482" t="str">
        <f>SchInfo!F40</f>
        <v>Principal IV</v>
      </c>
      <c r="G42" s="1482"/>
      <c r="H42" s="1482"/>
      <c r="I42" s="1482"/>
      <c r="J42" s="1482"/>
      <c r="K42" s="1482"/>
      <c r="L42" s="1482"/>
      <c r="M42" s="1482"/>
      <c r="N42" s="1482"/>
      <c r="O42" s="1482"/>
      <c r="P42" s="1482"/>
      <c r="Q42" s="545"/>
      <c r="R42" s="545"/>
      <c r="S42" s="545"/>
      <c r="T42" s="545"/>
      <c r="U42" s="545"/>
      <c r="V42" s="545"/>
      <c r="W42" s="545"/>
      <c r="X42" s="74" t="s">
        <v>784</v>
      </c>
      <c r="AB42" s="1482" t="str">
        <f>Table39!U39</f>
        <v>Project Development Officer III</v>
      </c>
      <c r="AC42" s="1482"/>
      <c r="AD42" s="1482"/>
      <c r="AE42" s="1482"/>
      <c r="AF42" s="1482"/>
      <c r="AG42" s="1482"/>
      <c r="AH42" s="1482"/>
      <c r="AI42" s="1482"/>
      <c r="AJ42" s="1482"/>
      <c r="AK42" s="1482"/>
      <c r="AL42" s="1482"/>
    </row>
    <row r="43" spans="1:54" s="501" customFormat="1" ht="30.75" customHeight="1" x14ac:dyDescent="0.35"/>
    <row r="44" spans="1:54" s="73" customFormat="1" ht="14" x14ac:dyDescent="0.3">
      <c r="M44" s="74" t="s">
        <v>922</v>
      </c>
    </row>
    <row r="45" spans="1:54" s="73" customFormat="1" ht="21.75" customHeight="1" x14ac:dyDescent="0.3">
      <c r="M45" s="1484" t="str">
        <f>SchInfo!R38</f>
        <v>MICHAEL T. JAMIS   /  March 17, 2023</v>
      </c>
      <c r="N45" s="1484"/>
      <c r="O45" s="1484"/>
      <c r="P45" s="1484"/>
      <c r="Q45" s="1484"/>
      <c r="R45" s="1484"/>
      <c r="S45" s="1484"/>
      <c r="T45" s="1484"/>
      <c r="U45" s="1484"/>
      <c r="V45" s="1484"/>
      <c r="W45" s="1484"/>
      <c r="X45" s="1484"/>
      <c r="Y45" s="1484"/>
      <c r="Z45" s="1484"/>
      <c r="AA45" s="1484"/>
    </row>
    <row r="46" spans="1:54" s="68" customFormat="1" ht="14" customHeight="1" x14ac:dyDescent="0.3">
      <c r="M46" s="1485"/>
      <c r="N46" s="1485"/>
      <c r="O46" s="1485"/>
      <c r="P46" s="1485"/>
      <c r="Q46" s="1485"/>
      <c r="R46" s="1485"/>
      <c r="S46" s="1485"/>
      <c r="T46" s="1485"/>
      <c r="U46" s="1485"/>
      <c r="V46" s="1485"/>
      <c r="W46" s="1485"/>
      <c r="X46" s="1485"/>
      <c r="Y46" s="1485"/>
      <c r="Z46" s="1485"/>
      <c r="AA46" s="1485"/>
    </row>
    <row r="47" spans="1:54" s="73" customFormat="1" ht="21.75" customHeight="1" x14ac:dyDescent="0.3">
      <c r="M47" s="1451" t="s">
        <v>779</v>
      </c>
      <c r="N47" s="1451"/>
      <c r="O47" s="1451"/>
      <c r="P47" s="1451"/>
      <c r="Q47" s="1451"/>
      <c r="R47" s="1451"/>
      <c r="S47" s="1451"/>
      <c r="T47" s="1451"/>
      <c r="U47" s="1451"/>
      <c r="V47" s="1451"/>
      <c r="W47" s="1451"/>
      <c r="X47" s="1451"/>
      <c r="Y47" s="1451"/>
      <c r="Z47" s="1451"/>
      <c r="AA47" s="1451"/>
    </row>
    <row r="48" spans="1:54" x14ac:dyDescent="0.35">
      <c r="B48" s="1041"/>
      <c r="C48" s="1041"/>
      <c r="D48" s="1041"/>
      <c r="E48" s="1041"/>
      <c r="F48" s="1041"/>
      <c r="G48" s="1041"/>
      <c r="H48" s="1041"/>
      <c r="I48" s="1041"/>
      <c r="J48" s="1041"/>
      <c r="K48" s="1041"/>
      <c r="L48" s="501"/>
      <c r="M48" s="501"/>
      <c r="N48" s="501"/>
      <c r="O48" s="501"/>
      <c r="P48" s="501"/>
      <c r="Q48" s="501"/>
      <c r="R48" s="501"/>
      <c r="S48" s="501"/>
      <c r="T48" s="501"/>
      <c r="U48" s="501"/>
      <c r="V48" s="501"/>
      <c r="W48" s="501"/>
      <c r="X48" s="501"/>
      <c r="Y48" s="501"/>
      <c r="Z48" s="501"/>
      <c r="AA48" s="501"/>
      <c r="AB48" s="1041"/>
      <c r="AC48" s="1041"/>
      <c r="AD48" s="1041"/>
      <c r="AE48" s="1041"/>
      <c r="AF48" s="1041"/>
      <c r="AG48" s="1041"/>
      <c r="AH48" s="1041"/>
      <c r="AI48" s="1041"/>
      <c r="AJ48" s="1041"/>
    </row>
  </sheetData>
  <sheetProtection algorithmName="SHA-512" hashValue="TKxIKRLE3snVP76IrKBiZWhNvwUac8OUbtQGEntpKMnGEqJu8zsUxfp2Lr1KGqhczazjPibaFmCbCe2+x9fFgQ==" saltValue="YBqQBO310Hx4FBkUVdPcbw==" spinCount="100000" sheet="1" objects="1" scenarios="1" selectLockedCells="1"/>
  <mergeCells count="76">
    <mergeCell ref="P24:U24"/>
    <mergeCell ref="V24:AA24"/>
    <mergeCell ref="C36:AL36"/>
    <mergeCell ref="C37:AL37"/>
    <mergeCell ref="C34:AL34"/>
    <mergeCell ref="V25:X25"/>
    <mergeCell ref="G28:AA29"/>
    <mergeCell ref="F42:P42"/>
    <mergeCell ref="AB42:AL42"/>
    <mergeCell ref="Y25:AA25"/>
    <mergeCell ref="Y26:AA26"/>
    <mergeCell ref="C33:AL33"/>
    <mergeCell ref="D25:F25"/>
    <mergeCell ref="G25:I25"/>
    <mergeCell ref="D26:F26"/>
    <mergeCell ref="J26:L26"/>
    <mergeCell ref="M26:O26"/>
    <mergeCell ref="P26:R26"/>
    <mergeCell ref="S26:U26"/>
    <mergeCell ref="G26:I26"/>
    <mergeCell ref="V26:X26"/>
    <mergeCell ref="AB19:AD19"/>
    <mergeCell ref="AE19:AG19"/>
    <mergeCell ref="AH19:AJ19"/>
    <mergeCell ref="I20:M20"/>
    <mergeCell ref="AE20:AG20"/>
    <mergeCell ref="AB20:AD20"/>
    <mergeCell ref="D4:O6"/>
    <mergeCell ref="X4:AH6"/>
    <mergeCell ref="X8:AE8"/>
    <mergeCell ref="X9:AA9"/>
    <mergeCell ref="AB9:AE9"/>
    <mergeCell ref="D8:I8"/>
    <mergeCell ref="J8:O8"/>
    <mergeCell ref="D9:F9"/>
    <mergeCell ref="G9:I9"/>
    <mergeCell ref="J9:L9"/>
    <mergeCell ref="M9:O9"/>
    <mergeCell ref="Y14:AJ16"/>
    <mergeCell ref="D14:S14"/>
    <mergeCell ref="Y20:AA20"/>
    <mergeCell ref="AH20:AJ20"/>
    <mergeCell ref="AE17:AJ18"/>
    <mergeCell ref="Y17:AD18"/>
    <mergeCell ref="I16:R16"/>
    <mergeCell ref="I17:M17"/>
    <mergeCell ref="N17:R17"/>
    <mergeCell ref="D16:H17"/>
    <mergeCell ref="N20:R20"/>
    <mergeCell ref="I19:M19"/>
    <mergeCell ref="N19:R19"/>
    <mergeCell ref="I18:M18"/>
    <mergeCell ref="N18:R18"/>
    <mergeCell ref="Y19:AA19"/>
    <mergeCell ref="X10:AA10"/>
    <mergeCell ref="AB10:AE10"/>
    <mergeCell ref="D10:F10"/>
    <mergeCell ref="G10:I10"/>
    <mergeCell ref="J10:L10"/>
    <mergeCell ref="M10:O10"/>
    <mergeCell ref="M45:AA46"/>
    <mergeCell ref="M47:AA47"/>
    <mergeCell ref="C32:AL32"/>
    <mergeCell ref="C35:AL35"/>
    <mergeCell ref="E12:AI12"/>
    <mergeCell ref="F40:P40"/>
    <mergeCell ref="F41:P41"/>
    <mergeCell ref="X40:AL40"/>
    <mergeCell ref="X41:AL41"/>
    <mergeCell ref="J25:L25"/>
    <mergeCell ref="M25:O25"/>
    <mergeCell ref="P25:R25"/>
    <mergeCell ref="S25:U25"/>
    <mergeCell ref="D22:AJ22"/>
    <mergeCell ref="D24:I24"/>
    <mergeCell ref="J24:O24"/>
  </mergeCells>
  <dataValidations count="3">
    <dataValidation type="whole" allowBlank="1" showInputMessage="1" showErrorMessage="1" errorTitle="GJHSP SY 2022-2023" error="Please enter valid number between 0-999." sqref="D10:O10 X10:AE10 Y20:AJ20" xr:uid="{0ACAFFEE-EBC2-4908-A5FE-3703E51A8759}">
      <formula1>0</formula1>
      <formula2>999</formula2>
    </dataValidation>
    <dataValidation type="whole" allowBlank="1" showInputMessage="1" showErrorMessage="1" errorTitle="GJHSP SY 2022-2023" error="Please enter valid number between 0-20,000." sqref="D26:AA26" xr:uid="{FBDE1E66-FA93-4681-99ED-0A5E7C0728EF}">
      <formula1>0</formula1>
      <formula2>20000</formula2>
    </dataValidation>
    <dataValidation type="whole" allowBlank="1" showInputMessage="1" showErrorMessage="1" errorTitle="GJHSP SY 2022-2023" error="Please enter valid number between 0-99." sqref="I18:R20" xr:uid="{ED1514E5-3D9F-4289-877E-7A19FC7B14AF}">
      <formula1>0</formula1>
      <formula2>99</formula2>
    </dataValidation>
  </dataValidations>
  <printOptions horizontalCentered="1" verticalCentered="1"/>
  <pageMargins left="0.25" right="0.25" top="0.2" bottom="0.2" header="0" footer="0.1"/>
  <pageSetup paperSize="9" scale="29" orientation="portrait" r:id="rId1"/>
  <headerFooter>
    <oddFooter>&amp;L&amp;10&amp;F &amp;A&amp;R&amp;10Page 62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94209" r:id="rId4" name="Check Box 1">
              <controlPr defaultSize="0" autoFill="0" autoLine="0" autoPict="0">
                <anchor moveWithCells="1">
                  <from>
                    <xdr:col>3</xdr:col>
                    <xdr:colOff>31750</xdr:colOff>
                    <xdr:row>11</xdr:row>
                    <xdr:rowOff>31750</xdr:rowOff>
                  </from>
                  <to>
                    <xdr:col>4</xdr:col>
                    <xdr:colOff>158750</xdr:colOff>
                    <xdr:row>11</xdr:row>
                    <xdr:rowOff>254000</xdr:rowOff>
                  </to>
                </anchor>
              </controlPr>
            </control>
          </mc:Choice>
        </mc:AlternateContent>
      </controls>
    </mc:Choice>
  </mc:AlternateContent>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62BAA-7E5C-46EA-8A5B-0D4310535C1B}">
  <sheetPr codeName="Sheet53">
    <pageSetUpPr fitToPage="1"/>
  </sheetPr>
  <dimension ref="B1:BY66"/>
  <sheetViews>
    <sheetView showGridLines="0" topLeftCell="A59" zoomScaleNormal="100" zoomScaleSheetLayoutView="50" workbookViewId="0">
      <selection activeCell="O31" sqref="O31:U31"/>
    </sheetView>
  </sheetViews>
  <sheetFormatPr defaultColWidth="9" defaultRowHeight="15.5" x14ac:dyDescent="0.35"/>
  <cols>
    <col min="1" max="1" width="2.08203125" style="546" customWidth="1"/>
    <col min="2" max="45" width="3.58203125" style="546" customWidth="1"/>
    <col min="46" max="46" width="2.08203125" style="546" customWidth="1"/>
    <col min="47" max="71" width="3.58203125" style="546" customWidth="1"/>
    <col min="72" max="72" width="2.08203125" style="546" customWidth="1"/>
    <col min="73" max="74" width="3.58203125" style="546" customWidth="1"/>
    <col min="75" max="16384" width="9" style="546"/>
  </cols>
  <sheetData>
    <row r="1" spans="2:45" ht="12" customHeight="1" x14ac:dyDescent="0.35"/>
    <row r="2" spans="2:45" ht="16.5" x14ac:dyDescent="0.35">
      <c r="B2" s="1345" t="s">
        <v>12751</v>
      </c>
      <c r="C2" s="502"/>
      <c r="D2" s="502"/>
      <c r="E2" s="502"/>
      <c r="F2" s="502"/>
      <c r="G2" s="502"/>
      <c r="H2" s="502"/>
      <c r="I2" s="502"/>
      <c r="J2" s="502"/>
      <c r="K2" s="503"/>
      <c r="L2" s="503"/>
      <c r="M2" s="503"/>
      <c r="N2" s="503"/>
      <c r="O2" s="503"/>
      <c r="P2" s="503"/>
      <c r="Q2" s="503"/>
      <c r="R2" s="503"/>
      <c r="S2" s="503"/>
      <c r="T2" s="503"/>
      <c r="U2" s="503"/>
      <c r="V2" s="503"/>
      <c r="W2" s="503"/>
      <c r="X2" s="503"/>
      <c r="Y2" s="503"/>
      <c r="Z2" s="503"/>
      <c r="AA2" s="503"/>
      <c r="AB2" s="503"/>
      <c r="AC2" s="503"/>
      <c r="AD2" s="503"/>
      <c r="AE2" s="503"/>
      <c r="AF2" s="503"/>
      <c r="AG2" s="503"/>
      <c r="AH2" s="503"/>
      <c r="AI2" s="503"/>
      <c r="AJ2" s="503"/>
      <c r="AK2" s="502"/>
    </row>
    <row r="3" spans="2:45" s="402" customFormat="1" ht="16" thickBot="1" x14ac:dyDescent="0.4">
      <c r="B3" s="419" t="s">
        <v>1091</v>
      </c>
    </row>
    <row r="4" spans="2:45" ht="5.25" customHeight="1" thickTop="1" x14ac:dyDescent="0.35">
      <c r="B4" s="791"/>
      <c r="C4" s="816"/>
      <c r="D4" s="792"/>
      <c r="E4" s="506"/>
      <c r="F4" s="506"/>
      <c r="G4" s="506"/>
      <c r="H4" s="506"/>
      <c r="I4" s="506"/>
      <c r="J4" s="506"/>
      <c r="K4" s="506"/>
      <c r="L4" s="462"/>
      <c r="M4" s="462"/>
      <c r="N4" s="462"/>
      <c r="O4" s="462"/>
      <c r="P4" s="462"/>
      <c r="Q4" s="462"/>
      <c r="R4" s="422"/>
      <c r="S4" s="793"/>
      <c r="T4" s="793"/>
      <c r="U4" s="793"/>
      <c r="V4" s="793"/>
      <c r="W4" s="793"/>
      <c r="X4" s="793"/>
      <c r="Y4" s="462"/>
      <c r="Z4" s="462"/>
      <c r="AA4" s="462"/>
      <c r="AB4" s="462"/>
      <c r="AC4" s="462"/>
      <c r="AD4" s="462"/>
      <c r="AE4" s="462"/>
      <c r="AF4" s="462"/>
      <c r="AG4" s="462"/>
      <c r="AH4" s="462"/>
      <c r="AI4" s="816"/>
      <c r="AJ4" s="816"/>
      <c r="AK4" s="816"/>
      <c r="AL4" s="816"/>
      <c r="AM4" s="816"/>
      <c r="AN4" s="506"/>
      <c r="AO4" s="506"/>
      <c r="AP4" s="462"/>
      <c r="AQ4" s="462"/>
      <c r="AR4" s="462"/>
      <c r="AS4" s="817"/>
    </row>
    <row r="5" spans="2:45" ht="25" customHeight="1" x14ac:dyDescent="0.35">
      <c r="B5" s="779"/>
      <c r="C5" s="1327" t="s">
        <v>150</v>
      </c>
      <c r="D5" s="780" t="s">
        <v>1122</v>
      </c>
      <c r="E5" s="780"/>
      <c r="F5" s="781"/>
      <c r="G5" s="781"/>
      <c r="H5" s="781"/>
      <c r="I5" s="781"/>
      <c r="J5" s="781"/>
      <c r="K5" s="781"/>
      <c r="L5" s="1334"/>
      <c r="M5" s="403"/>
      <c r="N5" s="403"/>
      <c r="O5" s="403"/>
      <c r="P5" s="403"/>
      <c r="Q5" s="403"/>
      <c r="R5" s="1344"/>
      <c r="S5" s="1334"/>
      <c r="T5" s="1334"/>
      <c r="U5" s="1334"/>
      <c r="V5" s="1334"/>
      <c r="W5" s="1334"/>
      <c r="X5" s="1334"/>
      <c r="Y5" s="403"/>
      <c r="Z5" s="403"/>
      <c r="AA5" s="403"/>
      <c r="AB5" s="403"/>
      <c r="AC5" s="403"/>
      <c r="AD5" s="403"/>
      <c r="AE5" s="403"/>
      <c r="AF5" s="403"/>
      <c r="AG5" s="403"/>
      <c r="AH5" s="403"/>
      <c r="AN5" s="781"/>
      <c r="AO5" s="781"/>
      <c r="AP5" s="1334"/>
      <c r="AQ5" s="403"/>
      <c r="AR5" s="403"/>
      <c r="AS5" s="783"/>
    </row>
    <row r="6" spans="2:45" ht="6" customHeight="1" x14ac:dyDescent="0.35">
      <c r="B6" s="779"/>
      <c r="E6" s="849"/>
      <c r="F6" s="503"/>
      <c r="G6" s="503"/>
      <c r="H6" s="503"/>
      <c r="I6" s="503"/>
      <c r="J6" s="503"/>
      <c r="K6" s="503"/>
      <c r="L6" s="1334"/>
      <c r="N6" s="1334"/>
      <c r="O6" s="761"/>
      <c r="P6" s="403"/>
      <c r="S6" s="1334"/>
      <c r="T6" s="761"/>
      <c r="U6" s="403"/>
      <c r="V6" s="403"/>
      <c r="W6" s="403"/>
      <c r="X6" s="403"/>
      <c r="Y6" s="403"/>
      <c r="Z6" s="403"/>
      <c r="AB6" s="1334"/>
      <c r="AC6" s="1334"/>
      <c r="AD6" s="1334"/>
      <c r="AE6" s="1334"/>
      <c r="AF6" s="1334"/>
      <c r="AG6" s="1334"/>
      <c r="AH6" s="1334"/>
      <c r="AN6" s="503"/>
      <c r="AO6" s="503"/>
      <c r="AP6" s="1334"/>
      <c r="AS6" s="783"/>
    </row>
    <row r="7" spans="2:45" s="426" customFormat="1" ht="17" customHeight="1" x14ac:dyDescent="0.35">
      <c r="B7" s="811"/>
      <c r="C7" s="1342"/>
      <c r="D7" s="4183" t="b">
        <v>0</v>
      </c>
      <c r="E7" s="2605" t="s">
        <v>1078</v>
      </c>
      <c r="F7" s="2605"/>
      <c r="G7" s="2605"/>
      <c r="H7" s="2605"/>
      <c r="I7" s="2605"/>
      <c r="J7" s="2605"/>
      <c r="K7" s="2605"/>
      <c r="L7" s="2605"/>
      <c r="M7" s="2605"/>
      <c r="N7" s="2605"/>
      <c r="O7" s="2605"/>
      <c r="P7" s="2605"/>
      <c r="Q7" s="2605"/>
      <c r="R7" s="2605"/>
      <c r="S7" s="2605"/>
      <c r="T7" s="2605"/>
      <c r="U7" s="2605"/>
      <c r="V7" s="2605"/>
      <c r="W7" s="2605"/>
      <c r="X7" s="2605"/>
      <c r="Y7" s="2605"/>
      <c r="Z7" s="2605"/>
      <c r="AA7" s="2605"/>
      <c r="AB7" s="2605"/>
      <c r="AC7" s="2605"/>
      <c r="AD7" s="2605"/>
      <c r="AE7" s="2605"/>
      <c r="AF7" s="2605"/>
      <c r="AG7" s="2605"/>
      <c r="AH7" s="2605"/>
      <c r="AI7" s="2605"/>
      <c r="AJ7" s="2605"/>
      <c r="AK7" s="2605"/>
      <c r="AL7" s="2605"/>
      <c r="AM7" s="2605"/>
      <c r="AN7" s="2605"/>
      <c r="AO7" s="2605"/>
      <c r="AP7" s="2605"/>
      <c r="AQ7" s="2605"/>
      <c r="AR7" s="402"/>
      <c r="AS7" s="1329"/>
    </row>
    <row r="8" spans="2:45" s="426" customFormat="1" ht="17" customHeight="1" x14ac:dyDescent="0.35">
      <c r="B8" s="811"/>
      <c r="C8" s="1342"/>
      <c r="D8" s="4183"/>
      <c r="E8" s="2605"/>
      <c r="F8" s="2605"/>
      <c r="G8" s="2605"/>
      <c r="H8" s="2605"/>
      <c r="I8" s="2605"/>
      <c r="J8" s="2605"/>
      <c r="K8" s="2605"/>
      <c r="L8" s="2605"/>
      <c r="M8" s="2605"/>
      <c r="N8" s="2605"/>
      <c r="O8" s="2605"/>
      <c r="P8" s="2605"/>
      <c r="Q8" s="2605"/>
      <c r="R8" s="2605"/>
      <c r="S8" s="2605"/>
      <c r="T8" s="2605"/>
      <c r="U8" s="2605"/>
      <c r="V8" s="2605"/>
      <c r="W8" s="2605"/>
      <c r="X8" s="2605"/>
      <c r="Y8" s="2605"/>
      <c r="Z8" s="2605"/>
      <c r="AA8" s="2605"/>
      <c r="AB8" s="2605"/>
      <c r="AC8" s="2605"/>
      <c r="AD8" s="2605"/>
      <c r="AE8" s="2605"/>
      <c r="AF8" s="2605"/>
      <c r="AG8" s="2605"/>
      <c r="AH8" s="2605"/>
      <c r="AI8" s="2605"/>
      <c r="AJ8" s="2605"/>
      <c r="AK8" s="2605"/>
      <c r="AL8" s="2605"/>
      <c r="AM8" s="2605"/>
      <c r="AN8" s="2605"/>
      <c r="AO8" s="2605"/>
      <c r="AP8" s="2605"/>
      <c r="AQ8" s="2605"/>
      <c r="AR8" s="402"/>
      <c r="AS8" s="1329"/>
    </row>
    <row r="9" spans="2:45" s="426" customFormat="1" ht="17" customHeight="1" x14ac:dyDescent="0.35">
      <c r="B9" s="811"/>
      <c r="C9" s="1342"/>
      <c r="D9" s="4183" t="b">
        <v>0</v>
      </c>
      <c r="E9" s="2605" t="s">
        <v>1079</v>
      </c>
      <c r="F9" s="2605"/>
      <c r="G9" s="2605"/>
      <c r="H9" s="2605"/>
      <c r="I9" s="2605"/>
      <c r="J9" s="2605"/>
      <c r="K9" s="2605"/>
      <c r="L9" s="2605"/>
      <c r="M9" s="2605"/>
      <c r="N9" s="2605"/>
      <c r="O9" s="2605"/>
      <c r="P9" s="2605"/>
      <c r="Q9" s="2605"/>
      <c r="R9" s="2605"/>
      <c r="S9" s="2605"/>
      <c r="T9" s="2605"/>
      <c r="U9" s="2605"/>
      <c r="V9" s="2605"/>
      <c r="W9" s="2605"/>
      <c r="X9" s="2605"/>
      <c r="Y9" s="2605"/>
      <c r="Z9" s="2605"/>
      <c r="AA9" s="2605"/>
      <c r="AB9" s="2605"/>
      <c r="AC9" s="2605"/>
      <c r="AD9" s="2605"/>
      <c r="AE9" s="2605"/>
      <c r="AF9" s="2605"/>
      <c r="AG9" s="2605"/>
      <c r="AH9" s="2605"/>
      <c r="AI9" s="2605"/>
      <c r="AJ9" s="2605"/>
      <c r="AK9" s="2605"/>
      <c r="AL9" s="2605"/>
      <c r="AM9" s="2605"/>
      <c r="AN9" s="2605"/>
      <c r="AO9" s="2605"/>
      <c r="AP9" s="2605"/>
      <c r="AQ9" s="2605"/>
      <c r="AR9" s="402"/>
      <c r="AS9" s="1329"/>
    </row>
    <row r="10" spans="2:45" s="426" customFormat="1" ht="17" customHeight="1" x14ac:dyDescent="0.35">
      <c r="B10" s="811"/>
      <c r="C10" s="1342"/>
      <c r="D10" s="4183"/>
      <c r="E10" s="2605"/>
      <c r="F10" s="2605"/>
      <c r="G10" s="2605"/>
      <c r="H10" s="2605"/>
      <c r="I10" s="2605"/>
      <c r="J10" s="2605"/>
      <c r="K10" s="2605"/>
      <c r="L10" s="2605"/>
      <c r="M10" s="2605"/>
      <c r="N10" s="2605"/>
      <c r="O10" s="2605"/>
      <c r="P10" s="2605"/>
      <c r="Q10" s="2605"/>
      <c r="R10" s="2605"/>
      <c r="S10" s="2605"/>
      <c r="T10" s="2605"/>
      <c r="U10" s="2605"/>
      <c r="V10" s="2605"/>
      <c r="W10" s="2605"/>
      <c r="X10" s="2605"/>
      <c r="Y10" s="2605"/>
      <c r="Z10" s="2605"/>
      <c r="AA10" s="2605"/>
      <c r="AB10" s="2605"/>
      <c r="AC10" s="2605"/>
      <c r="AD10" s="2605"/>
      <c r="AE10" s="2605"/>
      <c r="AF10" s="2605"/>
      <c r="AG10" s="2605"/>
      <c r="AH10" s="2605"/>
      <c r="AI10" s="2605"/>
      <c r="AJ10" s="2605"/>
      <c r="AK10" s="2605"/>
      <c r="AL10" s="2605"/>
      <c r="AM10" s="2605"/>
      <c r="AN10" s="2605"/>
      <c r="AO10" s="2605"/>
      <c r="AP10" s="2605"/>
      <c r="AQ10" s="2605"/>
      <c r="AR10" s="402"/>
      <c r="AS10" s="1329"/>
    </row>
    <row r="11" spans="2:45" s="426" customFormat="1" ht="17" customHeight="1" x14ac:dyDescent="0.35">
      <c r="B11" s="811"/>
      <c r="C11" s="1342"/>
      <c r="D11" s="4183" t="b">
        <v>0</v>
      </c>
      <c r="E11" s="2605" t="s">
        <v>1080</v>
      </c>
      <c r="F11" s="2605"/>
      <c r="G11" s="2605"/>
      <c r="H11" s="2605"/>
      <c r="I11" s="2605"/>
      <c r="J11" s="2605"/>
      <c r="K11" s="2605"/>
      <c r="L11" s="2605"/>
      <c r="M11" s="2605"/>
      <c r="N11" s="2605"/>
      <c r="O11" s="2605"/>
      <c r="P11" s="2605"/>
      <c r="Q11" s="2605"/>
      <c r="R11" s="2605"/>
      <c r="S11" s="2605"/>
      <c r="T11" s="2605"/>
      <c r="U11" s="2605"/>
      <c r="V11" s="2605"/>
      <c r="W11" s="2605"/>
      <c r="X11" s="2605"/>
      <c r="Y11" s="2605"/>
      <c r="Z11" s="2605"/>
      <c r="AA11" s="2605"/>
      <c r="AB11" s="2605"/>
      <c r="AC11" s="2605"/>
      <c r="AD11" s="2605"/>
      <c r="AE11" s="2605"/>
      <c r="AF11" s="2605"/>
      <c r="AG11" s="2605"/>
      <c r="AH11" s="2605"/>
      <c r="AI11" s="2605"/>
      <c r="AJ11" s="2605"/>
      <c r="AK11" s="2605"/>
      <c r="AL11" s="2605"/>
      <c r="AM11" s="2605"/>
      <c r="AN11" s="2605"/>
      <c r="AO11" s="2605"/>
      <c r="AP11" s="2605"/>
      <c r="AQ11" s="2605"/>
      <c r="AR11" s="402"/>
      <c r="AS11" s="1329"/>
    </row>
    <row r="12" spans="2:45" s="426" customFormat="1" ht="17" customHeight="1" x14ac:dyDescent="0.35">
      <c r="B12" s="811"/>
      <c r="C12" s="1342"/>
      <c r="D12" s="4183"/>
      <c r="E12" s="2605"/>
      <c r="F12" s="2605"/>
      <c r="G12" s="2605"/>
      <c r="H12" s="2605"/>
      <c r="I12" s="2605"/>
      <c r="J12" s="2605"/>
      <c r="K12" s="2605"/>
      <c r="L12" s="2605"/>
      <c r="M12" s="2605"/>
      <c r="N12" s="2605"/>
      <c r="O12" s="2605"/>
      <c r="P12" s="2605"/>
      <c r="Q12" s="2605"/>
      <c r="R12" s="2605"/>
      <c r="S12" s="2605"/>
      <c r="T12" s="2605"/>
      <c r="U12" s="2605"/>
      <c r="V12" s="2605"/>
      <c r="W12" s="2605"/>
      <c r="X12" s="2605"/>
      <c r="Y12" s="2605"/>
      <c r="Z12" s="2605"/>
      <c r="AA12" s="2605"/>
      <c r="AB12" s="2605"/>
      <c r="AC12" s="2605"/>
      <c r="AD12" s="2605"/>
      <c r="AE12" s="2605"/>
      <c r="AF12" s="2605"/>
      <c r="AG12" s="2605"/>
      <c r="AH12" s="2605"/>
      <c r="AI12" s="2605"/>
      <c r="AJ12" s="2605"/>
      <c r="AK12" s="2605"/>
      <c r="AL12" s="2605"/>
      <c r="AM12" s="2605"/>
      <c r="AN12" s="2605"/>
      <c r="AO12" s="2605"/>
      <c r="AP12" s="2605"/>
      <c r="AQ12" s="2605"/>
      <c r="AR12" s="402"/>
      <c r="AS12" s="1329"/>
    </row>
    <row r="13" spans="2:45" ht="10" customHeight="1" x14ac:dyDescent="0.35">
      <c r="B13" s="779"/>
      <c r="E13" s="849"/>
      <c r="F13" s="503"/>
      <c r="G13" s="503"/>
      <c r="H13" s="503"/>
      <c r="I13" s="503"/>
      <c r="J13" s="503"/>
      <c r="K13" s="503"/>
      <c r="L13" s="1334"/>
      <c r="N13" s="1334"/>
      <c r="O13" s="761"/>
      <c r="P13" s="403"/>
      <c r="S13" s="1334"/>
      <c r="T13" s="761"/>
      <c r="U13" s="403"/>
      <c r="V13" s="403"/>
      <c r="W13" s="403"/>
      <c r="X13" s="403"/>
      <c r="Y13" s="403"/>
      <c r="AA13" s="1334"/>
      <c r="AB13" s="1334"/>
      <c r="AC13" s="1334"/>
      <c r="AD13" s="1334"/>
      <c r="AE13" s="1334"/>
      <c r="AF13" s="1334"/>
      <c r="AG13" s="1334"/>
      <c r="AH13" s="1334"/>
      <c r="AS13" s="783"/>
    </row>
    <row r="14" spans="2:45" x14ac:dyDescent="0.35">
      <c r="B14" s="779"/>
      <c r="C14" s="1327" t="s">
        <v>151</v>
      </c>
      <c r="D14" s="780" t="s">
        <v>1081</v>
      </c>
      <c r="F14" s="781"/>
      <c r="G14" s="781"/>
      <c r="H14" s="781"/>
      <c r="I14" s="781"/>
      <c r="J14" s="781"/>
      <c r="K14" s="781"/>
      <c r="L14" s="1334"/>
      <c r="M14" s="403"/>
      <c r="N14" s="403"/>
      <c r="O14" s="403"/>
      <c r="P14" s="403"/>
      <c r="Q14" s="403"/>
      <c r="R14" s="1344"/>
      <c r="S14" s="1334"/>
      <c r="T14" s="1334"/>
      <c r="U14" s="1334"/>
      <c r="V14" s="1334"/>
      <c r="W14" s="1334"/>
      <c r="X14" s="1334"/>
      <c r="Y14" s="403"/>
      <c r="Z14" s="403"/>
      <c r="AA14" s="403"/>
      <c r="AB14" s="403"/>
      <c r="AC14" s="403"/>
      <c r="AD14" s="403"/>
      <c r="AE14" s="403"/>
      <c r="AF14" s="403"/>
      <c r="AG14" s="403"/>
      <c r="AH14" s="403"/>
      <c r="AN14" s="781"/>
      <c r="AO14" s="781"/>
      <c r="AP14" s="1334"/>
      <c r="AQ14" s="403"/>
      <c r="AR14" s="403"/>
      <c r="AS14" s="783"/>
    </row>
    <row r="15" spans="2:45" ht="6" customHeight="1" x14ac:dyDescent="0.35">
      <c r="B15" s="779"/>
      <c r="E15" s="849"/>
      <c r="F15" s="503"/>
      <c r="G15" s="503"/>
      <c r="H15" s="503"/>
      <c r="I15" s="503"/>
      <c r="J15" s="503"/>
      <c r="K15" s="503"/>
      <c r="L15" s="1334"/>
      <c r="N15" s="1334"/>
      <c r="O15" s="761"/>
      <c r="P15" s="403"/>
      <c r="S15" s="1334"/>
      <c r="T15" s="761"/>
      <c r="U15" s="403"/>
      <c r="V15" s="403"/>
      <c r="W15" s="403"/>
      <c r="X15" s="403"/>
      <c r="Y15" s="403"/>
      <c r="Z15" s="403"/>
      <c r="AB15" s="1334"/>
      <c r="AC15" s="1334"/>
      <c r="AD15" s="1334"/>
      <c r="AE15" s="1334"/>
      <c r="AF15" s="1334"/>
      <c r="AG15" s="1334"/>
      <c r="AH15" s="1334"/>
      <c r="AN15" s="503"/>
      <c r="AO15" s="503"/>
      <c r="AP15" s="1334"/>
      <c r="AS15" s="783"/>
    </row>
    <row r="16" spans="2:45" x14ac:dyDescent="0.35">
      <c r="B16" s="779"/>
      <c r="D16" s="1327" t="s">
        <v>606</v>
      </c>
      <c r="E16" s="780" t="s">
        <v>1076</v>
      </c>
      <c r="F16" s="781"/>
      <c r="G16" s="781"/>
      <c r="H16" s="781"/>
      <c r="I16" s="781"/>
      <c r="J16" s="781"/>
      <c r="K16" s="781"/>
      <c r="L16" s="1334"/>
      <c r="M16" s="403"/>
      <c r="N16" s="403"/>
      <c r="O16" s="403"/>
      <c r="P16" s="403"/>
      <c r="Q16" s="403"/>
      <c r="R16" s="1344"/>
      <c r="S16" s="1334"/>
      <c r="T16" s="1334"/>
      <c r="U16" s="1334"/>
      <c r="V16" s="1334"/>
      <c r="W16" s="1334"/>
      <c r="X16" s="1334"/>
      <c r="Y16" s="403"/>
      <c r="Z16" s="403"/>
      <c r="AA16" s="403"/>
      <c r="AB16" s="403"/>
      <c r="AC16" s="403"/>
      <c r="AD16" s="403"/>
      <c r="AE16" s="403"/>
      <c r="AF16" s="403"/>
      <c r="AG16" s="403"/>
      <c r="AH16" s="403"/>
      <c r="AN16" s="781"/>
      <c r="AO16" s="781"/>
      <c r="AP16" s="1334"/>
      <c r="AQ16" s="403"/>
      <c r="AR16" s="403"/>
      <c r="AS16" s="783"/>
    </row>
    <row r="17" spans="2:46" ht="6" customHeight="1" thickBot="1" x14ac:dyDescent="0.4">
      <c r="B17" s="779"/>
      <c r="E17" s="849"/>
      <c r="F17" s="503"/>
      <c r="G17" s="503"/>
      <c r="H17" s="503"/>
      <c r="I17" s="503"/>
      <c r="J17" s="503"/>
      <c r="K17" s="503"/>
      <c r="L17" s="1334"/>
      <c r="N17" s="1334"/>
      <c r="O17" s="761"/>
      <c r="P17" s="403"/>
      <c r="S17" s="1334"/>
      <c r="T17" s="761"/>
      <c r="U17" s="403"/>
      <c r="V17" s="403"/>
      <c r="W17" s="403"/>
      <c r="X17" s="403"/>
      <c r="Y17" s="403"/>
      <c r="Z17" s="403"/>
      <c r="AB17" s="1334"/>
      <c r="AC17" s="1334"/>
      <c r="AD17" s="1334"/>
      <c r="AE17" s="1334"/>
      <c r="AF17" s="1334"/>
      <c r="AG17" s="1334"/>
      <c r="AH17" s="1334"/>
      <c r="AN17" s="503"/>
      <c r="AO17" s="503"/>
      <c r="AP17" s="1334"/>
      <c r="AS17" s="783"/>
    </row>
    <row r="18" spans="2:46" s="812" customFormat="1" ht="15.5" customHeight="1" thickTop="1" thickBot="1" x14ac:dyDescent="0.4">
      <c r="B18" s="1331"/>
      <c r="E18" s="3158" t="s">
        <v>1082</v>
      </c>
      <c r="F18" s="3151"/>
      <c r="G18" s="3151"/>
      <c r="H18" s="3151"/>
      <c r="I18" s="3151"/>
      <c r="J18" s="3151"/>
      <c r="K18" s="3151"/>
      <c r="L18" s="3151"/>
      <c r="M18" s="3159"/>
      <c r="N18" s="4205" t="s">
        <v>301</v>
      </c>
      <c r="O18" s="3283"/>
      <c r="P18" s="3283"/>
      <c r="Q18" s="3283"/>
      <c r="R18" s="3283"/>
      <c r="S18" s="3283"/>
      <c r="T18" s="3283"/>
      <c r="U18" s="3283"/>
      <c r="V18" s="3283"/>
      <c r="W18" s="3283"/>
      <c r="X18" s="3283"/>
      <c r="Y18" s="3283"/>
      <c r="Z18" s="3283"/>
      <c r="AA18" s="3283"/>
      <c r="AB18" s="3283"/>
      <c r="AC18" s="3283"/>
      <c r="AD18" s="3283"/>
      <c r="AE18" s="3283"/>
      <c r="AF18" s="3283"/>
      <c r="AG18" s="3283"/>
      <c r="AH18" s="3283"/>
      <c r="AI18" s="3283"/>
      <c r="AJ18" s="3283"/>
      <c r="AK18" s="3283"/>
      <c r="AL18" s="3283"/>
      <c r="AM18" s="3283"/>
      <c r="AN18" s="3283"/>
      <c r="AO18" s="3283"/>
      <c r="AP18" s="3283"/>
      <c r="AQ18" s="4206"/>
      <c r="AR18" s="418"/>
      <c r="AS18" s="1339"/>
      <c r="AT18" s="418"/>
    </row>
    <row r="19" spans="2:46" s="812" customFormat="1" ht="32.5" customHeight="1" thickBot="1" x14ac:dyDescent="0.4">
      <c r="B19" s="1331"/>
      <c r="E19" s="3160"/>
      <c r="F19" s="3153"/>
      <c r="G19" s="3153"/>
      <c r="H19" s="3153"/>
      <c r="I19" s="3153"/>
      <c r="J19" s="3153"/>
      <c r="K19" s="3153"/>
      <c r="L19" s="3153"/>
      <c r="M19" s="3161"/>
      <c r="N19" s="3179" t="s">
        <v>87</v>
      </c>
      <c r="O19" s="3180"/>
      <c r="P19" s="3180"/>
      <c r="Q19" s="3180"/>
      <c r="R19" s="3180"/>
      <c r="S19" s="3181"/>
      <c r="T19" s="3179" t="s">
        <v>88</v>
      </c>
      <c r="U19" s="3180"/>
      <c r="V19" s="3180"/>
      <c r="W19" s="3180"/>
      <c r="X19" s="3180"/>
      <c r="Y19" s="3181"/>
      <c r="Z19" s="3179" t="s">
        <v>89</v>
      </c>
      <c r="AA19" s="3180"/>
      <c r="AB19" s="3180"/>
      <c r="AC19" s="3180"/>
      <c r="AD19" s="3180"/>
      <c r="AE19" s="3181"/>
      <c r="AF19" s="3179" t="s">
        <v>90</v>
      </c>
      <c r="AG19" s="3180"/>
      <c r="AH19" s="3180"/>
      <c r="AI19" s="3180"/>
      <c r="AJ19" s="3180"/>
      <c r="AK19" s="4184"/>
      <c r="AL19" s="3204" t="s">
        <v>362</v>
      </c>
      <c r="AM19" s="3180"/>
      <c r="AN19" s="3180"/>
      <c r="AO19" s="3180"/>
      <c r="AP19" s="3180"/>
      <c r="AQ19" s="3248"/>
      <c r="AR19" s="418"/>
      <c r="AS19" s="1339"/>
      <c r="AT19" s="418"/>
    </row>
    <row r="20" spans="2:46" s="812" customFormat="1" ht="16" customHeight="1" thickBot="1" x14ac:dyDescent="0.4">
      <c r="B20" s="1331"/>
      <c r="E20" s="3160"/>
      <c r="F20" s="3153"/>
      <c r="G20" s="3153"/>
      <c r="H20" s="3153"/>
      <c r="I20" s="3153"/>
      <c r="J20" s="3153"/>
      <c r="K20" s="3153"/>
      <c r="L20" s="3153"/>
      <c r="M20" s="3161"/>
      <c r="N20" s="3197" t="s">
        <v>14</v>
      </c>
      <c r="O20" s="4144"/>
      <c r="P20" s="4144"/>
      <c r="Q20" s="4145" t="s">
        <v>15</v>
      </c>
      <c r="R20" s="4144"/>
      <c r="S20" s="4146"/>
      <c r="T20" s="3197" t="s">
        <v>14</v>
      </c>
      <c r="U20" s="4144"/>
      <c r="V20" s="3198"/>
      <c r="W20" s="4144" t="s">
        <v>15</v>
      </c>
      <c r="X20" s="4144"/>
      <c r="Y20" s="4146"/>
      <c r="Z20" s="3197" t="s">
        <v>14</v>
      </c>
      <c r="AA20" s="4144"/>
      <c r="AB20" s="3198"/>
      <c r="AC20" s="4144" t="s">
        <v>15</v>
      </c>
      <c r="AD20" s="4144"/>
      <c r="AE20" s="4146"/>
      <c r="AF20" s="3197" t="s">
        <v>14</v>
      </c>
      <c r="AG20" s="4144"/>
      <c r="AH20" s="3198"/>
      <c r="AI20" s="4144" t="s">
        <v>15</v>
      </c>
      <c r="AJ20" s="4144"/>
      <c r="AK20" s="4185"/>
      <c r="AL20" s="4148" t="s">
        <v>14</v>
      </c>
      <c r="AM20" s="4144"/>
      <c r="AN20" s="3198"/>
      <c r="AO20" s="4144" t="s">
        <v>15</v>
      </c>
      <c r="AP20" s="4144"/>
      <c r="AQ20" s="4149"/>
      <c r="AR20" s="418"/>
      <c r="AS20" s="1339"/>
      <c r="AT20" s="418"/>
    </row>
    <row r="21" spans="2:46" s="426" customFormat="1" ht="30" customHeight="1" thickTop="1" x14ac:dyDescent="0.35">
      <c r="B21" s="811"/>
      <c r="E21" s="4199" t="s">
        <v>1874</v>
      </c>
      <c r="F21" s="4200"/>
      <c r="G21" s="4200"/>
      <c r="H21" s="4200"/>
      <c r="I21" s="4200"/>
      <c r="J21" s="4200"/>
      <c r="K21" s="4200"/>
      <c r="L21" s="4200"/>
      <c r="M21" s="4201"/>
      <c r="N21" s="4188">
        <v>0</v>
      </c>
      <c r="O21" s="4186"/>
      <c r="P21" s="4186"/>
      <c r="Q21" s="4222">
        <v>0</v>
      </c>
      <c r="R21" s="4186"/>
      <c r="S21" s="4187"/>
      <c r="T21" s="4188">
        <v>0</v>
      </c>
      <c r="U21" s="4186"/>
      <c r="V21" s="4189"/>
      <c r="W21" s="4186">
        <v>0</v>
      </c>
      <c r="X21" s="4186"/>
      <c r="Y21" s="4187"/>
      <c r="Z21" s="4188">
        <v>0</v>
      </c>
      <c r="AA21" s="4186"/>
      <c r="AB21" s="4189"/>
      <c r="AC21" s="4186">
        <v>0</v>
      </c>
      <c r="AD21" s="4186"/>
      <c r="AE21" s="4187"/>
      <c r="AF21" s="4188">
        <v>0</v>
      </c>
      <c r="AG21" s="4186"/>
      <c r="AH21" s="4189"/>
      <c r="AI21" s="4186">
        <v>0</v>
      </c>
      <c r="AJ21" s="4186"/>
      <c r="AK21" s="4217"/>
      <c r="AL21" s="4218">
        <f>SUM(N21,T21,Z21,AF21)</f>
        <v>0</v>
      </c>
      <c r="AM21" s="4219"/>
      <c r="AN21" s="4220"/>
      <c r="AO21" s="4219">
        <f>SUM(Q21,W21,AC21,AI21)</f>
        <v>0</v>
      </c>
      <c r="AP21" s="4219"/>
      <c r="AQ21" s="4221"/>
      <c r="AR21" s="852"/>
      <c r="AS21" s="867"/>
      <c r="AT21" s="852"/>
    </row>
    <row r="22" spans="2:46" s="426" customFormat="1" ht="30" customHeight="1" thickBot="1" x14ac:dyDescent="0.4">
      <c r="B22" s="811"/>
      <c r="E22" s="4202" t="s">
        <v>1875</v>
      </c>
      <c r="F22" s="4203"/>
      <c r="G22" s="4203"/>
      <c r="H22" s="4203"/>
      <c r="I22" s="4203"/>
      <c r="J22" s="4203"/>
      <c r="K22" s="4203"/>
      <c r="L22" s="4203"/>
      <c r="M22" s="4204"/>
      <c r="N22" s="4190">
        <v>0</v>
      </c>
      <c r="O22" s="4191"/>
      <c r="P22" s="4191"/>
      <c r="Q22" s="4192">
        <v>0</v>
      </c>
      <c r="R22" s="4191"/>
      <c r="S22" s="4193"/>
      <c r="T22" s="4190">
        <v>0</v>
      </c>
      <c r="U22" s="4191"/>
      <c r="V22" s="4194"/>
      <c r="W22" s="4191">
        <v>0</v>
      </c>
      <c r="X22" s="4191"/>
      <c r="Y22" s="4193"/>
      <c r="Z22" s="4190">
        <v>0</v>
      </c>
      <c r="AA22" s="4191"/>
      <c r="AB22" s="4194"/>
      <c r="AC22" s="4191">
        <v>0</v>
      </c>
      <c r="AD22" s="4191"/>
      <c r="AE22" s="4193"/>
      <c r="AF22" s="4190">
        <v>0</v>
      </c>
      <c r="AG22" s="4191"/>
      <c r="AH22" s="4194"/>
      <c r="AI22" s="4191">
        <v>0</v>
      </c>
      <c r="AJ22" s="4191"/>
      <c r="AK22" s="4195"/>
      <c r="AL22" s="4215">
        <f>SUM(N22,T22,Z22,AF22)</f>
        <v>0</v>
      </c>
      <c r="AM22" s="4213"/>
      <c r="AN22" s="4216"/>
      <c r="AO22" s="4213">
        <f>SUM(Q22,W22,AC22,AI22)</f>
        <v>0</v>
      </c>
      <c r="AP22" s="4213"/>
      <c r="AQ22" s="4214"/>
      <c r="AR22" s="852"/>
      <c r="AS22" s="867"/>
      <c r="AT22" s="852"/>
    </row>
    <row r="23" spans="2:46" s="426" customFormat="1" ht="30" customHeight="1" thickTop="1" thickBot="1" x14ac:dyDescent="0.4">
      <c r="B23" s="811"/>
      <c r="E23" s="4207" t="s">
        <v>16</v>
      </c>
      <c r="F23" s="4208"/>
      <c r="G23" s="4208"/>
      <c r="H23" s="4208"/>
      <c r="I23" s="4208"/>
      <c r="J23" s="4208"/>
      <c r="K23" s="4208"/>
      <c r="L23" s="4208"/>
      <c r="M23" s="4209"/>
      <c r="N23" s="4196">
        <f>SUM(N21:P22)</f>
        <v>0</v>
      </c>
      <c r="O23" s="3263"/>
      <c r="P23" s="4197"/>
      <c r="Q23" s="4198">
        <f t="shared" ref="Q23" si="0">SUM(Q21:S22)</f>
        <v>0</v>
      </c>
      <c r="R23" s="4198"/>
      <c r="S23" s="4198"/>
      <c r="T23" s="4196">
        <f t="shared" ref="T23" si="1">SUM(T21:V22)</f>
        <v>0</v>
      </c>
      <c r="U23" s="3263"/>
      <c r="V23" s="4197"/>
      <c r="W23" s="4198">
        <f t="shared" ref="W23" si="2">SUM(W21:Y22)</f>
        <v>0</v>
      </c>
      <c r="X23" s="4198"/>
      <c r="Y23" s="4198"/>
      <c r="Z23" s="4196">
        <f t="shared" ref="Z23" si="3">SUM(Z21:AB22)</f>
        <v>0</v>
      </c>
      <c r="AA23" s="3263"/>
      <c r="AB23" s="4197"/>
      <c r="AC23" s="4198">
        <f t="shared" ref="AC23" si="4">SUM(AC21:AE22)</f>
        <v>0</v>
      </c>
      <c r="AD23" s="4198"/>
      <c r="AE23" s="4198"/>
      <c r="AF23" s="4196">
        <f t="shared" ref="AF23" si="5">SUM(AF21:AH22)</f>
        <v>0</v>
      </c>
      <c r="AG23" s="3263"/>
      <c r="AH23" s="4197"/>
      <c r="AI23" s="4198">
        <f t="shared" ref="AI23" si="6">SUM(AI21:AK22)</f>
        <v>0</v>
      </c>
      <c r="AJ23" s="4198"/>
      <c r="AK23" s="4198"/>
      <c r="AL23" s="4210">
        <f t="shared" ref="AL23" si="7">SUM(AL21:AN22)</f>
        <v>0</v>
      </c>
      <c r="AM23" s="3263"/>
      <c r="AN23" s="4197"/>
      <c r="AO23" s="4211">
        <f t="shared" ref="AO23" si="8">SUM(AO21:AQ22)</f>
        <v>0</v>
      </c>
      <c r="AP23" s="3263"/>
      <c r="AQ23" s="4212"/>
      <c r="AR23" s="852"/>
      <c r="AS23" s="867"/>
      <c r="AT23" s="852"/>
    </row>
    <row r="24" spans="2:46" ht="10" customHeight="1" thickTop="1" x14ac:dyDescent="0.35">
      <c r="B24" s="779"/>
      <c r="E24" s="849"/>
      <c r="F24" s="503"/>
      <c r="G24" s="503"/>
      <c r="H24" s="503"/>
      <c r="I24" s="503"/>
      <c r="J24" s="503"/>
      <c r="K24" s="503"/>
      <c r="L24" s="1334"/>
      <c r="N24" s="1334"/>
      <c r="O24" s="761"/>
      <c r="P24" s="403"/>
      <c r="S24" s="1334"/>
      <c r="T24" s="761"/>
      <c r="U24" s="403"/>
      <c r="V24" s="403"/>
      <c r="W24" s="403"/>
      <c r="X24" s="403"/>
      <c r="Y24" s="403"/>
      <c r="AA24" s="1334"/>
      <c r="AB24" s="1334"/>
      <c r="AC24" s="1334"/>
      <c r="AD24" s="1334"/>
      <c r="AE24" s="1334"/>
      <c r="AF24" s="1334"/>
      <c r="AG24" s="1334"/>
      <c r="AH24" s="1334"/>
      <c r="AS24" s="783"/>
    </row>
    <row r="25" spans="2:46" ht="20" customHeight="1" x14ac:dyDescent="0.35">
      <c r="B25" s="779"/>
      <c r="D25" s="1340" t="s">
        <v>607</v>
      </c>
      <c r="E25" s="4227" t="s">
        <v>1074</v>
      </c>
      <c r="F25" s="4227"/>
      <c r="G25" s="4227"/>
      <c r="H25" s="4227"/>
      <c r="I25" s="4227"/>
      <c r="J25" s="4227"/>
      <c r="K25" s="4227"/>
      <c r="L25" s="4227"/>
      <c r="M25" s="4227"/>
      <c r="N25" s="4227"/>
      <c r="O25" s="4227"/>
      <c r="P25" s="4227"/>
      <c r="Q25" s="4227"/>
      <c r="R25" s="4227"/>
      <c r="S25" s="4227"/>
      <c r="T25" s="4227"/>
      <c r="U25" s="4227"/>
      <c r="V25" s="4227"/>
      <c r="W25" s="4227"/>
      <c r="X25" s="4227"/>
      <c r="Y25" s="4227"/>
      <c r="Z25" s="4227"/>
      <c r="AA25" s="4227"/>
      <c r="AB25" s="4227"/>
      <c r="AC25" s="4227"/>
      <c r="AD25" s="4227"/>
      <c r="AE25" s="4227"/>
      <c r="AF25" s="4227"/>
      <c r="AG25" s="4227"/>
      <c r="AK25" s="4176" t="b">
        <v>0</v>
      </c>
      <c r="AL25" s="4177" t="s">
        <v>65</v>
      </c>
      <c r="AM25" s="402"/>
      <c r="AN25" s="509"/>
      <c r="AO25" s="509"/>
      <c r="AP25" s="4176"/>
      <c r="AQ25" s="4177" t="s">
        <v>11</v>
      </c>
      <c r="AS25" s="783"/>
    </row>
    <row r="26" spans="2:46" ht="20" customHeight="1" x14ac:dyDescent="0.35">
      <c r="B26" s="779"/>
      <c r="C26" s="1340"/>
      <c r="D26" s="1338"/>
      <c r="E26" s="4227"/>
      <c r="F26" s="4227"/>
      <c r="G26" s="4227"/>
      <c r="H26" s="4227"/>
      <c r="I26" s="4227"/>
      <c r="J26" s="4227"/>
      <c r="K26" s="4227"/>
      <c r="L26" s="4227"/>
      <c r="M26" s="4227"/>
      <c r="N26" s="4227"/>
      <c r="O26" s="4227"/>
      <c r="P26" s="4227"/>
      <c r="Q26" s="4227"/>
      <c r="R26" s="4227"/>
      <c r="S26" s="4227"/>
      <c r="T26" s="4227"/>
      <c r="U26" s="4227"/>
      <c r="V26" s="4227"/>
      <c r="W26" s="4227"/>
      <c r="X26" s="4227"/>
      <c r="Y26" s="4227"/>
      <c r="Z26" s="4227"/>
      <c r="AA26" s="4227"/>
      <c r="AB26" s="4227"/>
      <c r="AC26" s="4227"/>
      <c r="AD26" s="4227"/>
      <c r="AE26" s="4227"/>
      <c r="AF26" s="4227"/>
      <c r="AG26" s="4227"/>
      <c r="AK26" s="4176"/>
      <c r="AL26" s="4177"/>
      <c r="AM26" s="402"/>
      <c r="AN26" s="509"/>
      <c r="AO26" s="509"/>
      <c r="AP26" s="4176"/>
      <c r="AQ26" s="4177"/>
      <c r="AS26" s="783"/>
    </row>
    <row r="27" spans="2:46" ht="8" customHeight="1" x14ac:dyDescent="0.35">
      <c r="B27" s="779"/>
      <c r="C27" s="1340"/>
      <c r="D27" s="1338"/>
      <c r="E27" s="1328"/>
      <c r="F27" s="1328"/>
      <c r="G27" s="1328"/>
      <c r="H27" s="1328"/>
      <c r="I27" s="1328"/>
      <c r="J27" s="1328"/>
      <c r="K27" s="1328"/>
      <c r="L27" s="1328"/>
      <c r="M27" s="1328"/>
      <c r="N27" s="1328"/>
      <c r="O27" s="1328"/>
      <c r="P27" s="1328"/>
      <c r="Q27" s="1328"/>
      <c r="R27" s="1328"/>
      <c r="S27" s="1328"/>
      <c r="T27" s="1328"/>
      <c r="U27" s="1328"/>
      <c r="V27" s="1328"/>
      <c r="W27" s="1328"/>
      <c r="X27" s="1328"/>
      <c r="Y27" s="1328"/>
      <c r="Z27" s="1328"/>
      <c r="AA27" s="1328"/>
      <c r="AB27" s="1328"/>
      <c r="AC27" s="1328"/>
      <c r="AD27" s="1328"/>
      <c r="AE27" s="1328"/>
      <c r="AF27" s="403"/>
      <c r="AI27" s="1341"/>
      <c r="AJ27" s="590"/>
      <c r="AK27" s="402"/>
      <c r="AL27" s="509"/>
      <c r="AM27" s="509"/>
      <c r="AN27" s="1341"/>
      <c r="AO27" s="590"/>
      <c r="AS27" s="783"/>
    </row>
    <row r="28" spans="2:46" s="509" customFormat="1" ht="20" x14ac:dyDescent="0.35">
      <c r="B28" s="515"/>
      <c r="C28" s="511" t="s">
        <v>152</v>
      </c>
      <c r="D28" s="512" t="s">
        <v>1868</v>
      </c>
      <c r="E28" s="513"/>
      <c r="F28" s="513"/>
      <c r="G28" s="513"/>
      <c r="H28" s="513"/>
      <c r="I28" s="513"/>
      <c r="J28" s="513"/>
      <c r="K28" s="513"/>
      <c r="L28" s="513"/>
      <c r="O28" s="499" t="b">
        <v>0</v>
      </c>
      <c r="P28" s="402" t="s">
        <v>65</v>
      </c>
      <c r="Q28" s="402"/>
      <c r="T28" s="499"/>
      <c r="U28" s="402" t="s">
        <v>11</v>
      </c>
      <c r="V28" s="512"/>
      <c r="W28" s="512"/>
      <c r="X28" s="512"/>
      <c r="Y28" s="511" t="s">
        <v>155</v>
      </c>
      <c r="Z28" s="512" t="s">
        <v>1867</v>
      </c>
      <c r="AA28" s="513"/>
      <c r="AB28" s="513"/>
      <c r="AC28" s="513"/>
      <c r="AD28" s="513"/>
      <c r="AE28" s="513"/>
      <c r="AF28" s="513"/>
      <c r="AG28" s="513"/>
      <c r="AH28" s="513"/>
      <c r="AK28" s="499" t="b">
        <v>0</v>
      </c>
      <c r="AL28" s="402" t="s">
        <v>65</v>
      </c>
      <c r="AM28" s="402"/>
      <c r="AP28" s="880"/>
      <c r="AQ28" s="402" t="s">
        <v>11</v>
      </c>
      <c r="AR28" s="512"/>
      <c r="AS28" s="519"/>
    </row>
    <row r="29" spans="2:46" s="426" customFormat="1" ht="8" customHeight="1" x14ac:dyDescent="0.35">
      <c r="B29" s="811"/>
      <c r="C29" s="1342"/>
      <c r="D29" s="512"/>
      <c r="E29" s="1343"/>
      <c r="F29" s="1343"/>
      <c r="G29" s="1343"/>
      <c r="H29" s="1343"/>
      <c r="I29" s="1343"/>
      <c r="J29" s="1343"/>
      <c r="K29" s="1343"/>
      <c r="L29" s="1343"/>
      <c r="M29" s="1343"/>
      <c r="N29" s="1343"/>
      <c r="O29" s="1343"/>
      <c r="P29" s="1343"/>
      <c r="Q29" s="1343"/>
      <c r="R29" s="1343"/>
      <c r="S29" s="1343"/>
      <c r="T29" s="1343"/>
      <c r="U29" s="1343"/>
      <c r="V29" s="1343"/>
      <c r="W29" s="1343"/>
      <c r="X29" s="1343"/>
      <c r="Y29" s="1343"/>
      <c r="Z29" s="1343"/>
      <c r="AA29" s="1343"/>
      <c r="AB29" s="1343"/>
      <c r="AC29" s="1343"/>
      <c r="AD29" s="1343"/>
      <c r="AE29" s="1343"/>
      <c r="AF29" s="402"/>
      <c r="AI29" s="1341"/>
      <c r="AJ29" s="590"/>
      <c r="AK29" s="402"/>
      <c r="AL29" s="509"/>
      <c r="AM29" s="509"/>
      <c r="AN29" s="1341"/>
      <c r="AO29" s="590"/>
      <c r="AS29" s="1329"/>
    </row>
    <row r="30" spans="2:46" s="509" customFormat="1" ht="20" customHeight="1" x14ac:dyDescent="0.35">
      <c r="B30" s="515"/>
      <c r="C30" s="511" t="s">
        <v>156</v>
      </c>
      <c r="D30" s="1335" t="s">
        <v>1866</v>
      </c>
      <c r="E30" s="1333"/>
      <c r="F30" s="1333"/>
      <c r="G30" s="1333"/>
      <c r="H30" s="1333"/>
      <c r="I30" s="1333"/>
      <c r="J30" s="1333"/>
      <c r="K30" s="1412"/>
      <c r="O30" s="499" t="b">
        <v>0</v>
      </c>
      <c r="P30" s="402" t="s">
        <v>65</v>
      </c>
      <c r="Q30" s="402"/>
      <c r="T30" s="499"/>
      <c r="U30" s="402" t="s">
        <v>11</v>
      </c>
      <c r="V30" s="1333"/>
      <c r="W30" s="1333"/>
      <c r="X30" s="1333"/>
      <c r="Y30" s="851" t="s">
        <v>157</v>
      </c>
      <c r="Z30" s="4226" t="s">
        <v>1869</v>
      </c>
      <c r="AA30" s="4226"/>
      <c r="AB30" s="4226"/>
      <c r="AC30" s="4226"/>
      <c r="AD30" s="4226"/>
      <c r="AE30" s="4226"/>
      <c r="AF30" s="4226"/>
      <c r="AG30" s="4226"/>
      <c r="AH30" s="4226"/>
      <c r="AI30" s="4226"/>
      <c r="AJ30" s="402"/>
      <c r="AK30" s="4176" t="b">
        <v>0</v>
      </c>
      <c r="AL30" s="4177" t="s">
        <v>65</v>
      </c>
      <c r="AM30" s="402"/>
      <c r="AP30" s="4176"/>
      <c r="AQ30" s="4177" t="s">
        <v>11</v>
      </c>
      <c r="AR30" s="512"/>
      <c r="AS30" s="519"/>
    </row>
    <row r="31" spans="2:46" s="509" customFormat="1" ht="20" x14ac:dyDescent="0.35">
      <c r="B31" s="515"/>
      <c r="C31" s="511"/>
      <c r="D31" s="1335"/>
      <c r="E31" s="1333"/>
      <c r="F31" s="1333"/>
      <c r="G31" s="509" t="s">
        <v>1876</v>
      </c>
      <c r="H31" s="1333"/>
      <c r="I31" s="1333"/>
      <c r="J31" s="1333"/>
      <c r="M31" s="880"/>
      <c r="N31" s="402"/>
      <c r="O31" s="4230"/>
      <c r="P31" s="2944"/>
      <c r="Q31" s="2944"/>
      <c r="R31" s="2944"/>
      <c r="S31" s="2944"/>
      <c r="T31" s="2944"/>
      <c r="U31" s="2944"/>
      <c r="V31" s="1418"/>
      <c r="W31" s="1333"/>
      <c r="X31" s="1333"/>
      <c r="Y31" s="1333"/>
      <c r="Z31" s="4226"/>
      <c r="AA31" s="4226"/>
      <c r="AB31" s="4226"/>
      <c r="AC31" s="4226"/>
      <c r="AD31" s="4226"/>
      <c r="AE31" s="4226"/>
      <c r="AF31" s="4226"/>
      <c r="AG31" s="4226"/>
      <c r="AH31" s="4226"/>
      <c r="AI31" s="4226"/>
      <c r="AJ31" s="402"/>
      <c r="AK31" s="4176"/>
      <c r="AL31" s="4177"/>
      <c r="AM31" s="402"/>
      <c r="AP31" s="4176"/>
      <c r="AQ31" s="4177"/>
      <c r="AR31" s="512"/>
      <c r="AS31" s="519"/>
    </row>
    <row r="32" spans="2:46" s="501" customFormat="1" ht="16.25" customHeight="1" x14ac:dyDescent="0.35">
      <c r="B32" s="834"/>
      <c r="E32" s="1333"/>
      <c r="F32" s="1333"/>
      <c r="G32" s="1333"/>
      <c r="H32" s="1333"/>
      <c r="I32" s="1412"/>
      <c r="K32" s="880"/>
      <c r="L32" s="402"/>
      <c r="M32" s="402"/>
      <c r="N32" s="880"/>
      <c r="O32" s="743" t="str">
        <f>IF(AND(iped_schhead_ip=TRUE,ISBLANK(iped_schhead_specify)),"Please specify.",IF(AND(iped_schhead_ip=FALSE,(iped_schhead_specify&gt;0)),"Please check Yes if you have entries.",""))</f>
        <v/>
      </c>
      <c r="P32" s="509"/>
      <c r="Q32" s="509"/>
      <c r="R32" s="1333"/>
      <c r="S32" s="1333"/>
      <c r="T32" s="1333"/>
      <c r="U32" s="880"/>
      <c r="V32" s="402"/>
      <c r="W32" s="402"/>
      <c r="X32" s="880"/>
      <c r="Y32" s="402"/>
      <c r="Z32" s="1333"/>
      <c r="AA32" s="1338"/>
      <c r="AB32" s="1338"/>
      <c r="AC32" s="1338"/>
      <c r="AD32" s="1338"/>
      <c r="AE32" s="1338"/>
      <c r="AF32" s="1338"/>
      <c r="AG32" s="1338"/>
      <c r="AH32" s="1338"/>
      <c r="AI32" s="1338"/>
      <c r="AJ32" s="1338"/>
      <c r="AK32" s="1338"/>
      <c r="AL32" s="1338"/>
      <c r="AM32" s="1338"/>
      <c r="AO32" s="1338"/>
      <c r="AP32" s="1338"/>
      <c r="AQ32" s="1338"/>
      <c r="AR32" s="1338"/>
      <c r="AS32" s="850"/>
    </row>
    <row r="33" spans="2:77" s="501" customFormat="1" x14ac:dyDescent="0.35">
      <c r="B33" s="834"/>
      <c r="C33" s="511" t="s">
        <v>159</v>
      </c>
      <c r="D33" s="1335" t="s">
        <v>1865</v>
      </c>
      <c r="E33" s="527"/>
      <c r="F33" s="527"/>
      <c r="G33" s="527"/>
      <c r="H33" s="527"/>
      <c r="I33" s="527"/>
      <c r="J33" s="527"/>
      <c r="K33" s="527"/>
      <c r="L33" s="527"/>
      <c r="M33" s="527"/>
      <c r="N33" s="527"/>
      <c r="O33" s="1419"/>
      <c r="P33" s="527"/>
      <c r="Q33" s="527"/>
      <c r="R33" s="527"/>
      <c r="S33" s="527"/>
      <c r="T33" s="1412"/>
      <c r="U33" s="527"/>
      <c r="V33" s="527"/>
      <c r="W33" s="509"/>
      <c r="X33" s="509"/>
      <c r="Y33" s="509"/>
      <c r="Z33" s="509"/>
      <c r="AA33" s="509"/>
      <c r="AB33" s="509"/>
      <c r="AC33" s="509"/>
      <c r="AD33" s="509"/>
      <c r="AE33" s="509"/>
      <c r="AF33" s="509"/>
      <c r="AG33" s="509"/>
      <c r="AH33" s="509"/>
      <c r="AI33" s="509"/>
      <c r="AJ33" s="1338"/>
      <c r="AK33" s="1338"/>
      <c r="AL33" s="1338"/>
      <c r="AM33" s="1338"/>
      <c r="AO33" s="1338"/>
      <c r="AP33" s="1338"/>
      <c r="AQ33" s="1338"/>
      <c r="AR33" s="1338"/>
      <c r="AS33" s="850"/>
    </row>
    <row r="34" spans="2:77" ht="6" customHeight="1" thickBot="1" x14ac:dyDescent="0.4">
      <c r="B34" s="779"/>
      <c r="E34" s="849"/>
      <c r="F34" s="503"/>
      <c r="G34" s="503"/>
      <c r="H34" s="503"/>
      <c r="I34" s="503"/>
      <c r="J34" s="503"/>
      <c r="K34" s="503"/>
      <c r="L34" s="1334"/>
      <c r="N34" s="1334"/>
      <c r="O34" s="761"/>
      <c r="P34" s="403"/>
      <c r="S34" s="1334"/>
      <c r="T34" s="761"/>
      <c r="U34" s="403"/>
      <c r="V34" s="403"/>
      <c r="W34" s="403"/>
      <c r="X34" s="403"/>
      <c r="Y34" s="403"/>
      <c r="Z34" s="403"/>
      <c r="AB34" s="1334"/>
      <c r="AC34" s="1334"/>
      <c r="AD34" s="1334"/>
      <c r="AE34" s="1334"/>
      <c r="AF34" s="1334"/>
      <c r="AG34" s="1334"/>
      <c r="AH34" s="1334"/>
      <c r="AN34" s="503"/>
      <c r="AO34" s="503"/>
      <c r="AP34" s="1334"/>
      <c r="AS34" s="783"/>
    </row>
    <row r="35" spans="2:77" s="812" customFormat="1" ht="32.5" customHeight="1" thickTop="1" thickBot="1" x14ac:dyDescent="0.4">
      <c r="B35" s="1331"/>
      <c r="D35" s="3282" t="s">
        <v>87</v>
      </c>
      <c r="E35" s="3283"/>
      <c r="F35" s="3283"/>
      <c r="G35" s="3283"/>
      <c r="H35" s="3283"/>
      <c r="I35" s="3284"/>
      <c r="J35" s="4205" t="s">
        <v>88</v>
      </c>
      <c r="K35" s="3283"/>
      <c r="L35" s="3283"/>
      <c r="M35" s="3283"/>
      <c r="N35" s="3283"/>
      <c r="O35" s="3284"/>
      <c r="P35" s="4205" t="s">
        <v>89</v>
      </c>
      <c r="Q35" s="3283"/>
      <c r="R35" s="3283"/>
      <c r="S35" s="3283"/>
      <c r="T35" s="3283"/>
      <c r="U35" s="3284"/>
      <c r="V35" s="4205" t="s">
        <v>90</v>
      </c>
      <c r="W35" s="3283"/>
      <c r="X35" s="3283"/>
      <c r="Y35" s="3283"/>
      <c r="Z35" s="3283"/>
      <c r="AA35" s="4228"/>
      <c r="AB35" s="3240" t="s">
        <v>362</v>
      </c>
      <c r="AC35" s="3283"/>
      <c r="AD35" s="3283"/>
      <c r="AE35" s="3283"/>
      <c r="AF35" s="3283"/>
      <c r="AG35" s="4206"/>
      <c r="AH35" s="418"/>
      <c r="AI35" s="418"/>
      <c r="AJ35" s="418"/>
      <c r="AK35" s="418"/>
      <c r="AL35" s="418"/>
      <c r="AM35" s="418"/>
      <c r="AN35" s="418"/>
      <c r="AO35" s="418"/>
      <c r="AP35" s="418"/>
      <c r="AQ35" s="418"/>
      <c r="AR35" s="418"/>
      <c r="AS35" s="1339"/>
      <c r="AT35" s="418"/>
    </row>
    <row r="36" spans="2:77" s="812" customFormat="1" ht="16" customHeight="1" thickBot="1" x14ac:dyDescent="0.4">
      <c r="B36" s="1331"/>
      <c r="D36" s="4248" t="s">
        <v>14</v>
      </c>
      <c r="E36" s="3238"/>
      <c r="F36" s="3238"/>
      <c r="G36" s="3236" t="s">
        <v>15</v>
      </c>
      <c r="H36" s="3238"/>
      <c r="I36" s="4229"/>
      <c r="J36" s="3256" t="s">
        <v>14</v>
      </c>
      <c r="K36" s="3238"/>
      <c r="L36" s="3237"/>
      <c r="M36" s="3238" t="s">
        <v>15</v>
      </c>
      <c r="N36" s="3238"/>
      <c r="O36" s="4229"/>
      <c r="P36" s="3256" t="s">
        <v>14</v>
      </c>
      <c r="Q36" s="3238"/>
      <c r="R36" s="3237"/>
      <c r="S36" s="3238" t="s">
        <v>15</v>
      </c>
      <c r="T36" s="3238"/>
      <c r="U36" s="4229"/>
      <c r="V36" s="3256" t="s">
        <v>14</v>
      </c>
      <c r="W36" s="3238"/>
      <c r="X36" s="3237"/>
      <c r="Y36" s="3238" t="s">
        <v>15</v>
      </c>
      <c r="Z36" s="3238"/>
      <c r="AA36" s="4245"/>
      <c r="AB36" s="4246" t="s">
        <v>14</v>
      </c>
      <c r="AC36" s="3238"/>
      <c r="AD36" s="3237"/>
      <c r="AE36" s="3238" t="s">
        <v>15</v>
      </c>
      <c r="AF36" s="3238"/>
      <c r="AG36" s="4247"/>
      <c r="AH36" s="418"/>
      <c r="AI36" s="418"/>
      <c r="AJ36" s="418"/>
      <c r="AK36" s="418"/>
      <c r="AL36" s="418"/>
      <c r="AM36" s="418"/>
      <c r="AN36" s="418"/>
      <c r="AO36" s="418"/>
      <c r="AP36" s="418"/>
      <c r="AQ36" s="418"/>
      <c r="AR36" s="418"/>
      <c r="AS36" s="1339"/>
      <c r="AT36" s="418"/>
    </row>
    <row r="37" spans="2:77" s="426" customFormat="1" ht="30" customHeight="1" thickTop="1" thickBot="1" x14ac:dyDescent="0.4">
      <c r="B37" s="811"/>
      <c r="D37" s="4155">
        <v>0</v>
      </c>
      <c r="E37" s="4156"/>
      <c r="F37" s="4156"/>
      <c r="G37" s="4157">
        <v>0</v>
      </c>
      <c r="H37" s="4156"/>
      <c r="I37" s="4158"/>
      <c r="J37" s="4159">
        <v>0</v>
      </c>
      <c r="K37" s="4156"/>
      <c r="L37" s="4160"/>
      <c r="M37" s="4156">
        <v>0</v>
      </c>
      <c r="N37" s="4156"/>
      <c r="O37" s="4158"/>
      <c r="P37" s="4159">
        <v>0</v>
      </c>
      <c r="Q37" s="4156"/>
      <c r="R37" s="4160"/>
      <c r="S37" s="4156">
        <v>0</v>
      </c>
      <c r="T37" s="4156"/>
      <c r="U37" s="4158"/>
      <c r="V37" s="4159">
        <v>0</v>
      </c>
      <c r="W37" s="4156"/>
      <c r="X37" s="4160"/>
      <c r="Y37" s="4156">
        <v>0</v>
      </c>
      <c r="Z37" s="4156"/>
      <c r="AA37" s="4250"/>
      <c r="AB37" s="4251">
        <f>SUM(D37,J37,P37,V37)</f>
        <v>0</v>
      </c>
      <c r="AC37" s="4198"/>
      <c r="AD37" s="4252"/>
      <c r="AE37" s="4198">
        <f>SUM(G37,M37,S37,Y37)</f>
        <v>0</v>
      </c>
      <c r="AF37" s="4198"/>
      <c r="AG37" s="4249"/>
      <c r="AH37" s="852"/>
      <c r="AI37" s="852"/>
      <c r="AJ37" s="852"/>
      <c r="AK37" s="852"/>
      <c r="AL37" s="852"/>
      <c r="AM37" s="852"/>
      <c r="AN37" s="852"/>
      <c r="AO37" s="852"/>
      <c r="AP37" s="852"/>
      <c r="AQ37" s="852"/>
      <c r="AR37" s="852"/>
      <c r="AS37" s="867"/>
      <c r="AT37" s="852"/>
    </row>
    <row r="38" spans="2:77" ht="10" customHeight="1" thickTop="1" x14ac:dyDescent="0.35">
      <c r="B38" s="779"/>
      <c r="E38" s="849"/>
      <c r="F38" s="503"/>
      <c r="G38" s="503"/>
      <c r="H38" s="503"/>
      <c r="I38" s="503"/>
      <c r="J38" s="503"/>
      <c r="K38" s="503"/>
      <c r="L38" s="1334"/>
      <c r="N38" s="1334"/>
      <c r="O38" s="761"/>
      <c r="P38" s="403"/>
      <c r="S38" s="1334"/>
      <c r="T38" s="761"/>
      <c r="U38" s="403"/>
      <c r="V38" s="403"/>
      <c r="W38" s="403"/>
      <c r="X38" s="403"/>
      <c r="Y38" s="403"/>
      <c r="AA38" s="1334"/>
      <c r="AB38" s="1334"/>
      <c r="AC38" s="1334"/>
      <c r="AD38" s="1334"/>
      <c r="AE38" s="1334"/>
      <c r="AF38" s="1334"/>
      <c r="AG38" s="1334"/>
      <c r="AH38" s="1334"/>
      <c r="AS38" s="783"/>
    </row>
    <row r="39" spans="2:77" s="501" customFormat="1" ht="20" customHeight="1" x14ac:dyDescent="0.35">
      <c r="B39" s="834"/>
      <c r="C39" s="511" t="s">
        <v>153</v>
      </c>
      <c r="D39" s="1335" t="s">
        <v>1870</v>
      </c>
      <c r="E39" s="527"/>
      <c r="F39" s="527"/>
      <c r="G39" s="527"/>
      <c r="H39" s="527"/>
      <c r="I39" s="527"/>
      <c r="J39" s="527"/>
      <c r="K39" s="527"/>
      <c r="L39" s="527"/>
      <c r="M39" s="527"/>
      <c r="N39" s="527"/>
      <c r="O39" s="527"/>
      <c r="P39" s="527"/>
      <c r="Q39" s="527"/>
      <c r="R39" s="527"/>
      <c r="S39" s="527"/>
      <c r="T39" s="527"/>
      <c r="U39" s="527"/>
      <c r="V39" s="509"/>
      <c r="W39" s="509"/>
      <c r="X39" s="1336"/>
      <c r="Y39" s="511" t="s">
        <v>154</v>
      </c>
      <c r="Z39" s="1337" t="s">
        <v>1871</v>
      </c>
      <c r="AA39" s="509"/>
      <c r="AB39" s="1337"/>
      <c r="AC39" s="1337"/>
      <c r="AD39" s="1337"/>
      <c r="AE39" s="1337"/>
      <c r="AF39" s="1337"/>
      <c r="AG39" s="1337"/>
      <c r="AH39" s="1337"/>
      <c r="AI39" s="1337"/>
      <c r="AJ39" s="1337"/>
      <c r="AK39" s="1337"/>
      <c r="AL39" s="1338"/>
      <c r="AM39" s="1338"/>
      <c r="AN39" s="1338"/>
      <c r="AO39" s="1338"/>
      <c r="AP39" s="1338"/>
      <c r="AQ39" s="1338"/>
      <c r="AR39" s="1338"/>
      <c r="AS39" s="850"/>
    </row>
    <row r="40" spans="2:77" ht="6" customHeight="1" thickBot="1" x14ac:dyDescent="0.4">
      <c r="B40" s="779"/>
      <c r="E40" s="849"/>
      <c r="F40" s="503"/>
      <c r="G40" s="503"/>
      <c r="H40" s="503"/>
      <c r="I40" s="503"/>
      <c r="J40" s="503"/>
      <c r="K40" s="503"/>
      <c r="L40" s="1334"/>
      <c r="N40" s="1334"/>
      <c r="O40" s="761"/>
      <c r="P40" s="403"/>
      <c r="S40" s="1334"/>
      <c r="T40" s="761"/>
      <c r="U40" s="403"/>
      <c r="V40" s="403"/>
      <c r="W40" s="403"/>
      <c r="X40" s="403"/>
      <c r="Y40" s="403"/>
      <c r="Z40" s="403"/>
      <c r="AB40" s="1334"/>
      <c r="AC40" s="1334"/>
      <c r="AD40" s="1334"/>
      <c r="AE40" s="1334"/>
      <c r="AF40" s="1334"/>
      <c r="AG40" s="1334"/>
      <c r="AH40" s="1334"/>
      <c r="AN40" s="503"/>
      <c r="AO40" s="503"/>
      <c r="AP40" s="1334"/>
      <c r="AS40" s="783"/>
    </row>
    <row r="41" spans="2:77" s="501" customFormat="1" ht="20" customHeight="1" thickTop="1" thickBot="1" x14ac:dyDescent="0.4">
      <c r="B41" s="834"/>
      <c r="C41" s="509"/>
      <c r="D41" s="4161" t="s">
        <v>14</v>
      </c>
      <c r="E41" s="4140"/>
      <c r="F41" s="4140"/>
      <c r="G41" s="4140"/>
      <c r="H41" s="4162"/>
      <c r="I41" s="4163" t="s">
        <v>15</v>
      </c>
      <c r="J41" s="4140"/>
      <c r="K41" s="4140"/>
      <c r="L41" s="4140"/>
      <c r="M41" s="4164"/>
      <c r="N41" s="4140" t="s">
        <v>16</v>
      </c>
      <c r="O41" s="4140"/>
      <c r="P41" s="4140"/>
      <c r="Q41" s="4140"/>
      <c r="R41" s="4141"/>
      <c r="S41" s="196"/>
      <c r="T41" s="196"/>
      <c r="U41" s="196"/>
      <c r="V41" s="509"/>
      <c r="W41" s="509"/>
      <c r="X41" s="509"/>
      <c r="Y41" s="509"/>
      <c r="Z41" s="4161" t="s">
        <v>14</v>
      </c>
      <c r="AA41" s="4140"/>
      <c r="AB41" s="4140"/>
      <c r="AC41" s="4140"/>
      <c r="AD41" s="4162"/>
      <c r="AE41" s="4163" t="s">
        <v>15</v>
      </c>
      <c r="AF41" s="4140"/>
      <c r="AG41" s="4140"/>
      <c r="AH41" s="4140"/>
      <c r="AI41" s="4164"/>
      <c r="AJ41" s="4165" t="s">
        <v>16</v>
      </c>
      <c r="AK41" s="4140"/>
      <c r="AL41" s="4140"/>
      <c r="AM41" s="4140"/>
      <c r="AN41" s="4141"/>
      <c r="AO41" s="196"/>
      <c r="AP41" s="196"/>
      <c r="AQ41" s="196"/>
      <c r="AR41" s="509"/>
      <c r="AS41" s="850"/>
    </row>
    <row r="42" spans="2:77" s="501" customFormat="1" ht="30" customHeight="1" thickTop="1" thickBot="1" x14ac:dyDescent="0.4">
      <c r="B42" s="834"/>
      <c r="C42" s="509"/>
      <c r="D42" s="4178">
        <v>0</v>
      </c>
      <c r="E42" s="4179"/>
      <c r="F42" s="4179"/>
      <c r="G42" s="4179"/>
      <c r="H42" s="4180"/>
      <c r="I42" s="4181">
        <v>0</v>
      </c>
      <c r="J42" s="4179"/>
      <c r="K42" s="4179"/>
      <c r="L42" s="4179"/>
      <c r="M42" s="4182"/>
      <c r="N42" s="1838">
        <f>SUM(D42:M42)</f>
        <v>0</v>
      </c>
      <c r="O42" s="1838"/>
      <c r="P42" s="1838"/>
      <c r="Q42" s="1838"/>
      <c r="R42" s="2245"/>
      <c r="S42" s="272"/>
      <c r="T42" s="272"/>
      <c r="U42" s="272"/>
      <c r="V42" s="1333"/>
      <c r="W42" s="1333"/>
      <c r="X42" s="1333"/>
      <c r="Y42" s="509"/>
      <c r="Z42" s="4166">
        <v>0</v>
      </c>
      <c r="AA42" s="4167"/>
      <c r="AB42" s="4167"/>
      <c r="AC42" s="4167"/>
      <c r="AD42" s="4168"/>
      <c r="AE42" s="4169">
        <v>0</v>
      </c>
      <c r="AF42" s="4167"/>
      <c r="AG42" s="4167"/>
      <c r="AH42" s="4167"/>
      <c r="AI42" s="4170"/>
      <c r="AJ42" s="4171">
        <f>SUM(Z42:AI42)</f>
        <v>0</v>
      </c>
      <c r="AK42" s="4172"/>
      <c r="AL42" s="4172"/>
      <c r="AM42" s="4172"/>
      <c r="AN42" s="4173"/>
      <c r="AO42" s="272"/>
      <c r="AP42" s="272"/>
      <c r="AQ42" s="272"/>
      <c r="AR42" s="1333"/>
      <c r="AS42" s="850"/>
      <c r="AW42" s="413"/>
      <c r="AX42" s="402"/>
      <c r="AY42" s="402"/>
      <c r="AZ42" s="402"/>
      <c r="BA42" s="402"/>
      <c r="BB42" s="402"/>
      <c r="BC42" s="402"/>
      <c r="BD42" s="402"/>
      <c r="BE42" s="402"/>
      <c r="BF42" s="402"/>
      <c r="BG42" s="425"/>
      <c r="BH42" s="402"/>
      <c r="BI42" s="425"/>
      <c r="BJ42" s="402"/>
      <c r="BK42" s="402"/>
      <c r="BL42" s="402"/>
      <c r="BM42" s="402"/>
      <c r="BN42" s="402"/>
      <c r="BO42" s="402"/>
      <c r="BP42" s="402"/>
      <c r="BQ42" s="402"/>
      <c r="BR42" s="402"/>
      <c r="BS42" s="402"/>
      <c r="BT42" s="402"/>
      <c r="BU42" s="402"/>
      <c r="BV42" s="402"/>
      <c r="BW42" s="402"/>
      <c r="BX42" s="402"/>
    </row>
    <row r="43" spans="2:77" s="501" customFormat="1" ht="10" customHeight="1" thickTop="1" x14ac:dyDescent="0.35">
      <c r="B43" s="834"/>
      <c r="C43" s="509"/>
      <c r="D43" s="509"/>
      <c r="E43" s="509"/>
      <c r="F43" s="509"/>
      <c r="G43" s="509"/>
      <c r="H43" s="509"/>
      <c r="I43" s="509"/>
      <c r="J43" s="509"/>
      <c r="K43" s="509"/>
      <c r="L43" s="509"/>
      <c r="M43" s="509"/>
      <c r="N43" s="509"/>
      <c r="O43" s="509"/>
      <c r="P43" s="509"/>
      <c r="Q43" s="509"/>
      <c r="R43" s="509"/>
      <c r="S43" s="509"/>
      <c r="T43" s="509"/>
      <c r="U43" s="509"/>
      <c r="V43" s="509"/>
      <c r="W43" s="509"/>
      <c r="X43" s="509"/>
      <c r="Y43" s="509"/>
      <c r="Z43" s="509"/>
      <c r="AA43" s="509"/>
      <c r="AB43" s="509"/>
      <c r="AC43" s="509"/>
      <c r="AD43" s="509"/>
      <c r="AE43" s="509"/>
      <c r="AF43" s="509"/>
      <c r="AG43" s="509"/>
      <c r="AH43" s="509"/>
      <c r="AI43" s="509"/>
      <c r="AJ43" s="509"/>
      <c r="AK43" s="509"/>
      <c r="AL43" s="509"/>
      <c r="AM43" s="509"/>
      <c r="AN43" s="509"/>
      <c r="AO43" s="509"/>
      <c r="AP43" s="509"/>
      <c r="AQ43" s="509"/>
      <c r="AR43" s="509"/>
      <c r="AS43" s="519"/>
      <c r="AT43" s="509"/>
      <c r="AX43" s="1096"/>
      <c r="AY43" s="1096"/>
      <c r="AZ43" s="1096"/>
      <c r="BA43" s="1096"/>
      <c r="BB43" s="1096"/>
      <c r="BC43" s="1096"/>
      <c r="BD43" s="1096"/>
      <c r="BE43" s="1096"/>
      <c r="BF43" s="2995"/>
      <c r="BG43" s="2995"/>
      <c r="BH43" s="2995"/>
      <c r="BI43" s="2995"/>
      <c r="BJ43" s="2995"/>
      <c r="BK43" s="2995"/>
      <c r="BL43" s="2995"/>
      <c r="BM43" s="2995"/>
      <c r="BN43" s="2995"/>
      <c r="BO43" s="2995"/>
      <c r="BP43" s="2995"/>
      <c r="BQ43" s="2995"/>
      <c r="BR43" s="2995"/>
      <c r="BS43" s="2995"/>
      <c r="BT43" s="2995"/>
      <c r="BU43" s="2995"/>
      <c r="BV43" s="3075"/>
      <c r="BW43" s="2995"/>
      <c r="BX43" s="2995"/>
      <c r="BY43" s="2995"/>
    </row>
    <row r="44" spans="2:77" s="501" customFormat="1" ht="20" customHeight="1" x14ac:dyDescent="0.35">
      <c r="B44" s="834"/>
      <c r="C44" s="411" t="s">
        <v>160</v>
      </c>
      <c r="D44" s="4154" t="s">
        <v>1948</v>
      </c>
      <c r="E44" s="4154"/>
      <c r="F44" s="4154"/>
      <c r="G44" s="4154"/>
      <c r="H44" s="4154"/>
      <c r="I44" s="4154"/>
      <c r="J44" s="4154"/>
      <c r="K44" s="4154"/>
      <c r="L44" s="4154"/>
      <c r="M44" s="4154"/>
      <c r="N44" s="4154"/>
      <c r="O44" s="4154"/>
      <c r="P44" s="4154"/>
      <c r="Q44" s="4154"/>
      <c r="R44" s="4154"/>
      <c r="S44" s="4154"/>
      <c r="T44" s="4154"/>
      <c r="U44" s="402"/>
      <c r="V44" s="402"/>
      <c r="W44" s="402"/>
      <c r="X44" s="402"/>
      <c r="Y44" s="1330" t="s">
        <v>158</v>
      </c>
      <c r="Z44" s="4174" t="s">
        <v>1942</v>
      </c>
      <c r="AA44" s="4175"/>
      <c r="AB44" s="4175"/>
      <c r="AC44" s="4175"/>
      <c r="AD44" s="4175"/>
      <c r="AE44" s="4175"/>
      <c r="AF44" s="4175"/>
      <c r="AG44" s="4175"/>
      <c r="AH44" s="4175"/>
      <c r="AI44" s="4175"/>
      <c r="AJ44" s="509"/>
      <c r="AK44" s="4176" t="b">
        <v>0</v>
      </c>
      <c r="AL44" s="4177" t="s">
        <v>65</v>
      </c>
      <c r="AM44" s="402"/>
      <c r="AN44" s="509"/>
      <c r="AO44" s="509"/>
      <c r="AP44" s="4176"/>
      <c r="AQ44" s="4177" t="s">
        <v>11</v>
      </c>
      <c r="AR44" s="509"/>
      <c r="AS44" s="519"/>
      <c r="AT44" s="509"/>
      <c r="AX44" s="1096"/>
      <c r="AY44" s="1096"/>
      <c r="AZ44" s="1096"/>
      <c r="BA44" s="1096"/>
      <c r="BB44" s="1096"/>
      <c r="BC44" s="1096"/>
      <c r="BD44" s="1096"/>
      <c r="BE44" s="1096"/>
      <c r="BF44" s="2995"/>
      <c r="BG44" s="2995"/>
      <c r="BH44" s="2995"/>
      <c r="BI44" s="2995"/>
      <c r="BJ44" s="2995"/>
      <c r="BK44" s="2995"/>
      <c r="BL44" s="2995"/>
      <c r="BM44" s="2995"/>
      <c r="BN44" s="2995"/>
      <c r="BO44" s="2995"/>
      <c r="BP44" s="2995"/>
      <c r="BQ44" s="2995"/>
      <c r="BR44" s="2995"/>
      <c r="BS44" s="2995"/>
      <c r="BT44" s="2995"/>
      <c r="BU44" s="2995"/>
      <c r="BV44" s="2995"/>
      <c r="BW44" s="2995"/>
      <c r="BX44" s="2995"/>
      <c r="BY44" s="2995"/>
    </row>
    <row r="45" spans="2:77" s="501" customFormat="1" ht="20" customHeight="1" thickBot="1" x14ac:dyDescent="0.4">
      <c r="B45" s="834"/>
      <c r="C45" s="411"/>
      <c r="D45" s="4154"/>
      <c r="E45" s="4154"/>
      <c r="F45" s="4154"/>
      <c r="G45" s="4154"/>
      <c r="H45" s="4154"/>
      <c r="I45" s="4154"/>
      <c r="J45" s="4154"/>
      <c r="K45" s="4154"/>
      <c r="L45" s="4154"/>
      <c r="M45" s="4154"/>
      <c r="N45" s="4154"/>
      <c r="O45" s="4154"/>
      <c r="P45" s="4154"/>
      <c r="Q45" s="4154"/>
      <c r="R45" s="4154"/>
      <c r="S45" s="4154"/>
      <c r="T45" s="4154"/>
      <c r="U45" s="402"/>
      <c r="V45" s="402"/>
      <c r="W45" s="402"/>
      <c r="X45" s="402"/>
      <c r="Y45" s="1330"/>
      <c r="Z45" s="4174"/>
      <c r="AA45" s="4175"/>
      <c r="AB45" s="4175"/>
      <c r="AC45" s="4175"/>
      <c r="AD45" s="4175"/>
      <c r="AE45" s="4175"/>
      <c r="AF45" s="4175"/>
      <c r="AG45" s="4175"/>
      <c r="AH45" s="4175"/>
      <c r="AI45" s="4175"/>
      <c r="AJ45" s="509"/>
      <c r="AK45" s="4176"/>
      <c r="AL45" s="4177"/>
      <c r="AM45" s="402"/>
      <c r="AN45" s="509"/>
      <c r="AO45" s="509"/>
      <c r="AP45" s="4176"/>
      <c r="AQ45" s="4177"/>
      <c r="AR45" s="509"/>
      <c r="AS45" s="519"/>
      <c r="AT45" s="509"/>
      <c r="AX45" s="1096"/>
      <c r="AY45" s="1096"/>
      <c r="AZ45" s="1096"/>
      <c r="BA45" s="1096"/>
      <c r="BB45" s="1096"/>
      <c r="BC45" s="1096"/>
      <c r="BD45" s="1096"/>
      <c r="BE45" s="1096"/>
      <c r="BF45" s="1096"/>
      <c r="BG45" s="1096"/>
      <c r="BH45" s="1096"/>
      <c r="BI45" s="1096"/>
      <c r="BJ45" s="1096"/>
      <c r="BK45" s="1096"/>
      <c r="BL45" s="1096"/>
      <c r="BM45" s="1096"/>
      <c r="BN45" s="1096"/>
      <c r="BO45" s="1096"/>
      <c r="BP45" s="1096"/>
      <c r="BQ45" s="1096"/>
      <c r="BR45" s="1096"/>
      <c r="BS45" s="1096"/>
      <c r="BT45" s="1096"/>
      <c r="BU45" s="1096"/>
      <c r="BV45" s="1096"/>
      <c r="BW45" s="1096"/>
      <c r="BX45" s="1096"/>
      <c r="BY45" s="1096"/>
    </row>
    <row r="46" spans="2:77" s="812" customFormat="1" ht="20" customHeight="1" thickTop="1" thickBot="1" x14ac:dyDescent="0.4">
      <c r="B46" s="1331"/>
      <c r="D46" s="2595" t="s">
        <v>266</v>
      </c>
      <c r="E46" s="2596"/>
      <c r="F46" s="2596"/>
      <c r="G46" s="2596"/>
      <c r="H46" s="2596"/>
      <c r="I46" s="2596"/>
      <c r="J46" s="2596"/>
      <c r="K46" s="2745"/>
      <c r="L46" s="4147" t="s">
        <v>87</v>
      </c>
      <c r="M46" s="3311"/>
      <c r="N46" s="3311"/>
      <c r="O46" s="3311"/>
      <c r="P46" s="3311"/>
      <c r="Q46" s="3311"/>
      <c r="R46" s="3311"/>
      <c r="S46" s="3311"/>
      <c r="T46" s="3312"/>
      <c r="U46" s="418"/>
      <c r="V46" s="418"/>
      <c r="W46" s="418"/>
      <c r="X46" s="418"/>
      <c r="Y46" s="418"/>
      <c r="Z46" s="4175"/>
      <c r="AA46" s="4175"/>
      <c r="AB46" s="4175"/>
      <c r="AC46" s="4175"/>
      <c r="AD46" s="4175"/>
      <c r="AE46" s="4175"/>
      <c r="AF46" s="4175"/>
      <c r="AG46" s="4175"/>
      <c r="AH46" s="4175"/>
      <c r="AI46" s="4175"/>
      <c r="AJ46" s="1096"/>
      <c r="AK46" s="1096"/>
      <c r="AL46" s="1096"/>
      <c r="AM46" s="1096"/>
      <c r="AN46" s="1096"/>
      <c r="AS46" s="1332"/>
    </row>
    <row r="47" spans="2:77" s="812" customFormat="1" ht="20" customHeight="1" thickBot="1" x14ac:dyDescent="0.4">
      <c r="B47" s="1331"/>
      <c r="D47" s="2598"/>
      <c r="E47" s="2599"/>
      <c r="F47" s="2599"/>
      <c r="G47" s="2599"/>
      <c r="H47" s="2599"/>
      <c r="I47" s="2599"/>
      <c r="J47" s="2599"/>
      <c r="K47" s="4150"/>
      <c r="L47" s="4144" t="s">
        <v>14</v>
      </c>
      <c r="M47" s="4144"/>
      <c r="N47" s="4144"/>
      <c r="O47" s="4145" t="s">
        <v>15</v>
      </c>
      <c r="P47" s="4144"/>
      <c r="Q47" s="4146"/>
      <c r="R47" s="4148" t="s">
        <v>16</v>
      </c>
      <c r="S47" s="4144"/>
      <c r="T47" s="4149"/>
      <c r="U47" s="418"/>
      <c r="V47" s="418"/>
      <c r="W47" s="418"/>
      <c r="X47" s="418"/>
      <c r="Y47" s="418"/>
      <c r="Z47" s="418"/>
      <c r="AA47" s="418"/>
      <c r="AB47" s="418"/>
      <c r="AC47" s="418"/>
      <c r="AG47" s="1096"/>
      <c r="AH47" s="1096"/>
      <c r="AI47" s="1096"/>
      <c r="AJ47" s="1096"/>
      <c r="AK47" s="1096"/>
      <c r="AL47" s="1096"/>
      <c r="AM47" s="1096"/>
      <c r="AN47" s="1096"/>
      <c r="AS47" s="1332"/>
    </row>
    <row r="48" spans="2:77" s="426" customFormat="1" ht="30" customHeight="1" thickTop="1" x14ac:dyDescent="0.35">
      <c r="B48" s="811"/>
      <c r="D48" s="4151" t="s">
        <v>1872</v>
      </c>
      <c r="E48" s="4152"/>
      <c r="F48" s="4152"/>
      <c r="G48" s="4152"/>
      <c r="H48" s="4152"/>
      <c r="I48" s="4152"/>
      <c r="J48" s="4152"/>
      <c r="K48" s="4153"/>
      <c r="L48" s="4142">
        <v>0</v>
      </c>
      <c r="M48" s="3289"/>
      <c r="N48" s="3289"/>
      <c r="O48" s="4143">
        <v>0</v>
      </c>
      <c r="P48" s="3289"/>
      <c r="Q48" s="3290"/>
      <c r="R48" s="4233">
        <f>SUM(L48:Q48)</f>
        <v>0</v>
      </c>
      <c r="S48" s="4234"/>
      <c r="T48" s="4235"/>
      <c r="U48" s="852"/>
      <c r="V48" s="852"/>
      <c r="W48" s="852"/>
      <c r="X48" s="852"/>
      <c r="Y48" s="852"/>
      <c r="Z48" s="852"/>
      <c r="AA48" s="852"/>
      <c r="AB48" s="852"/>
      <c r="AC48" s="852"/>
      <c r="AG48" s="1096"/>
      <c r="AH48" s="1096"/>
      <c r="AI48" s="1096"/>
      <c r="AJ48" s="1096"/>
      <c r="AK48" s="1096"/>
      <c r="AL48" s="1096"/>
      <c r="AM48" s="1096"/>
      <c r="AN48" s="1096"/>
      <c r="AS48" s="1329"/>
    </row>
    <row r="49" spans="2:74" s="426" customFormat="1" ht="30" customHeight="1" thickBot="1" x14ac:dyDescent="0.4">
      <c r="B49" s="811"/>
      <c r="D49" s="4239" t="s">
        <v>1873</v>
      </c>
      <c r="E49" s="4240"/>
      <c r="F49" s="4240"/>
      <c r="G49" s="4240"/>
      <c r="H49" s="4240"/>
      <c r="I49" s="4240"/>
      <c r="J49" s="4240"/>
      <c r="K49" s="4241"/>
      <c r="L49" s="4231">
        <v>0</v>
      </c>
      <c r="M49" s="4232"/>
      <c r="N49" s="4232"/>
      <c r="O49" s="4242">
        <v>0</v>
      </c>
      <c r="P49" s="4232"/>
      <c r="Q49" s="4243"/>
      <c r="R49" s="4236">
        <f>SUM(L49:Q49)</f>
        <v>0</v>
      </c>
      <c r="S49" s="4237"/>
      <c r="T49" s="4238"/>
      <c r="U49" s="852"/>
      <c r="V49" s="852"/>
      <c r="W49" s="852"/>
      <c r="X49" s="852"/>
      <c r="Y49" s="852"/>
      <c r="Z49" s="852"/>
      <c r="AA49" s="852"/>
      <c r="AB49" s="852"/>
      <c r="AC49" s="852"/>
      <c r="AG49" s="1096"/>
      <c r="AH49" s="1096"/>
      <c r="AI49" s="1096"/>
      <c r="AJ49" s="1096"/>
      <c r="AK49" s="1096"/>
      <c r="AL49" s="1096"/>
      <c r="AM49" s="1096"/>
      <c r="AN49" s="1096"/>
      <c r="AS49" s="1329"/>
    </row>
    <row r="50" spans="2:74" ht="10" customHeight="1" thickTop="1" thickBot="1" x14ac:dyDescent="0.4">
      <c r="B50" s="777"/>
      <c r="C50" s="1321"/>
      <c r="D50" s="529"/>
      <c r="E50" s="529"/>
      <c r="F50" s="529"/>
      <c r="G50" s="529"/>
      <c r="H50" s="529"/>
      <c r="I50" s="529"/>
      <c r="J50" s="529"/>
      <c r="K50" s="529"/>
      <c r="L50" s="529"/>
      <c r="M50" s="529"/>
      <c r="N50" s="529"/>
      <c r="O50" s="529"/>
      <c r="P50" s="529"/>
      <c r="Q50" s="529"/>
      <c r="R50" s="529"/>
      <c r="S50" s="529"/>
      <c r="T50" s="529"/>
      <c r="U50" s="529"/>
      <c r="V50" s="529"/>
      <c r="W50" s="529"/>
      <c r="X50" s="529"/>
      <c r="Y50" s="529"/>
      <c r="Z50" s="529"/>
      <c r="AA50" s="529"/>
      <c r="AB50" s="529"/>
      <c r="AC50" s="529"/>
      <c r="AD50" s="529"/>
      <c r="AE50" s="472"/>
      <c r="AF50" s="472"/>
      <c r="AG50" s="798"/>
      <c r="AH50" s="798"/>
      <c r="AI50" s="798"/>
      <c r="AJ50" s="798"/>
      <c r="AK50" s="798"/>
      <c r="AL50" s="798"/>
      <c r="AM50" s="798"/>
      <c r="AN50" s="798"/>
      <c r="AO50" s="798"/>
      <c r="AP50" s="798"/>
      <c r="AQ50" s="798"/>
      <c r="AR50" s="798"/>
      <c r="AS50" s="923"/>
    </row>
    <row r="51" spans="2:74" s="1041" customFormat="1" ht="10" customHeight="1" thickTop="1" x14ac:dyDescent="0.35">
      <c r="B51" s="1118"/>
      <c r="C51" s="1098"/>
      <c r="D51" s="1042"/>
      <c r="E51" s="1052"/>
      <c r="F51" s="1052"/>
      <c r="G51" s="1052"/>
      <c r="H51" s="1052"/>
      <c r="I51" s="1052"/>
      <c r="J51" s="1052"/>
    </row>
    <row r="52" spans="2:74" s="501" customFormat="1" ht="145" customHeight="1" x14ac:dyDescent="0.35">
      <c r="B52" s="1322" t="s">
        <v>150</v>
      </c>
      <c r="C52" s="4224" t="s">
        <v>1877</v>
      </c>
      <c r="D52" s="4224"/>
      <c r="E52" s="4224"/>
      <c r="F52" s="4224"/>
      <c r="G52" s="4224"/>
      <c r="H52" s="4224"/>
      <c r="I52" s="4224"/>
      <c r="J52" s="4224"/>
      <c r="K52" s="4224"/>
      <c r="L52" s="4224"/>
      <c r="M52" s="4224"/>
      <c r="N52" s="4224"/>
      <c r="O52" s="4224"/>
      <c r="P52" s="4224"/>
      <c r="Q52" s="4224"/>
      <c r="R52" s="4224"/>
      <c r="S52" s="4224"/>
      <c r="T52" s="4224"/>
      <c r="U52" s="4224"/>
      <c r="V52" s="4224"/>
      <c r="W52" s="4224"/>
      <c r="X52" s="4224"/>
      <c r="Y52" s="4224"/>
      <c r="Z52" s="4224"/>
      <c r="AA52" s="4224"/>
      <c r="AB52" s="4224"/>
      <c r="AC52" s="4224"/>
      <c r="AD52" s="4224"/>
      <c r="AE52" s="4224"/>
      <c r="AF52" s="4224"/>
      <c r="AG52" s="4224"/>
      <c r="AH52" s="4224"/>
      <c r="AI52" s="4224"/>
      <c r="AJ52" s="4224"/>
      <c r="AK52" s="4224"/>
      <c r="AL52" s="4224"/>
      <c r="AM52" s="4224"/>
      <c r="AN52" s="4224"/>
      <c r="AO52" s="4224"/>
      <c r="AP52" s="4224"/>
      <c r="AQ52" s="4224"/>
      <c r="AR52" s="4224"/>
      <c r="AS52" s="4224"/>
      <c r="AT52" s="1323"/>
      <c r="AV52" s="4223"/>
      <c r="AW52" s="4223"/>
      <c r="AX52" s="4223"/>
      <c r="AY52" s="4223"/>
      <c r="AZ52" s="4223"/>
    </row>
    <row r="53" spans="2:74" s="501" customFormat="1" ht="111.5" customHeight="1" x14ac:dyDescent="0.35">
      <c r="B53" s="1322" t="s">
        <v>151</v>
      </c>
      <c r="C53" s="4225" t="s">
        <v>1878</v>
      </c>
      <c r="D53" s="4225"/>
      <c r="E53" s="4225"/>
      <c r="F53" s="4225"/>
      <c r="G53" s="4225"/>
      <c r="H53" s="4225"/>
      <c r="I53" s="4225"/>
      <c r="J53" s="4225"/>
      <c r="K53" s="4225"/>
      <c r="L53" s="4225"/>
      <c r="M53" s="4225"/>
      <c r="N53" s="4225"/>
      <c r="O53" s="4225"/>
      <c r="P53" s="4225"/>
      <c r="Q53" s="4225"/>
      <c r="R53" s="4225"/>
      <c r="S53" s="4225"/>
      <c r="T53" s="4225"/>
      <c r="U53" s="4225"/>
      <c r="V53" s="4225"/>
      <c r="W53" s="4225"/>
      <c r="X53" s="4225"/>
      <c r="Y53" s="4225"/>
      <c r="Z53" s="4225"/>
      <c r="AA53" s="4225"/>
      <c r="AB53" s="4225"/>
      <c r="AC53" s="4225"/>
      <c r="AD53" s="4225"/>
      <c r="AE53" s="4225"/>
      <c r="AF53" s="4225"/>
      <c r="AG53" s="4225"/>
      <c r="AH53" s="4225"/>
      <c r="AI53" s="4225"/>
      <c r="AJ53" s="4225"/>
      <c r="AK53" s="4225"/>
      <c r="AL53" s="4225"/>
      <c r="AM53" s="4225"/>
      <c r="AN53" s="4225"/>
      <c r="AO53" s="4225"/>
      <c r="AP53" s="4225"/>
      <c r="AQ53" s="4225"/>
      <c r="AR53" s="4225"/>
      <c r="AS53" s="4225"/>
      <c r="AT53" s="1324"/>
    </row>
    <row r="54" spans="2:74" s="501" customFormat="1" ht="69" customHeight="1" x14ac:dyDescent="0.35">
      <c r="B54" s="1325" t="s">
        <v>152</v>
      </c>
      <c r="C54" s="4244" t="s">
        <v>1945</v>
      </c>
      <c r="D54" s="4244"/>
      <c r="E54" s="4244"/>
      <c r="F54" s="4244"/>
      <c r="G54" s="4244"/>
      <c r="H54" s="4244"/>
      <c r="I54" s="4244"/>
      <c r="J54" s="4244"/>
      <c r="K54" s="4244"/>
      <c r="L54" s="4244"/>
      <c r="M54" s="4244"/>
      <c r="N54" s="4244"/>
      <c r="O54" s="4244"/>
      <c r="P54" s="4244"/>
      <c r="Q54" s="4244"/>
      <c r="R54" s="4244"/>
      <c r="S54" s="4244"/>
      <c r="T54" s="4244"/>
      <c r="U54" s="4244"/>
      <c r="V54" s="4244"/>
      <c r="W54" s="4244"/>
      <c r="X54" s="4244"/>
      <c r="Y54" s="4244"/>
      <c r="Z54" s="4244"/>
      <c r="AA54" s="4244"/>
      <c r="AB54" s="4244"/>
      <c r="AC54" s="4244"/>
      <c r="AD54" s="4244"/>
      <c r="AE54" s="4244"/>
      <c r="AF54" s="4244"/>
      <c r="AG54" s="4244"/>
      <c r="AH54" s="4244"/>
      <c r="AI54" s="4244"/>
      <c r="AJ54" s="4244"/>
      <c r="AK54" s="4244"/>
      <c r="AL54" s="4244"/>
      <c r="AM54" s="4244"/>
      <c r="AN54" s="4244"/>
      <c r="AO54" s="4244"/>
      <c r="AP54" s="4244"/>
      <c r="AQ54" s="4244"/>
      <c r="AR54" s="4244"/>
      <c r="AS54" s="4244"/>
      <c r="AT54" s="4244"/>
      <c r="AU54" s="1326"/>
    </row>
    <row r="55" spans="2:74" ht="15" customHeight="1" x14ac:dyDescent="0.35">
      <c r="C55" s="1327"/>
      <c r="D55" s="1328"/>
      <c r="E55" s="1328"/>
      <c r="F55" s="1328"/>
      <c r="G55" s="1328"/>
      <c r="H55" s="1328"/>
      <c r="I55" s="1328"/>
      <c r="J55" s="1328"/>
      <c r="K55" s="1328"/>
      <c r="L55" s="1328"/>
      <c r="M55" s="1328"/>
      <c r="N55" s="1328"/>
      <c r="O55" s="1328"/>
      <c r="P55" s="1328"/>
      <c r="Q55" s="1328"/>
      <c r="R55" s="1328"/>
      <c r="S55" s="1328"/>
      <c r="T55" s="1328"/>
      <c r="U55" s="1328"/>
      <c r="V55" s="1328"/>
      <c r="W55" s="1328"/>
      <c r="X55" s="1328"/>
      <c r="Y55" s="1328"/>
      <c r="Z55" s="1328"/>
      <c r="AA55" s="1328"/>
      <c r="AB55" s="1328"/>
      <c r="AC55" s="1328"/>
      <c r="AD55" s="1328"/>
      <c r="AE55" s="403"/>
      <c r="AF55" s="403"/>
      <c r="AG55" s="1098"/>
      <c r="AH55" s="590"/>
      <c r="AL55" s="1098"/>
      <c r="AM55" s="590"/>
    </row>
    <row r="56" spans="2:74" s="97" customFormat="1" ht="33" customHeight="1" x14ac:dyDescent="0.35">
      <c r="B56" s="417" t="s">
        <v>171</v>
      </c>
      <c r="C56" s="86"/>
      <c r="D56" s="85"/>
      <c r="E56" s="1580" t="s">
        <v>1075</v>
      </c>
      <c r="F56" s="1580"/>
      <c r="G56" s="1580"/>
      <c r="H56" s="1580"/>
      <c r="I56" s="1580"/>
      <c r="J56" s="1580"/>
      <c r="K56" s="1580"/>
      <c r="L56" s="1580"/>
      <c r="M56" s="1580"/>
      <c r="N56" s="1580"/>
      <c r="O56" s="1580"/>
      <c r="P56" s="1580"/>
      <c r="Q56" s="1580"/>
      <c r="R56" s="1580"/>
      <c r="S56" s="1580"/>
      <c r="T56" s="1580"/>
      <c r="U56" s="1580"/>
      <c r="V56" s="1580"/>
      <c r="W56" s="1580"/>
      <c r="X56" s="1580"/>
      <c r="Y56" s="1580"/>
      <c r="Z56" s="1580"/>
      <c r="AA56" s="1580"/>
      <c r="AB56" s="1580"/>
      <c r="AC56" s="1580"/>
      <c r="AD56" s="1580"/>
      <c r="AE56" s="1580"/>
      <c r="AF56" s="1580"/>
      <c r="AG56" s="1580"/>
      <c r="AH56" s="1580"/>
      <c r="AI56" s="1580"/>
      <c r="AJ56" s="1580"/>
      <c r="AK56" s="1580"/>
      <c r="AL56" s="1580"/>
      <c r="AM56" s="1580"/>
      <c r="AN56" s="1580"/>
      <c r="AO56" s="1580"/>
      <c r="AP56" s="1580"/>
      <c r="AQ56" s="1580"/>
      <c r="AR56" s="1580"/>
      <c r="AS56" s="1580"/>
      <c r="AT56" s="1091"/>
      <c r="AU56" s="1091"/>
      <c r="AV56" s="1091"/>
      <c r="AW56" s="1091"/>
      <c r="AX56" s="1091"/>
      <c r="AY56" s="1091"/>
      <c r="AZ56" s="417"/>
      <c r="BA56" s="417"/>
      <c r="BB56" s="417"/>
      <c r="BC56" s="417"/>
      <c r="BD56" s="417"/>
      <c r="BE56" s="417"/>
      <c r="BF56" s="417"/>
      <c r="BG56" s="417"/>
      <c r="BH56" s="417"/>
      <c r="BI56" s="417"/>
      <c r="BJ56" s="417"/>
      <c r="BK56" s="417"/>
      <c r="BL56" s="417"/>
      <c r="BM56" s="417"/>
      <c r="BN56" s="417"/>
      <c r="BO56" s="417"/>
      <c r="BP56" s="417"/>
      <c r="BQ56" s="417"/>
      <c r="BR56" s="417"/>
      <c r="BS56" s="417"/>
      <c r="BV56" s="98"/>
    </row>
    <row r="57" spans="2:74" s="44" customFormat="1" ht="30" customHeight="1" x14ac:dyDescent="0.35">
      <c r="C57" s="85"/>
      <c r="E57" s="85"/>
      <c r="G57" s="85"/>
      <c r="I57" s="85"/>
      <c r="K57" s="85"/>
      <c r="M57" s="85"/>
      <c r="O57" s="85"/>
      <c r="P57" s="85"/>
      <c r="Q57" s="85"/>
      <c r="S57" s="85"/>
      <c r="U57" s="85"/>
      <c r="W57" s="85"/>
      <c r="Y57" s="85"/>
      <c r="AA57" s="85"/>
      <c r="AC57" s="85"/>
      <c r="AE57" s="85"/>
      <c r="AH57" s="85"/>
      <c r="AJ57" s="85"/>
      <c r="AL57" s="85"/>
      <c r="AN57" s="85"/>
      <c r="AP57" s="85"/>
      <c r="AR57" s="85"/>
      <c r="AT57" s="85"/>
    </row>
    <row r="58" spans="2:74" s="73" customFormat="1" ht="14" x14ac:dyDescent="0.3">
      <c r="B58" s="74" t="s">
        <v>12</v>
      </c>
      <c r="T58" s="74" t="s">
        <v>1077</v>
      </c>
      <c r="AH58" s="74" t="s">
        <v>922</v>
      </c>
    </row>
    <row r="59" spans="2:74" s="73" customFormat="1" ht="21.5" customHeight="1" x14ac:dyDescent="0.3">
      <c r="B59" s="74" t="s">
        <v>811</v>
      </c>
      <c r="F59" s="1482" t="str">
        <f>SchInfo!F38</f>
        <v>MELCHESIEDICK Q. BOLANIO/ March 17, 2023</v>
      </c>
      <c r="G59" s="1482"/>
      <c r="H59" s="1482"/>
      <c r="I59" s="1482"/>
      <c r="J59" s="1482"/>
      <c r="K59" s="1482"/>
      <c r="L59" s="1482"/>
      <c r="M59" s="1482"/>
      <c r="N59" s="1482"/>
      <c r="O59" s="1482"/>
      <c r="P59" s="1482"/>
      <c r="Q59" s="1482"/>
      <c r="R59" s="545"/>
      <c r="S59" s="545"/>
      <c r="T59" s="1453" t="s">
        <v>12804</v>
      </c>
      <c r="U59" s="1453"/>
      <c r="V59" s="1453"/>
      <c r="W59" s="1453"/>
      <c r="X59" s="1453"/>
      <c r="Y59" s="1453"/>
      <c r="Z59" s="1453"/>
      <c r="AA59" s="1453"/>
      <c r="AB59" s="1453"/>
      <c r="AC59" s="1453"/>
      <c r="AD59" s="1453"/>
      <c r="AE59" s="1453"/>
      <c r="AH59" s="1484" t="str">
        <f>SchInfo!R38</f>
        <v>MICHAEL T. JAMIS   /  March 17, 2023</v>
      </c>
      <c r="AI59" s="1484"/>
      <c r="AJ59" s="1484"/>
      <c r="AK59" s="1484"/>
      <c r="AL59" s="1484"/>
      <c r="AM59" s="1484"/>
      <c r="AN59" s="1484"/>
      <c r="AO59" s="1484"/>
      <c r="AP59" s="1484"/>
      <c r="AQ59" s="1484"/>
      <c r="AR59" s="1484"/>
      <c r="AS59" s="1484"/>
    </row>
    <row r="60" spans="2:74" s="68" customFormat="1" ht="13.5" customHeight="1" x14ac:dyDescent="0.3">
      <c r="B60" s="210"/>
      <c r="F60" s="1452" t="s">
        <v>779</v>
      </c>
      <c r="G60" s="1452"/>
      <c r="H60" s="1452"/>
      <c r="I60" s="1452"/>
      <c r="J60" s="1452"/>
      <c r="K60" s="1452"/>
      <c r="L60" s="1452"/>
      <c r="M60" s="1452"/>
      <c r="N60" s="1452"/>
      <c r="O60" s="1452"/>
      <c r="P60" s="1452"/>
      <c r="Q60" s="1452"/>
      <c r="R60" s="220"/>
      <c r="S60" s="220"/>
      <c r="T60" s="1452" t="s">
        <v>779</v>
      </c>
      <c r="U60" s="1452"/>
      <c r="V60" s="1452"/>
      <c r="W60" s="1452"/>
      <c r="X60" s="1452"/>
      <c r="Y60" s="1452"/>
      <c r="Z60" s="1452"/>
      <c r="AA60" s="1452"/>
      <c r="AB60" s="1452"/>
      <c r="AC60" s="1452"/>
      <c r="AD60" s="1452"/>
      <c r="AE60" s="1452"/>
      <c r="AH60" s="1485"/>
      <c r="AI60" s="1485"/>
      <c r="AJ60" s="1485"/>
      <c r="AK60" s="1485"/>
      <c r="AL60" s="1485"/>
      <c r="AM60" s="1485"/>
      <c r="AN60" s="1485"/>
      <c r="AO60" s="1485"/>
      <c r="AP60" s="1485"/>
      <c r="AQ60" s="1485"/>
      <c r="AR60" s="1485"/>
      <c r="AS60" s="1485"/>
    </row>
    <row r="61" spans="2:74" s="73" customFormat="1" ht="21.5" customHeight="1" x14ac:dyDescent="0.3">
      <c r="B61" s="74" t="s">
        <v>784</v>
      </c>
      <c r="F61" s="1482" t="str">
        <f>SchInfo!F40</f>
        <v>Principal IV</v>
      </c>
      <c r="G61" s="1482"/>
      <c r="H61" s="1482"/>
      <c r="I61" s="1482"/>
      <c r="J61" s="1482"/>
      <c r="K61" s="1482"/>
      <c r="L61" s="1482"/>
      <c r="M61" s="1482"/>
      <c r="N61" s="1482"/>
      <c r="O61" s="1482"/>
      <c r="P61" s="1482"/>
      <c r="Q61" s="1482"/>
      <c r="R61" s="545"/>
      <c r="S61" s="545"/>
      <c r="T61" s="74" t="s">
        <v>784</v>
      </c>
      <c r="X61" s="1453" t="s">
        <v>12805</v>
      </c>
      <c r="Y61" s="1453"/>
      <c r="Z61" s="1453"/>
      <c r="AA61" s="1453"/>
      <c r="AB61" s="1453"/>
      <c r="AC61" s="1453"/>
      <c r="AD61" s="1453"/>
      <c r="AE61" s="1453"/>
      <c r="AH61" s="1452" t="s">
        <v>779</v>
      </c>
      <c r="AI61" s="1452"/>
      <c r="AJ61" s="1452"/>
      <c r="AK61" s="1452"/>
      <c r="AL61" s="1452"/>
      <c r="AM61" s="1452"/>
      <c r="AN61" s="1452"/>
      <c r="AO61" s="1452"/>
      <c r="AP61" s="1452"/>
      <c r="AQ61" s="1452"/>
      <c r="AR61" s="1452"/>
      <c r="AS61" s="1452"/>
    </row>
    <row r="62" spans="2:74" s="124" customFormat="1" ht="30" customHeight="1" x14ac:dyDescent="0.3">
      <c r="B62" s="123"/>
      <c r="D62" s="123"/>
      <c r="F62" s="123"/>
      <c r="H62" s="123"/>
      <c r="J62" s="123"/>
      <c r="L62" s="123"/>
      <c r="N62" s="123"/>
      <c r="R62" s="85"/>
      <c r="S62" s="85"/>
      <c r="T62" s="123"/>
      <c r="V62" s="123"/>
      <c r="X62" s="123"/>
      <c r="Z62" s="123"/>
      <c r="AB62" s="123"/>
      <c r="AD62" s="123"/>
      <c r="AF62" s="123"/>
      <c r="AH62" s="123"/>
      <c r="AJ62" s="123"/>
      <c r="AL62" s="123"/>
      <c r="AN62" s="123"/>
      <c r="AP62" s="123"/>
      <c r="AR62" s="123"/>
      <c r="AT62" s="123"/>
    </row>
    <row r="63" spans="2:74" s="73" customFormat="1" ht="14" x14ac:dyDescent="0.3">
      <c r="B63" s="74" t="s">
        <v>908</v>
      </c>
      <c r="R63" s="74"/>
      <c r="AH63" s="74" t="s">
        <v>912</v>
      </c>
    </row>
    <row r="64" spans="2:74" s="73" customFormat="1" ht="21.5" customHeight="1" x14ac:dyDescent="0.3">
      <c r="B64" s="1482" t="str">
        <f>'Table33a-b'!R42</f>
        <v>RACQUEL N. ACOMPAÑADO</v>
      </c>
      <c r="C64" s="1482"/>
      <c r="D64" s="1482"/>
      <c r="E64" s="1482"/>
      <c r="F64" s="1482"/>
      <c r="G64" s="1482"/>
      <c r="H64" s="1482"/>
      <c r="I64" s="1482"/>
      <c r="J64" s="1482"/>
      <c r="K64" s="1482"/>
      <c r="L64" s="1482"/>
      <c r="M64" s="1482"/>
      <c r="N64" s="1482"/>
      <c r="O64" s="1482"/>
      <c r="P64" s="1482"/>
      <c r="Q64" s="1482"/>
      <c r="AH64" s="1482" t="str">
        <f>'Tables7-8'!AI5</f>
        <v>ELMA CEZARIE Y. ROMERO  /  May 17, 2023</v>
      </c>
      <c r="AI64" s="1482"/>
      <c r="AJ64" s="1482"/>
      <c r="AK64" s="1482"/>
      <c r="AL64" s="1482"/>
      <c r="AM64" s="1482"/>
      <c r="AN64" s="1482"/>
      <c r="AO64" s="1482"/>
      <c r="AP64" s="1482"/>
      <c r="AQ64" s="1482"/>
      <c r="AR64" s="1482"/>
      <c r="AS64" s="1482"/>
    </row>
    <row r="65" spans="2:45" s="68" customFormat="1" ht="13.5" customHeight="1" x14ac:dyDescent="0.3">
      <c r="B65" s="1452" t="s">
        <v>779</v>
      </c>
      <c r="C65" s="1452"/>
      <c r="D65" s="1452"/>
      <c r="E65" s="1452"/>
      <c r="F65" s="1452"/>
      <c r="G65" s="1452"/>
      <c r="H65" s="1452"/>
      <c r="I65" s="1452"/>
      <c r="J65" s="1452"/>
      <c r="K65" s="1452"/>
      <c r="L65" s="1452"/>
      <c r="M65" s="1452"/>
      <c r="N65" s="1452"/>
      <c r="O65" s="1452"/>
      <c r="P65" s="1452"/>
      <c r="Q65" s="1452"/>
      <c r="R65" s="172"/>
      <c r="S65" s="172"/>
      <c r="T65" s="172"/>
      <c r="U65" s="172"/>
      <c r="V65" s="172"/>
      <c r="W65" s="172"/>
      <c r="X65" s="172"/>
      <c r="Y65" s="172"/>
      <c r="Z65" s="172"/>
      <c r="AA65" s="172"/>
      <c r="AB65" s="172"/>
      <c r="AC65" s="172"/>
      <c r="AD65" s="172"/>
      <c r="AE65" s="172"/>
      <c r="AF65" s="172"/>
      <c r="AH65" s="1452" t="s">
        <v>779</v>
      </c>
      <c r="AI65" s="1452"/>
      <c r="AJ65" s="1452"/>
      <c r="AK65" s="1452"/>
      <c r="AL65" s="1452"/>
      <c r="AM65" s="1452"/>
      <c r="AN65" s="1452"/>
      <c r="AO65" s="1452"/>
      <c r="AP65" s="1452"/>
      <c r="AQ65" s="1452"/>
      <c r="AR65" s="1452"/>
      <c r="AS65" s="1452"/>
    </row>
    <row r="66" spans="2:45" s="73" customFormat="1" ht="21.5" customHeight="1" x14ac:dyDescent="0.3">
      <c r="B66" s="74" t="s">
        <v>784</v>
      </c>
      <c r="F66" s="1482" t="str">
        <f>'Table33a-b'!V44</f>
        <v>Nurse II</v>
      </c>
      <c r="G66" s="1482"/>
      <c r="H66" s="1482"/>
      <c r="I66" s="1482"/>
      <c r="J66" s="1482"/>
      <c r="K66" s="1482"/>
      <c r="L66" s="1482"/>
      <c r="M66" s="1482"/>
      <c r="N66" s="1482"/>
      <c r="O66" s="1482"/>
      <c r="P66" s="1482"/>
      <c r="Q66" s="1482"/>
      <c r="R66" s="74"/>
      <c r="AH66" s="74" t="s">
        <v>784</v>
      </c>
      <c r="AL66" s="1482" t="str">
        <f>'Tables7-8'!AM7</f>
        <v>Administrative Officer</v>
      </c>
      <c r="AM66" s="1482"/>
      <c r="AN66" s="1482"/>
      <c r="AO66" s="1482"/>
      <c r="AP66" s="1482"/>
      <c r="AQ66" s="1482"/>
      <c r="AR66" s="1482"/>
      <c r="AS66" s="1482"/>
    </row>
  </sheetData>
  <sheetProtection algorithmName="SHA-512" hashValue="e7ZHYuCIxXFZC/rm09OsUiog6l9qa+C6Bj3qEiUAewmlykdBnwdYvUOub7pOzR5qAJnoykiLr9x9MN7A1jQ5+w==" saltValue="pM9YLW+1H8DutNuvcVYGyg==" spinCount="100000" sheet="1" objects="1" scenarios="1" selectLockedCells="1"/>
  <mergeCells count="147">
    <mergeCell ref="O31:U31"/>
    <mergeCell ref="L49:N49"/>
    <mergeCell ref="R48:T48"/>
    <mergeCell ref="R49:T49"/>
    <mergeCell ref="D49:K49"/>
    <mergeCell ref="O49:Q49"/>
    <mergeCell ref="X61:AE61"/>
    <mergeCell ref="AH64:AS64"/>
    <mergeCell ref="AH65:AS65"/>
    <mergeCell ref="C54:AT54"/>
    <mergeCell ref="Y36:AA36"/>
    <mergeCell ref="AB36:AD36"/>
    <mergeCell ref="AE36:AG36"/>
    <mergeCell ref="D36:F36"/>
    <mergeCell ref="G36:I36"/>
    <mergeCell ref="J36:L36"/>
    <mergeCell ref="M36:O36"/>
    <mergeCell ref="P36:R36"/>
    <mergeCell ref="AE37:AG37"/>
    <mergeCell ref="P37:R37"/>
    <mergeCell ref="S37:U37"/>
    <mergeCell ref="V37:X37"/>
    <mergeCell ref="Y37:AA37"/>
    <mergeCell ref="AB37:AD37"/>
    <mergeCell ref="AL66:AS66"/>
    <mergeCell ref="F59:Q59"/>
    <mergeCell ref="F60:Q60"/>
    <mergeCell ref="F61:Q61"/>
    <mergeCell ref="B64:Q64"/>
    <mergeCell ref="B65:Q65"/>
    <mergeCell ref="F66:Q66"/>
    <mergeCell ref="AH59:AS60"/>
    <mergeCell ref="AH61:AS61"/>
    <mergeCell ref="AV52:AZ52"/>
    <mergeCell ref="C52:AS52"/>
    <mergeCell ref="C53:AS53"/>
    <mergeCell ref="E56:AS56"/>
    <mergeCell ref="T60:AE60"/>
    <mergeCell ref="T59:AE59"/>
    <mergeCell ref="Z23:AB23"/>
    <mergeCell ref="T22:V22"/>
    <mergeCell ref="W22:Y22"/>
    <mergeCell ref="Z30:AI31"/>
    <mergeCell ref="AK30:AK31"/>
    <mergeCell ref="E25:AG26"/>
    <mergeCell ref="D35:I35"/>
    <mergeCell ref="J35:O35"/>
    <mergeCell ref="P35:U35"/>
    <mergeCell ref="V35:AA35"/>
    <mergeCell ref="AB35:AG35"/>
    <mergeCell ref="AL30:AL31"/>
    <mergeCell ref="AP30:AP31"/>
    <mergeCell ref="AQ30:AQ31"/>
    <mergeCell ref="AP25:AP26"/>
    <mergeCell ref="AQ25:AQ26"/>
    <mergeCell ref="S36:U36"/>
    <mergeCell ref="V36:X36"/>
    <mergeCell ref="E21:M21"/>
    <mergeCell ref="E22:M22"/>
    <mergeCell ref="N18:AQ18"/>
    <mergeCell ref="AK25:AK26"/>
    <mergeCell ref="AL25:AL26"/>
    <mergeCell ref="E18:M20"/>
    <mergeCell ref="E23:M23"/>
    <mergeCell ref="AC23:AE23"/>
    <mergeCell ref="AF23:AH23"/>
    <mergeCell ref="AI23:AK23"/>
    <mergeCell ref="AL23:AN23"/>
    <mergeCell ref="AO23:AQ23"/>
    <mergeCell ref="AO22:AQ22"/>
    <mergeCell ref="AC22:AE22"/>
    <mergeCell ref="AL22:AN22"/>
    <mergeCell ref="AC20:AE20"/>
    <mergeCell ref="AI21:AK21"/>
    <mergeCell ref="AL21:AN21"/>
    <mergeCell ref="AO21:AQ21"/>
    <mergeCell ref="N21:P21"/>
    <mergeCell ref="Q21:S21"/>
    <mergeCell ref="T21:V21"/>
    <mergeCell ref="W21:Y21"/>
    <mergeCell ref="Z21:AB21"/>
    <mergeCell ref="AC21:AE21"/>
    <mergeCell ref="AF21:AH21"/>
    <mergeCell ref="N22:P22"/>
    <mergeCell ref="Q22:S22"/>
    <mergeCell ref="AF22:AH22"/>
    <mergeCell ref="AI22:AK22"/>
    <mergeCell ref="N23:P23"/>
    <mergeCell ref="Q23:S23"/>
    <mergeCell ref="Z22:AB22"/>
    <mergeCell ref="T23:V23"/>
    <mergeCell ref="W23:Y23"/>
    <mergeCell ref="AF20:AH20"/>
    <mergeCell ref="AI20:AK20"/>
    <mergeCell ref="AL20:AN20"/>
    <mergeCell ref="AO20:AQ20"/>
    <mergeCell ref="N20:P20"/>
    <mergeCell ref="Q20:S20"/>
    <mergeCell ref="T20:V20"/>
    <mergeCell ref="W20:Y20"/>
    <mergeCell ref="Z20:AB20"/>
    <mergeCell ref="E7:AQ8"/>
    <mergeCell ref="E9:AQ10"/>
    <mergeCell ref="E11:AQ12"/>
    <mergeCell ref="D11:D12"/>
    <mergeCell ref="D7:D8"/>
    <mergeCell ref="D9:D10"/>
    <mergeCell ref="N19:S19"/>
    <mergeCell ref="T19:Y19"/>
    <mergeCell ref="Z19:AE19"/>
    <mergeCell ref="AF19:AK19"/>
    <mergeCell ref="AL19:AQ19"/>
    <mergeCell ref="D37:F37"/>
    <mergeCell ref="G37:I37"/>
    <mergeCell ref="J37:L37"/>
    <mergeCell ref="M37:O37"/>
    <mergeCell ref="BV43:BY44"/>
    <mergeCell ref="BF43:BI44"/>
    <mergeCell ref="BJ43:BM44"/>
    <mergeCell ref="BN43:BQ44"/>
    <mergeCell ref="BR43:BU44"/>
    <mergeCell ref="Z41:AD41"/>
    <mergeCell ref="AE41:AI41"/>
    <mergeCell ref="AJ41:AN41"/>
    <mergeCell ref="Z42:AD42"/>
    <mergeCell ref="AE42:AI42"/>
    <mergeCell ref="AJ42:AN42"/>
    <mergeCell ref="Z44:AI46"/>
    <mergeCell ref="AK44:AK45"/>
    <mergeCell ref="AL44:AL45"/>
    <mergeCell ref="AP44:AP45"/>
    <mergeCell ref="AQ44:AQ45"/>
    <mergeCell ref="D41:H41"/>
    <mergeCell ref="D42:H42"/>
    <mergeCell ref="I41:M41"/>
    <mergeCell ref="I42:M42"/>
    <mergeCell ref="N41:R41"/>
    <mergeCell ref="N42:R42"/>
    <mergeCell ref="L48:N48"/>
    <mergeCell ref="O48:Q48"/>
    <mergeCell ref="L47:N47"/>
    <mergeCell ref="O47:Q47"/>
    <mergeCell ref="L46:T46"/>
    <mergeCell ref="R47:T47"/>
    <mergeCell ref="D46:K47"/>
    <mergeCell ref="D48:K48"/>
    <mergeCell ref="D44:T45"/>
  </mergeCells>
  <conditionalFormatting sqref="D14 E16">
    <cfRule type="expression" dxfId="28" priority="18">
      <formula>$AI$22</formula>
    </cfRule>
    <cfRule type="expression" dxfId="27" priority="19">
      <formula>$AI$21</formula>
    </cfRule>
    <cfRule type="expression" dxfId="26" priority="21">
      <formula>$AF$21</formula>
    </cfRule>
    <cfRule type="expression" dxfId="25" priority="25">
      <formula>$Z$21</formula>
    </cfRule>
    <cfRule type="expression" dxfId="24" priority="26">
      <formula>$W$22</formula>
    </cfRule>
    <cfRule type="expression" dxfId="23" priority="27">
      <formula>$W$21</formula>
    </cfRule>
    <cfRule type="expression" dxfId="22" priority="28">
      <formula>$T$22</formula>
    </cfRule>
    <cfRule type="expression" dxfId="21" priority="29">
      <formula>$T$21</formula>
    </cfRule>
    <cfRule type="expression" dxfId="20" priority="30">
      <formula>$Q$22</formula>
    </cfRule>
    <cfRule type="expression" dxfId="19" priority="31">
      <formula>$N$22</formula>
    </cfRule>
    <cfRule type="expression" dxfId="18" priority="32">
      <formula>$Q$21</formula>
    </cfRule>
    <cfRule type="expression" dxfId="17" priority="33">
      <formula>$N$21</formula>
    </cfRule>
    <cfRule type="expression" dxfId="16" priority="35">
      <formula>$D$11</formula>
    </cfRule>
    <cfRule type="expression" dxfId="15" priority="36">
      <formula>$D$9</formula>
    </cfRule>
    <cfRule type="expression" dxfId="14" priority="37">
      <formula>$D$7</formula>
    </cfRule>
  </conditionalFormatting>
  <conditionalFormatting sqref="E16 D14">
    <cfRule type="expression" dxfId="13" priority="24">
      <formula>$Z$22</formula>
    </cfRule>
  </conditionalFormatting>
  <conditionalFormatting sqref="AC21 D14 E16">
    <cfRule type="expression" dxfId="12" priority="23">
      <formula>$AC$21</formula>
    </cfRule>
  </conditionalFormatting>
  <conditionalFormatting sqref="AC22 D14 E16">
    <cfRule type="expression" dxfId="11" priority="22">
      <formula>$AC$22</formula>
    </cfRule>
  </conditionalFormatting>
  <conditionalFormatting sqref="AF22 D14 E16">
    <cfRule type="expression" dxfId="10" priority="20">
      <formula>$AF$22</formula>
    </cfRule>
  </conditionalFormatting>
  <conditionalFormatting sqref="C14">
    <cfRule type="expression" dxfId="9" priority="8">
      <formula>AND(OR(D7=TRUE, D9=TRUE, D11=TRUE), OR(N23&gt;0, Q23&gt;0, T23&gt;0, W23&gt;0, Z23&gt;0, AC23&gt;0, AF23&gt;0, AI23&gt;0))</formula>
    </cfRule>
    <cfRule type="expression" dxfId="8" priority="17">
      <formula>OR(D7=TRUE, D9=TRUE, D11=TRUE)</formula>
    </cfRule>
  </conditionalFormatting>
  <conditionalFormatting sqref="D16">
    <cfRule type="expression" dxfId="7" priority="7">
      <formula>AND(OR(D7=TRUE, D9=TRUE, D11=TRUE), OR(N23&gt;0, Q23&gt;0, T23&gt;0, W23&gt;0, Z23&gt;0, AC23&gt;0, AF23&gt;0, AI23&gt;0))</formula>
    </cfRule>
    <cfRule type="expression" dxfId="6" priority="16">
      <formula>OR(D7=TRUE, D9=TRUE, D11=TRUE)</formula>
    </cfRule>
  </conditionalFormatting>
  <conditionalFormatting sqref="D25">
    <cfRule type="expression" dxfId="5" priority="3">
      <formula>(AK25=TRUE)</formula>
    </cfRule>
    <cfRule type="expression" dxfId="4" priority="6">
      <formula>OR(D7=TRUE, D9=TRUE, D11=TRUE)</formula>
    </cfRule>
  </conditionalFormatting>
  <conditionalFormatting sqref="E25:AG26">
    <cfRule type="expression" dxfId="3" priority="4">
      <formula>(AK25=TRUE)</formula>
    </cfRule>
    <cfRule type="expression" dxfId="2" priority="5">
      <formula>OR(D7=TRUE, D9=TRUE, D11=TRUE)</formula>
    </cfRule>
  </conditionalFormatting>
  <conditionalFormatting sqref="G31">
    <cfRule type="expression" dxfId="1" priority="1">
      <formula>AND((O30=TRUE), O31&gt;0)</formula>
    </cfRule>
    <cfRule type="expression" dxfId="0" priority="2">
      <formula>(O30=TRUE)</formula>
    </cfRule>
  </conditionalFormatting>
  <dataValidations count="2">
    <dataValidation type="whole" allowBlank="1" showInputMessage="1" showErrorMessage="1" errorTitle="GJHSP SY 2022-2023" error="Please enter a valid number between 0-20000" sqref="L48:Q49" xr:uid="{3A7631A8-4DCD-4A11-A754-6322909489AE}">
      <formula1>0</formula1>
      <formula2>20000</formula2>
    </dataValidation>
    <dataValidation type="whole" allowBlank="1" showInputMessage="1" showErrorMessage="1" errorTitle="GJHSP SY 2022-2023" error="Please enter valid number between 0-999." sqref="N21:AK22 D37:AA37 D42:M42 Z42:AI42" xr:uid="{90BD17F1-7802-4DFC-8A3D-66D6C342CE30}">
      <formula1>0</formula1>
      <formula2>999</formula2>
    </dataValidation>
  </dataValidations>
  <printOptions horizontalCentered="1" verticalCentered="1"/>
  <pageMargins left="0.25" right="0.25" top="0.2" bottom="0.2" header="0" footer="0.1"/>
  <pageSetup paperSize="9" scale="54" orientation="portrait" r:id="rId1"/>
  <headerFooter alignWithMargins="0">
    <oddFooter>&amp;L&amp;10&amp;F &amp;A&amp;R&amp;10Page 63 of 63</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95233" r:id="rId4" name="Check Box 1">
              <controlPr defaultSize="0" autoFill="0" autoLine="0" autoPict="0">
                <anchor moveWithCells="1">
                  <from>
                    <xdr:col>3</xdr:col>
                    <xdr:colOff>50800</xdr:colOff>
                    <xdr:row>6</xdr:row>
                    <xdr:rowOff>6350</xdr:rowOff>
                  </from>
                  <to>
                    <xdr:col>4</xdr:col>
                    <xdr:colOff>254000</xdr:colOff>
                    <xdr:row>7</xdr:row>
                    <xdr:rowOff>12700</xdr:rowOff>
                  </to>
                </anchor>
              </controlPr>
            </control>
          </mc:Choice>
        </mc:AlternateContent>
        <mc:AlternateContent xmlns:mc="http://schemas.openxmlformats.org/markup-compatibility/2006">
          <mc:Choice Requires="x14">
            <control shapeId="95234" r:id="rId5" name="Check Box 2">
              <controlPr defaultSize="0" autoFill="0" autoLine="0" autoPict="0">
                <anchor moveWithCells="1">
                  <from>
                    <xdr:col>3</xdr:col>
                    <xdr:colOff>50800</xdr:colOff>
                    <xdr:row>8</xdr:row>
                    <xdr:rowOff>25400</xdr:rowOff>
                  </from>
                  <to>
                    <xdr:col>4</xdr:col>
                    <xdr:colOff>254000</xdr:colOff>
                    <xdr:row>9</xdr:row>
                    <xdr:rowOff>25400</xdr:rowOff>
                  </to>
                </anchor>
              </controlPr>
            </control>
          </mc:Choice>
        </mc:AlternateContent>
        <mc:AlternateContent xmlns:mc="http://schemas.openxmlformats.org/markup-compatibility/2006">
          <mc:Choice Requires="x14">
            <control shapeId="95235" r:id="rId6" name="Check Box 3">
              <controlPr defaultSize="0" autoFill="0" autoLine="0" autoPict="0">
                <anchor moveWithCells="1">
                  <from>
                    <xdr:col>3</xdr:col>
                    <xdr:colOff>44450</xdr:colOff>
                    <xdr:row>10</xdr:row>
                    <xdr:rowOff>0</xdr:rowOff>
                  </from>
                  <to>
                    <xdr:col>4</xdr:col>
                    <xdr:colOff>241300</xdr:colOff>
                    <xdr:row>11</xdr:row>
                    <xdr:rowOff>6350</xdr:rowOff>
                  </to>
                </anchor>
              </controlPr>
            </control>
          </mc:Choice>
        </mc:AlternateContent>
        <mc:AlternateContent xmlns:mc="http://schemas.openxmlformats.org/markup-compatibility/2006">
          <mc:Choice Requires="x14">
            <control shapeId="95236" r:id="rId7" name="Check Box 4">
              <controlPr defaultSize="0" autoFill="0" autoLine="0" autoPict="0">
                <anchor moveWithCells="1">
                  <from>
                    <xdr:col>14</xdr:col>
                    <xdr:colOff>44450</xdr:colOff>
                    <xdr:row>27</xdr:row>
                    <xdr:rowOff>0</xdr:rowOff>
                  </from>
                  <to>
                    <xdr:col>15</xdr:col>
                    <xdr:colOff>241300</xdr:colOff>
                    <xdr:row>27</xdr:row>
                    <xdr:rowOff>222250</xdr:rowOff>
                  </to>
                </anchor>
              </controlPr>
            </control>
          </mc:Choice>
        </mc:AlternateContent>
        <mc:AlternateContent xmlns:mc="http://schemas.openxmlformats.org/markup-compatibility/2006">
          <mc:Choice Requires="x14">
            <control shapeId="95237" r:id="rId8" name="Check Box 5">
              <controlPr defaultSize="0" autoFill="0" autoLine="0" autoPict="0">
                <anchor moveWithCells="1">
                  <from>
                    <xdr:col>14</xdr:col>
                    <xdr:colOff>44450</xdr:colOff>
                    <xdr:row>29</xdr:row>
                    <xdr:rowOff>0</xdr:rowOff>
                  </from>
                  <to>
                    <xdr:col>15</xdr:col>
                    <xdr:colOff>241300</xdr:colOff>
                    <xdr:row>29</xdr:row>
                    <xdr:rowOff>222250</xdr:rowOff>
                  </to>
                </anchor>
              </controlPr>
            </control>
          </mc:Choice>
        </mc:AlternateContent>
        <mc:AlternateContent xmlns:mc="http://schemas.openxmlformats.org/markup-compatibility/2006">
          <mc:Choice Requires="x14">
            <control shapeId="95238" r:id="rId9" name="Check Box 6">
              <controlPr defaultSize="0" autoFill="0" autoLine="0" autoPict="0">
                <anchor moveWithCells="1">
                  <from>
                    <xdr:col>19</xdr:col>
                    <xdr:colOff>50800</xdr:colOff>
                    <xdr:row>27</xdr:row>
                    <xdr:rowOff>25400</xdr:rowOff>
                  </from>
                  <to>
                    <xdr:col>20</xdr:col>
                    <xdr:colOff>254000</xdr:colOff>
                    <xdr:row>27</xdr:row>
                    <xdr:rowOff>241300</xdr:rowOff>
                  </to>
                </anchor>
              </controlPr>
            </control>
          </mc:Choice>
        </mc:AlternateContent>
        <mc:AlternateContent xmlns:mc="http://schemas.openxmlformats.org/markup-compatibility/2006">
          <mc:Choice Requires="x14">
            <control shapeId="95239" r:id="rId10" name="Check Box 7">
              <controlPr defaultSize="0" autoFill="0" autoLine="0" autoPict="0">
                <anchor moveWithCells="1">
                  <from>
                    <xdr:col>19</xdr:col>
                    <xdr:colOff>63500</xdr:colOff>
                    <xdr:row>29</xdr:row>
                    <xdr:rowOff>12700</xdr:rowOff>
                  </from>
                  <to>
                    <xdr:col>20</xdr:col>
                    <xdr:colOff>254000</xdr:colOff>
                    <xdr:row>29</xdr:row>
                    <xdr:rowOff>234950</xdr:rowOff>
                  </to>
                </anchor>
              </controlPr>
            </control>
          </mc:Choice>
        </mc:AlternateContent>
        <mc:AlternateContent xmlns:mc="http://schemas.openxmlformats.org/markup-compatibility/2006">
          <mc:Choice Requires="x14">
            <control shapeId="95240" r:id="rId11" name="Check Box 8">
              <controlPr defaultSize="0" autoFill="0" autoLine="0" autoPict="0">
                <anchor moveWithCells="1">
                  <from>
                    <xdr:col>36</xdr:col>
                    <xdr:colOff>50800</xdr:colOff>
                    <xdr:row>24</xdr:row>
                    <xdr:rowOff>127000</xdr:rowOff>
                  </from>
                  <to>
                    <xdr:col>37</xdr:col>
                    <xdr:colOff>254000</xdr:colOff>
                    <xdr:row>25</xdr:row>
                    <xdr:rowOff>101600</xdr:rowOff>
                  </to>
                </anchor>
              </controlPr>
            </control>
          </mc:Choice>
        </mc:AlternateContent>
        <mc:AlternateContent xmlns:mc="http://schemas.openxmlformats.org/markup-compatibility/2006">
          <mc:Choice Requires="x14">
            <control shapeId="95241" r:id="rId12" name="Check Box 9">
              <controlPr defaultSize="0" autoFill="0" autoLine="0" autoPict="0">
                <anchor moveWithCells="1">
                  <from>
                    <xdr:col>36</xdr:col>
                    <xdr:colOff>50800</xdr:colOff>
                    <xdr:row>27</xdr:row>
                    <xdr:rowOff>6350</xdr:rowOff>
                  </from>
                  <to>
                    <xdr:col>37</xdr:col>
                    <xdr:colOff>254000</xdr:colOff>
                    <xdr:row>27</xdr:row>
                    <xdr:rowOff>228600</xdr:rowOff>
                  </to>
                </anchor>
              </controlPr>
            </control>
          </mc:Choice>
        </mc:AlternateContent>
        <mc:AlternateContent xmlns:mc="http://schemas.openxmlformats.org/markup-compatibility/2006">
          <mc:Choice Requires="x14">
            <control shapeId="95242" r:id="rId13" name="Check Box 10">
              <controlPr defaultSize="0" autoFill="0" autoLine="0" autoPict="0">
                <anchor moveWithCells="1">
                  <from>
                    <xdr:col>36</xdr:col>
                    <xdr:colOff>50800</xdr:colOff>
                    <xdr:row>29</xdr:row>
                    <xdr:rowOff>139700</xdr:rowOff>
                  </from>
                  <to>
                    <xdr:col>37</xdr:col>
                    <xdr:colOff>254000</xdr:colOff>
                    <xdr:row>30</xdr:row>
                    <xdr:rowOff>101600</xdr:rowOff>
                  </to>
                </anchor>
              </controlPr>
            </control>
          </mc:Choice>
        </mc:AlternateContent>
        <mc:AlternateContent xmlns:mc="http://schemas.openxmlformats.org/markup-compatibility/2006">
          <mc:Choice Requires="x14">
            <control shapeId="95243" r:id="rId14" name="Check Box 11">
              <controlPr defaultSize="0" autoFill="0" autoLine="0" autoPict="0">
                <anchor moveWithCells="1">
                  <from>
                    <xdr:col>41</xdr:col>
                    <xdr:colOff>44450</xdr:colOff>
                    <xdr:row>24</xdr:row>
                    <xdr:rowOff>127000</xdr:rowOff>
                  </from>
                  <to>
                    <xdr:col>42</xdr:col>
                    <xdr:colOff>241300</xdr:colOff>
                    <xdr:row>25</xdr:row>
                    <xdr:rowOff>101600</xdr:rowOff>
                  </to>
                </anchor>
              </controlPr>
            </control>
          </mc:Choice>
        </mc:AlternateContent>
        <mc:AlternateContent xmlns:mc="http://schemas.openxmlformats.org/markup-compatibility/2006">
          <mc:Choice Requires="x14">
            <control shapeId="95244" r:id="rId15" name="Check Box 12">
              <controlPr defaultSize="0" autoFill="0" autoLine="0" autoPict="0">
                <anchor moveWithCells="1">
                  <from>
                    <xdr:col>41</xdr:col>
                    <xdr:colOff>44450</xdr:colOff>
                    <xdr:row>27</xdr:row>
                    <xdr:rowOff>6350</xdr:rowOff>
                  </from>
                  <to>
                    <xdr:col>42</xdr:col>
                    <xdr:colOff>241300</xdr:colOff>
                    <xdr:row>27</xdr:row>
                    <xdr:rowOff>228600</xdr:rowOff>
                  </to>
                </anchor>
              </controlPr>
            </control>
          </mc:Choice>
        </mc:AlternateContent>
        <mc:AlternateContent xmlns:mc="http://schemas.openxmlformats.org/markup-compatibility/2006">
          <mc:Choice Requires="x14">
            <control shapeId="95245" r:id="rId16" name="Check Box 13">
              <controlPr defaultSize="0" autoFill="0" autoLine="0" autoPict="0">
                <anchor moveWithCells="1">
                  <from>
                    <xdr:col>41</xdr:col>
                    <xdr:colOff>63500</xdr:colOff>
                    <xdr:row>29</xdr:row>
                    <xdr:rowOff>139700</xdr:rowOff>
                  </from>
                  <to>
                    <xdr:col>42</xdr:col>
                    <xdr:colOff>254000</xdr:colOff>
                    <xdr:row>30</xdr:row>
                    <xdr:rowOff>101600</xdr:rowOff>
                  </to>
                </anchor>
              </controlPr>
            </control>
          </mc:Choice>
        </mc:AlternateContent>
        <mc:AlternateContent xmlns:mc="http://schemas.openxmlformats.org/markup-compatibility/2006">
          <mc:Choice Requires="x14">
            <control shapeId="95246" r:id="rId17" name="Check Box 14">
              <controlPr defaultSize="0" autoFill="0" autoLine="0" autoPict="0">
                <anchor moveWithCells="1">
                  <from>
                    <xdr:col>36</xdr:col>
                    <xdr:colOff>63500</xdr:colOff>
                    <xdr:row>43</xdr:row>
                    <xdr:rowOff>127000</xdr:rowOff>
                  </from>
                  <to>
                    <xdr:col>37</xdr:col>
                    <xdr:colOff>254000</xdr:colOff>
                    <xdr:row>44</xdr:row>
                    <xdr:rowOff>101600</xdr:rowOff>
                  </to>
                </anchor>
              </controlPr>
            </control>
          </mc:Choice>
        </mc:AlternateContent>
        <mc:AlternateContent xmlns:mc="http://schemas.openxmlformats.org/markup-compatibility/2006">
          <mc:Choice Requires="x14">
            <control shapeId="95247" r:id="rId18" name="Check Box 15">
              <controlPr defaultSize="0" autoFill="0" autoLine="0" autoPict="0">
                <anchor moveWithCells="1">
                  <from>
                    <xdr:col>41</xdr:col>
                    <xdr:colOff>44450</xdr:colOff>
                    <xdr:row>43</xdr:row>
                    <xdr:rowOff>139700</xdr:rowOff>
                  </from>
                  <to>
                    <xdr:col>42</xdr:col>
                    <xdr:colOff>241300</xdr:colOff>
                    <xdr:row>44</xdr:row>
                    <xdr:rowOff>101600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67</vt:i4>
      </vt:variant>
      <vt:variant>
        <vt:lpstr>Named Ranges</vt:lpstr>
      </vt:variant>
      <vt:variant>
        <vt:i4>5325</vt:i4>
      </vt:variant>
    </vt:vector>
  </HeadingPairs>
  <TitlesOfParts>
    <vt:vector size="5392" baseType="lpstr">
      <vt:lpstr>dropdown</vt:lpstr>
      <vt:lpstr>list</vt:lpstr>
      <vt:lpstr>activesheet</vt:lpstr>
      <vt:lpstr>List of Tables &amp; Boxes</vt:lpstr>
      <vt:lpstr>SchInfo</vt:lpstr>
      <vt:lpstr>Table1</vt:lpstr>
      <vt:lpstr>Table2</vt:lpstr>
      <vt:lpstr>Table3</vt:lpstr>
      <vt:lpstr>Table4</vt:lpstr>
      <vt:lpstr>Table5</vt:lpstr>
      <vt:lpstr>Table6</vt:lpstr>
      <vt:lpstr>Tables7-8</vt:lpstr>
      <vt:lpstr>Table9</vt:lpstr>
      <vt:lpstr>Table10</vt:lpstr>
      <vt:lpstr>Table11</vt:lpstr>
      <vt:lpstr>Tables12-15</vt:lpstr>
      <vt:lpstr>Tables16-17</vt:lpstr>
      <vt:lpstr>Tables18-21</vt:lpstr>
      <vt:lpstr>Table22</vt:lpstr>
      <vt:lpstr>Table23-Box2</vt:lpstr>
      <vt:lpstr>Table24-Box3</vt:lpstr>
      <vt:lpstr>Boxes4-6</vt:lpstr>
      <vt:lpstr>Table25</vt:lpstr>
      <vt:lpstr>Table26</vt:lpstr>
      <vt:lpstr>Box7-Table27</vt:lpstr>
      <vt:lpstr>Table28</vt:lpstr>
      <vt:lpstr>Table29</vt:lpstr>
      <vt:lpstr>Table30</vt:lpstr>
      <vt:lpstr>Table31</vt:lpstr>
      <vt:lpstr>Table32-Box8</vt:lpstr>
      <vt:lpstr>Box9</vt:lpstr>
      <vt:lpstr>Box10</vt:lpstr>
      <vt:lpstr>Table33a-b</vt:lpstr>
      <vt:lpstr>Table33c-d-Box11</vt:lpstr>
      <vt:lpstr>Box12-Table34</vt:lpstr>
      <vt:lpstr>Tables35-37</vt:lpstr>
      <vt:lpstr>Box13</vt:lpstr>
      <vt:lpstr>Box14</vt:lpstr>
      <vt:lpstr>Box15</vt:lpstr>
      <vt:lpstr>Box16</vt:lpstr>
      <vt:lpstr>Box 17-18</vt:lpstr>
      <vt:lpstr>Boxes19-20</vt:lpstr>
      <vt:lpstr>Box 21-23</vt:lpstr>
      <vt:lpstr>Boxes24-25</vt:lpstr>
      <vt:lpstr>Box26</vt:lpstr>
      <vt:lpstr>Box27</vt:lpstr>
      <vt:lpstr>Table38</vt:lpstr>
      <vt:lpstr>Table39</vt:lpstr>
      <vt:lpstr>Table39 cont.</vt:lpstr>
      <vt:lpstr>Table40</vt:lpstr>
      <vt:lpstr>Table41</vt:lpstr>
      <vt:lpstr>Box28_part1</vt:lpstr>
      <vt:lpstr>Box28_part2_4</vt:lpstr>
      <vt:lpstr>Box28_part5</vt:lpstr>
      <vt:lpstr>Box29_part1</vt:lpstr>
      <vt:lpstr>Box29_part2</vt:lpstr>
      <vt:lpstr>Box30_part1</vt:lpstr>
      <vt:lpstr>Box30_part2</vt:lpstr>
      <vt:lpstr>Box30_part3a</vt:lpstr>
      <vt:lpstr>Box30_part3b</vt:lpstr>
      <vt:lpstr>Box30_part3b cont.</vt:lpstr>
      <vt:lpstr>Box31_part1&amp;2</vt:lpstr>
      <vt:lpstr>Box31_part3a</vt:lpstr>
      <vt:lpstr>Box31_part3b</vt:lpstr>
      <vt:lpstr>Box31_part3c</vt:lpstr>
      <vt:lpstr>Box31_part3d</vt:lpstr>
      <vt:lpstr>Box32</vt:lpstr>
      <vt:lpstr>_</vt:lpstr>
      <vt:lpstr>_ref_broadcast_station</vt:lpstr>
      <vt:lpstr>_ref_cell_serv_provider</vt:lpstr>
      <vt:lpstr>_ref_cell_wtg</vt:lpstr>
      <vt:lpstr>_ref_funding_source</vt:lpstr>
      <vt:lpstr>_ref_internet</vt:lpstr>
      <vt:lpstr>_ref_purpose</vt:lpstr>
      <vt:lpstr>_ref_service_provider</vt:lpstr>
      <vt:lpstr>_ref_stat_partnership</vt:lpstr>
      <vt:lpstr>_ref_type_printer</vt:lpstr>
      <vt:lpstr>_ref_type_radio</vt:lpstr>
      <vt:lpstr>action_research_last_sy</vt:lpstr>
      <vt:lpstr>action_research_ongoing</vt:lpstr>
      <vt:lpstr>action_research_tobe_conducted</vt:lpstr>
      <vt:lpstr>action_research_yes</vt:lpstr>
      <vt:lpstr>areaspec_bachelormaj_ap_over40</vt:lpstr>
      <vt:lpstr>areaspec_bachelormaj_ap_under40</vt:lpstr>
      <vt:lpstr>areaspec_bachelormaj_eng_over40</vt:lpstr>
      <vt:lpstr>areaspec_bachelormaj_eng_under40</vt:lpstr>
      <vt:lpstr>areaspec_bachelormaj_esp_over40</vt:lpstr>
      <vt:lpstr>areaspec_bachelormaj_esp_under40</vt:lpstr>
      <vt:lpstr>areaspec_bachelormaj_fil_over40</vt:lpstr>
      <vt:lpstr>areaspec_bachelormaj_fil_under40</vt:lpstr>
      <vt:lpstr>areaspec_bachelormaj_mapeh_over40</vt:lpstr>
      <vt:lpstr>areaspec_bachelormaj_mapeh_under40</vt:lpstr>
      <vt:lpstr>areaspec_bachelormaj_math_over40</vt:lpstr>
      <vt:lpstr>areaspec_bachelormaj_math_under40</vt:lpstr>
      <vt:lpstr>areaspec_bachelormaj_sci_over40</vt:lpstr>
      <vt:lpstr>areaspec_bachelormaj_sci_under40</vt:lpstr>
      <vt:lpstr>areaspec_bachelormaj_tle_over40</vt:lpstr>
      <vt:lpstr>areaspec_bachelormaj_tle_under40</vt:lpstr>
      <vt:lpstr>areaspec_bachelormin_ap_over40</vt:lpstr>
      <vt:lpstr>areaspec_bachelormin_ap_under40</vt:lpstr>
      <vt:lpstr>areaspec_bachelormin_eng_over40</vt:lpstr>
      <vt:lpstr>areaspec_bachelormin_eng_under40</vt:lpstr>
      <vt:lpstr>areaspec_bachelormin_esp_over40</vt:lpstr>
      <vt:lpstr>areaspec_bachelormin_esp_under40</vt:lpstr>
      <vt:lpstr>areaspec_bachelormin_fil_over40</vt:lpstr>
      <vt:lpstr>areaspec_bachelormin_fil_under40</vt:lpstr>
      <vt:lpstr>areaspec_bachelormin_mapeh_over40</vt:lpstr>
      <vt:lpstr>areaspec_bachelormin_mapeh_under40</vt:lpstr>
      <vt:lpstr>areaspec_bachelormin_math_over40</vt:lpstr>
      <vt:lpstr>areaspec_bachelormin_math_under40</vt:lpstr>
      <vt:lpstr>areaspec_bachelormin_sci_over40</vt:lpstr>
      <vt:lpstr>areaspec_bachelormin_sci_under40</vt:lpstr>
      <vt:lpstr>areaspec_bachelormin_tle_over40</vt:lpstr>
      <vt:lpstr>areaspec_bachelormin_tle_under40</vt:lpstr>
      <vt:lpstr>areaspec_gradmaj_ap_over40</vt:lpstr>
      <vt:lpstr>areaspec_gradmaj_ap_under40</vt:lpstr>
      <vt:lpstr>areaspec_gradmaj_eng_over40</vt:lpstr>
      <vt:lpstr>areaspec_gradmaj_eng_under40</vt:lpstr>
      <vt:lpstr>areaspec_gradmaj_esp_over40</vt:lpstr>
      <vt:lpstr>areaspec_gradmaj_esp_under40</vt:lpstr>
      <vt:lpstr>areaspec_gradmaj_fil_over40</vt:lpstr>
      <vt:lpstr>areaspec_gradmaj_fil_under40</vt:lpstr>
      <vt:lpstr>areaspec_gradmaj_mapeh_over40</vt:lpstr>
      <vt:lpstr>areaspec_gradmaj_mapeh_under40</vt:lpstr>
      <vt:lpstr>areaspec_gradmaj_math_over40</vt:lpstr>
      <vt:lpstr>areaspec_gradmaj_math_under40</vt:lpstr>
      <vt:lpstr>areaspec_gradmaj_sci_over40</vt:lpstr>
      <vt:lpstr>areaspec_gradmaj_sci_under40</vt:lpstr>
      <vt:lpstr>areaspec_gradmaj_tle_over40</vt:lpstr>
      <vt:lpstr>areaspec_gradmaj_tle_under40</vt:lpstr>
      <vt:lpstr>areaspec_wospcltrng_ap_over40</vt:lpstr>
      <vt:lpstr>areaspec_wospcltrng_ap_under40</vt:lpstr>
      <vt:lpstr>areaspec_wospcltrng_eng_over40</vt:lpstr>
      <vt:lpstr>areaspec_wospcltrng_eng_under40</vt:lpstr>
      <vt:lpstr>areaspec_wospcltrng_esp_over40</vt:lpstr>
      <vt:lpstr>areaspec_wospcltrng_esp_under40</vt:lpstr>
      <vt:lpstr>areaspec_wospcltrng_fil_over40</vt:lpstr>
      <vt:lpstr>areaspec_wospcltrng_fil_under40</vt:lpstr>
      <vt:lpstr>areaspec_wospcltrng_mapeh_over40</vt:lpstr>
      <vt:lpstr>areaspec_wospcltrng_mapeh_under40</vt:lpstr>
      <vt:lpstr>areaspec_wospcltrng_math_over40</vt:lpstr>
      <vt:lpstr>areaspec_wospcltrng_math_under40</vt:lpstr>
      <vt:lpstr>areaspec_wospcltrng_sci_over40</vt:lpstr>
      <vt:lpstr>areaspec_wospcltrng_sci_under40</vt:lpstr>
      <vt:lpstr>areaspec_wospcltrng_tle_over40</vt:lpstr>
      <vt:lpstr>areaspec_wospcltrng_tle_under40</vt:lpstr>
      <vt:lpstr>areaspec_wspcltrng_ap_over40</vt:lpstr>
      <vt:lpstr>areaspec_wspcltrng_ap_under40</vt:lpstr>
      <vt:lpstr>areaspec_wspcltrng_eng_over40</vt:lpstr>
      <vt:lpstr>areaspec_wspcltrng_eng_under40</vt:lpstr>
      <vt:lpstr>areaspec_wspcltrng_esp_over40</vt:lpstr>
      <vt:lpstr>areaspec_wspcltrng_esp_under40</vt:lpstr>
      <vt:lpstr>areaspec_wspcltrng_fil_over40</vt:lpstr>
      <vt:lpstr>areaspec_wspcltrng_fil_under40</vt:lpstr>
      <vt:lpstr>areaspec_wspcltrng_mapeh_over40</vt:lpstr>
      <vt:lpstr>areaspec_wspcltrng_mapeh_under40</vt:lpstr>
      <vt:lpstr>areaspec_wspcltrng_math_over40</vt:lpstr>
      <vt:lpstr>areaspec_wspcltrng_math_under40</vt:lpstr>
      <vt:lpstr>areaspec_wspcltrng_sci_over40</vt:lpstr>
      <vt:lpstr>areaspec_wspcltrng_sci_under40</vt:lpstr>
      <vt:lpstr>areaspec_wspcltrng_tle_over40</vt:lpstr>
      <vt:lpstr>areaspec_wspcltrng_tle_under40</vt:lpstr>
      <vt:lpstr>avail_sp_sportsclub_aerogymn</vt:lpstr>
      <vt:lpstr>avail_sp_sportsclub_archery</vt:lpstr>
      <vt:lpstr>avail_sp_sportsclub_arnis</vt:lpstr>
      <vt:lpstr>avail_sp_sportsclub_athlrun</vt:lpstr>
      <vt:lpstr>avail_sp_sportsclub_athlthrow</vt:lpstr>
      <vt:lpstr>avail_sp_sportsclub_badminton</vt:lpstr>
      <vt:lpstr>avail_sp_sportsclub_baseball</vt:lpstr>
      <vt:lpstr>avail_sp_sportsclub_basketball</vt:lpstr>
      <vt:lpstr>avail_sp_sportsclub_billard</vt:lpstr>
      <vt:lpstr>avail_sp_sportsclub_bocce</vt:lpstr>
      <vt:lpstr>avail_sp_sportsclub_boxing</vt:lpstr>
      <vt:lpstr>avail_sp_sportsclub_chess</vt:lpstr>
      <vt:lpstr>avail_sp_sportsclub_dancesports</vt:lpstr>
      <vt:lpstr>avail_sp_sportsclub_football</vt:lpstr>
      <vt:lpstr>avail_sp_sportsclub_futsal</vt:lpstr>
      <vt:lpstr>avail_sp_sportsclub_goalball</vt:lpstr>
      <vt:lpstr>avail_sp_sportsclub_mag</vt:lpstr>
      <vt:lpstr>avail_sp_sportsclub_pencaksilat</vt:lpstr>
      <vt:lpstr>avail_sp_sportsclub_rg</vt:lpstr>
      <vt:lpstr>avail_sp_sportsclub_sepaktakraw</vt:lpstr>
      <vt:lpstr>avail_sp_sportsclub_softball</vt:lpstr>
      <vt:lpstr>avail_sp_sportsclub_swimming</vt:lpstr>
      <vt:lpstr>avail_sp_sportsclub_tabletennis</vt:lpstr>
      <vt:lpstr>avail_sp_sportsclub_taekwondo</vt:lpstr>
      <vt:lpstr>avail_sp_sportsclub_tennis</vt:lpstr>
      <vt:lpstr>avail_sp_sportsclub_volleyball</vt:lpstr>
      <vt:lpstr>avail_sp_sportsclub_wag</vt:lpstr>
      <vt:lpstr>avail_sp_sportsclub_wrestling</vt:lpstr>
      <vt:lpstr>avail_sp_sportsclub_wushu</vt:lpstr>
      <vt:lpstr>avail_sp_sportsevent_aerogymn</vt:lpstr>
      <vt:lpstr>avail_sp_sportsevent_archery</vt:lpstr>
      <vt:lpstr>avail_sp_sportsevent_arnis</vt:lpstr>
      <vt:lpstr>avail_sp_sportsevent_athlrun</vt:lpstr>
      <vt:lpstr>avail_sp_sportsevent_athlthrow</vt:lpstr>
      <vt:lpstr>avail_sp_sportsevent_badminton</vt:lpstr>
      <vt:lpstr>avail_sp_sportsevent_baseball</vt:lpstr>
      <vt:lpstr>avail_sp_sportsevent_basketball</vt:lpstr>
      <vt:lpstr>avail_sp_sportsevent_billard</vt:lpstr>
      <vt:lpstr>avail_sp_sportsevent_bocce</vt:lpstr>
      <vt:lpstr>avail_sp_sportsevent_boxing</vt:lpstr>
      <vt:lpstr>avail_sp_sportsevent_chess</vt:lpstr>
      <vt:lpstr>avail_sp_sportsevent_dancesports</vt:lpstr>
      <vt:lpstr>avail_sp_sportsevent_football</vt:lpstr>
      <vt:lpstr>avail_sp_sportsevent_futsal</vt:lpstr>
      <vt:lpstr>avail_sp_sportsevent_goalball</vt:lpstr>
      <vt:lpstr>avail_sp_sportsevent_mag</vt:lpstr>
      <vt:lpstr>avail_sp_sportsevent_pencaksilat</vt:lpstr>
      <vt:lpstr>avail_sp_sportsevent_rg</vt:lpstr>
      <vt:lpstr>avail_sp_sportsevent_sepaktakraw</vt:lpstr>
      <vt:lpstr>avail_sp_sportsevent_softball</vt:lpstr>
      <vt:lpstr>avail_sp_sportsevent_swimming</vt:lpstr>
      <vt:lpstr>avail_sp_sportsevent_tabletennis</vt:lpstr>
      <vt:lpstr>avail_sp_sportsevent_taekwondo</vt:lpstr>
      <vt:lpstr>avail_sp_sportsevent_tennis</vt:lpstr>
      <vt:lpstr>avail_sp_sportsevent_volleyball</vt:lpstr>
      <vt:lpstr>avail_sp_sportsevent_wag</vt:lpstr>
      <vt:lpstr>avail_sp_sportsevent_wrestling</vt:lpstr>
      <vt:lpstr>avail_sp_sportsevent_wushu</vt:lpstr>
      <vt:lpstr>avail_sp_sportsfac_aerogymn</vt:lpstr>
      <vt:lpstr>avail_sp_sportsfac_archery</vt:lpstr>
      <vt:lpstr>avail_sp_sportsfac_arnis</vt:lpstr>
      <vt:lpstr>avail_sp_sportsfac_athlrun</vt:lpstr>
      <vt:lpstr>avail_sp_sportsfac_athlthrow</vt:lpstr>
      <vt:lpstr>avail_sp_sportsfac_badminton</vt:lpstr>
      <vt:lpstr>avail_sp_sportsfac_baseball</vt:lpstr>
      <vt:lpstr>avail_sp_sportsfac_basketball</vt:lpstr>
      <vt:lpstr>avail_sp_sportsfac_billard</vt:lpstr>
      <vt:lpstr>avail_sp_sportsfac_bocce</vt:lpstr>
      <vt:lpstr>avail_sp_sportsfac_boxing</vt:lpstr>
      <vt:lpstr>avail_sp_sportsfac_chess</vt:lpstr>
      <vt:lpstr>avail_sp_sportsfac_dancesports</vt:lpstr>
      <vt:lpstr>avail_sp_sportsfac_football</vt:lpstr>
      <vt:lpstr>avail_sp_sportsfac_futsal</vt:lpstr>
      <vt:lpstr>avail_sp_sportsfac_goalball</vt:lpstr>
      <vt:lpstr>avail_sp_sportsfac_mag</vt:lpstr>
      <vt:lpstr>avail_sp_sportsfac_pencaksilat</vt:lpstr>
      <vt:lpstr>avail_sp_sportsfac_rg</vt:lpstr>
      <vt:lpstr>avail_sp_sportsfac_sepaktakraw</vt:lpstr>
      <vt:lpstr>avail_sp_sportsfac_softball</vt:lpstr>
      <vt:lpstr>avail_sp_sportsfac_swimming</vt:lpstr>
      <vt:lpstr>avail_sp_sportsfac_tabletennis</vt:lpstr>
      <vt:lpstr>avail_sp_sportsfac_taekwondo</vt:lpstr>
      <vt:lpstr>avail_sp_sportsfac_tennis</vt:lpstr>
      <vt:lpstr>avail_sp_sportsfac_volleyball</vt:lpstr>
      <vt:lpstr>avail_sp_sportsfac_wag</vt:lpstr>
      <vt:lpstr>avail_sp_sportsfac_wrestling</vt:lpstr>
      <vt:lpstr>avail_sp_sportsfac_wushu</vt:lpstr>
      <vt:lpstr>ave_cost_monthly_bills_amount</vt:lpstr>
      <vt:lpstr>BARMM</vt:lpstr>
      <vt:lpstr>CAR</vt:lpstr>
      <vt:lpstr>CARAGA</vt:lpstr>
      <vt:lpstr>cgp_conducted_career_guid_actvty_yes</vt:lpstr>
      <vt:lpstr>cgp_guid_adv_yes</vt:lpstr>
      <vt:lpstr>cgp_guid_ofc_yes</vt:lpstr>
      <vt:lpstr>cgp_sch_gc_yes</vt:lpstr>
      <vt:lpstr>cgp_schfunded_career_guid_actvty_yes</vt:lpstr>
      <vt:lpstr>clinic_designated_yes</vt:lpstr>
      <vt:lpstr>clinic_tools_height_microtoise</vt:lpstr>
      <vt:lpstr>clinic_tools_height_others</vt:lpstr>
      <vt:lpstr>clinic_tools_height_stadiometer</vt:lpstr>
      <vt:lpstr>clinic_tools_height_steeltape</vt:lpstr>
      <vt:lpstr>clinic_tools_height_tapemeasure</vt:lpstr>
      <vt:lpstr>combo_avemonthlyexpense_fundingsource1</vt:lpstr>
      <vt:lpstr>combo_avemonthlyexpense_fundingsource2</vt:lpstr>
      <vt:lpstr>combo_avemonthlyexpense_fundingsource3</vt:lpstr>
      <vt:lpstr>combo_avemonthlyexpense_fundingsource4</vt:lpstr>
      <vt:lpstr>combo_avemonthlyexpense_fundingsource5</vt:lpstr>
      <vt:lpstr>combo_avemonthlyexpense_internetserviceprovider1</vt:lpstr>
      <vt:lpstr>combo_avemonthlyexpense_internetserviceprovider2</vt:lpstr>
      <vt:lpstr>combo_avemonthlyexpense_internetserviceprovider3</vt:lpstr>
      <vt:lpstr>combo_avemonthlyexpense_internetserviceprovider4</vt:lpstr>
      <vt:lpstr>combo_avemonthlyexpense_internetserviceprovider5</vt:lpstr>
      <vt:lpstr>combo_avemontlyexpense_typesofinternet1</vt:lpstr>
      <vt:lpstr>combo_avemontlyexpense_typesofinternet2</vt:lpstr>
      <vt:lpstr>combo_avemontlyexpense_typesofinternet3</vt:lpstr>
      <vt:lpstr>combo_avemontlyexpense_typesofinternet4</vt:lpstr>
      <vt:lpstr>combo_avemontlyexpense_typesofinternet5</vt:lpstr>
      <vt:lpstr>combo_jhs_broadcasting_status1</vt:lpstr>
      <vt:lpstr>combo_jhs_broadcasting_status2</vt:lpstr>
      <vt:lpstr>combo_jhs_broadcasting_status3</vt:lpstr>
      <vt:lpstr>combo_jhs_broadcasting_status4</vt:lpstr>
      <vt:lpstr>combo_jhs_broadcasting_status5</vt:lpstr>
      <vt:lpstr>combo_jhs_broadcasting_status6</vt:lpstr>
      <vt:lpstr>combo_jhs_broadcasting_status7</vt:lpstr>
      <vt:lpstr>combo_jhs_broadcasting_status8</vt:lpstr>
      <vt:lpstr>combo_jhs_broadcasting_status9</vt:lpstr>
      <vt:lpstr>combo_jhs_broadcastingtype1</vt:lpstr>
      <vt:lpstr>combo_jhs_broadcastingtype2</vt:lpstr>
      <vt:lpstr>combo_jhs_broadcastingtype3</vt:lpstr>
      <vt:lpstr>combo_jhs_broadcastingtype4</vt:lpstr>
      <vt:lpstr>combo_jhs_broadcastingtype5</vt:lpstr>
      <vt:lpstr>combo_jhs_broadcastingtype6</vt:lpstr>
      <vt:lpstr>combo_jhs_broadcastingtype7</vt:lpstr>
      <vt:lpstr>combo_jhs_broadcastingtype8</vt:lpstr>
      <vt:lpstr>combo_jhs_broadcastingtype9</vt:lpstr>
      <vt:lpstr>combo_jhs_cell_fundsource1</vt:lpstr>
      <vt:lpstr>combo_jhs_cell_fundsource2</vt:lpstr>
      <vt:lpstr>combo_jhs_cell_fundsource3</vt:lpstr>
      <vt:lpstr>combo_jhs_cell_fundsource4</vt:lpstr>
      <vt:lpstr>combo_jhs_cell_fundsource5</vt:lpstr>
      <vt:lpstr>combo_jhs_cellularsp1</vt:lpstr>
      <vt:lpstr>combo_jhs_cellularsp2</vt:lpstr>
      <vt:lpstr>combo_jhs_cellularsp3</vt:lpstr>
      <vt:lpstr>combo_jhs_cellularsp4</vt:lpstr>
      <vt:lpstr>combo_jhs_cellularsp5</vt:lpstr>
      <vt:lpstr>combo_jhs_cellulartype1</vt:lpstr>
      <vt:lpstr>combo_jhs_cellulartype2</vt:lpstr>
      <vt:lpstr>combo_jhs_cellulartype3</vt:lpstr>
      <vt:lpstr>combo_jhs_cellulartype4</vt:lpstr>
      <vt:lpstr>combo_jhs_cellulartype5</vt:lpstr>
      <vt:lpstr>combo_jhs_printer_fundingsource1</vt:lpstr>
      <vt:lpstr>combo_jhs_printer_fundingsource10</vt:lpstr>
      <vt:lpstr>combo_jhs_printer_fundingsource2</vt:lpstr>
      <vt:lpstr>combo_jhs_printer_fundingsource3</vt:lpstr>
      <vt:lpstr>combo_jhs_printer_fundingsource4</vt:lpstr>
      <vt:lpstr>combo_jhs_printer_fundingsource5</vt:lpstr>
      <vt:lpstr>combo_jhs_printer_fundingsource6</vt:lpstr>
      <vt:lpstr>combo_jhs_printer_fundingsource7</vt:lpstr>
      <vt:lpstr>combo_jhs_printer_fundingsource8</vt:lpstr>
      <vt:lpstr>combo_jhs_printer_fundingsource9</vt:lpstr>
      <vt:lpstr>combo_jhs_printer_purpose1</vt:lpstr>
      <vt:lpstr>combo_jhs_printer_purpose10</vt:lpstr>
      <vt:lpstr>combo_jhs_printer_purpose2</vt:lpstr>
      <vt:lpstr>combo_jhs_printer_purpose3</vt:lpstr>
      <vt:lpstr>combo_jhs_printer_purpose4</vt:lpstr>
      <vt:lpstr>combo_jhs_printer_purpose5</vt:lpstr>
      <vt:lpstr>combo_jhs_printer_purpose6</vt:lpstr>
      <vt:lpstr>combo_jhs_printer_purpose7</vt:lpstr>
      <vt:lpstr>combo_jhs_printer_purpose8</vt:lpstr>
      <vt:lpstr>combo_jhs_printer_purpose9</vt:lpstr>
      <vt:lpstr>combo_jhs_printer_type1</vt:lpstr>
      <vt:lpstr>combo_jhs_printer_type10</vt:lpstr>
      <vt:lpstr>combo_jhs_printer_type2</vt:lpstr>
      <vt:lpstr>combo_jhs_printer_type3</vt:lpstr>
      <vt:lpstr>combo_jhs_printer_type4</vt:lpstr>
      <vt:lpstr>combo_jhs_printer_type5</vt:lpstr>
      <vt:lpstr>combo_jhs_printer_type6</vt:lpstr>
      <vt:lpstr>combo_jhs_printer_type7</vt:lpstr>
      <vt:lpstr>combo_jhs_printer_type8</vt:lpstr>
      <vt:lpstr>combo_jhs_printer_type9</vt:lpstr>
      <vt:lpstr>combo_jhs_radio_purpose1</vt:lpstr>
      <vt:lpstr>combo_jhs_radio_purpose10</vt:lpstr>
      <vt:lpstr>combo_jhs_radio_purpose2</vt:lpstr>
      <vt:lpstr>combo_jhs_radio_purpose3</vt:lpstr>
      <vt:lpstr>combo_jhs_radio_purpose4</vt:lpstr>
      <vt:lpstr>combo_jhs_radio_purpose5</vt:lpstr>
      <vt:lpstr>combo_jhs_radio_purpose6</vt:lpstr>
      <vt:lpstr>combo_jhs_radio_purpose7</vt:lpstr>
      <vt:lpstr>combo_jhs_radio_purpose8</vt:lpstr>
      <vt:lpstr>combo_jhs_radio_purpose9</vt:lpstr>
      <vt:lpstr>combo_jhs_radio_type1</vt:lpstr>
      <vt:lpstr>combo_jhs_radio_type10</vt:lpstr>
      <vt:lpstr>combo_jhs_radio_type2</vt:lpstr>
      <vt:lpstr>combo_jhs_radio_type3</vt:lpstr>
      <vt:lpstr>combo_jhs_radio_type4</vt:lpstr>
      <vt:lpstr>combo_jhs_radio_type5</vt:lpstr>
      <vt:lpstr>combo_jhs_radio_type6</vt:lpstr>
      <vt:lpstr>combo_jhs_radio_type7</vt:lpstr>
      <vt:lpstr>combo_jhs_radio_type8</vt:lpstr>
      <vt:lpstr>combo_jhs_radio_type9</vt:lpstr>
      <vt:lpstr>completed_acceidited_course_f_nonteach</vt:lpstr>
      <vt:lpstr>completed_acceidited_course_f_teach</vt:lpstr>
      <vt:lpstr>completed_acceidited_course_m_nonteach</vt:lpstr>
      <vt:lpstr>completed_acceidited_course_m_teach</vt:lpstr>
      <vt:lpstr>depedtv_frequent_f</vt:lpstr>
      <vt:lpstr>depedtv_frequent_m</vt:lpstr>
      <vt:lpstr>depedtv_method_download</vt:lpstr>
      <vt:lpstr>depedtv_method_facebook</vt:lpstr>
      <vt:lpstr>depedtv_method_tv</vt:lpstr>
      <vt:lpstr>depedtv_method_youtube</vt:lpstr>
      <vt:lpstr>depedtv_never_f</vt:lpstr>
      <vt:lpstr>depedtv_never_m</vt:lpstr>
      <vt:lpstr>depedtv_seldom_f</vt:lpstr>
      <vt:lpstr>depedtv_seldom_m</vt:lpstr>
      <vt:lpstr>depedtv_supplemental_ap</vt:lpstr>
      <vt:lpstr>depedtv_supplemental_eng</vt:lpstr>
      <vt:lpstr>depedtv_supplemental_esp</vt:lpstr>
      <vt:lpstr>depedtv_supplemental_fil</vt:lpstr>
      <vt:lpstr>depedtv_supplemental_mapeh</vt:lpstr>
      <vt:lpstr>depedtv_supplemental_math</vt:lpstr>
      <vt:lpstr>depedtv_supplemental_others</vt:lpstr>
      <vt:lpstr>depedtv_supplemental_others_specify</vt:lpstr>
      <vt:lpstr>depedtv_supplemental_sci</vt:lpstr>
      <vt:lpstr>depedtv_supplemental_tle</vt:lpstr>
      <vt:lpstr>deps_lrdms</vt:lpstr>
      <vt:lpstr>deps_lrdms_pos</vt:lpstr>
      <vt:lpstr>disaster_armeconflictexp_apr</vt:lpstr>
      <vt:lpstr>disaster_armeconflictexp_aug</vt:lpstr>
      <vt:lpstr>disaster_armeconflictexp_dec</vt:lpstr>
      <vt:lpstr>disaster_armeconflictexp_feb</vt:lpstr>
      <vt:lpstr>disaster_armeconflictexp_jan</vt:lpstr>
      <vt:lpstr>disaster_armeconflictexp_july</vt:lpstr>
      <vt:lpstr>disaster_armeconflictexp_jun</vt:lpstr>
      <vt:lpstr>disaster_armeconflictexp_mar</vt:lpstr>
      <vt:lpstr>disaster_armeconflictexp_may</vt:lpstr>
      <vt:lpstr>disaster_armeconflictexp_nov</vt:lpstr>
      <vt:lpstr>disaster_armeconflictexp_oct</vt:lpstr>
      <vt:lpstr>disaster_armeconflictexp_sep</vt:lpstr>
      <vt:lpstr>disaster_armedconflict_apr_nonstateactors_asg</vt:lpstr>
      <vt:lpstr>disaster_armedconflict_apr_nonstateactors_biff</vt:lpstr>
      <vt:lpstr>disaster_armedconflict_apr_nonstateactors_maute</vt:lpstr>
      <vt:lpstr>disaster_armedconflict_apr_nonstateactors_mnlf</vt:lpstr>
      <vt:lpstr>disaster_armedconflict_apr_nonstateactors_npa</vt:lpstr>
      <vt:lpstr>disaster_armedconflict_apr_nonstateactors_others_specify</vt:lpstr>
      <vt:lpstr>disaster_armedconflict_apr_stateactors_afp</vt:lpstr>
      <vt:lpstr>disaster_armedconflict_apr_stateactors_others_specify</vt:lpstr>
      <vt:lpstr>disaster_armedconflict_apr_stateactors_pnp</vt:lpstr>
      <vt:lpstr>disaster_armedconflict_aug_nonstateactors_asg</vt:lpstr>
      <vt:lpstr>disaster_armedconflict_aug_nonstateactors_biff</vt:lpstr>
      <vt:lpstr>disaster_armedconflict_aug_nonstateactors_maute</vt:lpstr>
      <vt:lpstr>disaster_armedconflict_aug_nonstateactors_mnlf</vt:lpstr>
      <vt:lpstr>disaster_armedconflict_aug_nonstateactors_npa</vt:lpstr>
      <vt:lpstr>disaster_armedconflict_aug_nonstateactors_others_specify</vt:lpstr>
      <vt:lpstr>disaster_armedconflict_aug_stateactors_afp</vt:lpstr>
      <vt:lpstr>disaster_armedconflict_aug_stateactors_others_specify</vt:lpstr>
      <vt:lpstr>disaster_armedconflict_aug_stateactors_pnp</vt:lpstr>
      <vt:lpstr>disaster_armedconflict_dec_nonstateactors_asg</vt:lpstr>
      <vt:lpstr>disaster_armedconflict_dec_nonstateactors_biff</vt:lpstr>
      <vt:lpstr>disaster_armedconflict_dec_nonstateactors_maute</vt:lpstr>
      <vt:lpstr>disaster_armedconflict_dec_nonstateactors_mnlf</vt:lpstr>
      <vt:lpstr>disaster_armedconflict_dec_nonstateactors_npa</vt:lpstr>
      <vt:lpstr>disaster_armedconflict_dec_nonstateactors_others_specify</vt:lpstr>
      <vt:lpstr>disaster_armedconflict_dec_stateactors_afp</vt:lpstr>
      <vt:lpstr>disaster_armedconflict_dec_stateactors_others_specify</vt:lpstr>
      <vt:lpstr>disaster_armedconflict_dec_stateactors_pnp</vt:lpstr>
      <vt:lpstr>disaster_armedconflict_feb_nonstateactors_asg</vt:lpstr>
      <vt:lpstr>disaster_armedconflict_feb_nonstateactors_biff</vt:lpstr>
      <vt:lpstr>disaster_armedconflict_feb_nonstateactors_maute</vt:lpstr>
      <vt:lpstr>disaster_armedconflict_feb_nonstateactors_mnlf</vt:lpstr>
      <vt:lpstr>disaster_armedconflict_feb_nonstateactors_npa</vt:lpstr>
      <vt:lpstr>disaster_armedconflict_feb_nonstateactors_others_specify</vt:lpstr>
      <vt:lpstr>disaster_armedconflict_feb_stateactors_afp</vt:lpstr>
      <vt:lpstr>disaster_armedconflict_feb_stateactors_others_specify</vt:lpstr>
      <vt:lpstr>disaster_armedconflict_feb_stateactors_pnp</vt:lpstr>
      <vt:lpstr>disaster_armedconflict_jan_nonstateactors_asg</vt:lpstr>
      <vt:lpstr>disaster_armedconflict_jan_nonstateactors_biff</vt:lpstr>
      <vt:lpstr>disaster_armedconflict_jan_nonstateactors_maute</vt:lpstr>
      <vt:lpstr>disaster_armedconflict_jan_nonstateactors_mnlf</vt:lpstr>
      <vt:lpstr>disaster_armedconflict_jan_nonstateactors_npa</vt:lpstr>
      <vt:lpstr>disaster_armedconflict_jan_nonstateactors_others_specify</vt:lpstr>
      <vt:lpstr>disaster_armedconflict_jan_stateactors_afp</vt:lpstr>
      <vt:lpstr>disaster_armedconflict_jan_stateactors_others_specify</vt:lpstr>
      <vt:lpstr>disaster_armedconflict_jan_stateactors_pnp</vt:lpstr>
      <vt:lpstr>disaster_armedconflict_jul_nonstateactors_asg</vt:lpstr>
      <vt:lpstr>disaster_armedconflict_jul_nonstateactors_biff</vt:lpstr>
      <vt:lpstr>disaster_armedconflict_jul_nonstateactors_maute</vt:lpstr>
      <vt:lpstr>disaster_armedconflict_jul_nonstateactors_mnlf</vt:lpstr>
      <vt:lpstr>disaster_armedconflict_jul_nonstateactors_npa</vt:lpstr>
      <vt:lpstr>disaster_armedconflict_jul_nonstateactors_others_specify</vt:lpstr>
      <vt:lpstr>disaster_armedconflict_jul_stateactors_afp</vt:lpstr>
      <vt:lpstr>disaster_armedconflict_jul_stateactors_others_specify</vt:lpstr>
      <vt:lpstr>disaster_armedconflict_jul_stateactors_pnp</vt:lpstr>
      <vt:lpstr>disaster_armedconflict_jun_nonstateactors_asg</vt:lpstr>
      <vt:lpstr>disaster_armedconflict_jun_nonstateactors_biff</vt:lpstr>
      <vt:lpstr>disaster_armedconflict_jun_nonstateactors_maute</vt:lpstr>
      <vt:lpstr>disaster_armedconflict_jun_nonstateactors_mnlf</vt:lpstr>
      <vt:lpstr>disaster_armedconflict_jun_nonstateactors_npa</vt:lpstr>
      <vt:lpstr>disaster_armedconflict_jun_nonstateactors_others_specify</vt:lpstr>
      <vt:lpstr>disaster_armedconflict_jun_stateactors_afp</vt:lpstr>
      <vt:lpstr>disaster_armedconflict_jun_stateactors_others_specify</vt:lpstr>
      <vt:lpstr>disaster_armedconflict_jun_stateactors_pnp</vt:lpstr>
      <vt:lpstr>disaster_armedconflict_mar_nonstateactors_asg</vt:lpstr>
      <vt:lpstr>disaster_armedconflict_mar_nonstateactors_biff</vt:lpstr>
      <vt:lpstr>disaster_armedconflict_mar_nonstateactors_maute</vt:lpstr>
      <vt:lpstr>disaster_armedconflict_mar_nonstateactors_mnlf</vt:lpstr>
      <vt:lpstr>disaster_armedconflict_mar_nonstateactors_npa</vt:lpstr>
      <vt:lpstr>disaster_armedconflict_mar_nonstateactors_others_specify</vt:lpstr>
      <vt:lpstr>disaster_armedconflict_mar_stateactors_afp</vt:lpstr>
      <vt:lpstr>disaster_armedconflict_mar_stateactors_others_specify</vt:lpstr>
      <vt:lpstr>disaster_armedconflict_mar_stateactors_pnp</vt:lpstr>
      <vt:lpstr>disaster_armedconflict_may_nonstateactors_asg</vt:lpstr>
      <vt:lpstr>disaster_armedconflict_may_nonstateactors_biff</vt:lpstr>
      <vt:lpstr>disaster_armedconflict_may_nonstateactors_maute</vt:lpstr>
      <vt:lpstr>disaster_armedconflict_may_nonstateactors_mnlf</vt:lpstr>
      <vt:lpstr>disaster_armedconflict_may_nonstateactors_npa</vt:lpstr>
      <vt:lpstr>disaster_armedconflict_may_nonstateactors_others_specify</vt:lpstr>
      <vt:lpstr>disaster_armedconflict_may_stateactors_afp</vt:lpstr>
      <vt:lpstr>disaster_armedconflict_may_stateactors_others_specify</vt:lpstr>
      <vt:lpstr>disaster_armedconflict_may_stateactors_pnp</vt:lpstr>
      <vt:lpstr>disaster_armedconflict_nov_nonstateactors_asg</vt:lpstr>
      <vt:lpstr>disaster_armedconflict_nov_nonstateactors_biff</vt:lpstr>
      <vt:lpstr>disaster_armedconflict_nov_nonstateactors_maute</vt:lpstr>
      <vt:lpstr>disaster_armedconflict_nov_nonstateactors_mnlf</vt:lpstr>
      <vt:lpstr>disaster_armedconflict_nov_nonstateactors_npa</vt:lpstr>
      <vt:lpstr>disaster_armedconflict_nov_nonstateactors_others_specify</vt:lpstr>
      <vt:lpstr>disaster_armedconflict_nov_stateactors_afp</vt:lpstr>
      <vt:lpstr>disaster_armedconflict_nov_stateactors_others_specify</vt:lpstr>
      <vt:lpstr>disaster_armedconflict_nov_stateactors_pnp</vt:lpstr>
      <vt:lpstr>disaster_armedconflict_oct_nonstateactors_asg</vt:lpstr>
      <vt:lpstr>disaster_armedconflict_oct_nonstateactors_biff</vt:lpstr>
      <vt:lpstr>disaster_armedconflict_oct_nonstateactors_maute</vt:lpstr>
      <vt:lpstr>disaster_armedconflict_oct_nonstateactors_mnlf</vt:lpstr>
      <vt:lpstr>disaster_armedconflict_oct_nonstateactors_npa</vt:lpstr>
      <vt:lpstr>disaster_armedconflict_oct_nonstateactors_others_specify</vt:lpstr>
      <vt:lpstr>disaster_armedconflict_oct_stateactors_afp</vt:lpstr>
      <vt:lpstr>disaster_armedconflict_oct_stateactors_others_specify</vt:lpstr>
      <vt:lpstr>disaster_armedconflict_oct_stateactors_pnp</vt:lpstr>
      <vt:lpstr>disaster_armedconflict_sep_nonstateactors_asg</vt:lpstr>
      <vt:lpstr>disaster_armedconflict_sep_nonstateactors_biff</vt:lpstr>
      <vt:lpstr>disaster_armedconflict_sep_nonstateactors_maute</vt:lpstr>
      <vt:lpstr>disaster_armedconflict_sep_nonstateactors_mnlf</vt:lpstr>
      <vt:lpstr>disaster_armedconflict_sep_nonstateactors_npa</vt:lpstr>
      <vt:lpstr>disaster_armedconflict_sep_nonstateactors_others_specify</vt:lpstr>
      <vt:lpstr>disaster_armedconflict_sep_stateactors_afp</vt:lpstr>
      <vt:lpstr>disaster_armedconflict_sep_stateactors_others_specify</vt:lpstr>
      <vt:lpstr>disaster_armedconflict_sep_stateactors_pnp</vt:lpstr>
      <vt:lpstr>disaster_childrightviolations_apr_abduction</vt:lpstr>
      <vt:lpstr>disaster_childrightviolations_apr_attacks</vt:lpstr>
      <vt:lpstr>disaster_childrightviolations_apr_denial</vt:lpstr>
      <vt:lpstr>disaster_childrightviolations_apr_killing</vt:lpstr>
      <vt:lpstr>disaster_childrightviolations_apr_recruit</vt:lpstr>
      <vt:lpstr>disaster_childrightviolations_apr_sexual</vt:lpstr>
      <vt:lpstr>disaster_childrightviolations_aug_abduction</vt:lpstr>
      <vt:lpstr>disaster_childrightviolations_aug_attacks</vt:lpstr>
      <vt:lpstr>disaster_childrightviolations_aug_denial</vt:lpstr>
      <vt:lpstr>disaster_childrightviolations_aug_killing</vt:lpstr>
      <vt:lpstr>disaster_childrightviolations_aug_recruit</vt:lpstr>
      <vt:lpstr>disaster_childrightviolations_aug_sexual</vt:lpstr>
      <vt:lpstr>disaster_childrightviolations_dec_abduction</vt:lpstr>
      <vt:lpstr>disaster_childrightviolations_dec_attacks</vt:lpstr>
      <vt:lpstr>disaster_childrightviolations_dec_denial</vt:lpstr>
      <vt:lpstr>disaster_childrightviolations_dec_killing</vt:lpstr>
      <vt:lpstr>disaster_childrightviolations_dec_recruit</vt:lpstr>
      <vt:lpstr>disaster_childrightviolations_dec_sexual</vt:lpstr>
      <vt:lpstr>disaster_childrightviolations_feb_abduction</vt:lpstr>
      <vt:lpstr>disaster_childrightviolations_feb_attacks</vt:lpstr>
      <vt:lpstr>disaster_childrightviolations_feb_denial</vt:lpstr>
      <vt:lpstr>disaster_childrightviolations_feb_killing</vt:lpstr>
      <vt:lpstr>disaster_childrightviolations_feb_recruit</vt:lpstr>
      <vt:lpstr>disaster_childrightviolations_feb_sexual</vt:lpstr>
      <vt:lpstr>disaster_childrightviolations_jan_abduction</vt:lpstr>
      <vt:lpstr>disaster_childrightviolations_jan_attacks</vt:lpstr>
      <vt:lpstr>disaster_childrightviolations_jan_denial</vt:lpstr>
      <vt:lpstr>disaster_childrightviolations_jan_killing</vt:lpstr>
      <vt:lpstr>disaster_childrightviolations_jan_recruit</vt:lpstr>
      <vt:lpstr>disaster_childrightviolations_jan_sexual</vt:lpstr>
      <vt:lpstr>disaster_childrightviolations_jul_abduction</vt:lpstr>
      <vt:lpstr>disaster_childrightviolations_jul_attacks</vt:lpstr>
      <vt:lpstr>disaster_childrightviolations_jul_denial</vt:lpstr>
      <vt:lpstr>disaster_childrightviolations_jul_killing</vt:lpstr>
      <vt:lpstr>disaster_childrightviolations_jul_recruit</vt:lpstr>
      <vt:lpstr>disaster_childrightviolations_jul_sexual</vt:lpstr>
      <vt:lpstr>disaster_childrightviolations_jun_abduction</vt:lpstr>
      <vt:lpstr>disaster_childrightviolations_jun_attacks</vt:lpstr>
      <vt:lpstr>disaster_childrightviolations_jun_denial</vt:lpstr>
      <vt:lpstr>disaster_childrightviolations_jun_killing</vt:lpstr>
      <vt:lpstr>disaster_childrightviolations_jun_recruit</vt:lpstr>
      <vt:lpstr>disaster_childrightviolations_jun_sexual</vt:lpstr>
      <vt:lpstr>disaster_childrightviolations_mar_abduction</vt:lpstr>
      <vt:lpstr>disaster_childrightviolations_mar_attacks</vt:lpstr>
      <vt:lpstr>disaster_childrightviolations_mar_denial</vt:lpstr>
      <vt:lpstr>disaster_childrightviolations_mar_killing</vt:lpstr>
      <vt:lpstr>disaster_childrightviolations_mar_recruit</vt:lpstr>
      <vt:lpstr>disaster_childrightviolations_mar_sexual</vt:lpstr>
      <vt:lpstr>disaster_childrightviolations_may_abduction</vt:lpstr>
      <vt:lpstr>disaster_childrightviolations_may_attacks</vt:lpstr>
      <vt:lpstr>disaster_childrightviolations_may_denial</vt:lpstr>
      <vt:lpstr>disaster_childrightviolations_may_killing</vt:lpstr>
      <vt:lpstr>disaster_childrightviolations_may_recruit</vt:lpstr>
      <vt:lpstr>disaster_childrightviolations_may_sexual</vt:lpstr>
      <vt:lpstr>disaster_childrightviolations_nov_abduction</vt:lpstr>
      <vt:lpstr>disaster_childrightviolations_nov_attacks</vt:lpstr>
      <vt:lpstr>disaster_childrightviolations_nov_denial</vt:lpstr>
      <vt:lpstr>disaster_childrightviolations_nov_killing</vt:lpstr>
      <vt:lpstr>disaster_childrightviolations_nov_recruit</vt:lpstr>
      <vt:lpstr>disaster_childrightviolations_nov_sexual</vt:lpstr>
      <vt:lpstr>disaster_childrightviolations_oct_abduction</vt:lpstr>
      <vt:lpstr>disaster_childrightviolations_oct_attacks</vt:lpstr>
      <vt:lpstr>disaster_childrightviolations_oct_denial</vt:lpstr>
      <vt:lpstr>disaster_childrightviolations_oct_killing</vt:lpstr>
      <vt:lpstr>disaster_childrightviolations_oct_recruit</vt:lpstr>
      <vt:lpstr>disaster_childrightviolations_oct_sexual</vt:lpstr>
      <vt:lpstr>disaster_childrightviolations_sep_abduction</vt:lpstr>
      <vt:lpstr>disaster_childrightviolations_sep_attacks</vt:lpstr>
      <vt:lpstr>disaster_childrightviolations_sep_denial</vt:lpstr>
      <vt:lpstr>disaster_childrightviolations_sep_killing</vt:lpstr>
      <vt:lpstr>disaster_childrightviolations_sep_recruit</vt:lpstr>
      <vt:lpstr>disaster_childrightviolations_sep_sexual</vt:lpstr>
      <vt:lpstr>disaster_response_mhpss_nonteaching_f</vt:lpstr>
      <vt:lpstr>disaster_response_mhpss_nonteaching_m</vt:lpstr>
      <vt:lpstr>disaster_response_mhpss_teaching_f</vt:lpstr>
      <vt:lpstr>disaster_response_mhpss_teaching_m</vt:lpstr>
      <vt:lpstr>disaster_response_pss_nonteaching_f</vt:lpstr>
      <vt:lpstr>disaster_response_pss_nonteaching_m</vt:lpstr>
      <vt:lpstr>disaster_response_pss_teaching_f</vt:lpstr>
      <vt:lpstr>disaster_response_pss_teaching_m</vt:lpstr>
      <vt:lpstr>disaster_response_referral_nonteaching_f</vt:lpstr>
      <vt:lpstr>disaster_response_referral_nonteaching_m</vt:lpstr>
      <vt:lpstr>disaster_response_referral_teaching_f</vt:lpstr>
      <vt:lpstr>disaster_response_referral_teaching_m</vt:lpstr>
      <vt:lpstr>disastercalamities_armedconfIct_nonstateactors_others_specify</vt:lpstr>
      <vt:lpstr>disastercalamities_armedconfIct_stateactors_others_specify</vt:lpstr>
      <vt:lpstr>disastercalamities_human_induced_apr_bomb_schprem</vt:lpstr>
      <vt:lpstr>disastercalamities_human_induced_apr_bombthreat_schprem</vt:lpstr>
      <vt:lpstr>disastercalamities_human_induced_apr_crime_learners</vt:lpstr>
      <vt:lpstr>disastercalamities_human_induced_apr_crime_non_teachers</vt:lpstr>
      <vt:lpstr>disastercalamities_human_induced_apr_crime_schhead</vt:lpstr>
      <vt:lpstr>disastercalamities_human_induced_apr_crime_schproperty</vt:lpstr>
      <vt:lpstr>disastercalamities_human_induced_apr_crime_teachers</vt:lpstr>
      <vt:lpstr>disastercalamities_human_induced_apr_fire</vt:lpstr>
      <vt:lpstr>disastercalamities_human_induced_apr_hazarous_materials</vt:lpstr>
      <vt:lpstr>disastercalamities_human_induced_apr_healththreat</vt:lpstr>
      <vt:lpstr>disastercalamities_human_induced_apr_hostage_insch</vt:lpstr>
      <vt:lpstr>disastercalamities_human_induced_apr_others_specify</vt:lpstr>
      <vt:lpstr>disastercalamities_human_induced_apr_schooting_insch</vt:lpstr>
      <vt:lpstr>disastercalamities_human_induced_apr_structural_collapse</vt:lpstr>
      <vt:lpstr>disastercalamities_human_induced_aug_bomb_schprem</vt:lpstr>
      <vt:lpstr>disastercalamities_human_induced_aug_bombthreat_schprem</vt:lpstr>
      <vt:lpstr>disastercalamities_human_induced_aug_crime_learners</vt:lpstr>
      <vt:lpstr>disastercalamities_human_induced_aug_crime_non_teachers</vt:lpstr>
      <vt:lpstr>disastercalamities_human_induced_aug_crime_schhead</vt:lpstr>
      <vt:lpstr>disastercalamities_human_induced_aug_crime_schproperty</vt:lpstr>
      <vt:lpstr>disastercalamities_human_induced_aug_crime_teachers</vt:lpstr>
      <vt:lpstr>disastercalamities_human_induced_aug_fire</vt:lpstr>
      <vt:lpstr>disastercalamities_human_induced_aug_hazarous_materials</vt:lpstr>
      <vt:lpstr>disastercalamities_human_induced_aug_healththreat</vt:lpstr>
      <vt:lpstr>disastercalamities_human_induced_aug_hostage_insch</vt:lpstr>
      <vt:lpstr>disastercalamities_human_induced_aug_others_specify</vt:lpstr>
      <vt:lpstr>disastercalamities_human_induced_aug_schooting_insch</vt:lpstr>
      <vt:lpstr>disastercalamities_human_induced_aug_structural_collapse</vt:lpstr>
      <vt:lpstr>disastercalamities_human_induced_dec_bomb_schprem</vt:lpstr>
      <vt:lpstr>disastercalamities_human_induced_dec_bombthreat_schprem</vt:lpstr>
      <vt:lpstr>disastercalamities_human_induced_dec_crime_learners</vt:lpstr>
      <vt:lpstr>disastercalamities_human_induced_dec_crime_non_teachers</vt:lpstr>
      <vt:lpstr>disastercalamities_human_induced_dec_crime_schhead</vt:lpstr>
      <vt:lpstr>disastercalamities_human_induced_dec_crime_schproperty</vt:lpstr>
      <vt:lpstr>disastercalamities_human_induced_dec_crime_teachers</vt:lpstr>
      <vt:lpstr>disastercalamities_human_induced_dec_fire</vt:lpstr>
      <vt:lpstr>disastercalamities_human_induced_dec_hazarous_materials</vt:lpstr>
      <vt:lpstr>disastercalamities_human_induced_dec_healththreat</vt:lpstr>
      <vt:lpstr>disastercalamities_human_induced_dec_hostage_insch</vt:lpstr>
      <vt:lpstr>disastercalamities_human_induced_dec_others_specify</vt:lpstr>
      <vt:lpstr>disastercalamities_human_induced_dec_schooting_insch</vt:lpstr>
      <vt:lpstr>disastercalamities_human_induced_dec_structural_collapse</vt:lpstr>
      <vt:lpstr>disastercalamities_human_induced_feb_bomb_schprem</vt:lpstr>
      <vt:lpstr>disastercalamities_human_induced_feb_bombthreat_schprem</vt:lpstr>
      <vt:lpstr>disastercalamities_human_induced_feb_crime_learners</vt:lpstr>
      <vt:lpstr>disastercalamities_human_induced_feb_crime_non_teachers</vt:lpstr>
      <vt:lpstr>disastercalamities_human_induced_feb_crime_schhead</vt:lpstr>
      <vt:lpstr>disastercalamities_human_induced_feb_crime_schproperty</vt:lpstr>
      <vt:lpstr>disastercalamities_human_induced_feb_crime_teachers</vt:lpstr>
      <vt:lpstr>disastercalamities_human_induced_feb_fire</vt:lpstr>
      <vt:lpstr>disastercalamities_human_induced_feb_hazarous_materials</vt:lpstr>
      <vt:lpstr>disastercalamities_human_induced_feb_healththreat</vt:lpstr>
      <vt:lpstr>disastercalamities_human_induced_feb_hostage_insch</vt:lpstr>
      <vt:lpstr>disastercalamities_human_induced_feb_others_specify</vt:lpstr>
      <vt:lpstr>disastercalamities_human_induced_feb_schooting_insch</vt:lpstr>
      <vt:lpstr>disastercalamities_human_induced_feb_structural_collapse</vt:lpstr>
      <vt:lpstr>disastercalamities_human_induced_jan_bomb_schprem</vt:lpstr>
      <vt:lpstr>disastercalamities_human_induced_jan_bombthreat_schprem</vt:lpstr>
      <vt:lpstr>disastercalamities_human_induced_jan_crime_learners</vt:lpstr>
      <vt:lpstr>disastercalamities_human_induced_jan_crime_non_teachers</vt:lpstr>
      <vt:lpstr>disastercalamities_human_induced_jan_crime_schhead</vt:lpstr>
      <vt:lpstr>disastercalamities_human_induced_jan_crime_schproperty</vt:lpstr>
      <vt:lpstr>disastercalamities_human_induced_jan_crime_teachers</vt:lpstr>
      <vt:lpstr>disastercalamities_human_induced_jan_fire</vt:lpstr>
      <vt:lpstr>disastercalamities_human_induced_jan_hazarous_materials</vt:lpstr>
      <vt:lpstr>disastercalamities_human_induced_jan_healththreat</vt:lpstr>
      <vt:lpstr>disastercalamities_human_induced_jan_hostage_insch</vt:lpstr>
      <vt:lpstr>disastercalamities_human_induced_jan_others_specify</vt:lpstr>
      <vt:lpstr>disastercalamities_human_induced_jan_schooting_insch</vt:lpstr>
      <vt:lpstr>disastercalamities_human_induced_jan_structural_collapse</vt:lpstr>
      <vt:lpstr>disastercalamities_human_induced_jul_bomb_schprem</vt:lpstr>
      <vt:lpstr>disastercalamities_human_induced_jul_bombthreat_schprem</vt:lpstr>
      <vt:lpstr>disastercalamities_human_induced_jul_crime_learners</vt:lpstr>
      <vt:lpstr>disastercalamities_human_induced_jul_crime_non_teachers</vt:lpstr>
      <vt:lpstr>disastercalamities_human_induced_jul_crime_schhead</vt:lpstr>
      <vt:lpstr>disastercalamities_human_induced_jul_crime_schproperty</vt:lpstr>
      <vt:lpstr>disastercalamities_human_induced_jul_crime_teachers</vt:lpstr>
      <vt:lpstr>disastercalamities_human_induced_jul_fire</vt:lpstr>
      <vt:lpstr>disastercalamities_human_induced_jul_hazarous_materials</vt:lpstr>
      <vt:lpstr>disastercalamities_human_induced_jul_healththreat</vt:lpstr>
      <vt:lpstr>disastercalamities_human_induced_jul_hostage_insch</vt:lpstr>
      <vt:lpstr>disastercalamities_human_induced_jul_others_specify</vt:lpstr>
      <vt:lpstr>disastercalamities_human_induced_jul_schooting_insch</vt:lpstr>
      <vt:lpstr>disastercalamities_human_induced_jul_structural_collapse</vt:lpstr>
      <vt:lpstr>disastercalamities_human_induced_jun_bomb_schprem</vt:lpstr>
      <vt:lpstr>disastercalamities_human_induced_jun_bombthreat_schprem</vt:lpstr>
      <vt:lpstr>disastercalamities_human_induced_jun_crime_learners</vt:lpstr>
      <vt:lpstr>disastercalamities_human_induced_jun_crime_non_teachers</vt:lpstr>
      <vt:lpstr>disastercalamities_human_induced_jun_crime_schhead</vt:lpstr>
      <vt:lpstr>disastercalamities_human_induced_jun_crime_schproperty</vt:lpstr>
      <vt:lpstr>disastercalamities_human_induced_jun_crime_teachers</vt:lpstr>
      <vt:lpstr>disastercalamities_human_induced_jun_fire</vt:lpstr>
      <vt:lpstr>disastercalamities_human_induced_jun_hazardous_materials</vt:lpstr>
      <vt:lpstr>disastercalamities_human_induced_jun_healththreat</vt:lpstr>
      <vt:lpstr>disastercalamities_human_induced_jun_hostage_insch</vt:lpstr>
      <vt:lpstr>disastercalamities_human_induced_jun_others_specify</vt:lpstr>
      <vt:lpstr>disastercalamities_human_induced_jun_shooting_insch</vt:lpstr>
      <vt:lpstr>disastercalamities_human_induced_jun_structural_collapse</vt:lpstr>
      <vt:lpstr>disastercalamities_human_induced_mar_bomb_schprem</vt:lpstr>
      <vt:lpstr>disastercalamities_human_induced_mar_bombthreat_schprem</vt:lpstr>
      <vt:lpstr>disastercalamities_human_induced_mar_crime_learners</vt:lpstr>
      <vt:lpstr>disastercalamities_human_induced_mar_crime_non_teachers</vt:lpstr>
      <vt:lpstr>disastercalamities_human_induced_mar_crime_schhead</vt:lpstr>
      <vt:lpstr>disastercalamities_human_induced_mar_crime_schproperty</vt:lpstr>
      <vt:lpstr>disastercalamities_human_induced_mar_crime_teachers</vt:lpstr>
      <vt:lpstr>disastercalamities_human_induced_mar_fire</vt:lpstr>
      <vt:lpstr>disastercalamities_human_induced_mar_hazarous_materials</vt:lpstr>
      <vt:lpstr>disastercalamities_human_induced_mar_healththreat</vt:lpstr>
      <vt:lpstr>disastercalamities_human_induced_mar_hostage_insch</vt:lpstr>
      <vt:lpstr>disastercalamities_human_induced_mar_others_specify</vt:lpstr>
      <vt:lpstr>disastercalamities_human_induced_mar_schooting_insch</vt:lpstr>
      <vt:lpstr>disastercalamities_human_induced_mar_structural_collapse</vt:lpstr>
      <vt:lpstr>disastercalamities_human_induced_may_bomb_schprem</vt:lpstr>
      <vt:lpstr>disastercalamities_human_induced_may_bombthreat_schprem</vt:lpstr>
      <vt:lpstr>disastercalamities_human_induced_may_crime_learners</vt:lpstr>
      <vt:lpstr>disastercalamities_human_induced_may_crime_non_teachers</vt:lpstr>
      <vt:lpstr>disastercalamities_human_induced_may_crime_schhead</vt:lpstr>
      <vt:lpstr>disastercalamities_human_induced_may_crime_schproperty</vt:lpstr>
      <vt:lpstr>disastercalamities_human_induced_may_crime_teachers</vt:lpstr>
      <vt:lpstr>disastercalamities_human_induced_may_fire</vt:lpstr>
      <vt:lpstr>disastercalamities_human_induced_may_hazarous_materials</vt:lpstr>
      <vt:lpstr>disastercalamities_human_induced_may_healththreat</vt:lpstr>
      <vt:lpstr>disastercalamities_human_induced_may_hostage_insch</vt:lpstr>
      <vt:lpstr>disastercalamities_human_induced_may_others_specify</vt:lpstr>
      <vt:lpstr>disastercalamities_human_induced_may_schooting_insch</vt:lpstr>
      <vt:lpstr>disastercalamities_human_induced_may_structural_collapse</vt:lpstr>
      <vt:lpstr>disastercalamities_human_induced_nov_bomb_schprem</vt:lpstr>
      <vt:lpstr>disastercalamities_human_induced_nov_bombthreat_schprem</vt:lpstr>
      <vt:lpstr>disastercalamities_human_induced_nov_crime_learners</vt:lpstr>
      <vt:lpstr>disastercalamities_human_induced_nov_crime_non_teachers</vt:lpstr>
      <vt:lpstr>disastercalamities_human_induced_nov_crime_schhead</vt:lpstr>
      <vt:lpstr>disastercalamities_human_induced_nov_crime_schproperty</vt:lpstr>
      <vt:lpstr>disastercalamities_human_induced_nov_crime_teachers</vt:lpstr>
      <vt:lpstr>disastercalamities_human_induced_nov_fire</vt:lpstr>
      <vt:lpstr>disastercalamities_human_induced_nov_hazarous_materials</vt:lpstr>
      <vt:lpstr>disastercalamities_human_induced_nov_healththreat</vt:lpstr>
      <vt:lpstr>disastercalamities_human_induced_nov_hostage_insch</vt:lpstr>
      <vt:lpstr>disastercalamities_human_induced_nov_others_specify</vt:lpstr>
      <vt:lpstr>disastercalamities_human_induced_nov_schooting_insch</vt:lpstr>
      <vt:lpstr>disastercalamities_human_induced_nov_structural_collapse</vt:lpstr>
      <vt:lpstr>disastercalamities_human_induced_oct_bomb_schprem</vt:lpstr>
      <vt:lpstr>disastercalamities_human_induced_oct_bombthreat_schprem</vt:lpstr>
      <vt:lpstr>disastercalamities_human_induced_oct_crime_learners</vt:lpstr>
      <vt:lpstr>disastercalamities_human_induced_oct_crime_non_teachers</vt:lpstr>
      <vt:lpstr>disastercalamities_human_induced_oct_crime_schhead</vt:lpstr>
      <vt:lpstr>disastercalamities_human_induced_oct_crime_schproperty</vt:lpstr>
      <vt:lpstr>disastercalamities_human_induced_oct_crime_teachers</vt:lpstr>
      <vt:lpstr>disastercalamities_human_induced_oct_fire</vt:lpstr>
      <vt:lpstr>disastercalamities_human_induced_oct_hazarous_materials</vt:lpstr>
      <vt:lpstr>disastercalamities_human_induced_oct_healththreat</vt:lpstr>
      <vt:lpstr>disastercalamities_human_induced_oct_hostage_insch</vt:lpstr>
      <vt:lpstr>disastercalamities_human_induced_oct_others_specify</vt:lpstr>
      <vt:lpstr>disastercalamities_human_induced_oct_schooting_insch</vt:lpstr>
      <vt:lpstr>disastercalamities_human_induced_oct_structural_collapse</vt:lpstr>
      <vt:lpstr>disastercalamities_human_induced_others_specify</vt:lpstr>
      <vt:lpstr>disastercalamities_human_induced_sep_bomb_schprem</vt:lpstr>
      <vt:lpstr>disastercalamities_human_induced_sep_bombthreat_schprem</vt:lpstr>
      <vt:lpstr>disastercalamities_human_induced_sep_crime_learners</vt:lpstr>
      <vt:lpstr>disastercalamities_human_induced_sep_crime_non_teachers</vt:lpstr>
      <vt:lpstr>disastercalamities_human_induced_sep_crime_schhead</vt:lpstr>
      <vt:lpstr>disastercalamities_human_induced_sep_crime_schproperty</vt:lpstr>
      <vt:lpstr>disastercalamities_human_induced_sep_crime_teachers</vt:lpstr>
      <vt:lpstr>disastercalamities_human_induced_sep_fire</vt:lpstr>
      <vt:lpstr>disastercalamities_human_induced_sep_hazarous_materials</vt:lpstr>
      <vt:lpstr>disastercalamities_human_induced_sep_healththreat</vt:lpstr>
      <vt:lpstr>disastercalamities_human_induced_sep_hostage_insch</vt:lpstr>
      <vt:lpstr>disastercalamities_human_induced_sep_others_specify</vt:lpstr>
      <vt:lpstr>disastercalamities_human_induced_sep_schooting_insch</vt:lpstr>
      <vt:lpstr>disastercalamities_human_induced_sep_structural_collapse</vt:lpstr>
      <vt:lpstr>disastercalamities_natural_apr_drought</vt:lpstr>
      <vt:lpstr>disastercalamities_natural_apr_earthquake</vt:lpstr>
      <vt:lpstr>disastercalamities_natural_apr_fire</vt:lpstr>
      <vt:lpstr>disastercalamities_natural_apr_flood</vt:lpstr>
      <vt:lpstr>disastercalamities_natural_apr_landslide</vt:lpstr>
      <vt:lpstr>disastercalamities_natural_apr_stormsurge</vt:lpstr>
      <vt:lpstr>disastercalamities_natural_apr_tropicyclone</vt:lpstr>
      <vt:lpstr>disastercalamities_natural_apr_tsunami</vt:lpstr>
      <vt:lpstr>disastercalamities_natural_apr_volcanerupt</vt:lpstr>
      <vt:lpstr>disastercalamities_natural_aug_drought</vt:lpstr>
      <vt:lpstr>disastercalamities_natural_aug_earthquake</vt:lpstr>
      <vt:lpstr>disastercalamities_natural_aug_fire</vt:lpstr>
      <vt:lpstr>disastercalamities_natural_aug_flood</vt:lpstr>
      <vt:lpstr>disastercalamities_natural_aug_landslide</vt:lpstr>
      <vt:lpstr>disastercalamities_natural_aug_stormsurge</vt:lpstr>
      <vt:lpstr>disastercalamities_natural_aug_tropicyclone</vt:lpstr>
      <vt:lpstr>disastercalamities_natural_aug_tsunami</vt:lpstr>
      <vt:lpstr>disastercalamities_natural_aug_volcanerupt</vt:lpstr>
      <vt:lpstr>disastercalamities_natural_dec_drought</vt:lpstr>
      <vt:lpstr>disastercalamities_natural_dec_earthquake</vt:lpstr>
      <vt:lpstr>disastercalamities_natural_dec_fire</vt:lpstr>
      <vt:lpstr>disastercalamities_natural_dec_flood</vt:lpstr>
      <vt:lpstr>disastercalamities_natural_dec_landslide</vt:lpstr>
      <vt:lpstr>disastercalamities_natural_dec_stormsurge</vt:lpstr>
      <vt:lpstr>disastercalamities_natural_dec_tropicyclone</vt:lpstr>
      <vt:lpstr>disastercalamities_natural_dec_tsunami</vt:lpstr>
      <vt:lpstr>disastercalamities_natural_dec_volcanerupt</vt:lpstr>
      <vt:lpstr>disastercalamities_natural_feb_drought</vt:lpstr>
      <vt:lpstr>disastercalamities_natural_feb_earthquake</vt:lpstr>
      <vt:lpstr>disastercalamities_natural_feb_fire</vt:lpstr>
      <vt:lpstr>disastercalamities_natural_feb_flood</vt:lpstr>
      <vt:lpstr>disastercalamities_natural_feb_landslide</vt:lpstr>
      <vt:lpstr>disastercalamities_natural_feb_stormsurge</vt:lpstr>
      <vt:lpstr>disastercalamities_natural_feb_tropicyclone</vt:lpstr>
      <vt:lpstr>disastercalamities_natural_feb_tsunami</vt:lpstr>
      <vt:lpstr>disastercalamities_natural_feb_volcanerupt</vt:lpstr>
      <vt:lpstr>disastercalamities_natural_jan_drought</vt:lpstr>
      <vt:lpstr>disastercalamities_natural_jan_earthquake</vt:lpstr>
      <vt:lpstr>disastercalamities_natural_jan_fire</vt:lpstr>
      <vt:lpstr>disastercalamities_natural_jan_flood</vt:lpstr>
      <vt:lpstr>disastercalamities_natural_jan_landslide</vt:lpstr>
      <vt:lpstr>disastercalamities_natural_jan_stormsurge</vt:lpstr>
      <vt:lpstr>disastercalamities_natural_jan_tropicyclone</vt:lpstr>
      <vt:lpstr>disastercalamities_natural_jan_tsunami</vt:lpstr>
      <vt:lpstr>disastercalamities_natural_jan_volcanerupt</vt:lpstr>
      <vt:lpstr>disastercalamities_natural_jul_drought</vt:lpstr>
      <vt:lpstr>disastercalamities_natural_jul_earthquake</vt:lpstr>
      <vt:lpstr>disastercalamities_natural_jul_fire</vt:lpstr>
      <vt:lpstr>disastercalamities_natural_jul_flood</vt:lpstr>
      <vt:lpstr>disastercalamities_natural_jul_landslide</vt:lpstr>
      <vt:lpstr>disastercalamities_natural_jul_stormsurge</vt:lpstr>
      <vt:lpstr>disastercalamities_natural_jul_tropicyclone</vt:lpstr>
      <vt:lpstr>disastercalamities_natural_jul_tsunami</vt:lpstr>
      <vt:lpstr>disastercalamities_natural_jul_volcanerupt</vt:lpstr>
      <vt:lpstr>disastercalamities_natural_jun_drought</vt:lpstr>
      <vt:lpstr>disastercalamities_natural_jun_earthquake</vt:lpstr>
      <vt:lpstr>disastercalamities_natural_jun_fire</vt:lpstr>
      <vt:lpstr>disastercalamities_natural_jun_flood</vt:lpstr>
      <vt:lpstr>disastercalamities_natural_jun_landslide</vt:lpstr>
      <vt:lpstr>disastercalamities_natural_jun_stormsurge</vt:lpstr>
      <vt:lpstr>disastercalamities_natural_jun_tropicyclone</vt:lpstr>
      <vt:lpstr>disastercalamities_natural_jun_tsunami</vt:lpstr>
      <vt:lpstr>disastercalamities_natural_jun_volcanerupt</vt:lpstr>
      <vt:lpstr>disastercalamities_natural_mar_drought</vt:lpstr>
      <vt:lpstr>disastercalamities_natural_mar_earthquake</vt:lpstr>
      <vt:lpstr>disastercalamities_natural_mar_fire</vt:lpstr>
      <vt:lpstr>disastercalamities_natural_mar_flood</vt:lpstr>
      <vt:lpstr>disastercalamities_natural_mar_landslide</vt:lpstr>
      <vt:lpstr>disastercalamities_natural_mar_stormsurge</vt:lpstr>
      <vt:lpstr>disastercalamities_natural_mar_tropicyclone</vt:lpstr>
      <vt:lpstr>disastercalamities_natural_mar_tsunami</vt:lpstr>
      <vt:lpstr>disastercalamities_natural_mar_volcanerupt</vt:lpstr>
      <vt:lpstr>disastercalamities_natural_may_drought</vt:lpstr>
      <vt:lpstr>disastercalamities_natural_may_earthquake</vt:lpstr>
      <vt:lpstr>disastercalamities_natural_may_fire</vt:lpstr>
      <vt:lpstr>disastercalamities_natural_may_flood</vt:lpstr>
      <vt:lpstr>disastercalamities_natural_may_landslide</vt:lpstr>
      <vt:lpstr>disastercalamities_natural_may_stormsurge</vt:lpstr>
      <vt:lpstr>disastercalamities_natural_may_tropicyclone</vt:lpstr>
      <vt:lpstr>disastercalamities_natural_may_tsunami</vt:lpstr>
      <vt:lpstr>disastercalamities_natural_may_volcanerupt</vt:lpstr>
      <vt:lpstr>disastercalamities_natural_nov_drought</vt:lpstr>
      <vt:lpstr>disastercalamities_natural_nov_earthquake</vt:lpstr>
      <vt:lpstr>disastercalamities_natural_nov_fire</vt:lpstr>
      <vt:lpstr>disastercalamities_natural_nov_flood</vt:lpstr>
      <vt:lpstr>disastercalamities_natural_nov_landslide</vt:lpstr>
      <vt:lpstr>disastercalamities_natural_nov_stormsurge</vt:lpstr>
      <vt:lpstr>disastercalamities_natural_nov_tropicyclone</vt:lpstr>
      <vt:lpstr>disastercalamities_natural_nov_tsunami</vt:lpstr>
      <vt:lpstr>disastercalamities_natural_nov_volcanerupt</vt:lpstr>
      <vt:lpstr>disastercalamities_natural_oct_drought</vt:lpstr>
      <vt:lpstr>disastercalamities_natural_oct_earthquake</vt:lpstr>
      <vt:lpstr>disastercalamities_natural_oct_fire</vt:lpstr>
      <vt:lpstr>disastercalamities_natural_oct_flood</vt:lpstr>
      <vt:lpstr>disastercalamities_natural_oct_landslide</vt:lpstr>
      <vt:lpstr>disastercalamities_natural_oct_stormsurge</vt:lpstr>
      <vt:lpstr>disastercalamities_natural_oct_tropicyclone</vt:lpstr>
      <vt:lpstr>disastercalamities_natural_oct_tsunami</vt:lpstr>
      <vt:lpstr>disastercalamities_natural_oct_volcanerupt</vt:lpstr>
      <vt:lpstr>disastercalamities_natural_sep_drought</vt:lpstr>
      <vt:lpstr>disastercalamities_natural_sep_earthquake</vt:lpstr>
      <vt:lpstr>disastercalamities_natural_sep_fire</vt:lpstr>
      <vt:lpstr>disastercalamities_natural_sep_flood</vt:lpstr>
      <vt:lpstr>disastercalamities_natural_sep_landslide</vt:lpstr>
      <vt:lpstr>disastercalamities_natural_sep_stormsurge</vt:lpstr>
      <vt:lpstr>disastercalamities_natural_sep_tropicyclone</vt:lpstr>
      <vt:lpstr>disastercalamities_natural_sep_tsunami</vt:lpstr>
      <vt:lpstr>disastercalamities_natural_sep_volcanerupt</vt:lpstr>
      <vt:lpstr>do_acct_name</vt:lpstr>
      <vt:lpstr>do_acct_post</vt:lpstr>
      <vt:lpstr>do_child_prot_coor_name</vt:lpstr>
      <vt:lpstr>do_child_prot_coor_post</vt:lpstr>
      <vt:lpstr>do_cid_pers_name</vt:lpstr>
      <vt:lpstr>do_cid_pers_post</vt:lpstr>
      <vt:lpstr>do_engr_name</vt:lpstr>
      <vt:lpstr>do_engr_post</vt:lpstr>
      <vt:lpstr>do_hr_name</vt:lpstr>
      <vt:lpstr>do_hr_post</vt:lpstr>
      <vt:lpstr>do_iped_coor_name</vt:lpstr>
      <vt:lpstr>do_iped_coor_pos</vt:lpstr>
      <vt:lpstr>do_ito_name</vt:lpstr>
      <vt:lpstr>do_sch_health_coor_name</vt:lpstr>
      <vt:lpstr>do_sch_health_coor_post</vt:lpstr>
      <vt:lpstr>do_seps_hrtd_name</vt:lpstr>
      <vt:lpstr>do_seps_prs_sgod_name</vt:lpstr>
      <vt:lpstr>do_sped_coor_name</vt:lpstr>
      <vt:lpstr>do_sped_coor_pos</vt:lpstr>
      <vt:lpstr>do_sports_coor_name</vt:lpstr>
      <vt:lpstr>do_sports_coor_post</vt:lpstr>
      <vt:lpstr>do_yfc_coor_name</vt:lpstr>
      <vt:lpstr>do_yfc_coor_post</vt:lpstr>
      <vt:lpstr>drills_lrnrs_f_excluding</vt:lpstr>
      <vt:lpstr>drills_lrnrs_f_ip</vt:lpstr>
      <vt:lpstr>drills_lrnrs_f_muslim</vt:lpstr>
      <vt:lpstr>drills_lrnrs_f_pwd</vt:lpstr>
      <vt:lpstr>drills_lrnrs_m_excluding</vt:lpstr>
      <vt:lpstr>drills_lrnrs_m_ip</vt:lpstr>
      <vt:lpstr>drills_lrnrs_m_muslim</vt:lpstr>
      <vt:lpstr>drills_lrnrs_m_pwd</vt:lpstr>
      <vt:lpstr>drills_nonteaching_f</vt:lpstr>
      <vt:lpstr>drills_nonteaching_m</vt:lpstr>
      <vt:lpstr>drills_teaching_f</vt:lpstr>
      <vt:lpstr>drills_teaching_m</vt:lpstr>
      <vt:lpstr>drm_evacuationplan</vt:lpstr>
      <vt:lpstr>drm_humhazards_armedconflict</vt:lpstr>
      <vt:lpstr>drm_humhazards_bomb</vt:lpstr>
      <vt:lpstr>drm_humhazards_civviolence</vt:lpstr>
      <vt:lpstr>drm_humhazards_fire</vt:lpstr>
      <vt:lpstr>drm_humhazards_others</vt:lpstr>
      <vt:lpstr>drm_humhazards_others_specify</vt:lpstr>
      <vt:lpstr>drm_nathazards_drought</vt:lpstr>
      <vt:lpstr>drm_nathazards_earthquake</vt:lpstr>
      <vt:lpstr>drm_nathazards_fire</vt:lpstr>
      <vt:lpstr>drm_nathazards_flood</vt:lpstr>
      <vt:lpstr>drm_nathazards_landslide</vt:lpstr>
      <vt:lpstr>drm_nathazards_stormsurge</vt:lpstr>
      <vt:lpstr>drm_nathazards_tropicalcyclone</vt:lpstr>
      <vt:lpstr>drm_nathazards_tsunami</vt:lpstr>
      <vt:lpstr>drm_nathazards_volcaniceruption</vt:lpstr>
      <vt:lpstr>drm_reunificationplan</vt:lpstr>
      <vt:lpstr>drrm_coor_name</vt:lpstr>
      <vt:lpstr>drrm_coor_post</vt:lpstr>
      <vt:lpstr>drrm_parents</vt:lpstr>
      <vt:lpstr>drrm_partners</vt:lpstr>
      <vt:lpstr>drrm_personnel</vt:lpstr>
      <vt:lpstr>drrm_wlearners</vt:lpstr>
      <vt:lpstr>drrm_wlgu</vt:lpstr>
      <vt:lpstr>electrical_funding_source_others_specify</vt:lpstr>
      <vt:lpstr>electrical_funding_sources_canteen</vt:lpstr>
      <vt:lpstr>electrical_funding_sources_lgu</vt:lpstr>
      <vt:lpstr>electrical_funding_sources_mooe</vt:lpstr>
      <vt:lpstr>electrical_funding_sources_others</vt:lpstr>
      <vt:lpstr>electrical_funding_sources_private</vt:lpstr>
      <vt:lpstr>electrical_funding_sources_pta</vt:lpstr>
      <vt:lpstr>electrical_nosource</vt:lpstr>
      <vt:lpstr>electrical_offgrid_generator</vt:lpstr>
      <vt:lpstr>electrical_offgrid_others</vt:lpstr>
      <vt:lpstr>electrical_offgrid_others_specify</vt:lpstr>
      <vt:lpstr>electrical_offgrid_solar_power</vt:lpstr>
      <vt:lpstr>electrical_supply_sources_grid</vt:lpstr>
      <vt:lpstr>electrical_supply_sources_offgrid</vt:lpstr>
      <vt:lpstr>electricity_available_inaday_hours</vt:lpstr>
      <vt:lpstr>emrgcy_cadaverbag</vt:lpstr>
      <vt:lpstr>emrgcy_cadaverbag_prtnr</vt:lpstr>
      <vt:lpstr>emrgcy_cot</vt:lpstr>
      <vt:lpstr>emrgcy_cot_prtnr</vt:lpstr>
      <vt:lpstr>emrgcy_cprboard</vt:lpstr>
      <vt:lpstr>emrgcy_cprboard_prtnr</vt:lpstr>
      <vt:lpstr>emrgcy_flashlight_rechargable</vt:lpstr>
      <vt:lpstr>emrgcy_flashlight_rechargable_prtnr</vt:lpstr>
      <vt:lpstr>emrgcy_frstaid_lrnr</vt:lpstr>
      <vt:lpstr>emrgcy_frstaid_lrnr_prtnr</vt:lpstr>
      <vt:lpstr>emrgcy_frstaid_personnel</vt:lpstr>
      <vt:lpstr>emrgcy_frstaid_personnel_prtnr</vt:lpstr>
      <vt:lpstr>emrgcy_medical_cushion</vt:lpstr>
      <vt:lpstr>emrgcy_medical_cushion_prtnr</vt:lpstr>
      <vt:lpstr>emrgcy_pasystem</vt:lpstr>
      <vt:lpstr>emrgcy_pasystem_prtnr</vt:lpstr>
      <vt:lpstr>emrgcy_searchlight</vt:lpstr>
      <vt:lpstr>emrgcy_searchlight_prtnr</vt:lpstr>
      <vt:lpstr>emrgcy_steelboxes</vt:lpstr>
      <vt:lpstr>emrgcy_steelboxes_prtnr</vt:lpstr>
      <vt:lpstr>emrgcy_steelcabinets</vt:lpstr>
      <vt:lpstr>emrgcy_steelcabinets_prtnr</vt:lpstr>
      <vt:lpstr>emrgcy_trafficvest</vt:lpstr>
      <vt:lpstr>emrgcy_trafficvest_prtnr</vt:lpstr>
      <vt:lpstr>emrgcy_transportbag</vt:lpstr>
      <vt:lpstr>emrgcy_transportbag_prtnr</vt:lpstr>
      <vt:lpstr>emrgcy_traumabag</vt:lpstr>
      <vt:lpstr>emrgcy_traumabag_prtnr</vt:lpstr>
      <vt:lpstr>emrgcysupp_ccollar</vt:lpstr>
      <vt:lpstr>emrgcysupp_ccollar_prtnr</vt:lpstr>
      <vt:lpstr>emrgcysupp_emrgncyheadlamp</vt:lpstr>
      <vt:lpstr>emrgcysupp_emrgncyheadlamp_prtnr</vt:lpstr>
      <vt:lpstr>emrgcysupp_emrgncywhistle</vt:lpstr>
      <vt:lpstr>emrgcysupp_emrgncywhistle_prtnr</vt:lpstr>
      <vt:lpstr>emrgcysupp_fireextinguisher</vt:lpstr>
      <vt:lpstr>emrgcysupp_fireextinguisher_prtnr</vt:lpstr>
      <vt:lpstr>emrgcysupp_gobaglrnr</vt:lpstr>
      <vt:lpstr>emrgcysupp_gobaglrnr_prtnr</vt:lpstr>
      <vt:lpstr>emrgcysupp_handheldradio</vt:lpstr>
      <vt:lpstr>emrgcysupp_handheldradio_prtnr</vt:lpstr>
      <vt:lpstr>emrgcysupp_lifevest</vt:lpstr>
      <vt:lpstr>emrgcysupp_lifevest_prtnr</vt:lpstr>
      <vt:lpstr>emrgcysupp_personnel</vt:lpstr>
      <vt:lpstr>emrgcysupp_personnel_prtnr</vt:lpstr>
      <vt:lpstr>emrgcysupp_safetycoat</vt:lpstr>
      <vt:lpstr>emrgcysupp_safetycoat_prtnr</vt:lpstr>
      <vt:lpstr>emrgcysupp_safetyhat</vt:lpstr>
      <vt:lpstr>emrgcysupp_safetyhat_prtnr</vt:lpstr>
      <vt:lpstr>emrgcysupp_safetyshoes</vt:lpstr>
      <vt:lpstr>emrgcysupp_safetyshoes_prtnr</vt:lpstr>
      <vt:lpstr>emrgcysupp_spineboardwsafetybelt</vt:lpstr>
      <vt:lpstr>emrgcysupp_spineboardwsafetybelt_prtnr</vt:lpstr>
      <vt:lpstr>emrgcysupp_splinter</vt:lpstr>
      <vt:lpstr>emrgcysupp_splinter_prtnr</vt:lpstr>
      <vt:lpstr>emrgcysupp_twofoldstretcher</vt:lpstr>
      <vt:lpstr>emrgcysupp_twofoldstretcher_prtnr</vt:lpstr>
      <vt:lpstr>emrgcysupp_uniheadimmobilizer</vt:lpstr>
      <vt:lpstr>emrgcysupp_uniheadimmobilizer_prtnr</vt:lpstr>
      <vt:lpstr>feed_prog_agri_fishery_crops</vt:lpstr>
      <vt:lpstr>feed_prog_agri_fishery_fishpond</vt:lpstr>
      <vt:lpstr>feed_prog_agri_fishery_gulayan</vt:lpstr>
      <vt:lpstr>feed_prog_agri_fishery_gulayan_fruit</vt:lpstr>
      <vt:lpstr>feed_prog_agri_fishery_gulayan_leafy</vt:lpstr>
      <vt:lpstr>feed_prog_agri_fishery_gulayan_legumes</vt:lpstr>
      <vt:lpstr>feed_prog_agri_fishery_gulayan_rootcrops</vt:lpstr>
      <vt:lpstr>feed_prog_agri_fishery_livestock</vt:lpstr>
      <vt:lpstr>feed_prog_agri_fishery_none</vt:lpstr>
      <vt:lpstr>feed_prog_agri_fishery_others</vt:lpstr>
      <vt:lpstr>feed_prog_agri_fishery_usedfp_yes</vt:lpstr>
      <vt:lpstr>feed_prog_agri_fishery_usedfp_yes_fundsource_brgy</vt:lpstr>
      <vt:lpstr>feed_prog_agri_fishery_usedfp_yes_fundsource_canteen</vt:lpstr>
      <vt:lpstr>feed_prog_agri_fishery_usedfp_yes_fundsource_lgu</vt:lpstr>
      <vt:lpstr>feed_prog_agri_fishery_usedfp_yes_fundsource_others</vt:lpstr>
      <vt:lpstr>feed_prog_agri_fishery_usedfp_yes_fundsource_private</vt:lpstr>
      <vt:lpstr>feed_prog_agri_fishery_usedfp_yes_fundsource_pta</vt:lpstr>
      <vt:lpstr>feed_prog_agri_fishery_usedfp_yes_fundsource_schmooe</vt:lpstr>
      <vt:lpstr>feed_prog_yes</vt:lpstr>
      <vt:lpstr>feed_prog_yes_fundsource_brgy</vt:lpstr>
      <vt:lpstr>feed_prog_yes_fundsource_canteen</vt:lpstr>
      <vt:lpstr>feed_prog_yes_fundsource_lgu</vt:lpstr>
      <vt:lpstr>feed_prog_yes_fundsource_others</vt:lpstr>
      <vt:lpstr>feed_prog_yes_fundsource_private</vt:lpstr>
      <vt:lpstr>feed_prog_yes_fundsource_pta</vt:lpstr>
      <vt:lpstr>feed_prog_yes_fundsource_sbfp</vt:lpstr>
      <vt:lpstr>feed_prog_yes_fundsource_schmooe</vt:lpstr>
      <vt:lpstr>food_hndlg_canteen_mngd_others</vt:lpstr>
      <vt:lpstr>food_hndlg_canteen_mngd_others_personnel_health_cert_yes</vt:lpstr>
      <vt:lpstr>food_hndlg_canteen_mngd_sch</vt:lpstr>
      <vt:lpstr>food_hndlg_canteen_mngd_sch_personnel_health_cert_yes</vt:lpstr>
      <vt:lpstr>food_hndlg_canteen_mngd_tchcoop</vt:lpstr>
      <vt:lpstr>food_hndlg_canteen_mngd_tchcoop_personnel_health_cert_yes</vt:lpstr>
      <vt:lpstr>food_hndlg_canteen_yes</vt:lpstr>
      <vt:lpstr>head_name</vt:lpstr>
      <vt:lpstr>head_pos_title</vt:lpstr>
      <vt:lpstr>I</vt:lpstr>
      <vt:lpstr>II</vt:lpstr>
      <vt:lpstr>III</vt:lpstr>
      <vt:lpstr>intervention_alternativedelivery_drrm_date</vt:lpstr>
      <vt:lpstr>intervention_alternativedelivery_drrm_no</vt:lpstr>
      <vt:lpstr>intervention_alternativedelivery_prtnr</vt:lpstr>
      <vt:lpstr>intervention_donation_prtnr</vt:lpstr>
      <vt:lpstr>intervention_emrgncyfeeding_drrm_date</vt:lpstr>
      <vt:lpstr>intervention_emrgncyfeeding_drrm_no</vt:lpstr>
      <vt:lpstr>intervention_emrgncyfeeding_prtnr</vt:lpstr>
      <vt:lpstr>intervention_hygienekit_drrm_date</vt:lpstr>
      <vt:lpstr>intervention_hygienekit_drrm_no</vt:lpstr>
      <vt:lpstr>intervention_hygienekit_prtnr</vt:lpstr>
      <vt:lpstr>intervention_lrnrkit_drrm_date</vt:lpstr>
      <vt:lpstr>intervention_lrnrkit_drrm_no</vt:lpstr>
      <vt:lpstr>intervention_lrnrkit_prtnr</vt:lpstr>
      <vt:lpstr>intervention_mhpss_prtnr</vt:lpstr>
      <vt:lpstr>intervention_minorcleanup_drrm_date</vt:lpstr>
      <vt:lpstr>intervention_minorcleanup_drrm_no</vt:lpstr>
      <vt:lpstr>intervention_teacherkit_drrm_date</vt:lpstr>
      <vt:lpstr>intervention_teacherkit_drrm_no</vt:lpstr>
      <vt:lpstr>intervention_teacherkit_prtnr</vt:lpstr>
      <vt:lpstr>intervention_tempspace_drrm_date</vt:lpstr>
      <vt:lpstr>intervention_tempspace_drrm_no</vt:lpstr>
      <vt:lpstr>intervention_tempspace_prtnr</vt:lpstr>
      <vt:lpstr>intervention_tempwash_drrm_date</vt:lpstr>
      <vt:lpstr>intervention_tempwash_drrm_no</vt:lpstr>
      <vt:lpstr>intervention_tempwash_prtnr</vt:lpstr>
      <vt:lpstr>iped_cannotbereach_loc</vt:lpstr>
      <vt:lpstr>iped_celebrate_ipday</vt:lpstr>
      <vt:lpstr>iped_celebrate_ipmonth</vt:lpstr>
      <vt:lpstr>iped_occationaldangerous</vt:lpstr>
      <vt:lpstr>iped_orientation_deped</vt:lpstr>
      <vt:lpstr>iped_peace_educ</vt:lpstr>
      <vt:lpstr>iped_sch_anscdom_armedconflict</vt:lpstr>
      <vt:lpstr>iped_schexp_teaching</vt:lpstr>
      <vt:lpstr>iped_schhead_ip</vt:lpstr>
      <vt:lpstr>iped_schhead_specify</vt:lpstr>
      <vt:lpstr>iped_teachres_outsch_f_g10</vt:lpstr>
      <vt:lpstr>iped_teachres_outsch_f_g7</vt:lpstr>
      <vt:lpstr>iped_teachres_outsch_f_g8</vt:lpstr>
      <vt:lpstr>iped_teachres_outsch_f_g9</vt:lpstr>
      <vt:lpstr>iped_teachres_outsch_m_g10</vt:lpstr>
      <vt:lpstr>iped_teachres_outsch_m_g7</vt:lpstr>
      <vt:lpstr>iped_teachres_outsch_m_g8</vt:lpstr>
      <vt:lpstr>iped_teachres_outsch_m_g9</vt:lpstr>
      <vt:lpstr>iped_teachres_wtnsch_f_g10</vt:lpstr>
      <vt:lpstr>iped_teachres_wtnsch_f_g7</vt:lpstr>
      <vt:lpstr>iped_teachres_wtnsch_f_g8</vt:lpstr>
      <vt:lpstr>iped_teachres_wtnsch_f_g9</vt:lpstr>
      <vt:lpstr>iped_teachres_wtnsch_m_g10</vt:lpstr>
      <vt:lpstr>iped_teachres_wtnsch_m_g7</vt:lpstr>
      <vt:lpstr>iped_teachres_wtnsch_m_g8</vt:lpstr>
      <vt:lpstr>iped_teachres_wtnsch_m_g9</vt:lpstr>
      <vt:lpstr>iplrnrs_measlesvaccine_f</vt:lpstr>
      <vt:lpstr>iplrnrs_measlesvaccine_m</vt:lpstr>
      <vt:lpstr>iplrnrs_tetanusvaccine_f</vt:lpstr>
      <vt:lpstr>iplrnrs_tetanusvaccine_m</vt:lpstr>
      <vt:lpstr>IVA</vt:lpstr>
      <vt:lpstr>IVB</vt:lpstr>
      <vt:lpstr>IX</vt:lpstr>
      <vt:lpstr>jhs_avail_hazardmaps</vt:lpstr>
      <vt:lpstr>jhs_broadcasting_address1</vt:lpstr>
      <vt:lpstr>jhs_broadcasting_address2</vt:lpstr>
      <vt:lpstr>jhs_broadcasting_address3</vt:lpstr>
      <vt:lpstr>jhs_broadcasting_address4</vt:lpstr>
      <vt:lpstr>jhs_broadcasting_address5</vt:lpstr>
      <vt:lpstr>jhs_broadcasting_address6</vt:lpstr>
      <vt:lpstr>jhs_broadcasting_address7</vt:lpstr>
      <vt:lpstr>jhs_broadcasting_address8</vt:lpstr>
      <vt:lpstr>jhs_broadcasting_address9</vt:lpstr>
      <vt:lpstr>jhs_broadcasting_datestarted1</vt:lpstr>
      <vt:lpstr>jhs_broadcasting_datestarted2</vt:lpstr>
      <vt:lpstr>jhs_broadcasting_datestarted3</vt:lpstr>
      <vt:lpstr>jhs_broadcasting_datestarted4</vt:lpstr>
      <vt:lpstr>jhs_broadcasting_datestarted5</vt:lpstr>
      <vt:lpstr>jhs_broadcasting_datestarted6</vt:lpstr>
      <vt:lpstr>jhs_broadcasting_datestarted7</vt:lpstr>
      <vt:lpstr>jhs_broadcasting_datestarted8</vt:lpstr>
      <vt:lpstr>jhs_broadcasting_datestarted9</vt:lpstr>
      <vt:lpstr>jhs_broadcasting_email1</vt:lpstr>
      <vt:lpstr>jhs_broadcasting_email2</vt:lpstr>
      <vt:lpstr>jhs_broadcasting_email3</vt:lpstr>
      <vt:lpstr>jhs_broadcasting_email4</vt:lpstr>
      <vt:lpstr>jhs_broadcasting_email5</vt:lpstr>
      <vt:lpstr>jhs_broadcasting_email6</vt:lpstr>
      <vt:lpstr>jhs_broadcasting_email7</vt:lpstr>
      <vt:lpstr>jhs_broadcasting_email8</vt:lpstr>
      <vt:lpstr>jhs_broadcasting_email9</vt:lpstr>
      <vt:lpstr>jhs_broadcasting_frequency1</vt:lpstr>
      <vt:lpstr>jhs_broadcasting_frequency2</vt:lpstr>
      <vt:lpstr>jhs_broadcasting_frequency3</vt:lpstr>
      <vt:lpstr>jhs_broadcasting_frequency4</vt:lpstr>
      <vt:lpstr>jhs_broadcasting_frequency5</vt:lpstr>
      <vt:lpstr>jhs_broadcasting_frequency6</vt:lpstr>
      <vt:lpstr>jhs_broadcasting_frequency7</vt:lpstr>
      <vt:lpstr>jhs_broadcasting_frequency8</vt:lpstr>
      <vt:lpstr>jhs_broadcasting_frequency9</vt:lpstr>
      <vt:lpstr>jhs_broadcasting_name1</vt:lpstr>
      <vt:lpstr>jhs_broadcasting_name2</vt:lpstr>
      <vt:lpstr>jhs_broadcasting_name3</vt:lpstr>
      <vt:lpstr>jhs_broadcasting_name4</vt:lpstr>
      <vt:lpstr>jhs_broadcasting_name5</vt:lpstr>
      <vt:lpstr>jhs_broadcasting_name6</vt:lpstr>
      <vt:lpstr>jhs_broadcasting_name7</vt:lpstr>
      <vt:lpstr>jhs_broadcasting_name8</vt:lpstr>
      <vt:lpstr>jhs_broadcasting_name9</vt:lpstr>
      <vt:lpstr>jhs_broadcasting_ntclicense1</vt:lpstr>
      <vt:lpstr>jhs_broadcasting_ntclicense2</vt:lpstr>
      <vt:lpstr>jhs_broadcasting_ntclicense3</vt:lpstr>
      <vt:lpstr>jhs_broadcasting_ntclicense4</vt:lpstr>
      <vt:lpstr>jhs_broadcasting_ntclicense5</vt:lpstr>
      <vt:lpstr>jhs_broadcasting_ntclicense6</vt:lpstr>
      <vt:lpstr>jhs_broadcasting_ntclicense7</vt:lpstr>
      <vt:lpstr>jhs_broadcasting_ntclicense8</vt:lpstr>
      <vt:lpstr>jhs_broadcasting_ntclicense9</vt:lpstr>
      <vt:lpstr>jhs_broadcasting_number1</vt:lpstr>
      <vt:lpstr>jhs_broadcasting_number2</vt:lpstr>
      <vt:lpstr>jhs_broadcasting_number3</vt:lpstr>
      <vt:lpstr>jhs_broadcasting_number4</vt:lpstr>
      <vt:lpstr>jhs_broadcasting_number5</vt:lpstr>
      <vt:lpstr>jhs_broadcasting_number6</vt:lpstr>
      <vt:lpstr>jhs_broadcasting_number7</vt:lpstr>
      <vt:lpstr>jhs_broadcasting_number8</vt:lpstr>
      <vt:lpstr>jhs_broadcasting_number9</vt:lpstr>
      <vt:lpstr>jhs_broadcasting_owner1</vt:lpstr>
      <vt:lpstr>jhs_broadcasting_owner2</vt:lpstr>
      <vt:lpstr>jhs_broadcasting_owner3</vt:lpstr>
      <vt:lpstr>jhs_broadcasting_owner4</vt:lpstr>
      <vt:lpstr>jhs_broadcasting_owner5</vt:lpstr>
      <vt:lpstr>jhs_broadcasting_owner6</vt:lpstr>
      <vt:lpstr>jhs_broadcasting_owner7</vt:lpstr>
      <vt:lpstr>jhs_broadcasting_owner8</vt:lpstr>
      <vt:lpstr>jhs_broadcasting_owner9</vt:lpstr>
      <vt:lpstr>jhs_cell_avemonthlyexpense1</vt:lpstr>
      <vt:lpstr>jhs_cell_avemonthlyexpense2</vt:lpstr>
      <vt:lpstr>jhs_cell_avemonthlyexpense3</vt:lpstr>
      <vt:lpstr>jhs_cell_avemonthlyexpense4</vt:lpstr>
      <vt:lpstr>jhs_cell_avemonthlyexpense5</vt:lpstr>
      <vt:lpstr>jhs_cellcapacity_call1</vt:lpstr>
      <vt:lpstr>jhs_cellcapacity_call2</vt:lpstr>
      <vt:lpstr>jhs_cellcapacity_call3</vt:lpstr>
      <vt:lpstr>jhs_cellcapacity_call4</vt:lpstr>
      <vt:lpstr>jhs_cellcapacity_call5</vt:lpstr>
      <vt:lpstr>jhs_cellcapacity_images1</vt:lpstr>
      <vt:lpstr>jhs_cellcapacity_images2</vt:lpstr>
      <vt:lpstr>jhs_cellcapacity_images3</vt:lpstr>
      <vt:lpstr>jhs_cellcapacity_images4</vt:lpstr>
      <vt:lpstr>jhs_cellcapacity_images5</vt:lpstr>
      <vt:lpstr>jhs_cellcapacity_nosignal1</vt:lpstr>
      <vt:lpstr>jhs_cellcapacity_nosignal2</vt:lpstr>
      <vt:lpstr>jhs_cellcapacity_nosignal3</vt:lpstr>
      <vt:lpstr>jhs_cellcapacity_nosignal4</vt:lpstr>
      <vt:lpstr>jhs_cellcapacity_nosignal5</vt:lpstr>
      <vt:lpstr>jhs_cellcapacity_text1</vt:lpstr>
      <vt:lpstr>jhs_cellcapacity_text2</vt:lpstr>
      <vt:lpstr>jhs_cellcapacity_text3</vt:lpstr>
      <vt:lpstr>jhs_cellcapacity_text4</vt:lpstr>
      <vt:lpstr>jhs_cellcapacity_text5</vt:lpstr>
      <vt:lpstr>jhs_cellcapacity_videocall1</vt:lpstr>
      <vt:lpstr>jhs_cellcapacity_videocall2</vt:lpstr>
      <vt:lpstr>jhs_cellcapacity_videocall3</vt:lpstr>
      <vt:lpstr>jhs_cellcapacity_videocall4</vt:lpstr>
      <vt:lpstr>jhs_cellcapacity_videocall5</vt:lpstr>
      <vt:lpstr>jhs_considers_IKSP</vt:lpstr>
      <vt:lpstr>jhs_considers_LWD</vt:lpstr>
      <vt:lpstr>jhs_css_monitor</vt:lpstr>
      <vt:lpstr>jhs_data_collectionconsollidation</vt:lpstr>
      <vt:lpstr>jhs_data_nonteacher_trained_f</vt:lpstr>
      <vt:lpstr>jhs_data_nonteacher_trained_m</vt:lpstr>
      <vt:lpstr>jhs_data_teacher_trained_f</vt:lpstr>
      <vt:lpstr>jhs_data_teacher_trained_m</vt:lpstr>
      <vt:lpstr>jhs_datamanagement_training</vt:lpstr>
      <vt:lpstr>jhs_developed_drrm_wlgu</vt:lpstr>
      <vt:lpstr>jhs_developed_drrm_wparents</vt:lpstr>
      <vt:lpstr>jhs_developed_drrm_wpartners</vt:lpstr>
      <vt:lpstr>jhs_developed_drrm_wpersonnel</vt:lpstr>
      <vt:lpstr>jhs_enabling_ccam_budget</vt:lpstr>
      <vt:lpstr>jhs_enabling_ccam_costppa</vt:lpstr>
      <vt:lpstr>jhs_enabling_ccam_noppa</vt:lpstr>
      <vt:lpstr>jhs_enabling_comprehensiveDRRMplan</vt:lpstr>
      <vt:lpstr>jhs_enabling_comprehensiveDRRMplan2</vt:lpstr>
      <vt:lpstr>jhs_enabling_consult_learners</vt:lpstr>
      <vt:lpstr>jhs_enabling_consult_lgu</vt:lpstr>
      <vt:lpstr>jhs_enabling_consult_ngo</vt:lpstr>
      <vt:lpstr>jhs_enabling_consult_parents</vt:lpstr>
      <vt:lpstr>jhs_enabling_consult_personnel</vt:lpstr>
      <vt:lpstr>jhs_enabling_DM221</vt:lpstr>
      <vt:lpstr>jhs_enabling_DO21</vt:lpstr>
      <vt:lpstr>jhs_enabling_DO23</vt:lpstr>
      <vt:lpstr>jhs_enabling_DO24</vt:lpstr>
      <vt:lpstr>jhs_enabling_DO27</vt:lpstr>
      <vt:lpstr>jhs_enabling_DO28</vt:lpstr>
      <vt:lpstr>jhs_enabling_do32</vt:lpstr>
      <vt:lpstr>jhs_enabling_DO33</vt:lpstr>
      <vt:lpstr>jhs_enabling_DO37</vt:lpstr>
      <vt:lpstr>jhs_enabling_DO40</vt:lpstr>
      <vt:lpstr>jhs_enabling_DO43</vt:lpstr>
      <vt:lpstr>jhs_enabling_DO44</vt:lpstr>
      <vt:lpstr>jhs_enabling_DO57</vt:lpstr>
      <vt:lpstr>jhs_enabling_DO82</vt:lpstr>
      <vt:lpstr>jhs_enabling_DO83</vt:lpstr>
      <vt:lpstr>jhs_enabling_DO84</vt:lpstr>
      <vt:lpstr>jhs_enabling_drrm_budget</vt:lpstr>
      <vt:lpstr>jhs_enabling_drrm_costppa</vt:lpstr>
      <vt:lpstr>jhs_enabling_drrm_noppa</vt:lpstr>
      <vt:lpstr>jhs_enabling_females_excluding</vt:lpstr>
      <vt:lpstr>jhs_enabling_females_ip</vt:lpstr>
      <vt:lpstr>jhs_enabling_females_muslim</vt:lpstr>
      <vt:lpstr>jhs_enabling_females_participated_excluding</vt:lpstr>
      <vt:lpstr>jhs_enabling_females_participated_ip</vt:lpstr>
      <vt:lpstr>jhs_enabling_females_participated_muslim</vt:lpstr>
      <vt:lpstr>jhs_enabling_females_participated_wdisability</vt:lpstr>
      <vt:lpstr>jhs_enabling_females_wdisability</vt:lpstr>
      <vt:lpstr>jhs_enabling_males_excluding</vt:lpstr>
      <vt:lpstr>jhs_enabling_males_ip</vt:lpstr>
      <vt:lpstr>jhs_enabling_males_muslim</vt:lpstr>
      <vt:lpstr>jhs_enabling_males_participated_excluding</vt:lpstr>
      <vt:lpstr>jhs_enabling_males_participated_ip</vt:lpstr>
      <vt:lpstr>jhs_enabling_males_participated_muslim</vt:lpstr>
      <vt:lpstr>jhs_enabling_males_participated_wdisability</vt:lpstr>
      <vt:lpstr>jhs_enabling_males_wdisability</vt:lpstr>
      <vt:lpstr>jhs_enabling_peacebuilding_budget</vt:lpstr>
      <vt:lpstr>jhs_enabling_peacebuilding_costppa</vt:lpstr>
      <vt:lpstr>jhs_enabling_peacebuilding_noppa</vt:lpstr>
      <vt:lpstr>jhs_enabling_schDRRM_coor</vt:lpstr>
      <vt:lpstr>jhs_enabling_schDRRMteam_roles</vt:lpstr>
      <vt:lpstr>jhs_evidencebased_training</vt:lpstr>
      <vt:lpstr>jhs_gendersensitive</vt:lpstr>
      <vt:lpstr>jhs_goodpractice_drrm_ccam</vt:lpstr>
      <vt:lpstr>jhs_goodpractice_peacebuilding</vt:lpstr>
      <vt:lpstr>jhs_implement_studentledmapping</vt:lpstr>
      <vt:lpstr>jhs_linked_resultsmapping</vt:lpstr>
      <vt:lpstr>jhs_locfundteacher_f_q</vt:lpstr>
      <vt:lpstr>jhs_locfundteacher_f_t</vt:lpstr>
      <vt:lpstr>jhs_locfundteacher_m_q</vt:lpstr>
      <vt:lpstr>jhs_locfundteacher_m_t</vt:lpstr>
      <vt:lpstr>jhs_monitoring_evaluation</vt:lpstr>
      <vt:lpstr>jhs_printer_avemonthlyexpense1</vt:lpstr>
      <vt:lpstr>jhs_printer_avemonthlyexpense10</vt:lpstr>
      <vt:lpstr>jhs_printer_avemonthlyexpense2</vt:lpstr>
      <vt:lpstr>jhs_printer_avemonthlyexpense3</vt:lpstr>
      <vt:lpstr>jhs_printer_avemonthlyexpense4</vt:lpstr>
      <vt:lpstr>jhs_printer_avemonthlyexpense5</vt:lpstr>
      <vt:lpstr>jhs_printer_avemonthlyexpense6</vt:lpstr>
      <vt:lpstr>jhs_printer_avemonthlyexpense7</vt:lpstr>
      <vt:lpstr>jhs_printer_avemonthlyexpense8</vt:lpstr>
      <vt:lpstr>jhs_printer_avemonthlyexpense9</vt:lpstr>
      <vt:lpstr>jhs_printer_brand1</vt:lpstr>
      <vt:lpstr>jhs_printer_brand10</vt:lpstr>
      <vt:lpstr>jhs_printer_brand2</vt:lpstr>
      <vt:lpstr>jhs_printer_brand3</vt:lpstr>
      <vt:lpstr>jhs_printer_brand4</vt:lpstr>
      <vt:lpstr>jhs_printer_brand5</vt:lpstr>
      <vt:lpstr>jhs_printer_brand6</vt:lpstr>
      <vt:lpstr>jhs_printer_brand7</vt:lpstr>
      <vt:lpstr>jhs_printer_brand8</vt:lpstr>
      <vt:lpstr>jhs_printer_brand9</vt:lpstr>
      <vt:lpstr>jhs_programs_monitoring</vt:lpstr>
      <vt:lpstr>jhs_programs_training</vt:lpstr>
      <vt:lpstr>jhs_radio_frequency1</vt:lpstr>
      <vt:lpstr>jhs_radio_frequency10</vt:lpstr>
      <vt:lpstr>jhs_radio_frequency2</vt:lpstr>
      <vt:lpstr>jhs_radio_frequency3</vt:lpstr>
      <vt:lpstr>jhs_radio_frequency4</vt:lpstr>
      <vt:lpstr>jhs_radio_frequency5</vt:lpstr>
      <vt:lpstr>jhs_radio_frequency6</vt:lpstr>
      <vt:lpstr>jhs_radio_frequency7</vt:lpstr>
      <vt:lpstr>jhs_radio_frequency8</vt:lpstr>
      <vt:lpstr>jhs_radio_frequency9</vt:lpstr>
      <vt:lpstr>jhs_radio_ntcnumber1</vt:lpstr>
      <vt:lpstr>jhs_radio_ntcnumber10</vt:lpstr>
      <vt:lpstr>jhs_radio_ntcnumber2</vt:lpstr>
      <vt:lpstr>jhs_radio_ntcnumber3</vt:lpstr>
      <vt:lpstr>jhs_radio_ntcnumber4</vt:lpstr>
      <vt:lpstr>jhs_radio_ntcnumber5</vt:lpstr>
      <vt:lpstr>jhs_radio_ntcnumber6</vt:lpstr>
      <vt:lpstr>jhs_radio_ntcnumber7</vt:lpstr>
      <vt:lpstr>jhs_radio_ntcnumber8</vt:lpstr>
      <vt:lpstr>jhs_radio_ntcnumber9</vt:lpstr>
      <vt:lpstr>jhs_radio_units1</vt:lpstr>
      <vt:lpstr>jhs_radio_units10</vt:lpstr>
      <vt:lpstr>jhs_radio_units2</vt:lpstr>
      <vt:lpstr>jhs_radio_units3</vt:lpstr>
      <vt:lpstr>jhs_radio_units4</vt:lpstr>
      <vt:lpstr>jhs_radio_units5</vt:lpstr>
      <vt:lpstr>jhs_radio_units6</vt:lpstr>
      <vt:lpstr>jhs_radio_units7</vt:lpstr>
      <vt:lpstr>jhs_radio_units8</vt:lpstr>
      <vt:lpstr>jhs_radio_units9</vt:lpstr>
      <vt:lpstr>jhs_studentled_mapping</vt:lpstr>
      <vt:lpstr>jhs_submit_mapping</vt:lpstr>
      <vt:lpstr>jhs_teachers_cbgs_cmo_g10_f</vt:lpstr>
      <vt:lpstr>jhs_teachers_cbgs_cmo_g10_m</vt:lpstr>
      <vt:lpstr>jhs_teachers_cbgs_cmo_g7_f</vt:lpstr>
      <vt:lpstr>jhs_teachers_cbgs_cmo_g7_m</vt:lpstr>
      <vt:lpstr>jhs_teachers_cbgs_cmo_g8_f</vt:lpstr>
      <vt:lpstr>jhs_teachers_cbgs_cmo_g8_m</vt:lpstr>
      <vt:lpstr>jhs_teachers_cbgs_cmo_g9_f</vt:lpstr>
      <vt:lpstr>jhs_teachers_cbgs_cmo_g9_m</vt:lpstr>
      <vt:lpstr>jhs_teachers_cbgs_coo_g10_f</vt:lpstr>
      <vt:lpstr>jhs_teachers_cbgs_coo_g10_m</vt:lpstr>
      <vt:lpstr>jhs_teachers_cbgs_coo_g7_f</vt:lpstr>
      <vt:lpstr>jhs_teachers_cbgs_coo_g7_m</vt:lpstr>
      <vt:lpstr>jhs_teachers_cbgs_coo_g8_f</vt:lpstr>
      <vt:lpstr>jhs_teachers_cbgs_coo_g8_m</vt:lpstr>
      <vt:lpstr>jhs_teachers_cbgs_coo_g9_f</vt:lpstr>
      <vt:lpstr>jhs_teachers_cbgs_coo_g9_m</vt:lpstr>
      <vt:lpstr>lac_session_last_sy</vt:lpstr>
      <vt:lpstr>lac_session_plan_curr_sy</vt:lpstr>
      <vt:lpstr>lac_session_yes</vt:lpstr>
      <vt:lpstr>learners_by_spa_creativewriting_f_g10</vt:lpstr>
      <vt:lpstr>learners_by_spa_creativewriting_f_g7</vt:lpstr>
      <vt:lpstr>learners_by_spa_creativewriting_f_g8</vt:lpstr>
      <vt:lpstr>learners_by_spa_creativewriting_f_g9</vt:lpstr>
      <vt:lpstr>learners_by_spa_creativewriting_f_total</vt:lpstr>
      <vt:lpstr>learners_by_spa_creativewriting_m_g10</vt:lpstr>
      <vt:lpstr>learners_by_spa_creativewriting_m_g7</vt:lpstr>
      <vt:lpstr>learners_by_spa_creativewriting_m_g8</vt:lpstr>
      <vt:lpstr>learners_by_spa_creativewriting_m_g9</vt:lpstr>
      <vt:lpstr>learners_by_spa_creativewriting_m_total</vt:lpstr>
      <vt:lpstr>learners_by_spa_dance_f_g10</vt:lpstr>
      <vt:lpstr>learners_by_spa_dance_f_g7</vt:lpstr>
      <vt:lpstr>learners_by_spa_dance_f_g8</vt:lpstr>
      <vt:lpstr>learners_by_spa_dance_f_g9</vt:lpstr>
      <vt:lpstr>learners_by_spa_dance_f_total</vt:lpstr>
      <vt:lpstr>learners_by_spa_dance_m_g10</vt:lpstr>
      <vt:lpstr>learners_by_spa_dance_m_g7</vt:lpstr>
      <vt:lpstr>learners_by_spa_dance_m_g8</vt:lpstr>
      <vt:lpstr>learners_by_spa_dance_m_g9</vt:lpstr>
      <vt:lpstr>learners_by_spa_dance_m_total</vt:lpstr>
      <vt:lpstr>learners_by_spa_mediaart_f_g10</vt:lpstr>
      <vt:lpstr>learners_by_spa_mediaart_f_g7</vt:lpstr>
      <vt:lpstr>learners_by_spa_mediaart_f_g8</vt:lpstr>
      <vt:lpstr>learners_by_spa_mediaart_f_g9</vt:lpstr>
      <vt:lpstr>learners_by_spa_mediaart_f_total</vt:lpstr>
      <vt:lpstr>learners_by_spa_mediaart_m_g10</vt:lpstr>
      <vt:lpstr>learners_by_spa_mediaart_m_g7</vt:lpstr>
      <vt:lpstr>learners_by_spa_mediaart_m_g8</vt:lpstr>
      <vt:lpstr>learners_by_spa_mediaart_m_g9</vt:lpstr>
      <vt:lpstr>learners_by_spa_mediaart_m_total</vt:lpstr>
      <vt:lpstr>learners_by_spa_music_f_g10</vt:lpstr>
      <vt:lpstr>learners_by_spa_music_f_g7</vt:lpstr>
      <vt:lpstr>learners_by_spa_music_f_g8</vt:lpstr>
      <vt:lpstr>learners_by_spa_music_f_g9</vt:lpstr>
      <vt:lpstr>learners_by_spa_music_f_total</vt:lpstr>
      <vt:lpstr>learners_by_spa_music_m_g10</vt:lpstr>
      <vt:lpstr>learners_by_spa_music_m_g7</vt:lpstr>
      <vt:lpstr>learners_by_spa_music_m_g8</vt:lpstr>
      <vt:lpstr>learners_by_spa_music_m_g9</vt:lpstr>
      <vt:lpstr>learners_by_spa_music_m_total</vt:lpstr>
      <vt:lpstr>learners_by_spa_theaterarts_f_g10</vt:lpstr>
      <vt:lpstr>learners_by_spa_theaterarts_f_g7</vt:lpstr>
      <vt:lpstr>learners_by_spa_theaterarts_f_g8</vt:lpstr>
      <vt:lpstr>learners_by_spa_theaterarts_f_g9</vt:lpstr>
      <vt:lpstr>learners_by_spa_theaterarts_f_total</vt:lpstr>
      <vt:lpstr>learners_by_spa_theaterarts_m_g10</vt:lpstr>
      <vt:lpstr>learners_by_spa_theaterarts_m_g7</vt:lpstr>
      <vt:lpstr>learners_by_spa_theaterarts_m_g8</vt:lpstr>
      <vt:lpstr>learners_by_spa_theaterarts_m_g9</vt:lpstr>
      <vt:lpstr>learners_by_spa_theaterarts_m_total</vt:lpstr>
      <vt:lpstr>learners_by_spa_visualart_f_g10</vt:lpstr>
      <vt:lpstr>learners_by_spa_visualart_f_g7</vt:lpstr>
      <vt:lpstr>learners_by_spa_visualart_f_g8</vt:lpstr>
      <vt:lpstr>learners_by_spa_visualart_f_g9</vt:lpstr>
      <vt:lpstr>learners_by_spa_visualart_f_total</vt:lpstr>
      <vt:lpstr>learners_by_spa_visualart_m_g10</vt:lpstr>
      <vt:lpstr>learners_by_spa_visualart_m_g7</vt:lpstr>
      <vt:lpstr>learners_by_spa_visualart_m_g8</vt:lpstr>
      <vt:lpstr>learners_by_spa_visualart_m_g9</vt:lpstr>
      <vt:lpstr>learners_by_spa_visualart_m_total</vt:lpstr>
      <vt:lpstr>learners_by_spfl_chn_f_g10</vt:lpstr>
      <vt:lpstr>learners_by_spfl_chn_f_g7</vt:lpstr>
      <vt:lpstr>learners_by_spfl_chn_f_g8</vt:lpstr>
      <vt:lpstr>learners_by_spfl_chn_f_g9</vt:lpstr>
      <vt:lpstr>learners_by_spfl_chn_f_total</vt:lpstr>
      <vt:lpstr>learners_by_spfl_chn_m_g10</vt:lpstr>
      <vt:lpstr>learners_by_spfl_chn_m_g7</vt:lpstr>
      <vt:lpstr>learners_by_spfl_chn_m_g8</vt:lpstr>
      <vt:lpstr>learners_by_spfl_chn_m_g9</vt:lpstr>
      <vt:lpstr>learners_by_spfl_chn_m_total</vt:lpstr>
      <vt:lpstr>learners_by_spfl_fre_f_g10</vt:lpstr>
      <vt:lpstr>learners_by_spfl_fre_f_g7</vt:lpstr>
      <vt:lpstr>learners_by_spfl_fre_f_g8</vt:lpstr>
      <vt:lpstr>learners_by_spfl_fre_f_g9</vt:lpstr>
      <vt:lpstr>learners_by_spfl_fre_f_total</vt:lpstr>
      <vt:lpstr>learners_by_spfl_fre_m_g10</vt:lpstr>
      <vt:lpstr>learners_by_spfl_fre_m_g7</vt:lpstr>
      <vt:lpstr>learners_by_spfl_fre_m_g8</vt:lpstr>
      <vt:lpstr>learners_by_spfl_fre_m_g9</vt:lpstr>
      <vt:lpstr>learners_by_spfl_fre_m_total</vt:lpstr>
      <vt:lpstr>learners_by_spfl_ger_f_g10</vt:lpstr>
      <vt:lpstr>learners_by_spfl_ger_f_g7</vt:lpstr>
      <vt:lpstr>learners_by_spfl_ger_f_g8</vt:lpstr>
      <vt:lpstr>learners_by_spfl_ger_f_g9</vt:lpstr>
      <vt:lpstr>learners_by_spfl_ger_f_total</vt:lpstr>
      <vt:lpstr>learners_by_spfl_ger_m_g10</vt:lpstr>
      <vt:lpstr>learners_by_spfl_ger_m_g7</vt:lpstr>
      <vt:lpstr>learners_by_spfl_ger_m_g8</vt:lpstr>
      <vt:lpstr>learners_by_spfl_ger_m_g9</vt:lpstr>
      <vt:lpstr>learners_by_spfl_ger_m_total</vt:lpstr>
      <vt:lpstr>learners_by_spfl_jap_f_g10</vt:lpstr>
      <vt:lpstr>learners_by_spfl_jap_f_g7</vt:lpstr>
      <vt:lpstr>learners_by_spfl_jap_f_g8</vt:lpstr>
      <vt:lpstr>learners_by_spfl_jap_f_g9</vt:lpstr>
      <vt:lpstr>learners_by_spfl_jap_f_total</vt:lpstr>
      <vt:lpstr>learners_by_spfl_jap_m_g10</vt:lpstr>
      <vt:lpstr>learners_by_spfl_jap_m_g7</vt:lpstr>
      <vt:lpstr>learners_by_spfl_jap_m_g8</vt:lpstr>
      <vt:lpstr>learners_by_spfl_jap_m_g9</vt:lpstr>
      <vt:lpstr>learners_by_spfl_jap_m_total</vt:lpstr>
      <vt:lpstr>learners_by_spfl_kor_f_g10</vt:lpstr>
      <vt:lpstr>learners_by_spfl_kor_f_g7</vt:lpstr>
      <vt:lpstr>learners_by_spfl_kor_f_g8</vt:lpstr>
      <vt:lpstr>learners_by_spfl_kor_f_g9</vt:lpstr>
      <vt:lpstr>learners_by_spfl_kor_f_total</vt:lpstr>
      <vt:lpstr>learners_by_spfl_kor_m_g10</vt:lpstr>
      <vt:lpstr>learners_by_spfl_kor_m_g7</vt:lpstr>
      <vt:lpstr>learners_by_spfl_kor_m_g8</vt:lpstr>
      <vt:lpstr>learners_by_spfl_kor_m_g9</vt:lpstr>
      <vt:lpstr>learners_by_spfl_kor_m_total</vt:lpstr>
      <vt:lpstr>learners_by_spfl_spa_f_g10</vt:lpstr>
      <vt:lpstr>learners_by_spfl_spa_f_g7</vt:lpstr>
      <vt:lpstr>learners_by_spfl_spa_f_g8</vt:lpstr>
      <vt:lpstr>learners_by_spfl_spa_f_g9</vt:lpstr>
      <vt:lpstr>learners_by_spfl_spa_f_total</vt:lpstr>
      <vt:lpstr>learners_by_spfl_spa_m_g10</vt:lpstr>
      <vt:lpstr>learners_by_spfl_spa_m_g7</vt:lpstr>
      <vt:lpstr>learners_by_spfl_spa_m_g8</vt:lpstr>
      <vt:lpstr>learners_by_spfl_spa_m_g9</vt:lpstr>
      <vt:lpstr>learners_by_spfl_spa_m_total</vt:lpstr>
      <vt:lpstr>learners_by_spj_f_g10</vt:lpstr>
      <vt:lpstr>learners_by_spj_f_g7</vt:lpstr>
      <vt:lpstr>learners_by_spj_f_g8</vt:lpstr>
      <vt:lpstr>learners_by_spj_f_g9</vt:lpstr>
      <vt:lpstr>learners_by_spj_f_total</vt:lpstr>
      <vt:lpstr>learners_by_spj_m_g10</vt:lpstr>
      <vt:lpstr>learners_by_spj_m_g7</vt:lpstr>
      <vt:lpstr>learners_by_spj_m_g8</vt:lpstr>
      <vt:lpstr>learners_by_spj_m_g9</vt:lpstr>
      <vt:lpstr>learners_by_spj_m_total</vt:lpstr>
      <vt:lpstr>learners_by_sps_ds_f_g10</vt:lpstr>
      <vt:lpstr>learners_by_sps_ds_f_g7</vt:lpstr>
      <vt:lpstr>learners_by_sps_ds_f_g8</vt:lpstr>
      <vt:lpstr>learners_by_sps_ds_f_g9</vt:lpstr>
      <vt:lpstr>learners_by_sps_ds_f_total</vt:lpstr>
      <vt:lpstr>learners_by_sps_ds_m_g10</vt:lpstr>
      <vt:lpstr>learners_by_sps_ds_m_g7</vt:lpstr>
      <vt:lpstr>learners_by_sps_ds_m_g8</vt:lpstr>
      <vt:lpstr>learners_by_sps_ds_m_g9</vt:lpstr>
      <vt:lpstr>learners_by_sps_ds_m_total</vt:lpstr>
      <vt:lpstr>learners_by_sps_is_f_g10</vt:lpstr>
      <vt:lpstr>learners_by_sps_is_f_g7</vt:lpstr>
      <vt:lpstr>learners_by_sps_is_f_g8</vt:lpstr>
      <vt:lpstr>learners_by_sps_is_f_g9</vt:lpstr>
      <vt:lpstr>learners_by_sps_is_f_total</vt:lpstr>
      <vt:lpstr>learners_by_sps_is_m_g10</vt:lpstr>
      <vt:lpstr>learners_by_sps_is_m_g7</vt:lpstr>
      <vt:lpstr>learners_by_sps_is_m_g8</vt:lpstr>
      <vt:lpstr>learners_by_sps_is_m_g9</vt:lpstr>
      <vt:lpstr>learners_by_sps_is_m_total</vt:lpstr>
      <vt:lpstr>learners_by_sps_ts_f_g10</vt:lpstr>
      <vt:lpstr>learners_by_sps_ts_f_g7</vt:lpstr>
      <vt:lpstr>learners_by_sps_ts_f_g8</vt:lpstr>
      <vt:lpstr>learners_by_sps_ts_f_g9</vt:lpstr>
      <vt:lpstr>learners_by_sps_ts_f_total</vt:lpstr>
      <vt:lpstr>learners_by_sps_ts_m_g10</vt:lpstr>
      <vt:lpstr>learners_by_sps_ts_m_g7</vt:lpstr>
      <vt:lpstr>learners_by_sps_ts_m_g8</vt:lpstr>
      <vt:lpstr>learners_by_sps_ts_m_g9</vt:lpstr>
      <vt:lpstr>learners_by_sps_ts_m_total</vt:lpstr>
      <vt:lpstr>learners_by_spste_f_g10</vt:lpstr>
      <vt:lpstr>learners_by_spste_f_g7</vt:lpstr>
      <vt:lpstr>learners_by_spste_f_g8</vt:lpstr>
      <vt:lpstr>learners_by_spste_f_g9</vt:lpstr>
      <vt:lpstr>learners_by_spste_f_total</vt:lpstr>
      <vt:lpstr>learners_by_spste_m_g10</vt:lpstr>
      <vt:lpstr>learners_by_spste_m_g7</vt:lpstr>
      <vt:lpstr>learners_by_spste_m_g8</vt:lpstr>
      <vt:lpstr>learners_by_spste_m_g9</vt:lpstr>
      <vt:lpstr>learners_by_spste_m_total</vt:lpstr>
      <vt:lpstr>learners_mhpss_f_excluding</vt:lpstr>
      <vt:lpstr>learners_mhpss_f_ip</vt:lpstr>
      <vt:lpstr>learners_mhpss_f_muslim</vt:lpstr>
      <vt:lpstr>learners_mhpss_f_pwd</vt:lpstr>
      <vt:lpstr>learners_mhpss_m_excluding</vt:lpstr>
      <vt:lpstr>learners_mhpss_m_ip</vt:lpstr>
      <vt:lpstr>learners_mhpss_m_muslim</vt:lpstr>
      <vt:lpstr>learners_mhpss_m_pwd</vt:lpstr>
      <vt:lpstr>learners_prvded_learningsession_f_excluding</vt:lpstr>
      <vt:lpstr>learners_prvded_learningsession_f_ip</vt:lpstr>
      <vt:lpstr>learners_prvded_learningsession_f_muslim</vt:lpstr>
      <vt:lpstr>learners_prvded_learningsession_f_pwd</vt:lpstr>
      <vt:lpstr>learners_prvded_learningsession_m_excluding</vt:lpstr>
      <vt:lpstr>learners_prvded_learningsession_m_ip</vt:lpstr>
      <vt:lpstr>learners_prvded_learningsession_m_muslim</vt:lpstr>
      <vt:lpstr>learners_prvded_learningsession_m_pwd</vt:lpstr>
      <vt:lpstr>learners_pss_f_excluding</vt:lpstr>
      <vt:lpstr>learners_pss_f_ip</vt:lpstr>
      <vt:lpstr>learners_pss_f_muslim</vt:lpstr>
      <vt:lpstr>learners_pss_f_pwd</vt:lpstr>
      <vt:lpstr>learners_pss_m_excluding</vt:lpstr>
      <vt:lpstr>learners_pss_m_ip</vt:lpstr>
      <vt:lpstr>learners_pss_m_muslim</vt:lpstr>
      <vt:lpstr>learners_pss_m_pwd</vt:lpstr>
      <vt:lpstr>learners_referral_f_excluding</vt:lpstr>
      <vt:lpstr>learners_referral_f_ip</vt:lpstr>
      <vt:lpstr>learners_referral_f_muslim</vt:lpstr>
      <vt:lpstr>learners_referral_f_pwd</vt:lpstr>
      <vt:lpstr>learners_referral_m_excluding</vt:lpstr>
      <vt:lpstr>learners_referral_m_ip</vt:lpstr>
      <vt:lpstr>learners_referral_m_muslim</vt:lpstr>
      <vt:lpstr>learners_referral_m_pwd</vt:lpstr>
      <vt:lpstr>learners_spfl_dele_passer_f_g10</vt:lpstr>
      <vt:lpstr>learners_spfl_dele_passer_f_g7</vt:lpstr>
      <vt:lpstr>learners_spfl_dele_passer_f_g8</vt:lpstr>
      <vt:lpstr>learners_spfl_dele_passer_f_g9</vt:lpstr>
      <vt:lpstr>learners_spfl_dele_passer_f_total</vt:lpstr>
      <vt:lpstr>learners_spfl_dele_passer_m_g10</vt:lpstr>
      <vt:lpstr>learners_spfl_dele_passer_m_g7</vt:lpstr>
      <vt:lpstr>learners_spfl_dele_passer_m_g8</vt:lpstr>
      <vt:lpstr>learners_spfl_dele_passer_m_g9</vt:lpstr>
      <vt:lpstr>learners_spfl_dele_passer_m_total</vt:lpstr>
      <vt:lpstr>learners_spfl_dele_takers_f_g10</vt:lpstr>
      <vt:lpstr>learners_spfl_dele_takers_f_g7</vt:lpstr>
      <vt:lpstr>learners_spfl_dele_takers_f_g8</vt:lpstr>
      <vt:lpstr>learners_spfl_dele_takers_f_g9</vt:lpstr>
      <vt:lpstr>learners_spfl_dele_takers_f_total</vt:lpstr>
      <vt:lpstr>learners_spfl_dele_takers_m_g10</vt:lpstr>
      <vt:lpstr>learners_spfl_dele_takers_m_g7</vt:lpstr>
      <vt:lpstr>learners_spfl_dele_takers_m_g8</vt:lpstr>
      <vt:lpstr>learners_spfl_dele_takers_m_g9</vt:lpstr>
      <vt:lpstr>learners_spfl_dele_takers_m_total</vt:lpstr>
      <vt:lpstr>learners_spfl_delf_passer_f_g10</vt:lpstr>
      <vt:lpstr>learners_spfl_delf_passer_f_g7</vt:lpstr>
      <vt:lpstr>learners_spfl_delf_passer_f_g8</vt:lpstr>
      <vt:lpstr>learners_spfl_delf_passer_f_g9</vt:lpstr>
      <vt:lpstr>learners_spfl_delf_passer_f_total</vt:lpstr>
      <vt:lpstr>learners_spfl_delf_passer_m_g10</vt:lpstr>
      <vt:lpstr>learners_spfl_delf_passer_m_g7</vt:lpstr>
      <vt:lpstr>learners_spfl_delf_passer_m_g8</vt:lpstr>
      <vt:lpstr>learners_spfl_delf_passer_m_g9</vt:lpstr>
      <vt:lpstr>learners_spfl_delf_passer_m_total</vt:lpstr>
      <vt:lpstr>learners_spfl_delf_takers_f_g10</vt:lpstr>
      <vt:lpstr>learners_spfl_delf_takers_f_g7</vt:lpstr>
      <vt:lpstr>learners_spfl_delf_takers_f_g8</vt:lpstr>
      <vt:lpstr>learners_spfl_delf_takers_f_g9</vt:lpstr>
      <vt:lpstr>learners_spfl_delf_takers_f_total</vt:lpstr>
      <vt:lpstr>learners_spfl_delf_takers_m_g10</vt:lpstr>
      <vt:lpstr>learners_spfl_delf_takers_m_g7</vt:lpstr>
      <vt:lpstr>learners_spfl_delf_takers_m_g8</vt:lpstr>
      <vt:lpstr>learners_spfl_delf_takers_m_g9</vt:lpstr>
      <vt:lpstr>learners_spfl_delf_takers_m_total</vt:lpstr>
      <vt:lpstr>learners_spfl_jlpt_passer_f_g10</vt:lpstr>
      <vt:lpstr>learners_spfl_jlpt_passer_f_g7</vt:lpstr>
      <vt:lpstr>learners_spfl_jlpt_passer_f_g8</vt:lpstr>
      <vt:lpstr>learners_spfl_jlpt_passer_f_g9</vt:lpstr>
      <vt:lpstr>learners_spfl_jlpt_passer_f_total</vt:lpstr>
      <vt:lpstr>learners_spfl_jlpt_passer_m_g10</vt:lpstr>
      <vt:lpstr>learners_spfl_jlpt_passer_m_g7</vt:lpstr>
      <vt:lpstr>learners_spfl_jlpt_passer_m_g8</vt:lpstr>
      <vt:lpstr>learners_spfl_jlpt_passer_m_g9</vt:lpstr>
      <vt:lpstr>learners_spfl_jlpt_passer_m_total</vt:lpstr>
      <vt:lpstr>learners_spfl_jlpt_takers_f_g10</vt:lpstr>
      <vt:lpstr>learners_spfl_jlpt_takers_f_g7</vt:lpstr>
      <vt:lpstr>learners_spfl_jlpt_takers_f_g8</vt:lpstr>
      <vt:lpstr>learners_spfl_jlpt_takers_f_g9</vt:lpstr>
      <vt:lpstr>learners_spfl_jlpt_takers_f_total</vt:lpstr>
      <vt:lpstr>learners_spfl_jlpt_takers_m_g10</vt:lpstr>
      <vt:lpstr>learners_spfl_jlpt_takers_m_g7</vt:lpstr>
      <vt:lpstr>learners_spfl_jlpt_takers_m_g8</vt:lpstr>
      <vt:lpstr>learners_spfl_jlpt_takers_m_g9</vt:lpstr>
      <vt:lpstr>learners_spfl_jlpt_takers_m_total</vt:lpstr>
      <vt:lpstr>learners_spfl_topik_passer_f_g10</vt:lpstr>
      <vt:lpstr>learners_spfl_topik_passer_f_g7</vt:lpstr>
      <vt:lpstr>learners_spfl_topik_passer_f_g8</vt:lpstr>
      <vt:lpstr>learners_spfl_topik_passer_f_g9</vt:lpstr>
      <vt:lpstr>learners_spfl_topik_passer_f_total</vt:lpstr>
      <vt:lpstr>learners_spfl_topik_passer_m_g10</vt:lpstr>
      <vt:lpstr>learners_spfl_topik_passer_m_g7</vt:lpstr>
      <vt:lpstr>learners_spfl_topik_passer_m_g8</vt:lpstr>
      <vt:lpstr>learners_spfl_topik_passer_m_g9</vt:lpstr>
      <vt:lpstr>learners_spfl_topik_passer_m_total</vt:lpstr>
      <vt:lpstr>learners_spfl_topik_takers_f_g10</vt:lpstr>
      <vt:lpstr>learners_spfl_topik_takers_f_g7</vt:lpstr>
      <vt:lpstr>learners_spfl_topik_takers_f_g8</vt:lpstr>
      <vt:lpstr>learners_spfl_topik_takers_f_g9</vt:lpstr>
      <vt:lpstr>learners_spfl_topik_takers_f_total</vt:lpstr>
      <vt:lpstr>learners_spfl_topik_takers_m_g10</vt:lpstr>
      <vt:lpstr>learners_spfl_topik_takers_m_g7</vt:lpstr>
      <vt:lpstr>learners_spfl_topik_takers_m_g8</vt:lpstr>
      <vt:lpstr>learners_spfl_topik_takers_m_g9</vt:lpstr>
      <vt:lpstr>learners_spfl_topik_takers_m_total</vt:lpstr>
      <vt:lpstr>learners_spfl_yct_passer_f_g10</vt:lpstr>
      <vt:lpstr>learners_spfl_yct_passer_f_g7</vt:lpstr>
      <vt:lpstr>learners_spfl_yct_passer_f_g8</vt:lpstr>
      <vt:lpstr>learners_spfl_yct_passer_f_g9</vt:lpstr>
      <vt:lpstr>learners_spfl_yct_passer_f_total</vt:lpstr>
      <vt:lpstr>learners_spfl_yct_passer_m_g10</vt:lpstr>
      <vt:lpstr>learners_spfl_yct_passer_m_g7</vt:lpstr>
      <vt:lpstr>learners_spfl_yct_passer_m_g8</vt:lpstr>
      <vt:lpstr>learners_spfl_yct_passer_m_g9</vt:lpstr>
      <vt:lpstr>learners_spfl_yct_passer_m_total</vt:lpstr>
      <vt:lpstr>learners_spfl_yct_takers_f_g10</vt:lpstr>
      <vt:lpstr>learners_spfl_yct_takers_f_g7</vt:lpstr>
      <vt:lpstr>learners_spfl_yct_takers_f_g8</vt:lpstr>
      <vt:lpstr>learners_spfl_yct_takers_f_g9</vt:lpstr>
      <vt:lpstr>learners_spfl_yct_takers_f_total</vt:lpstr>
      <vt:lpstr>learners_spfl_yct_takers_m_g10</vt:lpstr>
      <vt:lpstr>learners_spfl_yct_takers_m_g7</vt:lpstr>
      <vt:lpstr>learners_spfl_yct_takers_m_g8</vt:lpstr>
      <vt:lpstr>learners_spfl_yct_takers_m_g9</vt:lpstr>
      <vt:lpstr>learners_spfl_yct_takers_m_total</vt:lpstr>
      <vt:lpstr>learners_spfl_zd_passer_f_g10</vt:lpstr>
      <vt:lpstr>learners_spfl_zd_passer_f_g7</vt:lpstr>
      <vt:lpstr>learners_spfl_zd_passer_f_g8</vt:lpstr>
      <vt:lpstr>learners_spfl_zd_passer_f_g9</vt:lpstr>
      <vt:lpstr>learners_spfl_zd_passer_f_total</vt:lpstr>
      <vt:lpstr>learners_spfl_zd_passer_m_g10</vt:lpstr>
      <vt:lpstr>learners_spfl_zd_passer_m_g7</vt:lpstr>
      <vt:lpstr>learners_spfl_zd_passer_m_g8</vt:lpstr>
      <vt:lpstr>learners_spfl_zd_passer_m_g9</vt:lpstr>
      <vt:lpstr>learners_spfl_zd_passer_m_total</vt:lpstr>
      <vt:lpstr>learners_spfl_zd_takers_f_g10</vt:lpstr>
      <vt:lpstr>learners_spfl_zd_takers_f_g7</vt:lpstr>
      <vt:lpstr>learners_spfl_zd_takers_f_g8</vt:lpstr>
      <vt:lpstr>learners_spfl_zd_takers_f_g9</vt:lpstr>
      <vt:lpstr>learners_spfl_zd_takers_f_total</vt:lpstr>
      <vt:lpstr>learners_spfl_zd_takers_m_g10</vt:lpstr>
      <vt:lpstr>learners_spfl_zd_takers_m_g7</vt:lpstr>
      <vt:lpstr>learners_spfl_zd_takers_m_g8</vt:lpstr>
      <vt:lpstr>learners_spfl_zd_takers_m_g9</vt:lpstr>
      <vt:lpstr>learners_spfl_zd_takers_m_total</vt:lpstr>
      <vt:lpstr>learners_sptve_agricorptech_f_g10</vt:lpstr>
      <vt:lpstr>learners_sptve_agricorptech_f_g7</vt:lpstr>
      <vt:lpstr>learners_sptve_agricorptech_f_g8</vt:lpstr>
      <vt:lpstr>learners_sptve_agricorptech_f_g9</vt:lpstr>
      <vt:lpstr>learners_sptve_agricorptech_f_total</vt:lpstr>
      <vt:lpstr>learners_sptve_agricorptech_m_g10</vt:lpstr>
      <vt:lpstr>learners_sptve_agricorptech_m_g7</vt:lpstr>
      <vt:lpstr>learners_sptve_agricorptech_m_g8</vt:lpstr>
      <vt:lpstr>learners_sptve_agricorptech_m_g9</vt:lpstr>
      <vt:lpstr>learners_sptve_agricorptech_m_total</vt:lpstr>
      <vt:lpstr>learners_sptve_aircontech_f_g10</vt:lpstr>
      <vt:lpstr>learners_sptve_aircontech_f_g7</vt:lpstr>
      <vt:lpstr>learners_sptve_aircontech_f_g8</vt:lpstr>
      <vt:lpstr>learners_sptve_aircontech_f_g9</vt:lpstr>
      <vt:lpstr>learners_sptve_aircontech_f_total</vt:lpstr>
      <vt:lpstr>learners_sptve_aircontech_m_g10</vt:lpstr>
      <vt:lpstr>learners_sptve_aircontech_m_g7</vt:lpstr>
      <vt:lpstr>learners_sptve_aircontech_m_g8</vt:lpstr>
      <vt:lpstr>learners_sptve_aircontech_m_g9</vt:lpstr>
      <vt:lpstr>learners_sptve_aircontech_m_total</vt:lpstr>
      <vt:lpstr>learners_sptve_aniprodtech_f_g10</vt:lpstr>
      <vt:lpstr>learners_sptve_aniprodtech_f_g7</vt:lpstr>
      <vt:lpstr>learners_sptve_aniprodtech_f_g8</vt:lpstr>
      <vt:lpstr>learners_sptve_aniprodtech_f_g9</vt:lpstr>
      <vt:lpstr>learners_sptve_aniprodtech_f_total</vt:lpstr>
      <vt:lpstr>learners_sptve_aniprodtech_m_g10</vt:lpstr>
      <vt:lpstr>learners_sptve_aniprodtech_m_g7</vt:lpstr>
      <vt:lpstr>learners_sptve_aniprodtech_m_g8</vt:lpstr>
      <vt:lpstr>learners_sptve_aniprodtech_m_g9</vt:lpstr>
      <vt:lpstr>learners_sptve_aniprodtech_m_total</vt:lpstr>
      <vt:lpstr>learners_sptve_autotech_f_g10</vt:lpstr>
      <vt:lpstr>learners_sptve_autotech_f_g7</vt:lpstr>
      <vt:lpstr>learners_sptve_autotech_f_g8</vt:lpstr>
      <vt:lpstr>learners_sptve_autotech_f_g9</vt:lpstr>
      <vt:lpstr>learners_sptve_autotech_f_total</vt:lpstr>
      <vt:lpstr>learners_sptve_autotech_m_g10</vt:lpstr>
      <vt:lpstr>learners_sptve_autotech_m_g7</vt:lpstr>
      <vt:lpstr>learners_sptve_autotech_m_g8</vt:lpstr>
      <vt:lpstr>learners_sptve_autotech_m_g9</vt:lpstr>
      <vt:lpstr>learners_sptve_autotech_m_total</vt:lpstr>
      <vt:lpstr>learners_sptve_beautycarewell_f_g10</vt:lpstr>
      <vt:lpstr>learners_sptve_beautycarewell_f_g7</vt:lpstr>
      <vt:lpstr>learners_sptve_beautycarewell_f_g8</vt:lpstr>
      <vt:lpstr>learners_sptve_beautycarewell_f_g9</vt:lpstr>
      <vt:lpstr>learners_sptve_beautycarewell_f_total</vt:lpstr>
      <vt:lpstr>learners_sptve_beautycarewell_m_g10</vt:lpstr>
      <vt:lpstr>learners_sptve_beautycarewell_m_g7</vt:lpstr>
      <vt:lpstr>learners_sptve_beautycarewell_m_g8</vt:lpstr>
      <vt:lpstr>learners_sptve_beautycarewell_m_g9</vt:lpstr>
      <vt:lpstr>learners_sptve_beautycarewell_m_total</vt:lpstr>
      <vt:lpstr>learners_sptve_bldgconstech_f_g10</vt:lpstr>
      <vt:lpstr>learners_sptve_bldgconstech_f_g7</vt:lpstr>
      <vt:lpstr>learners_sptve_bldgconstech_f_g8</vt:lpstr>
      <vt:lpstr>learners_sptve_bldgconstech_f_g9</vt:lpstr>
      <vt:lpstr>learners_sptve_bldgconstech_f_total</vt:lpstr>
      <vt:lpstr>learners_sptve_bldgconstech_m_g10</vt:lpstr>
      <vt:lpstr>learners_sptve_bldgconstech_m_g7</vt:lpstr>
      <vt:lpstr>learners_sptve_bldgconstech_m_g8</vt:lpstr>
      <vt:lpstr>learners_sptve_bldgconstech_m_g9</vt:lpstr>
      <vt:lpstr>learners_sptve_bldgconstech_m_total</vt:lpstr>
      <vt:lpstr>learners_sptve_comptech_f_g10</vt:lpstr>
      <vt:lpstr>learners_sptve_comptech_f_g7</vt:lpstr>
      <vt:lpstr>learners_sptve_comptech_f_g8</vt:lpstr>
      <vt:lpstr>learners_sptve_comptech_f_g9</vt:lpstr>
      <vt:lpstr>learners_sptve_comptech_f_total</vt:lpstr>
      <vt:lpstr>learners_sptve_comptech_m_g10</vt:lpstr>
      <vt:lpstr>learners_sptve_comptech_m_g7</vt:lpstr>
      <vt:lpstr>learners_sptve_comptech_m_g8</vt:lpstr>
      <vt:lpstr>learners_sptve_comptech_m_g9</vt:lpstr>
      <vt:lpstr>learners_sptve_comptech_m_total</vt:lpstr>
      <vt:lpstr>learners_sptve_draftingtech_f_g10</vt:lpstr>
      <vt:lpstr>learners_sptve_draftingtech_f_g7</vt:lpstr>
      <vt:lpstr>learners_sptve_draftingtech_f_g8</vt:lpstr>
      <vt:lpstr>learners_sptve_draftingtech_f_g9</vt:lpstr>
      <vt:lpstr>learners_sptve_draftingtech_f_total</vt:lpstr>
      <vt:lpstr>learners_sptve_draftingtech_m_g10</vt:lpstr>
      <vt:lpstr>learners_sptve_draftingtech_m_g7</vt:lpstr>
      <vt:lpstr>learners_sptve_draftingtech_m_g8</vt:lpstr>
      <vt:lpstr>learners_sptve_draftingtech_m_g9</vt:lpstr>
      <vt:lpstr>learners_sptve_draftingtech_m_total</vt:lpstr>
      <vt:lpstr>learners_sptve_electricaltech_f_g10</vt:lpstr>
      <vt:lpstr>learners_sptve_electricaltech_f_g7</vt:lpstr>
      <vt:lpstr>learners_sptve_electricaltech_f_g8</vt:lpstr>
      <vt:lpstr>learners_sptve_electricaltech_f_g9</vt:lpstr>
      <vt:lpstr>learners_sptve_electricaltech_f_total</vt:lpstr>
      <vt:lpstr>learners_sptve_electricaltech_m_g10</vt:lpstr>
      <vt:lpstr>learners_sptve_electricaltech_m_g7</vt:lpstr>
      <vt:lpstr>learners_sptve_electricaltech_m_g8</vt:lpstr>
      <vt:lpstr>learners_sptve_electricaltech_m_g9</vt:lpstr>
      <vt:lpstr>learners_sptve_electricaltech_m_total</vt:lpstr>
      <vt:lpstr>learners_sptve_electronictech_f_g10</vt:lpstr>
      <vt:lpstr>learners_sptve_electronictech_f_g7</vt:lpstr>
      <vt:lpstr>learners_sptve_electronictech_f_g8</vt:lpstr>
      <vt:lpstr>learners_sptve_electronictech_f_g9</vt:lpstr>
      <vt:lpstr>learners_sptve_electronictech_f_total</vt:lpstr>
      <vt:lpstr>learners_sptve_electronictech_m_g10</vt:lpstr>
      <vt:lpstr>learners_sptve_electronictech_m_g7</vt:lpstr>
      <vt:lpstr>learners_sptve_electronictech_m_g8</vt:lpstr>
      <vt:lpstr>learners_sptve_electronictech_m_g9</vt:lpstr>
      <vt:lpstr>learners_sptve_electronictech_m_total</vt:lpstr>
      <vt:lpstr>learners_sptve_enterp_f_g10</vt:lpstr>
      <vt:lpstr>learners_sptve_enterp_f_g7</vt:lpstr>
      <vt:lpstr>learners_sptve_enterp_f_g8</vt:lpstr>
      <vt:lpstr>learners_sptve_enterp_f_g9</vt:lpstr>
      <vt:lpstr>learners_sptve_enterp_f_total</vt:lpstr>
      <vt:lpstr>learners_sptve_enterp_m_g10</vt:lpstr>
      <vt:lpstr>learners_sptve_enterp_m_g7</vt:lpstr>
      <vt:lpstr>learners_sptve_enterp_m_g8</vt:lpstr>
      <vt:lpstr>learners_sptve_enterp_m_g9</vt:lpstr>
      <vt:lpstr>learners_sptve_enterp_m_total</vt:lpstr>
      <vt:lpstr>learners_sptve_fishprodtech_f_g10</vt:lpstr>
      <vt:lpstr>learners_sptve_fishprodtech_f_g7</vt:lpstr>
      <vt:lpstr>learners_sptve_fishprodtech_f_g8</vt:lpstr>
      <vt:lpstr>learners_sptve_fishprodtech_f_g9</vt:lpstr>
      <vt:lpstr>learners_sptve_fishprodtech_f_total</vt:lpstr>
      <vt:lpstr>learners_sptve_fishprodtech_m_g10</vt:lpstr>
      <vt:lpstr>learners_sptve_fishprodtech_m_g7</vt:lpstr>
      <vt:lpstr>learners_sptve_fishprodtech_m_g8</vt:lpstr>
      <vt:lpstr>learners_sptve_fishprodtech_m_g9</vt:lpstr>
      <vt:lpstr>learners_sptve_fishprodtech_m_total</vt:lpstr>
      <vt:lpstr>learners_sptve_foodprotech_f_g10</vt:lpstr>
      <vt:lpstr>learners_sptve_foodprotech_f_g7</vt:lpstr>
      <vt:lpstr>learners_sptve_foodprotech_f_g8</vt:lpstr>
      <vt:lpstr>learners_sptve_foodprotech_f_g9</vt:lpstr>
      <vt:lpstr>learners_sptve_foodprotech_f_total</vt:lpstr>
      <vt:lpstr>learners_sptve_foodprotech_m_g10</vt:lpstr>
      <vt:lpstr>learners_sptve_foodprotech_m_g7</vt:lpstr>
      <vt:lpstr>learners_sptve_foodprotech_m_g8</vt:lpstr>
      <vt:lpstr>learners_sptve_foodprotech_m_g9</vt:lpstr>
      <vt:lpstr>learners_sptve_foodprotech_m_total</vt:lpstr>
      <vt:lpstr>learners_sptve_foodtech_f_g10</vt:lpstr>
      <vt:lpstr>learners_sptve_foodtech_f_g7</vt:lpstr>
      <vt:lpstr>learners_sptve_foodtech_f_g8</vt:lpstr>
      <vt:lpstr>learners_sptve_foodtech_f_g9</vt:lpstr>
      <vt:lpstr>learners_sptve_foodtech_f_total</vt:lpstr>
      <vt:lpstr>learners_sptve_foodtech_m_g10</vt:lpstr>
      <vt:lpstr>learners_sptve_foodtech_m_g7</vt:lpstr>
      <vt:lpstr>learners_sptve_foodtech_m_g8</vt:lpstr>
      <vt:lpstr>learners_sptve_foodtech_m_g9</vt:lpstr>
      <vt:lpstr>learners_sptve_foodtech_m_total</vt:lpstr>
      <vt:lpstr>learners_sptve_furntech_f_g10</vt:lpstr>
      <vt:lpstr>learners_sptve_furntech_f_g7</vt:lpstr>
      <vt:lpstr>learners_sptve_furntech_f_g8</vt:lpstr>
      <vt:lpstr>learners_sptve_furntech_f_g9</vt:lpstr>
      <vt:lpstr>learners_sptve_furntech_f_total</vt:lpstr>
      <vt:lpstr>learners_sptve_furntech_m_g10</vt:lpstr>
      <vt:lpstr>learners_sptve_furntech_m_g7</vt:lpstr>
      <vt:lpstr>learners_sptve_furntech_m_g8</vt:lpstr>
      <vt:lpstr>learners_sptve_furntech_m_g9</vt:lpstr>
      <vt:lpstr>learners_sptve_furntech_m_total</vt:lpstr>
      <vt:lpstr>learners_sptve_garmenttech_f_g10</vt:lpstr>
      <vt:lpstr>learners_sptve_garmenttech_f_g7</vt:lpstr>
      <vt:lpstr>learners_sptve_garmenttech_f_g8</vt:lpstr>
      <vt:lpstr>learners_sptve_garmenttech_f_g9</vt:lpstr>
      <vt:lpstr>learners_sptve_garmenttech_f_total</vt:lpstr>
      <vt:lpstr>learners_sptve_garmenttech_m_g10</vt:lpstr>
      <vt:lpstr>learners_sptve_garmenttech_m_g7</vt:lpstr>
      <vt:lpstr>learners_sptve_garmenttech_m_g8</vt:lpstr>
      <vt:lpstr>learners_sptve_garmenttech_m_g9</vt:lpstr>
      <vt:lpstr>learners_sptve_garmenttech_m_total</vt:lpstr>
      <vt:lpstr>learners_sptve_internetfundamentals_f_g10</vt:lpstr>
      <vt:lpstr>learners_sptve_internetfundamentals_f_g7</vt:lpstr>
      <vt:lpstr>learners_sptve_internetfundamentals_f_g8</vt:lpstr>
      <vt:lpstr>learners_sptve_internetfundamentals_f_g9</vt:lpstr>
      <vt:lpstr>learners_sptve_internetfundamentals_f_total</vt:lpstr>
      <vt:lpstr>learners_sptve_internetfundamentals_m_g10</vt:lpstr>
      <vt:lpstr>learners_sptve_internetfundamentals_m_g7</vt:lpstr>
      <vt:lpstr>learners_sptve_internetfundamentals_m_g8</vt:lpstr>
      <vt:lpstr>learners_sptve_internetfundamentals_m_g9</vt:lpstr>
      <vt:lpstr>learners_sptve_internetfundamentals_m_total</vt:lpstr>
      <vt:lpstr>learners_sptve_machtech_f_g10</vt:lpstr>
      <vt:lpstr>learners_sptve_machtech_f_g7</vt:lpstr>
      <vt:lpstr>learners_sptve_machtech_f_g8</vt:lpstr>
      <vt:lpstr>learners_sptve_machtech_f_g9</vt:lpstr>
      <vt:lpstr>learners_sptve_machtech_m_g10</vt:lpstr>
      <vt:lpstr>learners_sptve_machtech_m_g7</vt:lpstr>
      <vt:lpstr>learners_sptve_machtech_m_g8</vt:lpstr>
      <vt:lpstr>learners_sptve_machtech_m_g9</vt:lpstr>
      <vt:lpstr>learners_sptve_techdrawing_f_g10</vt:lpstr>
      <vt:lpstr>learners_sptve_techdrawing_f_g7</vt:lpstr>
      <vt:lpstr>learners_sptve_techdrawing_f_g8</vt:lpstr>
      <vt:lpstr>learners_sptve_techdrawing_f_g9</vt:lpstr>
      <vt:lpstr>learners_sptve_techdrawing_f_total</vt:lpstr>
      <vt:lpstr>learners_sptve_techdrawing_m_g10</vt:lpstr>
      <vt:lpstr>learners_sptve_techdrawing_m_g7</vt:lpstr>
      <vt:lpstr>learners_sptve_techdrawing_m_g8</vt:lpstr>
      <vt:lpstr>learners_sptve_techdrawing_m_g9</vt:lpstr>
      <vt:lpstr>learners_sptve_techdrawing_m_total</vt:lpstr>
      <vt:lpstr>learners_sptve_weldintech_f_g10</vt:lpstr>
      <vt:lpstr>learners_sptve_weldintech_f_g7</vt:lpstr>
      <vt:lpstr>learners_sptve_weldintech_f_g8</vt:lpstr>
      <vt:lpstr>learners_sptve_weldintech_f_g9</vt:lpstr>
      <vt:lpstr>learners_sptve_weldintech_f_total</vt:lpstr>
      <vt:lpstr>learners_sptve_weldintech_m_g10</vt:lpstr>
      <vt:lpstr>learners_sptve_weldintech_m_g7</vt:lpstr>
      <vt:lpstr>learners_sptve_weldintech_m_g8</vt:lpstr>
      <vt:lpstr>learners_sptve_weldintech_m_g9</vt:lpstr>
      <vt:lpstr>learners_sptve_weldintech_m_total</vt:lpstr>
      <vt:lpstr>learners_tle_afa_agricrops_f_g10</vt:lpstr>
      <vt:lpstr>learners_tle_afa_agricrops_f_g7</vt:lpstr>
      <vt:lpstr>learners_tle_afa_agricrops_f_g8</vt:lpstr>
      <vt:lpstr>learners_tle_afa_agricrops_f_g9</vt:lpstr>
      <vt:lpstr>learners_tle_afa_agricrops_f_total</vt:lpstr>
      <vt:lpstr>learners_tle_afa_agricrops_m_g10</vt:lpstr>
      <vt:lpstr>learners_tle_afa_agricrops_m_g7</vt:lpstr>
      <vt:lpstr>learners_tle_afa_agricrops_m_g8</vt:lpstr>
      <vt:lpstr>learners_tle_afa_agricrops_m_g9</vt:lpstr>
      <vt:lpstr>learners_tle_afa_agricrops_m_total</vt:lpstr>
      <vt:lpstr>learners_tle_afa_animalprod_f_g10</vt:lpstr>
      <vt:lpstr>learners_tle_afa_animalprod_f_g7</vt:lpstr>
      <vt:lpstr>learners_tle_afa_animalprod_f_g8</vt:lpstr>
      <vt:lpstr>learners_tle_afa_animalprod_f_g9</vt:lpstr>
      <vt:lpstr>learners_tle_afa_animalprod_f_total</vt:lpstr>
      <vt:lpstr>learners_tle_afa_animalprod_m_g10</vt:lpstr>
      <vt:lpstr>learners_tle_afa_animalprod_m_g7</vt:lpstr>
      <vt:lpstr>learners_tle_afa_animalprod_m_g8</vt:lpstr>
      <vt:lpstr>learners_tle_afa_animalprod_m_g9</vt:lpstr>
      <vt:lpstr>learners_tle_afa_animalprod_m_total</vt:lpstr>
      <vt:lpstr>learners_tle_afa_aquaculture_f_g10</vt:lpstr>
      <vt:lpstr>learners_tle_afa_aquaculture_f_g7</vt:lpstr>
      <vt:lpstr>learners_tle_afa_aquaculture_f_g8</vt:lpstr>
      <vt:lpstr>learners_tle_afa_aquaculture_f_g9</vt:lpstr>
      <vt:lpstr>learners_tle_afa_aquaculture_f_total</vt:lpstr>
      <vt:lpstr>learners_tle_afa_aquaculture_m_g10</vt:lpstr>
      <vt:lpstr>learners_tle_afa_aquaculture_m_g7</vt:lpstr>
      <vt:lpstr>learners_tle_afa_aquaculture_m_g8</vt:lpstr>
      <vt:lpstr>learners_tle_afa_aquaculture_m_g9</vt:lpstr>
      <vt:lpstr>learners_tle_afa_aquaculture_m_total</vt:lpstr>
      <vt:lpstr>learners_tle_afa_fishprocessing_f_g10</vt:lpstr>
      <vt:lpstr>learners_tle_afa_fishprocessing_f_g7</vt:lpstr>
      <vt:lpstr>learners_tle_afa_fishprocessing_f_g8</vt:lpstr>
      <vt:lpstr>learners_tle_afa_fishprocessing_f_g9</vt:lpstr>
      <vt:lpstr>learners_tle_afa_fishprocessing_f_total</vt:lpstr>
      <vt:lpstr>learners_tle_afa_fishprocessing_m_g10</vt:lpstr>
      <vt:lpstr>learners_tle_afa_fishprocessing_m_g7</vt:lpstr>
      <vt:lpstr>learners_tle_afa_fishprocessing_m_g8</vt:lpstr>
      <vt:lpstr>learners_tle_afa_fishprocessing_m_g9</vt:lpstr>
      <vt:lpstr>learners_tle_afa_fishprocessing_m_total</vt:lpstr>
      <vt:lpstr>learners_tle_he_beautycare_f_g10</vt:lpstr>
      <vt:lpstr>learners_tle_he_beautycare_f_g7</vt:lpstr>
      <vt:lpstr>learners_tle_he_beautycare_f_g8</vt:lpstr>
      <vt:lpstr>learners_tle_he_beautycare_f_g9</vt:lpstr>
      <vt:lpstr>learners_tle_he_beautycare_f_total</vt:lpstr>
      <vt:lpstr>learners_tle_he_beautycare_m_g10</vt:lpstr>
      <vt:lpstr>learners_tle_he_beautycare_m_g7</vt:lpstr>
      <vt:lpstr>learners_tle_he_beautycare_m_g8</vt:lpstr>
      <vt:lpstr>learners_tle_he_beautycare_m_g9</vt:lpstr>
      <vt:lpstr>learners_tle_he_beautycare_m_total</vt:lpstr>
      <vt:lpstr>learners_tle_he_caregiving_f_g10</vt:lpstr>
      <vt:lpstr>learners_tle_he_caregiving_f_g7</vt:lpstr>
      <vt:lpstr>learners_tle_he_caregiving_f_g8</vt:lpstr>
      <vt:lpstr>learners_tle_he_caregiving_f_g9</vt:lpstr>
      <vt:lpstr>learners_tle_he_caregiving_f_total</vt:lpstr>
      <vt:lpstr>learners_tle_he_caregiving_m_g10</vt:lpstr>
      <vt:lpstr>learners_tle_he_caregiving_m_g7</vt:lpstr>
      <vt:lpstr>learners_tle_he_caregiving_m_g8</vt:lpstr>
      <vt:lpstr>learners_tle_he_caregiving_m_g9</vt:lpstr>
      <vt:lpstr>learners_tle_he_caregiving_m_total</vt:lpstr>
      <vt:lpstr>learners_tle_he_cookery_f_g10</vt:lpstr>
      <vt:lpstr>learners_tle_he_cookery_f_g7</vt:lpstr>
      <vt:lpstr>learners_tle_he_cookery_f_g8</vt:lpstr>
      <vt:lpstr>learners_tle_he_cookery_f_g9</vt:lpstr>
      <vt:lpstr>learners_tle_he_cookery_f_total</vt:lpstr>
      <vt:lpstr>learners_tle_he_cookery_m_g10</vt:lpstr>
      <vt:lpstr>learners_tle_he_cookery_m_g7</vt:lpstr>
      <vt:lpstr>learners_tle_he_cookery_m_g8</vt:lpstr>
      <vt:lpstr>learners_tle_he_cookery_m_g9</vt:lpstr>
      <vt:lpstr>learners_tle_he_cookery_m_total</vt:lpstr>
      <vt:lpstr>learners_tle_he_dressmaking_f_g10</vt:lpstr>
      <vt:lpstr>learners_tle_he_dressmaking_f_g7</vt:lpstr>
      <vt:lpstr>learners_tle_he_dressmaking_f_g8</vt:lpstr>
      <vt:lpstr>learners_tle_he_dressmaking_f_g9</vt:lpstr>
      <vt:lpstr>learners_tle_he_dressmaking_f_total</vt:lpstr>
      <vt:lpstr>learners_tle_he_dressmaking_m_g10</vt:lpstr>
      <vt:lpstr>learners_tle_he_dressmaking_m_g7</vt:lpstr>
      <vt:lpstr>learners_tle_he_dressmaking_m_g8</vt:lpstr>
      <vt:lpstr>learners_tle_he_dressmaking_m_g9</vt:lpstr>
      <vt:lpstr>learners_tle_he_dressmaking_m_total</vt:lpstr>
      <vt:lpstr>learners_tle_he_frontofficesrvc_f_g10</vt:lpstr>
      <vt:lpstr>learners_tle_he_frontofficesrvc_f_g7</vt:lpstr>
      <vt:lpstr>learners_tle_he_frontofficesrvc_f_g8</vt:lpstr>
      <vt:lpstr>learners_tle_he_frontofficesrvc_f_g9</vt:lpstr>
      <vt:lpstr>learners_tle_he_frontofficesrvc_f_total</vt:lpstr>
      <vt:lpstr>learners_tle_he_frontofficesrvc_m_g10</vt:lpstr>
      <vt:lpstr>learners_tle_he_frontofficesrvc_m_g7</vt:lpstr>
      <vt:lpstr>learners_tle_he_frontofficesrvc_m_g8</vt:lpstr>
      <vt:lpstr>learners_tle_he_frontofficesrvc_m_g9</vt:lpstr>
      <vt:lpstr>learners_tle_he_frontofficesrvc_m_total</vt:lpstr>
      <vt:lpstr>learners_tle_he_handicraft_f_g10</vt:lpstr>
      <vt:lpstr>learners_tle_he_handicraft_f_g7</vt:lpstr>
      <vt:lpstr>learners_tle_he_handicraft_f_g8</vt:lpstr>
      <vt:lpstr>learners_tle_he_handicraft_f_g9</vt:lpstr>
      <vt:lpstr>learners_tle_he_handicraft_f_total</vt:lpstr>
      <vt:lpstr>learners_tle_he_handicraft_m_g10</vt:lpstr>
      <vt:lpstr>learners_tle_he_handicraft_m_g7</vt:lpstr>
      <vt:lpstr>learners_tle_he_handicraft_m_g8</vt:lpstr>
      <vt:lpstr>learners_tle_he_handicraft_m_g9</vt:lpstr>
      <vt:lpstr>learners_tle_he_handicraft_m_total</vt:lpstr>
      <vt:lpstr>learners_tle_he_householdsrvc_f_g10</vt:lpstr>
      <vt:lpstr>learners_tle_he_householdsrvc_f_g7</vt:lpstr>
      <vt:lpstr>learners_tle_he_householdsrvc_f_g8</vt:lpstr>
      <vt:lpstr>learners_tle_he_householdsrvc_f_g9</vt:lpstr>
      <vt:lpstr>learners_tle_he_householdsrvc_f_total</vt:lpstr>
      <vt:lpstr>learners_tle_he_householdsrvc_m_g10</vt:lpstr>
      <vt:lpstr>learners_tle_he_householdsrvc_m_g7</vt:lpstr>
      <vt:lpstr>learners_tle_he_householdsrvc_m_g8</vt:lpstr>
      <vt:lpstr>learners_tle_he_householdsrvc_m_g9</vt:lpstr>
      <vt:lpstr>learners_tle_he_householdsrvc_m_total</vt:lpstr>
      <vt:lpstr>learners_tle_he_travelservices_f_g10</vt:lpstr>
      <vt:lpstr>learners_tle_he_travelservices_f_g7</vt:lpstr>
      <vt:lpstr>learners_tle_he_travelservices_f_g8</vt:lpstr>
      <vt:lpstr>learners_tle_he_travelservices_f_g9</vt:lpstr>
      <vt:lpstr>learners_tle_he_travelservices_f_total</vt:lpstr>
      <vt:lpstr>learners_tle_he_travelservices_m_g10</vt:lpstr>
      <vt:lpstr>learners_tle_he_travelservices_m_g7</vt:lpstr>
      <vt:lpstr>learners_tle_he_travelservices_m_g8</vt:lpstr>
      <vt:lpstr>learners_tle_he_travelservices_m_g9</vt:lpstr>
      <vt:lpstr>learners_tle_he_travelservices_m_total</vt:lpstr>
      <vt:lpstr>learners_tle_he_wellness_f_g10</vt:lpstr>
      <vt:lpstr>learners_tle_he_wellness_f_g7</vt:lpstr>
      <vt:lpstr>learners_tle_he_wellness_f_g8</vt:lpstr>
      <vt:lpstr>learners_tle_he_wellness_f_g9</vt:lpstr>
      <vt:lpstr>learners_tle_he_wellness_f_total</vt:lpstr>
      <vt:lpstr>learners_tle_he_wellness_m_g10</vt:lpstr>
      <vt:lpstr>learners_tle_he_wellness_m_g7</vt:lpstr>
      <vt:lpstr>learners_tle_he_wellness_m_g8</vt:lpstr>
      <vt:lpstr>learners_tle_he_wellness_m_g9</vt:lpstr>
      <vt:lpstr>learners_tle_he_wellness_m_total</vt:lpstr>
      <vt:lpstr>learners_tle_ia_automotiveservicing_f_g10</vt:lpstr>
      <vt:lpstr>learners_tle_ia_automotiveservicing_f_g7</vt:lpstr>
      <vt:lpstr>learners_tle_ia_automotiveservicing_f_g8</vt:lpstr>
      <vt:lpstr>learners_tle_ia_automotiveservicing_f_g9</vt:lpstr>
      <vt:lpstr>learners_tle_ia_automotiveservicing_f_total</vt:lpstr>
      <vt:lpstr>learners_tle_ia_automotiveservicing_m_g10</vt:lpstr>
      <vt:lpstr>learners_tle_ia_automotiveservicing_m_g7</vt:lpstr>
      <vt:lpstr>learners_tle_ia_automotiveservicing_m_g8</vt:lpstr>
      <vt:lpstr>learners_tle_ia_automotiveservicing_m_g9</vt:lpstr>
      <vt:lpstr>learners_tle_ia_automotiveservicing_m_total</vt:lpstr>
      <vt:lpstr>learners_tle_ia_carpentry_f_g10</vt:lpstr>
      <vt:lpstr>learners_tle_ia_carpentry_f_g7</vt:lpstr>
      <vt:lpstr>learners_tle_ia_carpentry_f_g8</vt:lpstr>
      <vt:lpstr>learners_tle_ia_carpentry_f_g9</vt:lpstr>
      <vt:lpstr>learners_tle_ia_carpentry_f_total</vt:lpstr>
      <vt:lpstr>learners_tle_ia_carpentry_m_g10</vt:lpstr>
      <vt:lpstr>learners_tle_ia_carpentry_m_g7</vt:lpstr>
      <vt:lpstr>learners_tle_ia_carpentry_m_g8</vt:lpstr>
      <vt:lpstr>learners_tle_ia_carpentry_m_g9</vt:lpstr>
      <vt:lpstr>learners_tle_ia_carpentry_m_total</vt:lpstr>
      <vt:lpstr>learners_tle_ia_elecinstallation_f_g10</vt:lpstr>
      <vt:lpstr>learners_tle_ia_elecinstallation_f_g7</vt:lpstr>
      <vt:lpstr>learners_tle_ia_elecinstallation_f_g8</vt:lpstr>
      <vt:lpstr>learners_tle_ia_elecinstallation_f_g9</vt:lpstr>
      <vt:lpstr>learners_tle_ia_elecinstallation_f_total</vt:lpstr>
      <vt:lpstr>learners_tle_ia_elecinstallation_m_g10</vt:lpstr>
      <vt:lpstr>learners_tle_ia_elecinstallation_m_g7</vt:lpstr>
      <vt:lpstr>learners_tle_ia_elecinstallation_m_g8</vt:lpstr>
      <vt:lpstr>learners_tle_ia_elecinstallation_m_g9</vt:lpstr>
      <vt:lpstr>learners_tle_ia_elecinstallation_m_total</vt:lpstr>
      <vt:lpstr>learners_tle_ia_elecproduction_f_g10</vt:lpstr>
      <vt:lpstr>learners_tle_ia_elecproduction_f_g7</vt:lpstr>
      <vt:lpstr>learners_tle_ia_elecproduction_f_g8</vt:lpstr>
      <vt:lpstr>learners_tle_ia_elecproduction_f_g9</vt:lpstr>
      <vt:lpstr>learners_tle_ia_elecproduction_f_total</vt:lpstr>
      <vt:lpstr>learners_tle_ia_elecproduction_m_g10</vt:lpstr>
      <vt:lpstr>learners_tle_ia_elecproduction_m_g7</vt:lpstr>
      <vt:lpstr>learners_tle_ia_elecproduction_m_g8</vt:lpstr>
      <vt:lpstr>learners_tle_ia_elecproduction_m_g9</vt:lpstr>
      <vt:lpstr>learners_tle_ia_elecproduction_m_total</vt:lpstr>
      <vt:lpstr>learners_tle_ia_masonry_f_g10</vt:lpstr>
      <vt:lpstr>learners_tle_ia_masonry_f_g7</vt:lpstr>
      <vt:lpstr>learners_tle_ia_masonry_f_g8</vt:lpstr>
      <vt:lpstr>learners_tle_ia_masonry_f_g9</vt:lpstr>
      <vt:lpstr>learners_tle_ia_masonry_f_total</vt:lpstr>
      <vt:lpstr>learners_tle_ia_masonry_m_g10</vt:lpstr>
      <vt:lpstr>learners_tle_ia_masonry_m_g7</vt:lpstr>
      <vt:lpstr>learners_tle_ia_masonry_m_g8</vt:lpstr>
      <vt:lpstr>learners_tle_ia_masonry_m_g9</vt:lpstr>
      <vt:lpstr>learners_tle_ia_masonry_m_total</vt:lpstr>
      <vt:lpstr>learners_tle_ia_plumbing_f_g10</vt:lpstr>
      <vt:lpstr>learners_tle_ia_plumbing_f_g7</vt:lpstr>
      <vt:lpstr>learners_tle_ia_plumbing_f_g8</vt:lpstr>
      <vt:lpstr>learners_tle_ia_plumbing_f_g9</vt:lpstr>
      <vt:lpstr>learners_tle_ia_plumbing_f_total</vt:lpstr>
      <vt:lpstr>learners_tle_ia_plumbing_m_g10</vt:lpstr>
      <vt:lpstr>learners_tle_ia_plumbing_m_g7</vt:lpstr>
      <vt:lpstr>learners_tle_ia_plumbing_m_g8</vt:lpstr>
      <vt:lpstr>learners_tle_ia_plumbing_m_g9</vt:lpstr>
      <vt:lpstr>learners_tle_ia_plumbing_m_total</vt:lpstr>
      <vt:lpstr>learners_tle_ia_refnairconditioning_f_g10</vt:lpstr>
      <vt:lpstr>learners_tle_ia_refnairconditioning_f_g7</vt:lpstr>
      <vt:lpstr>learners_tle_ia_refnairconditioning_f_g8</vt:lpstr>
      <vt:lpstr>learners_tle_ia_refnairconditioning_f_g9</vt:lpstr>
      <vt:lpstr>learners_tle_ia_refnairconditioning_f_total</vt:lpstr>
      <vt:lpstr>learners_tle_ia_refnairconditioning_m_g10</vt:lpstr>
      <vt:lpstr>learners_tle_ia_refnairconditioning_m_g7</vt:lpstr>
      <vt:lpstr>learners_tle_ia_refnairconditioning_m_g8</vt:lpstr>
      <vt:lpstr>learners_tle_ia_refnairconditioning_m_g9</vt:lpstr>
      <vt:lpstr>learners_tle_ia_refnairconditioning_m_total</vt:lpstr>
      <vt:lpstr>learners_tle_ia_shieldedmetalwelding_f_g10</vt:lpstr>
      <vt:lpstr>learners_tle_ia_shieldedmetalwelding_f_g7</vt:lpstr>
      <vt:lpstr>learners_tle_ia_shieldedmetalwelding_f_g8</vt:lpstr>
      <vt:lpstr>learners_tle_ia_shieldedmetalwelding_f_g9</vt:lpstr>
      <vt:lpstr>learners_tle_ia_shieldedmetalwelding_f_total</vt:lpstr>
      <vt:lpstr>learners_tle_ia_shieldedmetalwelding_m_g10</vt:lpstr>
      <vt:lpstr>learners_tle_ia_shieldedmetalwelding_m_g7</vt:lpstr>
      <vt:lpstr>learners_tle_ia_shieldedmetalwelding_m_g8</vt:lpstr>
      <vt:lpstr>learners_tle_ia_shieldedmetalwelding_m_g9</vt:lpstr>
      <vt:lpstr>learners_tle_ia_shieldedmetalwelding_m_total</vt:lpstr>
      <vt:lpstr>learners_tle_ict_compsystemservicing_f_g10</vt:lpstr>
      <vt:lpstr>learners_tle_ict_compsystemservicing_f_g7</vt:lpstr>
      <vt:lpstr>learners_tle_ict_compsystemservicing_f_g8</vt:lpstr>
      <vt:lpstr>learners_tle_ict_compsystemservicing_f_g9</vt:lpstr>
      <vt:lpstr>learners_tle_ict_compsystemservicing_f_total</vt:lpstr>
      <vt:lpstr>learners_tle_ict_compsystemservicing_m_g10</vt:lpstr>
      <vt:lpstr>learners_tle_ict_compsystemservicing_m_g7</vt:lpstr>
      <vt:lpstr>learners_tle_ict_compsystemservicing_m_g8</vt:lpstr>
      <vt:lpstr>learners_tle_ict_compsystemservicing_m_g9</vt:lpstr>
      <vt:lpstr>learners_tle_ict_compsystemservicing_m_total</vt:lpstr>
      <vt:lpstr>learners_tle_ict_contactcenterservices_f_g10</vt:lpstr>
      <vt:lpstr>learners_tle_ict_contactcenterservices_f_g7</vt:lpstr>
      <vt:lpstr>learners_tle_ict_contactcenterservices_f_g8</vt:lpstr>
      <vt:lpstr>learners_tle_ict_contactcenterservices_f_g9</vt:lpstr>
      <vt:lpstr>learners_tle_ict_contactcenterservices_f_total</vt:lpstr>
      <vt:lpstr>learners_tle_ict_contactcenterservices_m_g10</vt:lpstr>
      <vt:lpstr>learners_tle_ict_contactcenterservices_m_g7</vt:lpstr>
      <vt:lpstr>learners_tle_ict_contactcenterservices_m_g8</vt:lpstr>
      <vt:lpstr>learners_tle_ict_contactcenterservices_m_g9</vt:lpstr>
      <vt:lpstr>learners_tle_ict_contactcenterservices_m_total</vt:lpstr>
      <vt:lpstr>learners_tle_ict_illustration_f_g10</vt:lpstr>
      <vt:lpstr>learners_tle_ict_illustration_f_g7</vt:lpstr>
      <vt:lpstr>learners_tle_ict_illustration_f_g8</vt:lpstr>
      <vt:lpstr>learners_tle_ict_illustration_f_g9</vt:lpstr>
      <vt:lpstr>learners_tle_ict_illustration_f_total</vt:lpstr>
      <vt:lpstr>learners_tle_ict_illustration_m_g10</vt:lpstr>
      <vt:lpstr>learners_tle_ict_illustration_m_g7</vt:lpstr>
      <vt:lpstr>learners_tle_ict_illustration_m_g8</vt:lpstr>
      <vt:lpstr>learners_tle_ict_illustration_m_g9</vt:lpstr>
      <vt:lpstr>learners_tle_ict_illustration_m_total</vt:lpstr>
      <vt:lpstr>learners_tle_ict_techdrafting_f_g10</vt:lpstr>
      <vt:lpstr>learners_tle_ict_techdrafting_f_g7</vt:lpstr>
      <vt:lpstr>learners_tle_ict_techdrafting_f_g8</vt:lpstr>
      <vt:lpstr>learners_tle_ict_techdrafting_f_g9</vt:lpstr>
      <vt:lpstr>learners_tle_ict_techdrafting_f_total</vt:lpstr>
      <vt:lpstr>learners_tle_ict_techdrafting_m_g10</vt:lpstr>
      <vt:lpstr>learners_tle_ict_techdrafting_m_g7</vt:lpstr>
      <vt:lpstr>learners_tle_ict_techdrafting_m_g8</vt:lpstr>
      <vt:lpstr>learners_tle_ict_techdrafting_m_g9</vt:lpstr>
      <vt:lpstr>learners_tle_ict_techdrafting_m_total</vt:lpstr>
      <vt:lpstr>learners_wd_fataad_ad</vt:lpstr>
      <vt:lpstr>learners_wd_fataad_atd</vt:lpstr>
      <vt:lpstr>learners_wd_uhhbp_wdlms_home_asd_12to15</vt:lpstr>
      <vt:lpstr>learners_wd_uhhbp_wdlms_home_asd_16to20</vt:lpstr>
      <vt:lpstr>learners_wd_uhhbp_wdlms_home_asd_21to25</vt:lpstr>
      <vt:lpstr>learners_wd_uhhbp_wdlms_home_asd_g7tog10</vt:lpstr>
      <vt:lpstr>learners_wd_uhhbp_wdlms_home_asd_tp</vt:lpstr>
      <vt:lpstr>learners_wd_uhhbp_wdlms_home_ca_12to15</vt:lpstr>
      <vt:lpstr>learners_wd_uhhbp_wdlms_home_ca_16to20</vt:lpstr>
      <vt:lpstr>learners_wd_uhhbp_wdlms_home_ca_21to25</vt:lpstr>
      <vt:lpstr>learners_wd_uhhbp_wdlms_home_ca_g7tog10</vt:lpstr>
      <vt:lpstr>learners_wd_uhhbp_wdlms_home_ca_tp</vt:lpstr>
      <vt:lpstr>learners_wd_uhhbp_wdlms_home_cp_12to15</vt:lpstr>
      <vt:lpstr>learners_wd_uhhbp_wdlms_home_cp_16to20</vt:lpstr>
      <vt:lpstr>learners_wd_uhhbp_wdlms_home_cp_21to25</vt:lpstr>
      <vt:lpstr>learners_wd_uhhbp_wdlms_home_cp_g7tog10</vt:lpstr>
      <vt:lpstr>learners_wd_uhhbp_wdlms_home_cp_tp</vt:lpstr>
      <vt:lpstr>learners_wd_uhhbp_wdlms_home_ebd_12to15</vt:lpstr>
      <vt:lpstr>learners_wd_uhhbp_wdlms_home_ebd_16to20</vt:lpstr>
      <vt:lpstr>learners_wd_uhhbp_wdlms_home_ebd_21to25</vt:lpstr>
      <vt:lpstr>learners_wd_uhhbp_wdlms_home_ebd_g7tog10</vt:lpstr>
      <vt:lpstr>learners_wd_uhhbp_wdlms_home_ebd_tp</vt:lpstr>
      <vt:lpstr>learners_wd_uhhbp_wdlms_home_hi_12to15</vt:lpstr>
      <vt:lpstr>learners_wd_uhhbp_wdlms_home_hi_16to20</vt:lpstr>
      <vt:lpstr>learners_wd_uhhbp_wdlms_home_hi_21to25</vt:lpstr>
      <vt:lpstr>learners_wd_uhhbp_wdlms_home_hi_g7tog10</vt:lpstr>
      <vt:lpstr>learners_wd_uhhbp_wdlms_home_hi_tp</vt:lpstr>
      <vt:lpstr>learners_wd_uhhbp_wdlms_home_id_12to15</vt:lpstr>
      <vt:lpstr>learners_wd_uhhbp_wdlms_home_id_16to20</vt:lpstr>
      <vt:lpstr>learners_wd_uhhbp_wdlms_home_id_21to25</vt:lpstr>
      <vt:lpstr>learners_wd_uhhbp_wdlms_home_id_g7tog10</vt:lpstr>
      <vt:lpstr>learners_wd_uhhbp_wdlms_home_id_tp</vt:lpstr>
      <vt:lpstr>learners_wd_uhhbp_wdlms_home_ld_12to15</vt:lpstr>
      <vt:lpstr>learners_wd_uhhbp_wdlms_home_ld_16to20</vt:lpstr>
      <vt:lpstr>learners_wd_uhhbp_wdlms_home_ld_21to25</vt:lpstr>
      <vt:lpstr>learners_wd_uhhbp_wdlms_home_ld_g7tog10</vt:lpstr>
      <vt:lpstr>learners_wd_uhhbp_wdlms_home_ld_tp</vt:lpstr>
      <vt:lpstr>learners_wd_uhhbp_wdlms_home_md_12to15</vt:lpstr>
      <vt:lpstr>learners_wd_uhhbp_wdlms_home_md_16to20</vt:lpstr>
      <vt:lpstr>learners_wd_uhhbp_wdlms_home_md_21to25</vt:lpstr>
      <vt:lpstr>learners_wd_uhhbp_wdlms_home_md_g7tog10</vt:lpstr>
      <vt:lpstr>learners_wd_uhhbp_wdlms_home_md_tp</vt:lpstr>
      <vt:lpstr>learners_wd_uhhbp_wdlms_home_oph_12to15</vt:lpstr>
      <vt:lpstr>learners_wd_uhhbp_wdlms_home_oph_16to20</vt:lpstr>
      <vt:lpstr>learners_wd_uhhbp_wdlms_home_oph_21to25</vt:lpstr>
      <vt:lpstr>learners_wd_uhhbp_wdlms_home_oph_g7tog10</vt:lpstr>
      <vt:lpstr>learners_wd_uhhbp_wdlms_home_oph_tp</vt:lpstr>
      <vt:lpstr>learners_wd_uhhbp_wdlms_home_shpcd_12to15</vt:lpstr>
      <vt:lpstr>learners_wd_uhhbp_wdlms_home_shpcd_16to20</vt:lpstr>
      <vt:lpstr>learners_wd_uhhbp_wdlms_home_shpcd_21to25</vt:lpstr>
      <vt:lpstr>learners_wd_uhhbp_wdlms_home_shpcd_g7tog10</vt:lpstr>
      <vt:lpstr>learners_wd_uhhbp_wdlms_home_shpcd_tp</vt:lpstr>
      <vt:lpstr>learners_wd_uhhbp_wdlms_home_sld_12to15</vt:lpstr>
      <vt:lpstr>learners_wd_uhhbp_wdlms_home_sld_16to20</vt:lpstr>
      <vt:lpstr>learners_wd_uhhbp_wdlms_home_sld_21to25</vt:lpstr>
      <vt:lpstr>learners_wd_uhhbp_wdlms_home_sld_g7tog10</vt:lpstr>
      <vt:lpstr>learners_wd_uhhbp_wdlms_home_sld_tp</vt:lpstr>
      <vt:lpstr>learners_wd_uhhbp_wdlms_home_vi_12to15</vt:lpstr>
      <vt:lpstr>learners_wd_uhhbp_wdlms_home_vi_16to20</vt:lpstr>
      <vt:lpstr>learners_wd_uhhbp_wdlms_home_vi_21to25</vt:lpstr>
      <vt:lpstr>learners_wd_uhhbp_wdlms_home_vi_g7tog10</vt:lpstr>
      <vt:lpstr>learners_wd_uhhbp_wdlms_home_vi_tp</vt:lpstr>
      <vt:lpstr>learners_wd_uhhbp_wdlms_hosp_asd_12to15</vt:lpstr>
      <vt:lpstr>learners_wd_uhhbp_wdlms_hosp_asd_16to20</vt:lpstr>
      <vt:lpstr>learners_wd_uhhbp_wdlms_hosp_asd_21to25</vt:lpstr>
      <vt:lpstr>learners_wd_uhhbp_wdlms_hosp_asd_g7tog10</vt:lpstr>
      <vt:lpstr>learners_wd_uhhbp_wdlms_hosp_asd_tp</vt:lpstr>
      <vt:lpstr>learners_wd_uhhbp_wdlms_hosp_ca_12to15</vt:lpstr>
      <vt:lpstr>learners_wd_uhhbp_wdlms_hosp_ca_16to20</vt:lpstr>
      <vt:lpstr>learners_wd_uhhbp_wdlms_hosp_ca_21to25</vt:lpstr>
      <vt:lpstr>learners_wd_uhhbp_wdlms_hosp_ca_g7tog10</vt:lpstr>
      <vt:lpstr>learners_wd_uhhbp_wdlms_hosp_ca_tp</vt:lpstr>
      <vt:lpstr>learners_wd_uhhbp_wdlms_hosp_cp_12to15</vt:lpstr>
      <vt:lpstr>learners_wd_uhhbp_wdlms_hosp_cp_16to20</vt:lpstr>
      <vt:lpstr>learners_wd_uhhbp_wdlms_hosp_cp_21to25</vt:lpstr>
      <vt:lpstr>learners_wd_uhhbp_wdlms_hosp_cp_g7tog10</vt:lpstr>
      <vt:lpstr>learners_wd_uhhbp_wdlms_hosp_cp_tp</vt:lpstr>
      <vt:lpstr>learners_wd_uhhbp_wdlms_hosp_ebd_12to15</vt:lpstr>
      <vt:lpstr>learners_wd_uhhbp_wdlms_hosp_ebd_16to20</vt:lpstr>
      <vt:lpstr>learners_wd_uhhbp_wdlms_hosp_ebd_21to25</vt:lpstr>
      <vt:lpstr>learners_wd_uhhbp_wdlms_hosp_ebd_g7tog10</vt:lpstr>
      <vt:lpstr>learners_wd_uhhbp_wdlms_hosp_ebd_tp</vt:lpstr>
      <vt:lpstr>learners_wd_uhhbp_wdlms_hosp_hi_12to15</vt:lpstr>
      <vt:lpstr>learners_wd_uhhbp_wdlms_hosp_hi_16to20</vt:lpstr>
      <vt:lpstr>learners_wd_uhhbp_wdlms_hosp_hi_21to25</vt:lpstr>
      <vt:lpstr>learners_wd_uhhbp_wdlms_hosp_hi_g7tog10</vt:lpstr>
      <vt:lpstr>learners_wd_uhhbp_wdlms_hosp_hi_tp</vt:lpstr>
      <vt:lpstr>learners_wd_uhhbp_wdlms_hosp_id_12to15</vt:lpstr>
      <vt:lpstr>learners_wd_uhhbp_wdlms_hosp_id_16to20</vt:lpstr>
      <vt:lpstr>learners_wd_uhhbp_wdlms_hosp_id_21to25</vt:lpstr>
      <vt:lpstr>learners_wd_uhhbp_wdlms_hosp_id_g7tog10</vt:lpstr>
      <vt:lpstr>learners_wd_uhhbp_wdlms_hosp_id_tp</vt:lpstr>
      <vt:lpstr>learners_wd_uhhbp_wdlms_hosp_ld_12to15</vt:lpstr>
      <vt:lpstr>learners_wd_uhhbp_wdlms_hosp_ld_16to20</vt:lpstr>
      <vt:lpstr>learners_wd_uhhbp_wdlms_hosp_ld_21to25</vt:lpstr>
      <vt:lpstr>learners_wd_uhhbp_wdlms_hosp_ld_g7tog10</vt:lpstr>
      <vt:lpstr>learners_wd_uhhbp_wdlms_hosp_ld_tp</vt:lpstr>
      <vt:lpstr>learners_wd_uhhbp_wdlms_hosp_md_12to15</vt:lpstr>
      <vt:lpstr>learners_wd_uhhbp_wdlms_hosp_md_16to20</vt:lpstr>
      <vt:lpstr>learners_wd_uhhbp_wdlms_hosp_md_21to25</vt:lpstr>
      <vt:lpstr>learners_wd_uhhbp_wdlms_hosp_md_g7tog10</vt:lpstr>
      <vt:lpstr>learners_wd_uhhbp_wdlms_hosp_md_tp</vt:lpstr>
      <vt:lpstr>learners_wd_uhhbp_wdlms_hosp_oph_12to15</vt:lpstr>
      <vt:lpstr>learners_wd_uhhbp_wdlms_hosp_oph_16to20</vt:lpstr>
      <vt:lpstr>learners_wd_uhhbp_wdlms_hosp_oph_21to25</vt:lpstr>
      <vt:lpstr>learners_wd_uhhbp_wdlms_hosp_oph_g7tog10</vt:lpstr>
      <vt:lpstr>learners_wd_uhhbp_wdlms_hosp_oph_tp</vt:lpstr>
      <vt:lpstr>learners_wd_uhhbp_wdlms_hosp_shpcd_12to15</vt:lpstr>
      <vt:lpstr>learners_wd_uhhbp_wdlms_hosp_shpcd_16to20</vt:lpstr>
      <vt:lpstr>learners_wd_uhhbp_wdlms_hosp_shpcd_21to25</vt:lpstr>
      <vt:lpstr>learners_wd_uhhbp_wdlms_hosp_shpcd_g7tog10</vt:lpstr>
      <vt:lpstr>learners_wd_uhhbp_wdlms_hosp_shpcd_tp</vt:lpstr>
      <vt:lpstr>learners_wd_uhhbp_wdlms_hosp_sld_12to15</vt:lpstr>
      <vt:lpstr>learners_wd_uhhbp_wdlms_hosp_sld_16to20</vt:lpstr>
      <vt:lpstr>learners_wd_uhhbp_wdlms_hosp_sld_21to25</vt:lpstr>
      <vt:lpstr>learners_wd_uhhbp_wdlms_hosp_sld_g7tog10</vt:lpstr>
      <vt:lpstr>learners_wd_uhhbp_wdlms_hosp_sld_tp</vt:lpstr>
      <vt:lpstr>learners_wd_uhhbp_wdlms_hosp_vi_12to15</vt:lpstr>
      <vt:lpstr>learners_wd_uhhbp_wdlms_hosp_vi_16to20</vt:lpstr>
      <vt:lpstr>learners_wd_uhhbp_wdlms_hosp_vi_21to25</vt:lpstr>
      <vt:lpstr>learners_wd_uhhbp_wdlms_hosp_vi_g7tog10</vt:lpstr>
      <vt:lpstr>learners_wd_uhhbp_wdlms_hosp_vi_tp</vt:lpstr>
      <vt:lpstr>learners_wd_uhhbp_wm_home_daas_12to15</vt:lpstr>
      <vt:lpstr>learners_wd_uhhbp_wm_home_daas_16to20</vt:lpstr>
      <vt:lpstr>learners_wd_uhhbp_wm_home_daas_21to25</vt:lpstr>
      <vt:lpstr>learners_wd_uhhbp_wm_home_daas_g7tog10</vt:lpstr>
      <vt:lpstr>learners_wd_uhhbp_wm_home_daas_tp</vt:lpstr>
      <vt:lpstr>learners_wd_uhhbp_wm_home_dak_12to15</vt:lpstr>
      <vt:lpstr>learners_wd_uhhbp_wm_home_dak_16to20</vt:lpstr>
      <vt:lpstr>learners_wd_uhhbp_wm_home_dak_21to25</vt:lpstr>
      <vt:lpstr>learners_wd_uhhbp_wm_home_dak_g7tog10</vt:lpstr>
      <vt:lpstr>learners_wd_uhhbp_wm_home_dak_tp</vt:lpstr>
      <vt:lpstr>learners_wd_uhhbp_wm_home_dc_12to15</vt:lpstr>
      <vt:lpstr>learners_wd_uhhbp_wm_home_dc_16to20</vt:lpstr>
      <vt:lpstr>learners_wd_uhhbp_wm_home_dc_21to25</vt:lpstr>
      <vt:lpstr>learners_wd_uhhbp_wm_home_dc_g7tog10</vt:lpstr>
      <vt:lpstr>learners_wd_uhhbp_wm_home_dc_tp</vt:lpstr>
      <vt:lpstr>learners_wd_uhhbp_wm_home_ddipb_12to15</vt:lpstr>
      <vt:lpstr>learners_wd_uhhbp_wm_home_ddipb_16to20</vt:lpstr>
      <vt:lpstr>learners_wd_uhhbp_wm_home_ddipb_21to25</vt:lpstr>
      <vt:lpstr>learners_wd_uhhbp_wm_home_ddipb_g7tog10</vt:lpstr>
      <vt:lpstr>learners_wd_uhhbp_wm_home_ddipb_tp</vt:lpstr>
      <vt:lpstr>learners_wd_uhhbp_wm_home_dh_12to15</vt:lpstr>
      <vt:lpstr>learners_wd_uhhbp_wm_home_dh_16to20</vt:lpstr>
      <vt:lpstr>learners_wd_uhhbp_wm_home_dh_21to25</vt:lpstr>
      <vt:lpstr>learners_wd_uhhbp_wm_home_dh_g7tog10</vt:lpstr>
      <vt:lpstr>learners_wd_uhhbp_wm_home_dh_tp</vt:lpstr>
      <vt:lpstr>learners_wd_uhhbp_wm_home_dm_12to15</vt:lpstr>
      <vt:lpstr>learners_wd_uhhbp_wm_home_dm_16to20</vt:lpstr>
      <vt:lpstr>learners_wd_uhhbp_wm_home_dm_21to25</vt:lpstr>
      <vt:lpstr>learners_wd_uhhbp_wm_home_dm_g7tog10</vt:lpstr>
      <vt:lpstr>learners_wd_uhhbp_wm_home_dm_tp</vt:lpstr>
      <vt:lpstr>learners_wd_uhhbp_wm_home_drcpau_12to15</vt:lpstr>
      <vt:lpstr>learners_wd_uhhbp_wm_home_drcpau_16to20</vt:lpstr>
      <vt:lpstr>learners_wd_uhhbp_wm_home_drcpau_21to25</vt:lpstr>
      <vt:lpstr>learners_wd_uhhbp_wm_home_drcpau_g7tog10</vt:lpstr>
      <vt:lpstr>learners_wd_uhhbp_wm_home_drcpau_tp</vt:lpstr>
      <vt:lpstr>learners_wd_uhhbp_wm_home_ds_12to15</vt:lpstr>
      <vt:lpstr>learners_wd_uhhbp_wm_home_ds_16to20</vt:lpstr>
      <vt:lpstr>learners_wd_uhhbp_wm_home_ds_21to25</vt:lpstr>
      <vt:lpstr>learners_wd_uhhbp_wm_home_ds_g7tog10</vt:lpstr>
      <vt:lpstr>learners_wd_uhhbp_wm_home_ds_tp</vt:lpstr>
      <vt:lpstr>locfundteach_lgu</vt:lpstr>
      <vt:lpstr>locfundteach_others</vt:lpstr>
      <vt:lpstr>locfundteach_sef_muni</vt:lpstr>
      <vt:lpstr>locfundteach_sef_prov</vt:lpstr>
      <vt:lpstr>lrnrs_BFA_f_excluding</vt:lpstr>
      <vt:lpstr>lrnrs_BFA_f_ip</vt:lpstr>
      <vt:lpstr>lrnrs_BFA_f_muslim</vt:lpstr>
      <vt:lpstr>lrnrs_BFA_f_pwd</vt:lpstr>
      <vt:lpstr>lrnrs_BFA_m_excluding</vt:lpstr>
      <vt:lpstr>lrnrs_BFA_m_ip</vt:lpstr>
      <vt:lpstr>lrnrs_BFA_m_muslim</vt:lpstr>
      <vt:lpstr>lrnrs_BFA_m_pwd</vt:lpstr>
      <vt:lpstr>lrnrs_caaas_f_excluding</vt:lpstr>
      <vt:lpstr>lrnrs_caaas_f_ip</vt:lpstr>
      <vt:lpstr>lrnrs_caaas_f_muslim</vt:lpstr>
      <vt:lpstr>lrnrs_caaas_f_pwd</vt:lpstr>
      <vt:lpstr>lrnrs_caaas_m_excluding</vt:lpstr>
      <vt:lpstr>lrnrs_caaas_m_ip</vt:lpstr>
      <vt:lpstr>lrnrs_caaas_m_muslim</vt:lpstr>
      <vt:lpstr>lrnrs_caaas_m_pwd</vt:lpstr>
      <vt:lpstr>lrnrs_camp_f_excluding</vt:lpstr>
      <vt:lpstr>lrnrs_camp_f_ip</vt:lpstr>
      <vt:lpstr>lrnrs_camp_f_muslim</vt:lpstr>
      <vt:lpstr>lrnrs_camp_f_pwd</vt:lpstr>
      <vt:lpstr>lrnrs_camp_m_excluding</vt:lpstr>
      <vt:lpstr>lrnrs_camp_m_ip</vt:lpstr>
      <vt:lpstr>lrnrs_camp_m_muslim</vt:lpstr>
      <vt:lpstr>lrnrs_camp_m_pwd</vt:lpstr>
      <vt:lpstr>lrnrs_ccamart_f_excluding</vt:lpstr>
      <vt:lpstr>lrnrs_ccamart_f_ip</vt:lpstr>
      <vt:lpstr>lrnrs_ccamart_f_muslim</vt:lpstr>
      <vt:lpstr>lrnrs_ccamart_f_pwd</vt:lpstr>
      <vt:lpstr>lrnrs_ccamart_m_excluding</vt:lpstr>
      <vt:lpstr>lrnrs_ccamart_m_ip</vt:lpstr>
      <vt:lpstr>lrnrs_ccamart_m_muslim</vt:lpstr>
      <vt:lpstr>lrnrs_ccamart_m_pwd</vt:lpstr>
      <vt:lpstr>lrnrs_ccamceleb_f_excluding</vt:lpstr>
      <vt:lpstr>lrnrs_ccamceleb_f_ip</vt:lpstr>
      <vt:lpstr>lrnrs_ccamceleb_f_muslim</vt:lpstr>
      <vt:lpstr>lrnrs_ccamceleb_f_pwd</vt:lpstr>
      <vt:lpstr>lrnrs_ccamceleb_m_excluding</vt:lpstr>
      <vt:lpstr>lrnrs_ccamceleb_m_ip</vt:lpstr>
      <vt:lpstr>lrnrs_ccamceleb_m_muslim</vt:lpstr>
      <vt:lpstr>lrnrs_ccamceleb_m_pwd</vt:lpstr>
      <vt:lpstr>lrnrs_ccamothers_f_excluding</vt:lpstr>
      <vt:lpstr>lrnrs_ccamothers_f_ip</vt:lpstr>
      <vt:lpstr>lrnrs_ccamothers_f_muslim</vt:lpstr>
      <vt:lpstr>lrnrs_ccamothers_f_pwd</vt:lpstr>
      <vt:lpstr>lrnrs_ccamothers_m_excluding</vt:lpstr>
      <vt:lpstr>lrnrs_ccamothers_m_ip</vt:lpstr>
      <vt:lpstr>lrnrs_ccamothers_m_muslim</vt:lpstr>
      <vt:lpstr>lrnrs_ccamothers_m_pwd</vt:lpstr>
      <vt:lpstr>lrnrs_ccamothers_specify</vt:lpstr>
      <vt:lpstr>lrnrs_celebdrrm_f_excluding</vt:lpstr>
      <vt:lpstr>lrnrs_celebdrrm_f_ip</vt:lpstr>
      <vt:lpstr>lrnrs_celebdrrm_f_muslim</vt:lpstr>
      <vt:lpstr>lrnrs_celebdrrm_f_pwd</vt:lpstr>
      <vt:lpstr>lrnrs_celebdrrm_m_excluding</vt:lpstr>
      <vt:lpstr>lrnrs_celebdrrm_m_ip</vt:lpstr>
      <vt:lpstr>lrnrs_celebdrrm_m_muslim</vt:lpstr>
      <vt:lpstr>lrnrs_celebdrrm_m_pwd</vt:lpstr>
      <vt:lpstr>lrnrs_chngcurrent_f_excluding</vt:lpstr>
      <vt:lpstr>lrnrs_chngcurrent_f_ip</vt:lpstr>
      <vt:lpstr>lrnrs_chngcurrent_f_muslim</vt:lpstr>
      <vt:lpstr>lrnrs_chngcurrent_f_pwd</vt:lpstr>
      <vt:lpstr>lrnrs_chngcurrent_m_excluding</vt:lpstr>
      <vt:lpstr>lrnrs_chngcurrent_m_ip</vt:lpstr>
      <vt:lpstr>lrnrs_chngcurrent_m_muslim</vt:lpstr>
      <vt:lpstr>lrnrs_chngcurrent_m_pwd</vt:lpstr>
      <vt:lpstr>lrnrs_coledppa_f_excluding</vt:lpstr>
      <vt:lpstr>lrnrs_coledppa_f_ip</vt:lpstr>
      <vt:lpstr>lrnrs_coledppa_f_muslim</vt:lpstr>
      <vt:lpstr>lrnrs_coledppa_f_pwd</vt:lpstr>
      <vt:lpstr>lrnrs_coledppa_m_excluding</vt:lpstr>
      <vt:lpstr>lrnrs_coledppa_m_ip</vt:lpstr>
      <vt:lpstr>lrnrs_coledppa_m_muslim</vt:lpstr>
      <vt:lpstr>lrnrs_coledppa_m_pwd</vt:lpstr>
      <vt:lpstr>lrnrs_complete_training_f_excluding</vt:lpstr>
      <vt:lpstr>lrnrs_complete_training_f_ip</vt:lpstr>
      <vt:lpstr>lrnrs_complete_training_f_muslim</vt:lpstr>
      <vt:lpstr>lrnrs_complete_training_f_pwd</vt:lpstr>
      <vt:lpstr>lrnrs_complete_training_m_excluding</vt:lpstr>
      <vt:lpstr>lrnrs_complete_training_m_ip</vt:lpstr>
      <vt:lpstr>lrnrs_complete_training_m_muslim</vt:lpstr>
      <vt:lpstr>lrnrs_complete_training_m_pwd</vt:lpstr>
      <vt:lpstr>lrnrs_consult_iecmats_survey_f_excluding</vt:lpstr>
      <vt:lpstr>lrnrs_consult_iecmats_survey_f_ip</vt:lpstr>
      <vt:lpstr>lrnrs_consult_iecmats_survey_f_muslim</vt:lpstr>
      <vt:lpstr>lrnrs_consult_iecmats_survey_f_pwd</vt:lpstr>
      <vt:lpstr>lrnrs_consult_iecmats_survey_m_excluding</vt:lpstr>
      <vt:lpstr>lrnrs_consult_iecmats_survey_m_ip</vt:lpstr>
      <vt:lpstr>lrnrs_consult_iecmats_survey_m_muslim</vt:lpstr>
      <vt:lpstr>lrnrs_consult_iecmats_survey_m_pwd</vt:lpstr>
      <vt:lpstr>lrnrs_developed_iecmats_survey_f_excluding</vt:lpstr>
      <vt:lpstr>lrnrs_developed_iecmats_survey_f_ip</vt:lpstr>
      <vt:lpstr>lrnrs_developed_iecmats_survey_f_muslim</vt:lpstr>
      <vt:lpstr>lrnrs_developed_iecmats_survey_f_pwd</vt:lpstr>
      <vt:lpstr>lrnrs_developed_iecmats_survey_m_excluding</vt:lpstr>
      <vt:lpstr>lrnrs_developed_iecmats_survey_m_ip</vt:lpstr>
      <vt:lpstr>lrnrs_developed_iecmats_survey_m_muslim</vt:lpstr>
      <vt:lpstr>lrnrs_developed_iecmats_survey_m_pwd</vt:lpstr>
      <vt:lpstr>lrnrs_drrmcamp_f_excluding</vt:lpstr>
      <vt:lpstr>lrnrs_drrmcamp_f_ip</vt:lpstr>
      <vt:lpstr>lrnrs_drrmcamp_f_muslim</vt:lpstr>
      <vt:lpstr>lrnrs_drrmcamp_f_pwd</vt:lpstr>
      <vt:lpstr>lrnrs_drrmcamp_m_excluding</vt:lpstr>
      <vt:lpstr>lrnrs_drrmcamp_m_ip</vt:lpstr>
      <vt:lpstr>lrnrs_drrmcamp_m_muslim</vt:lpstr>
      <vt:lpstr>lrnrs_drrmcamp_m_pwd</vt:lpstr>
      <vt:lpstr>lrnrs_drrmothers_f_excluding</vt:lpstr>
      <vt:lpstr>lrnrs_drrmothers_f_ip</vt:lpstr>
      <vt:lpstr>lrnrs_drrmothers_f_muslim</vt:lpstr>
      <vt:lpstr>lrnrs_drrmothers_f_pwd</vt:lpstr>
      <vt:lpstr>lrnrs_drrmothers_m_excluding</vt:lpstr>
      <vt:lpstr>lrnrs_drrmothers_m_ip</vt:lpstr>
      <vt:lpstr>lrnrs_drrmothers_m_muslim</vt:lpstr>
      <vt:lpstr>lrnrs_drrmothers_m_pwd</vt:lpstr>
      <vt:lpstr>lrnrs_FEP_f_excluding</vt:lpstr>
      <vt:lpstr>lrnrs_FEP_f_ip</vt:lpstr>
      <vt:lpstr>lrnrs_FEP_f_muslim</vt:lpstr>
      <vt:lpstr>lrnrs_FEP_f_pwd</vt:lpstr>
      <vt:lpstr>lrnrs_FEP_m_excluding</vt:lpstr>
      <vt:lpstr>lrnrs_FEP_m_ip</vt:lpstr>
      <vt:lpstr>lrnrs_FEP_m_muslim</vt:lpstr>
      <vt:lpstr>lrnrs_FEP_m_pwd</vt:lpstr>
      <vt:lpstr>lrnrs_gulayan_f_excluding</vt:lpstr>
      <vt:lpstr>lrnrs_gulayan_f_ip</vt:lpstr>
      <vt:lpstr>lrnrs_gulayan_f_muslim</vt:lpstr>
      <vt:lpstr>lrnrs_gulayan_f_pwd</vt:lpstr>
      <vt:lpstr>lrnrs_gulayan_m_excluding</vt:lpstr>
      <vt:lpstr>lrnrs_gulayan_m_ip</vt:lpstr>
      <vt:lpstr>lrnrs_gulayan_m_muslim</vt:lpstr>
      <vt:lpstr>lrnrs_gulayan_m_pwd</vt:lpstr>
      <vt:lpstr>lrnrs_hazmap_f_excluding</vt:lpstr>
      <vt:lpstr>lrnrs_hazmap_f_ip</vt:lpstr>
      <vt:lpstr>lrnrs_hazmap_f_muslim</vt:lpstr>
      <vt:lpstr>lrnrs_hazmap_f_pwd</vt:lpstr>
      <vt:lpstr>lrnrs_hazmap_m_excluding</vt:lpstr>
      <vt:lpstr>lrnrs_hazmap_m_ip</vt:lpstr>
      <vt:lpstr>lrnrs_hazmap_m_muslim</vt:lpstr>
      <vt:lpstr>lrnrs_hazmap_m_pwd</vt:lpstr>
      <vt:lpstr>lrnrs_initiate_iecmats_survey_f_excluding</vt:lpstr>
      <vt:lpstr>lrnrs_initiate_iecmats_survey_f_ip</vt:lpstr>
      <vt:lpstr>lrnrs_initiate_iecmats_survey_f_muslim</vt:lpstr>
      <vt:lpstr>lrnrs_initiate_iecmats_survey_f_pwd</vt:lpstr>
      <vt:lpstr>lrnrs_initiate_iecmats_survey_m_excluding</vt:lpstr>
      <vt:lpstr>lrnrs_initiate_iecmats_survey_m_ip</vt:lpstr>
      <vt:lpstr>lrnrs_initiate_iecmats_survey_m_muslim</vt:lpstr>
      <vt:lpstr>lrnrs_initiate_iecmats_survey_m_pwd</vt:lpstr>
      <vt:lpstr>lrnrs_journalism_f_excluding</vt:lpstr>
      <vt:lpstr>lrnrs_journalism_f_ip</vt:lpstr>
      <vt:lpstr>lrnrs_journalism_f_muslim</vt:lpstr>
      <vt:lpstr>lrnrs_journalism_f_pwd</vt:lpstr>
      <vt:lpstr>lrnrs_journalism_m_excluding</vt:lpstr>
      <vt:lpstr>lrnrs_journalism_m_ip</vt:lpstr>
      <vt:lpstr>lrnrs_journalism_m_muslim</vt:lpstr>
      <vt:lpstr>lrnrs_journalism_m_pwd</vt:lpstr>
      <vt:lpstr>lrnrs_journalismtraining_f_excluding</vt:lpstr>
      <vt:lpstr>lrnrs_journalismtraining_f_ip</vt:lpstr>
      <vt:lpstr>lrnrs_journalismtraining_f_muslim</vt:lpstr>
      <vt:lpstr>lrnrs_journalismtraining_f_pwd</vt:lpstr>
      <vt:lpstr>lrnrs_journalismtraining_m_excluding</vt:lpstr>
      <vt:lpstr>lrnrs_journalismtraining_m_ip</vt:lpstr>
      <vt:lpstr>lrnrs_journalismtraining_m_muslim</vt:lpstr>
      <vt:lpstr>lrnrs_journalismtraining_m_pwd</vt:lpstr>
      <vt:lpstr>lrnrs_ledppa_ccam</vt:lpstr>
      <vt:lpstr>lrnrs_ledppa_drrm</vt:lpstr>
      <vt:lpstr>lrnrs_ledppa_f_excluding</vt:lpstr>
      <vt:lpstr>lrnrs_ledppa_f_ip</vt:lpstr>
      <vt:lpstr>lrnrs_ledppa_f_muslim</vt:lpstr>
      <vt:lpstr>lrnrs_ledppa_f_pwd</vt:lpstr>
      <vt:lpstr>lrnrs_ledppa_m_excluding</vt:lpstr>
      <vt:lpstr>lrnrs_ledppa_m_ip</vt:lpstr>
      <vt:lpstr>lrnrs_ledppa_m_muslim</vt:lpstr>
      <vt:lpstr>lrnrs_ledppa_m_pwd</vt:lpstr>
      <vt:lpstr>lrnrs_ledppa_peacebuilding</vt:lpstr>
      <vt:lpstr>lrnrs_onlinemhpss_f_excluding</vt:lpstr>
      <vt:lpstr>lrnrs_onlinemhpss_f_ip</vt:lpstr>
      <vt:lpstr>lrnrs_onlinemhpss_f_muslim</vt:lpstr>
      <vt:lpstr>lrnrs_onlinemhpss_f_pwd</vt:lpstr>
      <vt:lpstr>lrnrs_onlinemhpss_m_excluding</vt:lpstr>
      <vt:lpstr>lrnrs_onlinemhpss_m_ip</vt:lpstr>
      <vt:lpstr>lrnrs_onlinemhpss_m_muslim</vt:lpstr>
      <vt:lpstr>lrnrs_onlinemhpss_m_pwd</vt:lpstr>
      <vt:lpstr>lrnrs_participate_iecmats_survey_f_excluding</vt:lpstr>
      <vt:lpstr>lrnrs_participate_iecmats_survey_f_ip</vt:lpstr>
      <vt:lpstr>lrnrs_participate_iecmats_survey_f_muslim</vt:lpstr>
      <vt:lpstr>lrnrs_participate_iecmats_survey_f_pwd</vt:lpstr>
      <vt:lpstr>lrnrs_participate_iecmats_survey_m_excluding</vt:lpstr>
      <vt:lpstr>lrnrs_participate_iecmats_survey_m_ip</vt:lpstr>
      <vt:lpstr>lrnrs_participate_iecmats_survey_m_muslim</vt:lpstr>
      <vt:lpstr>lrnrs_participate_iecmats_survey_m_pwd</vt:lpstr>
      <vt:lpstr>lrnrs_peacecamps_f_excluding</vt:lpstr>
      <vt:lpstr>lrnrs_peacecamps_f_ip</vt:lpstr>
      <vt:lpstr>lrnrs_peacecamps_f_muslim</vt:lpstr>
      <vt:lpstr>lrnrs_peacecamps_f_pwd</vt:lpstr>
      <vt:lpstr>lrnrs_peacecamps_m_excluding</vt:lpstr>
      <vt:lpstr>lrnrs_peacecamps_m_ip</vt:lpstr>
      <vt:lpstr>lrnrs_peacecamps_m_muslim</vt:lpstr>
      <vt:lpstr>lrnrs_peacecamps_m_pwd</vt:lpstr>
      <vt:lpstr>lrnrs_peaceceleb_f_excluding</vt:lpstr>
      <vt:lpstr>lrnrs_peaceceleb_f_ip</vt:lpstr>
      <vt:lpstr>lrnrs_peaceceleb_f_muslim</vt:lpstr>
      <vt:lpstr>lrnrs_peaceceleb_f_pwd</vt:lpstr>
      <vt:lpstr>lrnrs_peaceceleb_m_excluding</vt:lpstr>
      <vt:lpstr>lrnrs_peaceceleb_m_ip</vt:lpstr>
      <vt:lpstr>lrnrs_peaceceleb_m_muslim</vt:lpstr>
      <vt:lpstr>lrnrs_peaceceleb_m_pwd</vt:lpstr>
      <vt:lpstr>lrnrs_peacecontests_f_excluding</vt:lpstr>
      <vt:lpstr>lrnrs_peacecontests_f_ip</vt:lpstr>
      <vt:lpstr>lrnrs_peacecontests_f_muslim</vt:lpstr>
      <vt:lpstr>lrnrs_peacecontests_f_pwd</vt:lpstr>
      <vt:lpstr>lrnrs_peacecontests_m_excluding</vt:lpstr>
      <vt:lpstr>lrnrs_peacecontests_m_ip</vt:lpstr>
      <vt:lpstr>lrnrs_peacecontests_m_muslim</vt:lpstr>
      <vt:lpstr>lrnrs_peacecontests_m_pwd</vt:lpstr>
      <vt:lpstr>lrnrs_peaceothers_f_excluding</vt:lpstr>
      <vt:lpstr>lrnrs_peaceothers_f_ip</vt:lpstr>
      <vt:lpstr>lrnrs_peaceothers_f_muslim</vt:lpstr>
      <vt:lpstr>lrnrs_peaceothers_f_pwd</vt:lpstr>
      <vt:lpstr>lrnrs_peaceothers_m_excluding</vt:lpstr>
      <vt:lpstr>lrnrs_peaceothers_m_ip</vt:lpstr>
      <vt:lpstr>lrnrs_peaceothers_m_muslim</vt:lpstr>
      <vt:lpstr>lrnrs_peaceothers_m_pwd</vt:lpstr>
      <vt:lpstr>lrnrs_peaceothers_specify</vt:lpstr>
      <vt:lpstr>lrnrs_ptop_mhpss_f_excluding</vt:lpstr>
      <vt:lpstr>lrnrs_ptop_mhpss_f_ip</vt:lpstr>
      <vt:lpstr>lrnrs_ptop_mhpss_f_muslim</vt:lpstr>
      <vt:lpstr>lrnrs_ptop_mhpss_f_pwd</vt:lpstr>
      <vt:lpstr>lrnrs_ptop_mhpss_m_excluding</vt:lpstr>
      <vt:lpstr>lrnrs_ptop_mhpss_m_ip</vt:lpstr>
      <vt:lpstr>lrnrs_ptop_mhpss_m_muslim</vt:lpstr>
      <vt:lpstr>lrnrs_ptop_mhpss_m_pwd</vt:lpstr>
      <vt:lpstr>lrnrs_recycling_f_excluding</vt:lpstr>
      <vt:lpstr>lrnrs_recycling_f_ip</vt:lpstr>
      <vt:lpstr>lrnrs_recycling_f_muslim</vt:lpstr>
      <vt:lpstr>lrnrs_recycling_f_pwd</vt:lpstr>
      <vt:lpstr>lrnrs_recycling_m_excluding</vt:lpstr>
      <vt:lpstr>lrnrs_recycling_m_ip</vt:lpstr>
      <vt:lpstr>lrnrs_recycling_m_muslim</vt:lpstr>
      <vt:lpstr>lrnrs_recycling_m_pwd</vt:lpstr>
      <vt:lpstr>lrnrs_swm_f_excluding</vt:lpstr>
      <vt:lpstr>lrnrs_swm_f_ip</vt:lpstr>
      <vt:lpstr>lrnrs_swm_f_muslim</vt:lpstr>
      <vt:lpstr>lrnrs_swm_f_pwd</vt:lpstr>
      <vt:lpstr>lrnrs_swm_m_excluding</vt:lpstr>
      <vt:lpstr>lrnrs_swm_m_ip</vt:lpstr>
      <vt:lpstr>lrnrs_swm_m_muslim</vt:lpstr>
      <vt:lpstr>lrnrs_swm_m_pwd</vt:lpstr>
      <vt:lpstr>lrnrs_trained_f_excluding</vt:lpstr>
      <vt:lpstr>lrnrs_trained_f_ip</vt:lpstr>
      <vt:lpstr>lrnrs_trained_f_muslim</vt:lpstr>
      <vt:lpstr>lrnrs_trained_f_pwd</vt:lpstr>
      <vt:lpstr>lrnrs_trained_m_excluding</vt:lpstr>
      <vt:lpstr>lrnrs_trained_m_ip</vt:lpstr>
      <vt:lpstr>lrnrs_trained_m_muslim</vt:lpstr>
      <vt:lpstr>lrnrs_trained_m_pwd</vt:lpstr>
      <vt:lpstr>lrnrs_treeplanting_f_excluding</vt:lpstr>
      <vt:lpstr>lrnrs_treeplanting_f_ip</vt:lpstr>
      <vt:lpstr>lrnrs_treeplanting_f_muslim</vt:lpstr>
      <vt:lpstr>lrnrs_treeplanting_f_pwd</vt:lpstr>
      <vt:lpstr>lrnrs_treeplanting_m_excluding</vt:lpstr>
      <vt:lpstr>lrnrs_treeplanting_m_ip</vt:lpstr>
      <vt:lpstr>lrnrs_treeplanting_m_muslim</vt:lpstr>
      <vt:lpstr>lrnrs_treeplanting_m_pwd</vt:lpstr>
      <vt:lpstr>lrnrs_yac_f_excluding</vt:lpstr>
      <vt:lpstr>lrnrs_yac_f_ip</vt:lpstr>
      <vt:lpstr>lrnrs_yac_f_muslim</vt:lpstr>
      <vt:lpstr>lrnrs_yac_f_pwd</vt:lpstr>
      <vt:lpstr>lrnrs_yac_m_excluding</vt:lpstr>
      <vt:lpstr>lrnrs_yac_m_ip</vt:lpstr>
      <vt:lpstr>lrnrs_yac_m_muslim</vt:lpstr>
      <vt:lpstr>lrnrs_yac_m_pwd</vt:lpstr>
      <vt:lpstr>lrnrs_youthcouncil_f_excluding</vt:lpstr>
      <vt:lpstr>lrnrs_youthcouncil_f_ip</vt:lpstr>
      <vt:lpstr>lrnrs_youthcouncil_f_muslim</vt:lpstr>
      <vt:lpstr>lrnrs_youthcouncil_f_pwd</vt:lpstr>
      <vt:lpstr>lrnrs_youthcouncil_m_excluding</vt:lpstr>
      <vt:lpstr>lrnrs_youthcouncil_m_ip</vt:lpstr>
      <vt:lpstr>lrnrs_youthcouncil_m_muslim</vt:lpstr>
      <vt:lpstr>lrnrs_youthcouncil_m_pwd</vt:lpstr>
      <vt:lpstr>lrnrs_youthnetworks_f_excluding</vt:lpstr>
      <vt:lpstr>lrnrs_youthnetworks_f_ip</vt:lpstr>
      <vt:lpstr>lrnrs_youthnetworks_f_muslim</vt:lpstr>
      <vt:lpstr>lrnrs_youthnetworks_f_pwd</vt:lpstr>
      <vt:lpstr>lrnrs_youthnetworks_m_excluding</vt:lpstr>
      <vt:lpstr>lrnrs_youthnetworks_m_ip</vt:lpstr>
      <vt:lpstr>lrnrs_youthnetworks_m_muslim</vt:lpstr>
      <vt:lpstr>lrnrs_youthnetworks_m_pwd</vt:lpstr>
      <vt:lpstr>lrnrs_ysc_f_excluding</vt:lpstr>
      <vt:lpstr>lrnrs_ysc_f_ip</vt:lpstr>
      <vt:lpstr>lrnrs_ysc_f_muslim</vt:lpstr>
      <vt:lpstr>lrnrs_ysc_f_pwd</vt:lpstr>
      <vt:lpstr>lrnrs_ysc_m_excluding</vt:lpstr>
      <vt:lpstr>lrnrs_ysc_m_ip</vt:lpstr>
      <vt:lpstr>lrnrs_ysc_m_muslim</vt:lpstr>
      <vt:lpstr>lrnrs_ysc_m_pwd</vt:lpstr>
      <vt:lpstr>lrns_drrmothers_specify</vt:lpstr>
      <vt:lpstr>mathnsciteach_eng_engmaj_fulltime</vt:lpstr>
      <vt:lpstr>mathnsciteach_eng_engmaj_parttime</vt:lpstr>
      <vt:lpstr>mathnsciteach_eng_engmin_fulltime</vt:lpstr>
      <vt:lpstr>mathnsciteach_eng_engmin_parttime</vt:lpstr>
      <vt:lpstr>mathnsciteach_eng_filmaj_fulltime</vt:lpstr>
      <vt:lpstr>mathnsciteach_eng_filmaj_parttime</vt:lpstr>
      <vt:lpstr>mathnsciteach_eng_filmin_fulltime</vt:lpstr>
      <vt:lpstr>mathnsciteach_eng_filmin_parttime</vt:lpstr>
      <vt:lpstr>mathnsciteach_eng_mathmaj_fulltime</vt:lpstr>
      <vt:lpstr>mathnsciteach_eng_mathmaj_parttime</vt:lpstr>
      <vt:lpstr>mathnsciteach_eng_mathmin_fulltime</vt:lpstr>
      <vt:lpstr>mathnsciteach_eng_mathmin_parttime</vt:lpstr>
      <vt:lpstr>mathnsciteach_eng_othermajmin_fulltime</vt:lpstr>
      <vt:lpstr>mathnsciteach_eng_othermajmin_parttime</vt:lpstr>
      <vt:lpstr>mathnsciteach_eng_scimaj_fulltime</vt:lpstr>
      <vt:lpstr>mathnsciteach_eng_scimaj_parttime</vt:lpstr>
      <vt:lpstr>mathnsciteach_eng_scimin_fulltime</vt:lpstr>
      <vt:lpstr>mathnsciteach_eng_scimin_parttime</vt:lpstr>
      <vt:lpstr>mathnsciteach_fil_engmaj_fulltime</vt:lpstr>
      <vt:lpstr>mathnsciteach_fil_engmaj_parttime</vt:lpstr>
      <vt:lpstr>mathnsciteach_fil_engmin_fulltime</vt:lpstr>
      <vt:lpstr>mathnsciteach_fil_engmin_parttime</vt:lpstr>
      <vt:lpstr>mathnsciteach_fil_filmaj_fulltime</vt:lpstr>
      <vt:lpstr>mathnsciteach_fil_filmaj_parttime</vt:lpstr>
      <vt:lpstr>mathnsciteach_fil_filmin_fulltime</vt:lpstr>
      <vt:lpstr>mathnsciteach_fil_filmin_parttime</vt:lpstr>
      <vt:lpstr>mathnsciteach_fil_mathmaj_fulltime</vt:lpstr>
      <vt:lpstr>mathnsciteach_fil_mathmaj_parttime</vt:lpstr>
      <vt:lpstr>mathnsciteach_fil_mathmin_fulltime</vt:lpstr>
      <vt:lpstr>mathnsciteach_fil_mathmin_parttime</vt:lpstr>
      <vt:lpstr>mathnsciteach_fil_othermajmin_fulltime</vt:lpstr>
      <vt:lpstr>mathnsciteach_fil_othermajmin_parttime</vt:lpstr>
      <vt:lpstr>mathnsciteach_fil_scimaj_fulltime</vt:lpstr>
      <vt:lpstr>mathnsciteach_fil_scimaj_parttime</vt:lpstr>
      <vt:lpstr>mathnsciteach_fil_scimin_fulltime</vt:lpstr>
      <vt:lpstr>mathnsciteach_fil_scimin_parttime</vt:lpstr>
      <vt:lpstr>mathnsciteach_math_engmaj_fulltime</vt:lpstr>
      <vt:lpstr>mathnsciteach_math_engmaj_parttime</vt:lpstr>
      <vt:lpstr>mathnsciteach_math_engmin_fulltime</vt:lpstr>
      <vt:lpstr>mathnsciteach_math_engmin_parttime</vt:lpstr>
      <vt:lpstr>mathnsciteach_math_filmaj_fulltime</vt:lpstr>
      <vt:lpstr>mathnsciteach_math_filmaj_parttime</vt:lpstr>
      <vt:lpstr>mathnsciteach_math_filmin_fulltime</vt:lpstr>
      <vt:lpstr>mathnsciteach_math_filmin_parttime</vt:lpstr>
      <vt:lpstr>mathnsciteach_math_mathmaj_fulltime</vt:lpstr>
      <vt:lpstr>mathnsciteach_math_mathmaj_parttime</vt:lpstr>
      <vt:lpstr>mathnsciteach_math_mathmin_fulltime</vt:lpstr>
      <vt:lpstr>mathnsciteach_math_mathmin_parttime</vt:lpstr>
      <vt:lpstr>mathnsciteach_math_othermajmin_fulltime</vt:lpstr>
      <vt:lpstr>mathnsciteach_math_othermajmin_parttime</vt:lpstr>
      <vt:lpstr>mathnsciteach_math_scimaj_fulltime</vt:lpstr>
      <vt:lpstr>mathnsciteach_math_scimaj_parttime</vt:lpstr>
      <vt:lpstr>mathnsciteach_math_scimin_fulltime</vt:lpstr>
      <vt:lpstr>mathnsciteach_math_scimin_parttime</vt:lpstr>
      <vt:lpstr>mathnsciteach_sci_engmaj_fulltime</vt:lpstr>
      <vt:lpstr>mathnsciteach_sci_engmaj_parttime</vt:lpstr>
      <vt:lpstr>mathnsciteach_sci_engmin_fulltime</vt:lpstr>
      <vt:lpstr>mathnsciteach_sci_engmin_parttime</vt:lpstr>
      <vt:lpstr>mathnsciteach_sci_filmaj_fulltime</vt:lpstr>
      <vt:lpstr>mathnsciteach_sci_filmaj_parttime</vt:lpstr>
      <vt:lpstr>mathnsciteach_sci_filmin_fulltime</vt:lpstr>
      <vt:lpstr>mathnsciteach_sci_filmin_parttime</vt:lpstr>
      <vt:lpstr>mathnsciteach_sci_mathmaj_fulltime</vt:lpstr>
      <vt:lpstr>mathnsciteach_sci_mathmaj_parttime</vt:lpstr>
      <vt:lpstr>mathnsciteach_sci_mathmin_fulltime</vt:lpstr>
      <vt:lpstr>mathnsciteach_sci_mathmin_parttime</vt:lpstr>
      <vt:lpstr>mathnsciteach_sci_othermajmin_fulltime</vt:lpstr>
      <vt:lpstr>mathnsciteach_sci_othermajmin_parttime</vt:lpstr>
      <vt:lpstr>mathnsciteach_sci_scimaj_fulltime</vt:lpstr>
      <vt:lpstr>mathnsciteach_sci_scimaj_parttime</vt:lpstr>
      <vt:lpstr>mathnsciteach_sci_scimin_fulltime</vt:lpstr>
      <vt:lpstr>mathnsciteach_sci_scimin_parttime</vt:lpstr>
      <vt:lpstr>menshygiene_avail_sanpads_yes</vt:lpstr>
      <vt:lpstr>menshygiene_avail_sanpads_yes_canteen</vt:lpstr>
      <vt:lpstr>menshygiene_avail_sanpads_yes_clinic</vt:lpstr>
      <vt:lpstr>menshygiene_avail_sanpads_yes_guidance_ofc</vt:lpstr>
      <vt:lpstr>menshygiene_avail_sanpads_yes_others</vt:lpstr>
      <vt:lpstr>mhpss_conducted_ccam_learner</vt:lpstr>
      <vt:lpstr>mhpss_conducted_ccam_teacher</vt:lpstr>
      <vt:lpstr>mhpss_conducted_drrm_learner</vt:lpstr>
      <vt:lpstr>mhpss_conducted_drrm_teacher</vt:lpstr>
      <vt:lpstr>mhpss_conducted_peacebuilding_learner</vt:lpstr>
      <vt:lpstr>mhpss_conducted_peacebuilding_teacher</vt:lpstr>
      <vt:lpstr>mooe_alloc_jantodec_amount</vt:lpstr>
      <vt:lpstr>mooe_liqui_jantodec_amount</vt:lpstr>
      <vt:lpstr>mooe_utili_jantodec_amount</vt:lpstr>
      <vt:lpstr>mother_sch_id</vt:lpstr>
      <vt:lpstr>NCR</vt:lpstr>
      <vt:lpstr>number_trained_module_adm_nonteaching_f</vt:lpstr>
      <vt:lpstr>number_trained_module_adm_nonteaching_m</vt:lpstr>
      <vt:lpstr>number_trained_module_adm_teaching_f</vt:lpstr>
      <vt:lpstr>number_trained_module_adm_teaching_m</vt:lpstr>
      <vt:lpstr>number_trained_module_beie_nonteaching_f</vt:lpstr>
      <vt:lpstr>number_trained_module_beie_nonteaching_m</vt:lpstr>
      <vt:lpstr>number_trained_module_beie_teaching_f</vt:lpstr>
      <vt:lpstr>number_trained_module_beie_teaching_m</vt:lpstr>
      <vt:lpstr>number_trained_module_camp_mgmt_nonteaching_f</vt:lpstr>
      <vt:lpstr>number_trained_module_camp_mgmt_nonteaching_m</vt:lpstr>
      <vt:lpstr>number_trained_module_camp_mgmt_teaching_f</vt:lpstr>
      <vt:lpstr>number_trained_module_camp_mgmt_teaching_m</vt:lpstr>
      <vt:lpstr>number_trained_module_cchange_global_nonteaching_f</vt:lpstr>
      <vt:lpstr>number_trained_module_cchange_global_nonteaching_m</vt:lpstr>
      <vt:lpstr>number_trained_module_cchange_global_teaching_f</vt:lpstr>
      <vt:lpstr>number_trained_module_cchange_global_teaching_m</vt:lpstr>
      <vt:lpstr>number_trained_module_cdrrmef_nonteaching_f</vt:lpstr>
      <vt:lpstr>number_trained_module_cdrrmef_nonteaching_m</vt:lpstr>
      <vt:lpstr>number_trained_module_cdrrmef_teaching_f</vt:lpstr>
      <vt:lpstr>number_trained_module_cdrrmef_teaching_m</vt:lpstr>
      <vt:lpstr>number_trained_module_common_hazards_nonteaching_f</vt:lpstr>
      <vt:lpstr>number_trained_module_common_hazards_nonteaching_m</vt:lpstr>
      <vt:lpstr>number_trained_module_common_hazards_teaching_f</vt:lpstr>
      <vt:lpstr>number_trained_module_common_hazards_teaching_m</vt:lpstr>
      <vt:lpstr>number_trained_module_contingency_nonteaching_f</vt:lpstr>
      <vt:lpstr>number_trained_module_contingency_nonteaching_m</vt:lpstr>
      <vt:lpstr>number_trained_module_contingency_teaching_f</vt:lpstr>
      <vt:lpstr>number_trained_module_contingency_teaching_m</vt:lpstr>
      <vt:lpstr>number_trained_module_eie_nonteaching_f</vt:lpstr>
      <vt:lpstr>number_trained_module_eie_nonteaching_m</vt:lpstr>
      <vt:lpstr>number_trained_module_eie_teaching_f</vt:lpstr>
      <vt:lpstr>number_trained_module_eie_teaching_m</vt:lpstr>
      <vt:lpstr>number_trained_module_im_nonteaching_f</vt:lpstr>
      <vt:lpstr>number_trained_module_im_nonteaching_m</vt:lpstr>
      <vt:lpstr>number_trained_module_im_teaching_f</vt:lpstr>
      <vt:lpstr>number_trained_module_im_teaching_m</vt:lpstr>
      <vt:lpstr>number_trained_module_inclusive_childcenter_nonteaching_f</vt:lpstr>
      <vt:lpstr>number_trained_module_inclusive_childcenter_nonteaching_m</vt:lpstr>
      <vt:lpstr>number_trained_module_inclusive_childcenter_teaching_f</vt:lpstr>
      <vt:lpstr>number_trained_module_inclusive_childcenter_teaching_m</vt:lpstr>
      <vt:lpstr>number_trained_module_intl_ntl_foundations_nonteaching_f</vt:lpstr>
      <vt:lpstr>number_trained_module_intl_ntl_foundations_nonteaching_m</vt:lpstr>
      <vt:lpstr>number_trained_module_intl_ntl_foundations_teaching_f</vt:lpstr>
      <vt:lpstr>number_trained_module_intl_ntl_foundations_teaching_m</vt:lpstr>
      <vt:lpstr>number_trained_module_life_support_nonteaching_f</vt:lpstr>
      <vt:lpstr>number_trained_module_life_support_nonteaching_m</vt:lpstr>
      <vt:lpstr>number_trained_module_life_support_teaching_f</vt:lpstr>
      <vt:lpstr>number_trained_module_life_support_teaching_m</vt:lpstr>
      <vt:lpstr>number_trained_module_mainstream_planning_nonteaching_f</vt:lpstr>
      <vt:lpstr>number_trained_module_mainstream_planning_nonteaching_m</vt:lpstr>
      <vt:lpstr>number_trained_module_mainstream_planning_teaching_f</vt:lpstr>
      <vt:lpstr>number_trained_module_mainstream_planning_teaching_m</vt:lpstr>
      <vt:lpstr>number_trained_module_mhpss_nonteaching_f</vt:lpstr>
      <vt:lpstr>number_trained_module_mhpss_nonteaching_m</vt:lpstr>
      <vt:lpstr>number_trained_module_mhpss_teaching_f</vt:lpstr>
      <vt:lpstr>number_trained_module_mhpss_teaching_m</vt:lpstr>
      <vt:lpstr>number_trained_module_others_nonteaching_f</vt:lpstr>
      <vt:lpstr>number_trained_module_others_nonteaching_m</vt:lpstr>
      <vt:lpstr>number_trained_module_others_specify</vt:lpstr>
      <vt:lpstr>number_trained_module_others_teaching_f</vt:lpstr>
      <vt:lpstr>number_trained_module_others_teaching_m</vt:lpstr>
      <vt:lpstr>number_trained_module_peace_conflict_nonteaching_f</vt:lpstr>
      <vt:lpstr>number_trained_module_peace_conflict_nonteaching_m</vt:lpstr>
      <vt:lpstr>number_trained_module_peace_conflict_teaching_f</vt:lpstr>
      <vt:lpstr>number_trained_module_peace_conflict_teaching_m</vt:lpstr>
      <vt:lpstr>number_trained_module_resource_mobil_nonteaching_f</vt:lpstr>
      <vt:lpstr>number_trained_module_resource_mobil_nonteaching_m</vt:lpstr>
      <vt:lpstr>number_trained_module_resource_mobil_teaching_f</vt:lpstr>
      <vt:lpstr>number_trained_module_resource_mobil_teaching_m</vt:lpstr>
      <vt:lpstr>number_trained_module_schoolbased_nonteaching_f</vt:lpstr>
      <vt:lpstr>number_trained_module_schoolbased_nonteaching_m</vt:lpstr>
      <vt:lpstr>number_trained_module_schoolbased_teaching_f</vt:lpstr>
      <vt:lpstr>number_trained_module_schoolbased_teaching_m</vt:lpstr>
      <vt:lpstr>number_trained_module_sensitive_educ_nonteaching_f</vt:lpstr>
      <vt:lpstr>number_trained_module_sensitive_educ_nonteaching_m</vt:lpstr>
      <vt:lpstr>number_trained_module_sensitive_educ_teaching_f</vt:lpstr>
      <vt:lpstr>number_trained_module_sensitive_educ_teaching_m</vt:lpstr>
      <vt:lpstr>number_trained_module_staff_safety_nonteaching_f</vt:lpstr>
      <vt:lpstr>number_trained_module_staff_safety_nonteaching_m</vt:lpstr>
      <vt:lpstr>number_trained_module_staff_safety_teaching_f</vt:lpstr>
      <vt:lpstr>number_trained_module_staff_safety_teaching_m</vt:lpstr>
      <vt:lpstr>number_trained_module_terminologies_nonteaching_f</vt:lpstr>
      <vt:lpstr>number_trained_module_terminologies_nonteaching_m</vt:lpstr>
      <vt:lpstr>number_trained_module_terminologies_teaching_f</vt:lpstr>
      <vt:lpstr>number_trained_module_terminologies_teaching_m</vt:lpstr>
      <vt:lpstr>number_trained_module_tls_nonteaching_f</vt:lpstr>
      <vt:lpstr>number_trained_module_tls_nonteaching_m</vt:lpstr>
      <vt:lpstr>number_trained_module_tls_teaching_f</vt:lpstr>
      <vt:lpstr>number_trained_module_tls_teaching_m</vt:lpstr>
      <vt:lpstr>number_trained_module_understand_cchange_nonteaching_f</vt:lpstr>
      <vt:lpstr>number_trained_module_understand_cchange_nonteaching_m</vt:lpstr>
      <vt:lpstr>number_trained_module_understand_cchange_teaching_f</vt:lpstr>
      <vt:lpstr>number_trained_module_understand_cchange_teaching_m</vt:lpstr>
      <vt:lpstr>numteach_assign_ap_g10_f</vt:lpstr>
      <vt:lpstr>numteach_assign_ap_g10_m</vt:lpstr>
      <vt:lpstr>numteach_assign_ap_g7_f</vt:lpstr>
      <vt:lpstr>numteach_assign_ap_g7_m</vt:lpstr>
      <vt:lpstr>numteach_assign_ap_g8_f</vt:lpstr>
      <vt:lpstr>numteach_assign_ap_g8_m</vt:lpstr>
      <vt:lpstr>numteach_assign_ap_g9_f</vt:lpstr>
      <vt:lpstr>numteach_assign_ap_g9_m</vt:lpstr>
      <vt:lpstr>numteach_assign_eng_g10_f</vt:lpstr>
      <vt:lpstr>numteach_assign_eng_g10_m</vt:lpstr>
      <vt:lpstr>numteach_assign_eng_g7_f</vt:lpstr>
      <vt:lpstr>numteach_assign_eng_g7_m</vt:lpstr>
      <vt:lpstr>numteach_assign_eng_g8_f</vt:lpstr>
      <vt:lpstr>numteach_assign_eng_g8_m</vt:lpstr>
      <vt:lpstr>numteach_assign_eng_g9_f</vt:lpstr>
      <vt:lpstr>numteach_assign_eng_g9_m</vt:lpstr>
      <vt:lpstr>numteach_assign_esp_g10_f</vt:lpstr>
      <vt:lpstr>numteach_assign_esp_g10_m</vt:lpstr>
      <vt:lpstr>numteach_assign_esp_g7_f</vt:lpstr>
      <vt:lpstr>numteach_assign_esp_g7_m</vt:lpstr>
      <vt:lpstr>numteach_assign_esp_g8_f</vt:lpstr>
      <vt:lpstr>numteach_assign_esp_g8_m</vt:lpstr>
      <vt:lpstr>numteach_assign_esp_g9_f</vt:lpstr>
      <vt:lpstr>numteach_assign_esp_g9_m</vt:lpstr>
      <vt:lpstr>numteach_assign_fil_g10_f</vt:lpstr>
      <vt:lpstr>numteach_assign_fil_g10_m</vt:lpstr>
      <vt:lpstr>numteach_assign_fil_g7_f</vt:lpstr>
      <vt:lpstr>numteach_assign_fil_g7_m</vt:lpstr>
      <vt:lpstr>numteach_assign_fil_g8_f</vt:lpstr>
      <vt:lpstr>numteach_assign_fil_g8_m</vt:lpstr>
      <vt:lpstr>numteach_assign_fil_g9_f</vt:lpstr>
      <vt:lpstr>numteach_assign_fil_g9_m</vt:lpstr>
      <vt:lpstr>numteach_assign_mapeh_g10_f</vt:lpstr>
      <vt:lpstr>numteach_assign_mapeh_g10_m</vt:lpstr>
      <vt:lpstr>numteach_assign_mapeh_g7_f</vt:lpstr>
      <vt:lpstr>numteach_assign_mapeh_g7_m</vt:lpstr>
      <vt:lpstr>numteach_assign_mapeh_g8_f</vt:lpstr>
      <vt:lpstr>numteach_assign_mapeh_g8_m</vt:lpstr>
      <vt:lpstr>numteach_assign_mapeh_g9_f</vt:lpstr>
      <vt:lpstr>numteach_assign_mapeh_g9_m</vt:lpstr>
      <vt:lpstr>numteach_assign_math_g10_f</vt:lpstr>
      <vt:lpstr>numteach_assign_math_g10_m</vt:lpstr>
      <vt:lpstr>numteach_assign_math_g7_f</vt:lpstr>
      <vt:lpstr>numteach_assign_math_g7_m</vt:lpstr>
      <vt:lpstr>numteach_assign_math_g8_f</vt:lpstr>
      <vt:lpstr>numteach_assign_math_g8_m</vt:lpstr>
      <vt:lpstr>numteach_assign_math_g9_f</vt:lpstr>
      <vt:lpstr>numteach_assign_math_g9_m</vt:lpstr>
      <vt:lpstr>numteach_assign_sci_g10_f</vt:lpstr>
      <vt:lpstr>numteach_assign_sci_g10_m</vt:lpstr>
      <vt:lpstr>numteach_assign_sci_g7_f</vt:lpstr>
      <vt:lpstr>numteach_assign_sci_g7_m</vt:lpstr>
      <vt:lpstr>numteach_assign_sci_g8_f</vt:lpstr>
      <vt:lpstr>numteach_assign_sci_g8_m</vt:lpstr>
      <vt:lpstr>numteach_assign_sci_g9_f</vt:lpstr>
      <vt:lpstr>numteach_assign_sci_g9_m</vt:lpstr>
      <vt:lpstr>numteach_assign_shs_subj_g11_f</vt:lpstr>
      <vt:lpstr>numteach_assign_shs_subj_g11_m</vt:lpstr>
      <vt:lpstr>numteach_assign_shs_subj_g12_f</vt:lpstr>
      <vt:lpstr>numteach_assign_shs_subj_g12_m</vt:lpstr>
      <vt:lpstr>numteach_assign_tle_g10_f</vt:lpstr>
      <vt:lpstr>numteach_assign_tle_g10_m</vt:lpstr>
      <vt:lpstr>numteach_assign_tle_g7_f</vt:lpstr>
      <vt:lpstr>numteach_assign_tle_g7_m</vt:lpstr>
      <vt:lpstr>numteach_assign_tle_g8_f</vt:lpstr>
      <vt:lpstr>numteach_assign_tle_g8_m</vt:lpstr>
      <vt:lpstr>numteach_assign_tle_g9_f</vt:lpstr>
      <vt:lpstr>numteach_assign_tle_g9_m</vt:lpstr>
      <vt:lpstr>numteach_highest_educ_attainment_bachelor_f</vt:lpstr>
      <vt:lpstr>numteach_highest_educ_attainment_bachelor_m</vt:lpstr>
      <vt:lpstr>numteach_highest_educ_attainment_doctor_f</vt:lpstr>
      <vt:lpstr>numteach_highest_educ_attainment_doctor_m</vt:lpstr>
      <vt:lpstr>numteach_highest_educ_attainment_doctor_units_f</vt:lpstr>
      <vt:lpstr>numteach_highest_educ_attainment_doctor_units_m</vt:lpstr>
      <vt:lpstr>numteach_highest_educ_attainment_master_f</vt:lpstr>
      <vt:lpstr>numteach_highest_educ_attainment_master_m</vt:lpstr>
      <vt:lpstr>numteach_highest_educ_attainment_master_units_f</vt:lpstr>
      <vt:lpstr>numteach_highest_educ_attainment_master_units_m</vt:lpstr>
      <vt:lpstr>oer_developed_locally_original_1st_g10</vt:lpstr>
      <vt:lpstr>oer_developed_locally_original_1st_g7</vt:lpstr>
      <vt:lpstr>oer_developed_locally_original_1st_g8</vt:lpstr>
      <vt:lpstr>oer_developed_locally_original_1st_g9</vt:lpstr>
      <vt:lpstr>oer_developed_locally_original_2nd_g10</vt:lpstr>
      <vt:lpstr>oer_developed_locally_original_2nd_g7</vt:lpstr>
      <vt:lpstr>oer_developed_locally_original_2nd_g8</vt:lpstr>
      <vt:lpstr>oer_developed_locally_original_2nd_g9</vt:lpstr>
      <vt:lpstr>oer_developed_locally_original_3rd_g10</vt:lpstr>
      <vt:lpstr>oer_developed_locally_original_3rd_g7</vt:lpstr>
      <vt:lpstr>oer_developed_locally_original_3rd_g8</vt:lpstr>
      <vt:lpstr>oer_developed_locally_original_3rd_g9</vt:lpstr>
      <vt:lpstr>oer_developed_locally_original_4th_g10</vt:lpstr>
      <vt:lpstr>oer_developed_locally_original_4th_g7</vt:lpstr>
      <vt:lpstr>oer_developed_locally_original_4th_g8</vt:lpstr>
      <vt:lpstr>oer_developed_locally_original_4th_g9</vt:lpstr>
      <vt:lpstr>oer_developed_locally_reuse_1st_g10</vt:lpstr>
      <vt:lpstr>oer_developed_locally_reuse_1st_g7</vt:lpstr>
      <vt:lpstr>oer_developed_locally_reuse_1st_g8</vt:lpstr>
      <vt:lpstr>oer_developed_locally_reuse_1st_g9</vt:lpstr>
      <vt:lpstr>oer_developed_locally_reuse_2nd_g10</vt:lpstr>
      <vt:lpstr>oer_developed_locally_reuse_2nd_g7</vt:lpstr>
      <vt:lpstr>oer_developed_locally_reuse_2nd_g8</vt:lpstr>
      <vt:lpstr>oer_developed_locally_reuse_2nd_g9</vt:lpstr>
      <vt:lpstr>oer_developed_locally_reuse_3rd_g10</vt:lpstr>
      <vt:lpstr>oer_developed_locally_reuse_3rd_g7</vt:lpstr>
      <vt:lpstr>oer_developed_locally_reuse_3rd_g8</vt:lpstr>
      <vt:lpstr>oer_developed_locally_reuse_3rd_g9</vt:lpstr>
      <vt:lpstr>oer_developed_locally_reuse_4th_g10</vt:lpstr>
      <vt:lpstr>oer_developed_locally_reuse_4th_g7</vt:lpstr>
      <vt:lpstr>oer_developed_locally_reuse_4th_g8</vt:lpstr>
      <vt:lpstr>oer_developed_locally_reuse_4th_g9</vt:lpstr>
      <vt:lpstr>opmaintsanitfac_sanitfacclean_atleast_twice_wk</vt:lpstr>
      <vt:lpstr>opmaintsanitfac_sanitfacclean_daily</vt:lpstr>
      <vt:lpstr>opmaintsanitfac_sanitfacclean_less_once_wk</vt:lpstr>
      <vt:lpstr>opmaintsanitfac_sanitfacclean_once_wk</vt:lpstr>
      <vt:lpstr>opmaintsanitfac_sanitfacclean_pay_mthly_bills_canteen</vt:lpstr>
      <vt:lpstr>opmaintsanitfac_sanitfacclean_pay_mthly_bills_lgu</vt:lpstr>
      <vt:lpstr>opmaintsanitfac_sanitfacclean_pay_mthly_bills_others</vt:lpstr>
      <vt:lpstr>opmaintsanitfac_sanitfacclean_pay_mthly_bills_private</vt:lpstr>
      <vt:lpstr>opmaintsanitfac_sanitfacclean_pay_mthly_bills_pta</vt:lpstr>
      <vt:lpstr>opmaintsanitfac_sanitfacclean_pay_mthly_bills_schmooe</vt:lpstr>
      <vt:lpstr>partners_mobilized_peacbuilding</vt:lpstr>
      <vt:lpstr>personnel_mobilized_female_afterdisaster</vt:lpstr>
      <vt:lpstr>personnel_mobilized_male_afterdisaster</vt:lpstr>
      <vt:lpstr>personnel_nonteach_accountant1_actual_f</vt:lpstr>
      <vt:lpstr>personnel_nonteach_accountant1_actual_m</vt:lpstr>
      <vt:lpstr>personnel_nonteach_accountant1_borrowed_f</vt:lpstr>
      <vt:lpstr>personnel_nonteach_accountant1_borrowed_m</vt:lpstr>
      <vt:lpstr>personnel_nonteach_accountant1_detailed_es</vt:lpstr>
      <vt:lpstr>personnel_nonteach_accountant1_detailed_hs</vt:lpstr>
      <vt:lpstr>personnel_nonteach_accountant1_detailed_outdiv</vt:lpstr>
      <vt:lpstr>personnel_nonteach_accountant1_onleave</vt:lpstr>
      <vt:lpstr>personnel_nonteach_accountant1_psipop</vt:lpstr>
      <vt:lpstr>personnel_nonteach_accountant1_vacant</vt:lpstr>
      <vt:lpstr>personnel_nonteach_adminaide6_actual_f</vt:lpstr>
      <vt:lpstr>personnel_nonteach_adminaide6_actual_m</vt:lpstr>
      <vt:lpstr>personnel_nonteach_adminaide6_borrowed_f</vt:lpstr>
      <vt:lpstr>personnel_nonteach_adminaide6_borrowed_m</vt:lpstr>
      <vt:lpstr>personnel_nonteach_adminaide6_detailed_es</vt:lpstr>
      <vt:lpstr>personnel_nonteach_adminaide6_detailed_hs</vt:lpstr>
      <vt:lpstr>personnel_nonteach_adminaide6_detailed_outdiv</vt:lpstr>
      <vt:lpstr>personnel_nonteach_adminaide6_onleave</vt:lpstr>
      <vt:lpstr>personnel_nonteach_adminaide6_psipop</vt:lpstr>
      <vt:lpstr>personnel_nonteach_adminaide6_vacant</vt:lpstr>
      <vt:lpstr>personnel_nonteach_adminofcr4_actual_f</vt:lpstr>
      <vt:lpstr>personnel_nonteach_adminofcr4_actual_m</vt:lpstr>
      <vt:lpstr>personnel_nonteach_adminofcr4_borrowed_f</vt:lpstr>
      <vt:lpstr>personnel_nonteach_adminofcr4_borrowed_m</vt:lpstr>
      <vt:lpstr>personnel_nonteach_adminofcr4_detailed_es</vt:lpstr>
      <vt:lpstr>personnel_nonteach_adminofcr4_detailed_hs</vt:lpstr>
      <vt:lpstr>personnel_nonteach_adminofcr4_detailed_outdiv</vt:lpstr>
      <vt:lpstr>personnel_nonteach_adminofcr4_onleave</vt:lpstr>
      <vt:lpstr>personnel_nonteach_adminofcr4_psipop</vt:lpstr>
      <vt:lpstr>personnel_nonteach_adminofcr4_vacant</vt:lpstr>
      <vt:lpstr>personnel_nonteach_ap1_actual_f</vt:lpstr>
      <vt:lpstr>personnel_nonteach_ap1_actual_m</vt:lpstr>
      <vt:lpstr>personnel_nonteach_ap1_borrowed_f</vt:lpstr>
      <vt:lpstr>personnel_nonteach_ap1_borrowed_m</vt:lpstr>
      <vt:lpstr>personnel_nonteach_ap1_detailed_es</vt:lpstr>
      <vt:lpstr>personnel_nonteach_ap1_detailed_hs</vt:lpstr>
      <vt:lpstr>personnel_nonteach_ap1_detailed_outdiv</vt:lpstr>
      <vt:lpstr>personnel_nonteach_ap1_onleave</vt:lpstr>
      <vt:lpstr>personnel_nonteach_ap1_psipop</vt:lpstr>
      <vt:lpstr>personnel_nonteach_ap1_vacant</vt:lpstr>
      <vt:lpstr>personnel_nonteach_ap2_actual_f</vt:lpstr>
      <vt:lpstr>personnel_nonteach_ap2_actual_m</vt:lpstr>
      <vt:lpstr>personnel_nonteach_ap2_borrowed_f</vt:lpstr>
      <vt:lpstr>personnel_nonteach_ap2_borrowed_m</vt:lpstr>
      <vt:lpstr>personnel_nonteach_ap2_detailed_es</vt:lpstr>
      <vt:lpstr>personnel_nonteach_ap2_detailed_hs</vt:lpstr>
      <vt:lpstr>personnel_nonteach_ap2_detailed_outdiv</vt:lpstr>
      <vt:lpstr>personnel_nonteach_ap2_onleave</vt:lpstr>
      <vt:lpstr>personnel_nonteach_ap2_psipop</vt:lpstr>
      <vt:lpstr>personnel_nonteach_ap2_vacant</vt:lpstr>
      <vt:lpstr>personnel_nonteach_ap3_actual_f</vt:lpstr>
      <vt:lpstr>personnel_nonteach_ap3_actual_m</vt:lpstr>
      <vt:lpstr>personnel_nonteach_ap3_borrowed_f</vt:lpstr>
      <vt:lpstr>personnel_nonteach_ap3_borrowed_m</vt:lpstr>
      <vt:lpstr>personnel_nonteach_ap3_detailed_es</vt:lpstr>
      <vt:lpstr>personnel_nonteach_ap3_detailed_hs</vt:lpstr>
      <vt:lpstr>personnel_nonteach_ap3_detailed_outdiv</vt:lpstr>
      <vt:lpstr>personnel_nonteach_ap3_onleave</vt:lpstr>
      <vt:lpstr>personnel_nonteach_ap3_psipop</vt:lpstr>
      <vt:lpstr>personnel_nonteach_ap3_vacant</vt:lpstr>
      <vt:lpstr>personnel_nonteach_bkkeeper_actual_f</vt:lpstr>
      <vt:lpstr>personnel_nonteach_bkkeeper_actual_m</vt:lpstr>
      <vt:lpstr>personnel_nonteach_bkkeeper_borrowed_f</vt:lpstr>
      <vt:lpstr>personnel_nonteach_bkkeeper_borrowed_m</vt:lpstr>
      <vt:lpstr>personnel_nonteach_bkkeeper_detailed_es</vt:lpstr>
      <vt:lpstr>personnel_nonteach_bkkeeper_detailed_hs</vt:lpstr>
      <vt:lpstr>personnel_nonteach_bkkeeper_detailed_outdiv</vt:lpstr>
      <vt:lpstr>personnel_nonteach_bkkeeper_onleave</vt:lpstr>
      <vt:lpstr>personnel_nonteach_bkkeeper_psipop</vt:lpstr>
      <vt:lpstr>personnel_nonteach_bkkeeper_vacant</vt:lpstr>
      <vt:lpstr>personnel_nonteach_cashier1_actual_f</vt:lpstr>
      <vt:lpstr>personnel_nonteach_cashier1_actual_m</vt:lpstr>
      <vt:lpstr>personnel_nonteach_cashier1_borrowed_f</vt:lpstr>
      <vt:lpstr>personnel_nonteach_cashier1_borrowed_m</vt:lpstr>
      <vt:lpstr>personnel_nonteach_cashier1_detailed_es</vt:lpstr>
      <vt:lpstr>personnel_nonteach_cashier1_detailed_hs</vt:lpstr>
      <vt:lpstr>personnel_nonteach_cashier1_detailed_outdiv</vt:lpstr>
      <vt:lpstr>personnel_nonteach_cashier1_onleave</vt:lpstr>
      <vt:lpstr>personnel_nonteach_cashier1_psipop</vt:lpstr>
      <vt:lpstr>personnel_nonteach_cashier1_vacant</vt:lpstr>
      <vt:lpstr>personnel_nonteach_disbursingofcr1_actual_f</vt:lpstr>
      <vt:lpstr>personnel_nonteach_disbursingofcr1_actual_m</vt:lpstr>
      <vt:lpstr>personnel_nonteach_disbursingofcr1_borrowed_f</vt:lpstr>
      <vt:lpstr>personnel_nonteach_disbursingofcr1_borrowed_m</vt:lpstr>
      <vt:lpstr>personnel_nonteach_disbursingofcr1_detailed_es</vt:lpstr>
      <vt:lpstr>personnel_nonteach_disbursingofcr1_detailed_hs</vt:lpstr>
      <vt:lpstr>personnel_nonteach_disbursingofcr1_detailed_outdiv</vt:lpstr>
      <vt:lpstr>personnel_nonteach_disbursingofcr1_onleave</vt:lpstr>
      <vt:lpstr>personnel_nonteach_disbursingofcr1_psipop</vt:lpstr>
      <vt:lpstr>personnel_nonteach_disbursingofcr1_vacant</vt:lpstr>
      <vt:lpstr>personnel_nonteach_disbursingofcr2_actual_f</vt:lpstr>
      <vt:lpstr>personnel_nonteach_disbursingofcr2_actual_m</vt:lpstr>
      <vt:lpstr>personnel_nonteach_disbursingofcr2_borrowed_f</vt:lpstr>
      <vt:lpstr>personnel_nonteach_disbursingofcr2_borrowed_m</vt:lpstr>
      <vt:lpstr>personnel_nonteach_disbursingofcr2_detailed_es</vt:lpstr>
      <vt:lpstr>personnel_nonteach_disbursingofcr2_detailed_hs</vt:lpstr>
      <vt:lpstr>personnel_nonteach_disbursingofcr2_detailed_outdiv</vt:lpstr>
      <vt:lpstr>personnel_nonteach_disbursingofcr2_onleave</vt:lpstr>
      <vt:lpstr>personnel_nonteach_disbursingofcr2_psipop</vt:lpstr>
      <vt:lpstr>personnel_nonteach_disbursingofcr2_vacant</vt:lpstr>
      <vt:lpstr>personnel_nonteach_driver_actual_f</vt:lpstr>
      <vt:lpstr>personnel_nonteach_driver_actual_m</vt:lpstr>
      <vt:lpstr>personnel_nonteach_driver_borrowed_f</vt:lpstr>
      <vt:lpstr>personnel_nonteach_driver_borrowed_m</vt:lpstr>
      <vt:lpstr>personnel_nonteach_driver_detailed_es</vt:lpstr>
      <vt:lpstr>personnel_nonteach_driver_detailed_hs</vt:lpstr>
      <vt:lpstr>personnel_nonteach_driver_detailed_outdiv</vt:lpstr>
      <vt:lpstr>personnel_nonteach_driver_onleave</vt:lpstr>
      <vt:lpstr>personnel_nonteach_driver_psipop</vt:lpstr>
      <vt:lpstr>personnel_nonteach_driver_vacant</vt:lpstr>
      <vt:lpstr>personnel_nonteach_guidancecoor1_actual_f</vt:lpstr>
      <vt:lpstr>personnel_nonteach_guidancecoor1_actual_m</vt:lpstr>
      <vt:lpstr>personnel_nonteach_guidancecoor1_borrowed_f</vt:lpstr>
      <vt:lpstr>personnel_nonteach_guidancecoor1_borrowed_m</vt:lpstr>
      <vt:lpstr>personnel_nonteach_guidancecoor1_detailed_es</vt:lpstr>
      <vt:lpstr>personnel_nonteach_guidancecoor1_detailed_hs</vt:lpstr>
      <vt:lpstr>personnel_nonteach_guidancecoor1_detailed_outdiv</vt:lpstr>
      <vt:lpstr>personnel_nonteach_guidancecoor1_onleave</vt:lpstr>
      <vt:lpstr>personnel_nonteach_guidancecoor1_psipop</vt:lpstr>
      <vt:lpstr>personnel_nonteach_guidancecoor1_vacant</vt:lpstr>
      <vt:lpstr>personnel_nonteach_guidancecoor2_actual_f</vt:lpstr>
      <vt:lpstr>personnel_nonteach_guidancecoor2_actual_m</vt:lpstr>
      <vt:lpstr>personnel_nonteach_guidancecoor2_borrowed_f</vt:lpstr>
      <vt:lpstr>personnel_nonteach_guidancecoor2_borrowed_m</vt:lpstr>
      <vt:lpstr>personnel_nonteach_guidancecoor2_detailed_es</vt:lpstr>
      <vt:lpstr>personnel_nonteach_guidancecoor2_detailed_hs</vt:lpstr>
      <vt:lpstr>personnel_nonteach_guidancecoor2_detailed_outdiv</vt:lpstr>
      <vt:lpstr>personnel_nonteach_guidancecoor2_onleave</vt:lpstr>
      <vt:lpstr>personnel_nonteach_guidancecoor2_psipop</vt:lpstr>
      <vt:lpstr>personnel_nonteach_guidancecoor2_vacant</vt:lpstr>
      <vt:lpstr>personnel_nonteach_guidancecoor3_actual_f</vt:lpstr>
      <vt:lpstr>personnel_nonteach_guidancecoor3_actual_m</vt:lpstr>
      <vt:lpstr>personnel_nonteach_guidancecoor3_borrowed_f</vt:lpstr>
      <vt:lpstr>personnel_nonteach_guidancecoor3_borrowed_m</vt:lpstr>
      <vt:lpstr>personnel_nonteach_guidancecoor3_detailed_es</vt:lpstr>
      <vt:lpstr>personnel_nonteach_guidancecoor3_detailed_hs</vt:lpstr>
      <vt:lpstr>personnel_nonteach_guidancecoor3_detailed_outdiv</vt:lpstr>
      <vt:lpstr>personnel_nonteach_guidancecoor3_onleave</vt:lpstr>
      <vt:lpstr>personnel_nonteach_guidancecoor3_psipop</vt:lpstr>
      <vt:lpstr>personnel_nonteach_guidancecoor3_vacant</vt:lpstr>
      <vt:lpstr>personnel_nonteach_guidancecounsel1_actual_f</vt:lpstr>
      <vt:lpstr>personnel_nonteach_guidancecounsel1_actual_m</vt:lpstr>
      <vt:lpstr>personnel_nonteach_guidancecounsel1_borrowed_f</vt:lpstr>
      <vt:lpstr>personnel_nonteach_guidancecounsel1_borrowed_m</vt:lpstr>
      <vt:lpstr>personnel_nonteach_guidancecounsel1_detailed_es</vt:lpstr>
      <vt:lpstr>personnel_nonteach_guidancecounsel1_detailed_hs</vt:lpstr>
      <vt:lpstr>personnel_nonteach_guidancecounsel1_detailed_outdiv</vt:lpstr>
      <vt:lpstr>personnel_nonteach_guidancecounsel1_onleave</vt:lpstr>
      <vt:lpstr>personnel_nonteach_guidancecounsel1_psipop</vt:lpstr>
      <vt:lpstr>personnel_nonteach_guidancecounsel1_vacant</vt:lpstr>
      <vt:lpstr>personnel_nonteach_guidancecounsel2_actual_f</vt:lpstr>
      <vt:lpstr>personnel_nonteach_guidancecounsel2_actual_m</vt:lpstr>
      <vt:lpstr>personnel_nonteach_guidancecounsel2_borrowed_f</vt:lpstr>
      <vt:lpstr>personnel_nonteach_guidancecounsel2_borrowed_m</vt:lpstr>
      <vt:lpstr>personnel_nonteach_guidancecounsel2_detailed_es</vt:lpstr>
      <vt:lpstr>personnel_nonteach_guidancecounsel2_detailed_hs</vt:lpstr>
      <vt:lpstr>personnel_nonteach_guidancecounsel2_detailed_outdiv</vt:lpstr>
      <vt:lpstr>personnel_nonteach_guidancecounsel2_onleave</vt:lpstr>
      <vt:lpstr>personnel_nonteach_guidancecounsel2_psipop</vt:lpstr>
      <vt:lpstr>personnel_nonteach_guidancecounsel2_vacant</vt:lpstr>
      <vt:lpstr>personnel_nonteach_guidancecounsel3_actual_f</vt:lpstr>
      <vt:lpstr>personnel_nonteach_guidancecounsel3_actual_m</vt:lpstr>
      <vt:lpstr>personnel_nonteach_guidancecounsel3_borrowed_f</vt:lpstr>
      <vt:lpstr>personnel_nonteach_guidancecounsel3_borrowed_m</vt:lpstr>
      <vt:lpstr>personnel_nonteach_guidancecounsel3_detailed_es</vt:lpstr>
      <vt:lpstr>personnel_nonteach_guidancecounsel3_detailed_hs</vt:lpstr>
      <vt:lpstr>personnel_nonteach_guidancecounsel3_detailed_outdiv</vt:lpstr>
      <vt:lpstr>personnel_nonteach_guidancecounsel3_onleave</vt:lpstr>
      <vt:lpstr>personnel_nonteach_guidancecounsel3_psipop</vt:lpstr>
      <vt:lpstr>personnel_nonteach_guidancecounsel3_vacant</vt:lpstr>
      <vt:lpstr>personnel_nonteach_heavyequipment_actual_f</vt:lpstr>
      <vt:lpstr>personnel_nonteach_heavyequipment_actual_m</vt:lpstr>
      <vt:lpstr>personnel_nonteach_heavyequipment_borrowed_f</vt:lpstr>
      <vt:lpstr>personnel_nonteach_heavyequipment_borrowed_m</vt:lpstr>
      <vt:lpstr>personnel_nonteach_heavyequipment_detailed_es</vt:lpstr>
      <vt:lpstr>personnel_nonteach_heavyequipment_detailed_hs</vt:lpstr>
      <vt:lpstr>personnel_nonteach_heavyequipment_detailed_outdiv</vt:lpstr>
      <vt:lpstr>personnel_nonteach_heavyequipment_onleave</vt:lpstr>
      <vt:lpstr>personnel_nonteach_heavyequipment_psipop</vt:lpstr>
      <vt:lpstr>personnel_nonteach_heavyequipment_vacant</vt:lpstr>
      <vt:lpstr>personnel_nonteach_ht1_actual_f</vt:lpstr>
      <vt:lpstr>personnel_nonteach_ht1_actual_m</vt:lpstr>
      <vt:lpstr>personnel_nonteach_ht1_borrowed_f</vt:lpstr>
      <vt:lpstr>personnel_nonteach_ht1_borrowed_m</vt:lpstr>
      <vt:lpstr>personnel_nonteach_ht1_detailed_es</vt:lpstr>
      <vt:lpstr>personnel_nonteach_ht1_detailed_hs</vt:lpstr>
      <vt:lpstr>personnel_nonteach_ht1_detailed_outdiv</vt:lpstr>
      <vt:lpstr>personnel_nonteach_ht1_onleave</vt:lpstr>
      <vt:lpstr>personnel_nonteach_ht1_psipop</vt:lpstr>
      <vt:lpstr>personnel_nonteach_ht1_vacant</vt:lpstr>
      <vt:lpstr>personnel_nonteach_ht2_actual_f</vt:lpstr>
      <vt:lpstr>personnel_nonteach_ht2_actual_m</vt:lpstr>
      <vt:lpstr>personnel_nonteach_ht2_borrowed_f</vt:lpstr>
      <vt:lpstr>personnel_nonteach_ht2_borrowed_m</vt:lpstr>
      <vt:lpstr>personnel_nonteach_ht2_detailed_es</vt:lpstr>
      <vt:lpstr>personnel_nonteach_ht2_detailed_hs</vt:lpstr>
      <vt:lpstr>personnel_nonteach_ht2_detailed_outdiv</vt:lpstr>
      <vt:lpstr>personnel_nonteach_ht2_onleave</vt:lpstr>
      <vt:lpstr>personnel_nonteach_ht2_psipop</vt:lpstr>
      <vt:lpstr>personnel_nonteach_ht2_vacant</vt:lpstr>
      <vt:lpstr>personnel_nonteach_ht3_actual_f</vt:lpstr>
      <vt:lpstr>personnel_nonteach_ht3_actual_m</vt:lpstr>
      <vt:lpstr>personnel_nonteach_ht3_borrowed_f</vt:lpstr>
      <vt:lpstr>personnel_nonteach_ht3_borrowed_m</vt:lpstr>
      <vt:lpstr>personnel_nonteach_ht3_detailed_es</vt:lpstr>
      <vt:lpstr>personnel_nonteach_ht3_detailed_hs</vt:lpstr>
      <vt:lpstr>personnel_nonteach_ht3_detailed_outdiv</vt:lpstr>
      <vt:lpstr>personnel_nonteach_ht3_onleave</vt:lpstr>
      <vt:lpstr>personnel_nonteach_ht3_psipop</vt:lpstr>
      <vt:lpstr>personnel_nonteach_ht3_vacant</vt:lpstr>
      <vt:lpstr>personnel_nonteach_ht4_actual_f</vt:lpstr>
      <vt:lpstr>personnel_nonteach_ht4_actual_m</vt:lpstr>
      <vt:lpstr>personnel_nonteach_ht4_borrowed_f</vt:lpstr>
      <vt:lpstr>personnel_nonteach_ht4_borrowed_m</vt:lpstr>
      <vt:lpstr>personnel_nonteach_ht4_detailed_es</vt:lpstr>
      <vt:lpstr>personnel_nonteach_ht4_detailed_hs</vt:lpstr>
      <vt:lpstr>personnel_nonteach_ht4_detailed_outdiv</vt:lpstr>
      <vt:lpstr>personnel_nonteach_ht4_onleave</vt:lpstr>
      <vt:lpstr>personnel_nonteach_ht4_psipop</vt:lpstr>
      <vt:lpstr>personnel_nonteach_ht4_vacant</vt:lpstr>
      <vt:lpstr>personnel_nonteach_ht5_actual_f</vt:lpstr>
      <vt:lpstr>personnel_nonteach_ht5_actual_m</vt:lpstr>
      <vt:lpstr>personnel_nonteach_ht5_borrowed_f</vt:lpstr>
      <vt:lpstr>personnel_nonteach_ht5_borrowed_m</vt:lpstr>
      <vt:lpstr>personnel_nonteach_ht5_detailed_es</vt:lpstr>
      <vt:lpstr>personnel_nonteach_ht5_detailed_hs</vt:lpstr>
      <vt:lpstr>personnel_nonteach_ht5_detailed_outdiv</vt:lpstr>
      <vt:lpstr>personnel_nonteach_ht5_onleave</vt:lpstr>
      <vt:lpstr>personnel_nonteach_ht5_psipop</vt:lpstr>
      <vt:lpstr>personnel_nonteach_ht5_vacant</vt:lpstr>
      <vt:lpstr>personnel_nonteach_ht6_actual_f</vt:lpstr>
      <vt:lpstr>personnel_nonteach_ht6_actual_m</vt:lpstr>
      <vt:lpstr>personnel_nonteach_ht6_borrowed_f</vt:lpstr>
      <vt:lpstr>personnel_nonteach_ht6_borrowed_m</vt:lpstr>
      <vt:lpstr>personnel_nonteach_ht6_detailed_es</vt:lpstr>
      <vt:lpstr>personnel_nonteach_ht6_detailed_hs</vt:lpstr>
      <vt:lpstr>personnel_nonteach_ht6_detailed_outdiv</vt:lpstr>
      <vt:lpstr>personnel_nonteach_ht6_onleave</vt:lpstr>
      <vt:lpstr>personnel_nonteach_ht6_psipop</vt:lpstr>
      <vt:lpstr>personnel_nonteach_ht6_vacant</vt:lpstr>
      <vt:lpstr>personnel_nonteach_lightequip_operator_actual_f</vt:lpstr>
      <vt:lpstr>personnel_nonteach_lightequip_operator_actual_m</vt:lpstr>
      <vt:lpstr>personnel_nonteach_lightequip_operator_borrowed_f</vt:lpstr>
      <vt:lpstr>personnel_nonteach_lightequip_operator_borrowed_m</vt:lpstr>
      <vt:lpstr>personnel_nonteach_lightequip_operator_detailed_es</vt:lpstr>
      <vt:lpstr>personnel_nonteach_lightequip_operator_detailed_hs</vt:lpstr>
      <vt:lpstr>personnel_nonteach_lightequip_operator_detailed_outdiv</vt:lpstr>
      <vt:lpstr>personnel_nonteach_lightequip_operator_onleave</vt:lpstr>
      <vt:lpstr>personnel_nonteach_lightequip_operator_psipop</vt:lpstr>
      <vt:lpstr>personnel_nonteach_lightequip_operator_vacant</vt:lpstr>
      <vt:lpstr>personnel_nonteach_schlibrarian1_actual_f</vt:lpstr>
      <vt:lpstr>personnel_nonteach_schlibrarian1_actual_m</vt:lpstr>
      <vt:lpstr>personnel_nonteach_schlibrarian1_borrowed_f</vt:lpstr>
      <vt:lpstr>personnel_nonteach_schlibrarian1_borrowed_m</vt:lpstr>
      <vt:lpstr>personnel_nonteach_schlibrarian1_detailed_es</vt:lpstr>
      <vt:lpstr>personnel_nonteach_schlibrarian1_detailed_hs</vt:lpstr>
      <vt:lpstr>personnel_nonteach_schlibrarian1_detailed_outdiv</vt:lpstr>
      <vt:lpstr>personnel_nonteach_schlibrarian1_onleave</vt:lpstr>
      <vt:lpstr>personnel_nonteach_schlibrarian1_psipop</vt:lpstr>
      <vt:lpstr>personnel_nonteach_schlibrarian1_vacant</vt:lpstr>
      <vt:lpstr>personnel_nonteach_schlibrarian2_actual_f</vt:lpstr>
      <vt:lpstr>personnel_nonteach_schlibrarian2_actual_m</vt:lpstr>
      <vt:lpstr>personnel_nonteach_schlibrarian2_borrowed_f</vt:lpstr>
      <vt:lpstr>personnel_nonteach_schlibrarian2_borrowed_m</vt:lpstr>
      <vt:lpstr>personnel_nonteach_schlibrarian2_detailed_es</vt:lpstr>
      <vt:lpstr>personnel_nonteach_schlibrarian2_detailed_hs</vt:lpstr>
      <vt:lpstr>personnel_nonteach_schlibrarian2_detailed_outdiv</vt:lpstr>
      <vt:lpstr>personnel_nonteach_schlibrarian2_onleave</vt:lpstr>
      <vt:lpstr>personnel_nonteach_schlibrarian2_psipop</vt:lpstr>
      <vt:lpstr>personnel_nonteach_schlibrarian2_vacant</vt:lpstr>
      <vt:lpstr>personnel_nonteach_schlibrarian3_actual_f</vt:lpstr>
      <vt:lpstr>personnel_nonteach_schlibrarian3_actual_m</vt:lpstr>
      <vt:lpstr>personnel_nonteach_schlibrarian3_borrowed_f</vt:lpstr>
      <vt:lpstr>personnel_nonteach_schlibrarian3_borrowed_m</vt:lpstr>
      <vt:lpstr>personnel_nonteach_schlibrarian3_detailed_es</vt:lpstr>
      <vt:lpstr>personnel_nonteach_schlibrarian3_detailed_hs</vt:lpstr>
      <vt:lpstr>personnel_nonteach_schlibrarian3_detailed_outdiv</vt:lpstr>
      <vt:lpstr>personnel_nonteach_schlibrarian3_onleave</vt:lpstr>
      <vt:lpstr>personnel_nonteach_schlibrarian3_psipop</vt:lpstr>
      <vt:lpstr>personnel_nonteach_schlibrarian3_vacant</vt:lpstr>
      <vt:lpstr>personnel_nonteach_security_guard_actual_f</vt:lpstr>
      <vt:lpstr>personnel_nonteach_security_guard_actual_m</vt:lpstr>
      <vt:lpstr>personnel_nonteach_security_guard_borrowed_f</vt:lpstr>
      <vt:lpstr>personnel_nonteach_security_guard_borrowed_m</vt:lpstr>
      <vt:lpstr>personnel_nonteach_security_guard_detailed_es</vt:lpstr>
      <vt:lpstr>personnel_nonteach_security_guard_detailed_hs</vt:lpstr>
      <vt:lpstr>personnel_nonteach_security_guard_detailed_outdiv</vt:lpstr>
      <vt:lpstr>personnel_nonteach_security_guard_onleave</vt:lpstr>
      <vt:lpstr>personnel_nonteach_security_guard_psipop</vt:lpstr>
      <vt:lpstr>personnel_nonteach_security_guard_vacant</vt:lpstr>
      <vt:lpstr>personnel_nonteach_seniorbk_actual_f</vt:lpstr>
      <vt:lpstr>personnel_nonteach_seniorbk_actual_m</vt:lpstr>
      <vt:lpstr>personnel_nonteach_seniorbk_borrowed_f</vt:lpstr>
      <vt:lpstr>personnel_nonteach_seniorbk_borrowed_m</vt:lpstr>
      <vt:lpstr>personnel_nonteach_seniorbk_detailed_es</vt:lpstr>
      <vt:lpstr>personnel_nonteach_seniorbk_detailed_hs</vt:lpstr>
      <vt:lpstr>personnel_nonteach_seniorbk_detailed_outdiv</vt:lpstr>
      <vt:lpstr>personnel_nonteach_seniorbk_onleave</vt:lpstr>
      <vt:lpstr>personnel_nonteach_seniorbk_psipop</vt:lpstr>
      <vt:lpstr>personnel_nonteach_seniorbk_vacant</vt:lpstr>
      <vt:lpstr>personnel_nonteach_sp1_actual_f</vt:lpstr>
      <vt:lpstr>personnel_nonteach_sp1_actual_m</vt:lpstr>
      <vt:lpstr>personnel_nonteach_sp1_borrowed_f</vt:lpstr>
      <vt:lpstr>personnel_nonteach_sp1_borrowed_m</vt:lpstr>
      <vt:lpstr>personnel_nonteach_sp1_detailed_es</vt:lpstr>
      <vt:lpstr>personnel_nonteach_sp1_detailed_hs</vt:lpstr>
      <vt:lpstr>personnel_nonteach_sp1_detailed_outdiv</vt:lpstr>
      <vt:lpstr>personnel_nonteach_sp1_onleave</vt:lpstr>
      <vt:lpstr>personnel_nonteach_sp1_psipop</vt:lpstr>
      <vt:lpstr>personnel_nonteach_sp1_vacant</vt:lpstr>
      <vt:lpstr>personnel_nonteach_sp2_actual_f</vt:lpstr>
      <vt:lpstr>personnel_nonteach_sp2_actual_m</vt:lpstr>
      <vt:lpstr>personnel_nonteach_sp2_borrowed_f</vt:lpstr>
      <vt:lpstr>personnel_nonteach_sp2_borrowed_m</vt:lpstr>
      <vt:lpstr>personnel_nonteach_sp2_detailed_es</vt:lpstr>
      <vt:lpstr>personnel_nonteach_sp2_detailed_hs</vt:lpstr>
      <vt:lpstr>personnel_nonteach_sp2_detailed_outdiv</vt:lpstr>
      <vt:lpstr>personnel_nonteach_sp2_onleave</vt:lpstr>
      <vt:lpstr>personnel_nonteach_sp2_psipop</vt:lpstr>
      <vt:lpstr>personnel_nonteach_sp2_vacant</vt:lpstr>
      <vt:lpstr>personnel_nonteach_sp3_actual_f</vt:lpstr>
      <vt:lpstr>personnel_nonteach_sp3_actual_m</vt:lpstr>
      <vt:lpstr>personnel_nonteach_sp3_borrowed_f</vt:lpstr>
      <vt:lpstr>personnel_nonteach_sp3_borrowed_m</vt:lpstr>
      <vt:lpstr>personnel_nonteach_sp3_detailed_es</vt:lpstr>
      <vt:lpstr>personnel_nonteach_sp3_detailed_hs</vt:lpstr>
      <vt:lpstr>personnel_nonteach_sp3_detailed_outdiv</vt:lpstr>
      <vt:lpstr>personnel_nonteach_sp3_onleave</vt:lpstr>
      <vt:lpstr>personnel_nonteach_sp3_psipop</vt:lpstr>
      <vt:lpstr>personnel_nonteach_sp3_vacant</vt:lpstr>
      <vt:lpstr>personnel_nonteach_sp4_actual_f</vt:lpstr>
      <vt:lpstr>personnel_nonteach_sp4_actual_m</vt:lpstr>
      <vt:lpstr>personnel_nonteach_sp4_borrowed_f</vt:lpstr>
      <vt:lpstr>personnel_nonteach_sp4_borrowed_m</vt:lpstr>
      <vt:lpstr>personnel_nonteach_sp4_detailed_es</vt:lpstr>
      <vt:lpstr>personnel_nonteach_sp4_detailed_hs</vt:lpstr>
      <vt:lpstr>personnel_nonteach_sp4_detailed_outdiv</vt:lpstr>
      <vt:lpstr>personnel_nonteach_sp4_onleave</vt:lpstr>
      <vt:lpstr>personnel_nonteach_sp4_psipop</vt:lpstr>
      <vt:lpstr>personnel_nonteach_sp4_vacant</vt:lpstr>
      <vt:lpstr>personnel_nonteach_supplyofcr1_actual_f</vt:lpstr>
      <vt:lpstr>personnel_nonteach_supplyofcr1_actual_m</vt:lpstr>
      <vt:lpstr>personnel_nonteach_supplyofcr1_borrowed_f</vt:lpstr>
      <vt:lpstr>personnel_nonteach_supplyofcr1_borrowed_m</vt:lpstr>
      <vt:lpstr>personnel_nonteach_supplyofcr1_detailed_es</vt:lpstr>
      <vt:lpstr>personnel_nonteach_supplyofcr1_detailed_hs</vt:lpstr>
      <vt:lpstr>personnel_nonteach_supplyofcr1_detailed_outdiv</vt:lpstr>
      <vt:lpstr>personnel_nonteach_supplyofcr1_onleave</vt:lpstr>
      <vt:lpstr>personnel_nonteach_supplyofcr1_psipop</vt:lpstr>
      <vt:lpstr>personnel_nonteach_supplyofcr1_vacant</vt:lpstr>
      <vt:lpstr>personnel_nonteach_utility_worker_actual_f</vt:lpstr>
      <vt:lpstr>personnel_nonteach_utility_worker_actual_m</vt:lpstr>
      <vt:lpstr>personnel_nonteach_utility_worker_borrowed_f</vt:lpstr>
      <vt:lpstr>personnel_nonteach_utility_worker_borrowed_m</vt:lpstr>
      <vt:lpstr>personnel_nonteach_utility_worker_detailed_es</vt:lpstr>
      <vt:lpstr>personnel_nonteach_utility_worker_detailed_hs</vt:lpstr>
      <vt:lpstr>personnel_nonteach_utility_worker_detailed_outdiv</vt:lpstr>
      <vt:lpstr>personnel_nonteach_utility_worker_onleave</vt:lpstr>
      <vt:lpstr>personnel_nonteach_utility_worker_psipop</vt:lpstr>
      <vt:lpstr>personnel_nonteach_utility_worker_vacant</vt:lpstr>
      <vt:lpstr>personnel_nonteach_vsa1_actual_f</vt:lpstr>
      <vt:lpstr>personnel_nonteach_vsa1_actual_m</vt:lpstr>
      <vt:lpstr>personnel_nonteach_vsa1_borrowed_f</vt:lpstr>
      <vt:lpstr>personnel_nonteach_vsa1_borrowed_m</vt:lpstr>
      <vt:lpstr>personnel_nonteach_vsa1_detailed_es</vt:lpstr>
      <vt:lpstr>personnel_nonteach_vsa1_detailed_hs</vt:lpstr>
      <vt:lpstr>personnel_nonteach_vsa1_detailed_outdiv</vt:lpstr>
      <vt:lpstr>personnel_nonteach_vsa1_onleave</vt:lpstr>
      <vt:lpstr>personnel_nonteach_vsa1_psipop</vt:lpstr>
      <vt:lpstr>personnel_nonteach_vsa1_vacant</vt:lpstr>
      <vt:lpstr>personnel_nonteach_vsa2_actual_f</vt:lpstr>
      <vt:lpstr>personnel_nonteach_vsa2_actual_m</vt:lpstr>
      <vt:lpstr>personnel_nonteach_vsa2_borrowed_f</vt:lpstr>
      <vt:lpstr>personnel_nonteach_vsa2_borrowed_m</vt:lpstr>
      <vt:lpstr>personnel_nonteach_vsa2_detailed_es</vt:lpstr>
      <vt:lpstr>personnel_nonteach_vsa2_detailed_hs</vt:lpstr>
      <vt:lpstr>personnel_nonteach_vsa2_detailed_outdiv</vt:lpstr>
      <vt:lpstr>personnel_nonteach_vsa2_onleave</vt:lpstr>
      <vt:lpstr>personnel_nonteach_vsa2_psipop</vt:lpstr>
      <vt:lpstr>personnel_nonteach_vsa2_vacant</vt:lpstr>
      <vt:lpstr>personnel_nonteach_vsa3_actual_f</vt:lpstr>
      <vt:lpstr>personnel_nonteach_vsa3_actual_m</vt:lpstr>
      <vt:lpstr>personnel_nonteach_vsa3_borrowed_f</vt:lpstr>
      <vt:lpstr>personnel_nonteach_vsa3_borrowed_m</vt:lpstr>
      <vt:lpstr>personnel_nonteach_vsa3_detailed_es</vt:lpstr>
      <vt:lpstr>personnel_nonteach_vsa3_detailed_hs</vt:lpstr>
      <vt:lpstr>personnel_nonteach_vsa3_detailed_outdiv</vt:lpstr>
      <vt:lpstr>personnel_nonteach_vsa3_onleave</vt:lpstr>
      <vt:lpstr>personnel_nonteach_vsa3_psipop</vt:lpstr>
      <vt:lpstr>personnel_nonteach_vsa3_vacant</vt:lpstr>
      <vt:lpstr>personnel_teach_handling_alivecl_borrowed_f</vt:lpstr>
      <vt:lpstr>personnel_teach_handling_alivecl_borrowed_m</vt:lpstr>
      <vt:lpstr>personnel_teach_handling_alivecl_f</vt:lpstr>
      <vt:lpstr>personnel_teach_handling_alivecl_m</vt:lpstr>
      <vt:lpstr>personnel_teach_handling_fullt_ancillary_borrowed_f</vt:lpstr>
      <vt:lpstr>personnel_teach_handling_fullt_ancillary_borrowed_m</vt:lpstr>
      <vt:lpstr>personnel_teach_handling_fullt_ancillary_f</vt:lpstr>
      <vt:lpstr>personnel_teach_handling_fullt_ancillary_m</vt:lpstr>
      <vt:lpstr>personnel_teach_handling_g11to12_borrowed_f</vt:lpstr>
      <vt:lpstr>personnel_teach_handling_g11to12_borrowed_m</vt:lpstr>
      <vt:lpstr>personnel_teach_handling_g11to12_f</vt:lpstr>
      <vt:lpstr>personnel_teach_handling_g11to12_m</vt:lpstr>
      <vt:lpstr>personnel_teach_handling_g7to10_borrowed_f</vt:lpstr>
      <vt:lpstr>personnel_teach_handling_g7to10_borrowed_m</vt:lpstr>
      <vt:lpstr>personnel_teach_handling_g7to10_f</vt:lpstr>
      <vt:lpstr>personnel_teach_handling_g7to10_m</vt:lpstr>
      <vt:lpstr>personnel_teach_handling_spedcl_borrowed_f</vt:lpstr>
      <vt:lpstr>personnel_teach_handling_spedcl_borrowed_m</vt:lpstr>
      <vt:lpstr>personnel_teach_handling_spedcl_f</vt:lpstr>
      <vt:lpstr>personnel_teach_handling_spedcl_m</vt:lpstr>
      <vt:lpstr>personnel_teach_instructor1_actual_f</vt:lpstr>
      <vt:lpstr>personnel_teach_instructor1_actual_m</vt:lpstr>
      <vt:lpstr>personnel_teach_instructor1_borrowed_f</vt:lpstr>
      <vt:lpstr>personnel_teach_instructor1_borrowed_m</vt:lpstr>
      <vt:lpstr>personnel_teach_instructor1_detailed_es</vt:lpstr>
      <vt:lpstr>personnel_teach_instructor1_detailed_hs</vt:lpstr>
      <vt:lpstr>personnel_teach_instructor1_detailed_outdiv</vt:lpstr>
      <vt:lpstr>personnel_teach_instructor1_onleave</vt:lpstr>
      <vt:lpstr>personnel_teach_instructor1_psipop</vt:lpstr>
      <vt:lpstr>personnel_teach_instructor1_vacant</vt:lpstr>
      <vt:lpstr>personnel_teach_instructor2_actual_f</vt:lpstr>
      <vt:lpstr>personnel_teach_instructor2_actual_m</vt:lpstr>
      <vt:lpstr>personnel_teach_instructor2_borrowed_f</vt:lpstr>
      <vt:lpstr>personnel_teach_instructor2_borrowed_m</vt:lpstr>
      <vt:lpstr>personnel_teach_instructor2_detailed_es</vt:lpstr>
      <vt:lpstr>personnel_teach_instructor2_detailed_hs</vt:lpstr>
      <vt:lpstr>personnel_teach_instructor2_detailed_outdiv</vt:lpstr>
      <vt:lpstr>personnel_teach_instructor2_onleave</vt:lpstr>
      <vt:lpstr>personnel_teach_instructor2_psipop</vt:lpstr>
      <vt:lpstr>personnel_teach_instructor2_vacant</vt:lpstr>
      <vt:lpstr>personnel_teach_instructor3_actual_f</vt:lpstr>
      <vt:lpstr>personnel_teach_instructor3_actual_m</vt:lpstr>
      <vt:lpstr>personnel_teach_instructor3_borrowed_f</vt:lpstr>
      <vt:lpstr>personnel_teach_instructor3_borrowed_m</vt:lpstr>
      <vt:lpstr>personnel_teach_instructor3_detailed_es</vt:lpstr>
      <vt:lpstr>personnel_teach_instructor3_detailed_hs</vt:lpstr>
      <vt:lpstr>personnel_teach_instructor3_detailed_outdiv</vt:lpstr>
      <vt:lpstr>personnel_teach_instructor3_onleave</vt:lpstr>
      <vt:lpstr>personnel_teach_instructor3_psipop</vt:lpstr>
      <vt:lpstr>personnel_teach_instructor3_vacant</vt:lpstr>
      <vt:lpstr>personnel_teach_mt1_actual_f</vt:lpstr>
      <vt:lpstr>personnel_teach_mt1_actual_m</vt:lpstr>
      <vt:lpstr>personnel_teach_mt1_borrowed_f</vt:lpstr>
      <vt:lpstr>personnel_teach_mt1_borrowed_m</vt:lpstr>
      <vt:lpstr>personnel_teach_mt1_detailed_es</vt:lpstr>
      <vt:lpstr>personnel_teach_mt1_detailed_hs</vt:lpstr>
      <vt:lpstr>personnel_teach_mt1_detailed_outdiv</vt:lpstr>
      <vt:lpstr>personnel_teach_mt1_onleave</vt:lpstr>
      <vt:lpstr>personnel_teach_mt1_psipop</vt:lpstr>
      <vt:lpstr>personnel_teach_mt1_vacant</vt:lpstr>
      <vt:lpstr>personnel_teach_mt2_actual_f</vt:lpstr>
      <vt:lpstr>personnel_teach_mt2_actual_m</vt:lpstr>
      <vt:lpstr>personnel_teach_mt2_borrowed_f</vt:lpstr>
      <vt:lpstr>personnel_teach_mt2_borrowed_m</vt:lpstr>
      <vt:lpstr>personnel_teach_mt2_detailed_es</vt:lpstr>
      <vt:lpstr>personnel_teach_mt2_detailed_hs</vt:lpstr>
      <vt:lpstr>personnel_teach_mt2_detailed_outdiv</vt:lpstr>
      <vt:lpstr>personnel_teach_mt2_onleave</vt:lpstr>
      <vt:lpstr>personnel_teach_mt2_psipop</vt:lpstr>
      <vt:lpstr>personnel_teach_mt2_vacant</vt:lpstr>
      <vt:lpstr>personnel_teach_mt3_actual_f</vt:lpstr>
      <vt:lpstr>personnel_teach_mt3_actual_m</vt:lpstr>
      <vt:lpstr>personnel_teach_mt3_borrowed_f</vt:lpstr>
      <vt:lpstr>personnel_teach_mt3_borrowed_m</vt:lpstr>
      <vt:lpstr>personnel_teach_mt3_detailed_es</vt:lpstr>
      <vt:lpstr>personnel_teach_mt3_detailed_hs</vt:lpstr>
      <vt:lpstr>personnel_teach_mt3_detailed_outdiv</vt:lpstr>
      <vt:lpstr>personnel_teach_mt3_onleave</vt:lpstr>
      <vt:lpstr>personnel_teach_mt3_psipop</vt:lpstr>
      <vt:lpstr>personnel_teach_mt3_vacant</vt:lpstr>
      <vt:lpstr>personnel_teach_mt4_actual_f</vt:lpstr>
      <vt:lpstr>personnel_teach_mt4_actual_m</vt:lpstr>
      <vt:lpstr>personnel_teach_mt4_borrowed_f</vt:lpstr>
      <vt:lpstr>personnel_teach_mt4_borrowed_m</vt:lpstr>
      <vt:lpstr>personnel_teach_mt4_detailed_es</vt:lpstr>
      <vt:lpstr>personnel_teach_mt4_detailed_hs</vt:lpstr>
      <vt:lpstr>personnel_teach_mt4_detailed_outdiv</vt:lpstr>
      <vt:lpstr>personnel_teach_mt4_onleave</vt:lpstr>
      <vt:lpstr>personnel_teach_mt4_psipop</vt:lpstr>
      <vt:lpstr>personnel_teach_mt4_vacant</vt:lpstr>
      <vt:lpstr>personnel_teach_spedt1_actual_f</vt:lpstr>
      <vt:lpstr>personnel_teach_spedt1_actual_m</vt:lpstr>
      <vt:lpstr>personnel_teach_spedt1_borrowed_f</vt:lpstr>
      <vt:lpstr>personnel_teach_spedt1_borrowed_m</vt:lpstr>
      <vt:lpstr>personnel_teach_spedt1_detailed_es</vt:lpstr>
      <vt:lpstr>personnel_teach_spedt1_detailed_hs</vt:lpstr>
      <vt:lpstr>personnel_teach_spedt1_detailed_outdiv</vt:lpstr>
      <vt:lpstr>personnel_teach_spedt1_onleave</vt:lpstr>
      <vt:lpstr>personnel_teach_spedt1_psipop</vt:lpstr>
      <vt:lpstr>personnel_teach_spedt1_vacant</vt:lpstr>
      <vt:lpstr>personnel_teach_spedt2_actual_f</vt:lpstr>
      <vt:lpstr>personnel_teach_spedt2_actual_m</vt:lpstr>
      <vt:lpstr>personnel_teach_spedt2_borrowed_f</vt:lpstr>
      <vt:lpstr>personnel_teach_spedt2_borrowed_m</vt:lpstr>
      <vt:lpstr>personnel_teach_spedt2_detailed_es</vt:lpstr>
      <vt:lpstr>personnel_teach_spedt2_detailed_hs</vt:lpstr>
      <vt:lpstr>personnel_teach_spedt2_detailed_outdiv</vt:lpstr>
      <vt:lpstr>personnel_teach_spedt2_onleave</vt:lpstr>
      <vt:lpstr>personnel_teach_spedt2_psipop</vt:lpstr>
      <vt:lpstr>personnel_teach_spedt2_vacant</vt:lpstr>
      <vt:lpstr>personnel_teach_spedt3_actual_f</vt:lpstr>
      <vt:lpstr>personnel_teach_spedt3_actual_m</vt:lpstr>
      <vt:lpstr>personnel_teach_spedt3_borrowed_f</vt:lpstr>
      <vt:lpstr>personnel_teach_spedt3_borrowed_m</vt:lpstr>
      <vt:lpstr>personnel_teach_spedt3_detailed_es</vt:lpstr>
      <vt:lpstr>personnel_teach_spedt3_detailed_hs</vt:lpstr>
      <vt:lpstr>personnel_teach_spedt3_detailed_outdiv</vt:lpstr>
      <vt:lpstr>personnel_teach_spedt3_onleave</vt:lpstr>
      <vt:lpstr>personnel_teach_spedt3_psipop</vt:lpstr>
      <vt:lpstr>personnel_teach_spedt3_vacant</vt:lpstr>
      <vt:lpstr>personnel_teach_spedt4_actual_f</vt:lpstr>
      <vt:lpstr>personnel_teach_spedt4_actual_m</vt:lpstr>
      <vt:lpstr>personnel_teach_spedt4_borrowed_f</vt:lpstr>
      <vt:lpstr>personnel_teach_spedt4_borrowed_m</vt:lpstr>
      <vt:lpstr>personnel_teach_spedt4_detailed_es</vt:lpstr>
      <vt:lpstr>personnel_teach_spedt4_detailed_hs</vt:lpstr>
      <vt:lpstr>personnel_teach_spedt4_detailed_outdiv</vt:lpstr>
      <vt:lpstr>personnel_teach_spedt4_onleave</vt:lpstr>
      <vt:lpstr>personnel_teach_spedt4_psipop</vt:lpstr>
      <vt:lpstr>personnel_teach_spedt4_vacant</vt:lpstr>
      <vt:lpstr>personnel_teach_spedt5_actual_f</vt:lpstr>
      <vt:lpstr>personnel_teach_spedt5_actual_m</vt:lpstr>
      <vt:lpstr>personnel_teach_spedt5_borrowed_f</vt:lpstr>
      <vt:lpstr>personnel_teach_spedt5_borrowed_m</vt:lpstr>
      <vt:lpstr>personnel_teach_spedt5_detailed_es</vt:lpstr>
      <vt:lpstr>personnel_teach_spedt5_detailed_hs</vt:lpstr>
      <vt:lpstr>personnel_teach_spedt5_detailed_outdiv</vt:lpstr>
      <vt:lpstr>personnel_teach_spedt5_onleave</vt:lpstr>
      <vt:lpstr>personnel_teach_spedt5_psipop</vt:lpstr>
      <vt:lpstr>personnel_teach_spedt5_vacant</vt:lpstr>
      <vt:lpstr>personnel_teach_sst1_actual_f</vt:lpstr>
      <vt:lpstr>personnel_teach_sst1_actual_m</vt:lpstr>
      <vt:lpstr>personnel_teach_sst1_borrowed_f</vt:lpstr>
      <vt:lpstr>personnel_teach_sst1_borrowed_m</vt:lpstr>
      <vt:lpstr>personnel_teach_sst1_detailed_es</vt:lpstr>
      <vt:lpstr>personnel_teach_sst1_detailed_hs</vt:lpstr>
      <vt:lpstr>personnel_teach_sst1_detailed_outdiv</vt:lpstr>
      <vt:lpstr>personnel_teach_sst1_ntlfnd_f</vt:lpstr>
      <vt:lpstr>personnel_teach_sst1_onleave</vt:lpstr>
      <vt:lpstr>personnel_teach_sst1_psipop</vt:lpstr>
      <vt:lpstr>personnel_teach_sst1_vacant</vt:lpstr>
      <vt:lpstr>personnel_teach_t1_actual_f</vt:lpstr>
      <vt:lpstr>personnel_teach_t1_actual_m</vt:lpstr>
      <vt:lpstr>personnel_teach_t1_borrowed_f</vt:lpstr>
      <vt:lpstr>personnel_teach_t1_borrowed_m</vt:lpstr>
      <vt:lpstr>personnel_teach_t1_detailed_es</vt:lpstr>
      <vt:lpstr>personnel_teach_t1_detailed_hs</vt:lpstr>
      <vt:lpstr>personnel_teach_t1_detailed_outdiv</vt:lpstr>
      <vt:lpstr>personnel_teach_t1_onleave</vt:lpstr>
      <vt:lpstr>personnel_teach_t1_psipop</vt:lpstr>
      <vt:lpstr>personnel_teach_t1_vacant</vt:lpstr>
      <vt:lpstr>personnel_teach_t2_actual_f</vt:lpstr>
      <vt:lpstr>personnel_teach_t2_actual_m</vt:lpstr>
      <vt:lpstr>personnel_teach_t2_borrowed_f</vt:lpstr>
      <vt:lpstr>personnel_teach_t2_borrowed_m</vt:lpstr>
      <vt:lpstr>personnel_teach_t2_detailed_es</vt:lpstr>
      <vt:lpstr>personnel_teach_t2_detailed_hs</vt:lpstr>
      <vt:lpstr>personnel_teach_t2_detailed_outdiv</vt:lpstr>
      <vt:lpstr>personnel_teach_t2_onleave</vt:lpstr>
      <vt:lpstr>personnel_teach_t2_psipop</vt:lpstr>
      <vt:lpstr>personnel_teach_t2_vacant</vt:lpstr>
      <vt:lpstr>personnel_teach_t3_actual_f</vt:lpstr>
      <vt:lpstr>personnel_teach_t3_actual_m</vt:lpstr>
      <vt:lpstr>personnel_teach_t3_borrowed_f</vt:lpstr>
      <vt:lpstr>personnel_teach_t3_borrowed_m</vt:lpstr>
      <vt:lpstr>personnel_teach_t3_detailed_es</vt:lpstr>
      <vt:lpstr>personnel_teach_t3_detailed_hs</vt:lpstr>
      <vt:lpstr>personnel_teach_t3_detailed_outdiv</vt:lpstr>
      <vt:lpstr>personnel_teach_t3_onleave</vt:lpstr>
      <vt:lpstr>personnel_teach_t3_psipop</vt:lpstr>
      <vt:lpstr>personnel_teach_t3_vacant</vt:lpstr>
      <vt:lpstr>personnel_trained_female_emrgncyrspns</vt:lpstr>
      <vt:lpstr>personnel_trained_male_emrgncyrspns</vt:lpstr>
      <vt:lpstr>'Box 17-18'!Print_Area</vt:lpstr>
      <vt:lpstr>'Box32'!Print_Area</vt:lpstr>
      <vt:lpstr>'Box9'!Print_Area</vt:lpstr>
      <vt:lpstr>'Boxes19-20'!Print_Area</vt:lpstr>
      <vt:lpstr>'Table23-Box2'!Print_Area</vt:lpstr>
      <vt:lpstr>rescue_bicycle</vt:lpstr>
      <vt:lpstr>rescue_bicycle_prtnr</vt:lpstr>
      <vt:lpstr>rescue_firecabinet</vt:lpstr>
      <vt:lpstr>rescue_firecabinet_prtnr</vt:lpstr>
      <vt:lpstr>rescue_fireextinguisher</vt:lpstr>
      <vt:lpstr>rescue_fireextinguisher_prtnr</vt:lpstr>
      <vt:lpstr>rescue_firehose</vt:lpstr>
      <vt:lpstr>rescue_firehose_prtnr</vt:lpstr>
      <vt:lpstr>rescue_lifevest</vt:lpstr>
      <vt:lpstr>rescue_lifevest_prtnr</vt:lpstr>
      <vt:lpstr>rescue_motorbanca</vt:lpstr>
      <vt:lpstr>rescue_motorbanca_prtnr</vt:lpstr>
      <vt:lpstr>rescue_sprayer</vt:lpstr>
      <vt:lpstr>rescue_sprayer_prtnr</vt:lpstr>
      <vt:lpstr>resileduc_trainings_ccam</vt:lpstr>
      <vt:lpstr>resileduc_trainings_drrm</vt:lpstr>
      <vt:lpstr>resileduc_trainings_peacebuilding</vt:lpstr>
      <vt:lpstr>resilienceeduc_stakeholder_learner</vt:lpstr>
      <vt:lpstr>resilienceeduc_stakeholder_LGU</vt:lpstr>
      <vt:lpstr>resilienceeduc_stakeholder_NGO</vt:lpstr>
      <vt:lpstr>resilienceeduc_stakeholder_parents</vt:lpstr>
      <vt:lpstr>resilienceeduc_stakeholder_personnel</vt:lpstr>
      <vt:lpstr>resilienceeduc_trained_nonteacher_f</vt:lpstr>
      <vt:lpstr>resilienceeduc_trained_nonteacher_m</vt:lpstr>
      <vt:lpstr>resilienceeduc_trained_teacher_f</vt:lpstr>
      <vt:lpstr>resilienceeduc_trained_teacher_m</vt:lpstr>
      <vt:lpstr>result_disaster_apr_cls_evactr</vt:lpstr>
      <vt:lpstr>result_disaster_apr_days_cls_armed_conflict</vt:lpstr>
      <vt:lpstr>result_disaster_apr_days_cls_suspend</vt:lpstr>
      <vt:lpstr>result_disaster_apr_days_cls_suspend_humaninduced</vt:lpstr>
      <vt:lpstr>result_disaster_apr_days_evactr</vt:lpstr>
      <vt:lpstr>result_disaster_aug_cls_evactr</vt:lpstr>
      <vt:lpstr>result_disaster_aug_days_cls_armed_conflict</vt:lpstr>
      <vt:lpstr>result_disaster_aug_days_cls_suspend</vt:lpstr>
      <vt:lpstr>result_disaster_aug_days_cls_suspend_humaninduced</vt:lpstr>
      <vt:lpstr>result_disaster_aug_days_evactr</vt:lpstr>
      <vt:lpstr>result_disaster_dec_cls_evactr</vt:lpstr>
      <vt:lpstr>result_disaster_dec_days_cls_armed_conflict</vt:lpstr>
      <vt:lpstr>result_disaster_dec_days_cls_suspend</vt:lpstr>
      <vt:lpstr>result_disaster_dec_days_cls_suspend_humaninduced</vt:lpstr>
      <vt:lpstr>result_disaster_dec_days_evactr</vt:lpstr>
      <vt:lpstr>result_disaster_feb_cls_evactr</vt:lpstr>
      <vt:lpstr>result_disaster_feb_days_cls_armed_conflict</vt:lpstr>
      <vt:lpstr>result_disaster_feb_days_cls_suspend</vt:lpstr>
      <vt:lpstr>result_disaster_feb_days_cls_suspend_humaninduced</vt:lpstr>
      <vt:lpstr>result_disaster_feb_days_evactr</vt:lpstr>
      <vt:lpstr>result_disaster_jan_cls_evactr</vt:lpstr>
      <vt:lpstr>result_disaster_jan_days_cls_armed_conflict</vt:lpstr>
      <vt:lpstr>result_disaster_jan_days_cls_suspend</vt:lpstr>
      <vt:lpstr>result_disaster_jan_days_cls_suspend_humaninduced</vt:lpstr>
      <vt:lpstr>result_disaster_jan_days_evactr</vt:lpstr>
      <vt:lpstr>result_disaster_jul_cls_evactr</vt:lpstr>
      <vt:lpstr>result_disaster_jul_days_cls_armed_conflict</vt:lpstr>
      <vt:lpstr>result_disaster_jul_days_cls_suspend</vt:lpstr>
      <vt:lpstr>result_disaster_jul_days_evactr</vt:lpstr>
      <vt:lpstr>result_disaster_july_days_cls_suspend_humaninduced</vt:lpstr>
      <vt:lpstr>result_disaster_jun_cls_evactr</vt:lpstr>
      <vt:lpstr>result_disaster_jun_days_cls_armed_conflict</vt:lpstr>
      <vt:lpstr>result_disaster_jun_days_cls_suspend</vt:lpstr>
      <vt:lpstr>result_disaster_jun_days_cls_suspend_humaninduced</vt:lpstr>
      <vt:lpstr>result_disaster_jun_days_evactr</vt:lpstr>
      <vt:lpstr>result_disaster_mar_cls_evactr</vt:lpstr>
      <vt:lpstr>result_disaster_mar_days_cls_armed_conflict</vt:lpstr>
      <vt:lpstr>result_disaster_mar_days_cls_suspend</vt:lpstr>
      <vt:lpstr>result_disaster_mar_days_cls_suspend_humaninduced</vt:lpstr>
      <vt:lpstr>result_disaster_mar_days_evactr</vt:lpstr>
      <vt:lpstr>result_disaster_may_cls_evactr</vt:lpstr>
      <vt:lpstr>result_disaster_may_days_cls_armed_conflict</vt:lpstr>
      <vt:lpstr>result_disaster_may_days_cls_suspend</vt:lpstr>
      <vt:lpstr>result_disaster_may_days_cls_suspend_humaninduced</vt:lpstr>
      <vt:lpstr>result_disaster_may_days_evactr</vt:lpstr>
      <vt:lpstr>result_disaster_nov_cls_evactr</vt:lpstr>
      <vt:lpstr>result_disaster_nov_days_cls_armed_conflict</vt:lpstr>
      <vt:lpstr>result_disaster_nov_days_cls_suspend</vt:lpstr>
      <vt:lpstr>result_disaster_nov_days_cls_suspend_humaninduced</vt:lpstr>
      <vt:lpstr>result_disaster_nov_days_evactr</vt:lpstr>
      <vt:lpstr>result_disaster_oct_cls_evactr</vt:lpstr>
      <vt:lpstr>result_disaster_oct_days_cls_armed_conflict</vt:lpstr>
      <vt:lpstr>result_disaster_oct_days_cls_suspend</vt:lpstr>
      <vt:lpstr>result_disaster_oct_days_cls_suspend_humaninduced</vt:lpstr>
      <vt:lpstr>result_disaster_oct_days_evactr</vt:lpstr>
      <vt:lpstr>result_disaster_sep_cls_evactr</vt:lpstr>
      <vt:lpstr>result_disaster_sep_days_cls_armed_conflict</vt:lpstr>
      <vt:lpstr>result_disaster_sep_days_cls_suspend</vt:lpstr>
      <vt:lpstr>result_disaster_sep_days_cls_suspend_humaninduced</vt:lpstr>
      <vt:lpstr>result_disaster_sep_days_evactr</vt:lpstr>
      <vt:lpstr>riskreduc_ccam_als</vt:lpstr>
      <vt:lpstr>riskreduc_ccam_competencies</vt:lpstr>
      <vt:lpstr>riskreduc_ccam_contents</vt:lpstr>
      <vt:lpstr>riskreduc_ccam_contextualized</vt:lpstr>
      <vt:lpstr>riskreduc_ccam_iped</vt:lpstr>
      <vt:lpstr>riskreduc_ccam_sped</vt:lpstr>
      <vt:lpstr>riskreduc_drrm_als</vt:lpstr>
      <vt:lpstr>riskreduc_drrm_competencies</vt:lpstr>
      <vt:lpstr>riskreduc_drrm_contents</vt:lpstr>
      <vt:lpstr>riskreduc_drrm_contextualized</vt:lpstr>
      <vt:lpstr>riskreduc_drrm_iped</vt:lpstr>
      <vt:lpstr>riskreduc_drrm_sped</vt:lpstr>
      <vt:lpstr>riskreduc_nonteach_effectiveness_survey_f</vt:lpstr>
      <vt:lpstr>riskreduc_nonteach_effectiveness_survey_m</vt:lpstr>
      <vt:lpstr>riskreduc_peace_als</vt:lpstr>
      <vt:lpstr>riskreduc_peace_competencies</vt:lpstr>
      <vt:lpstr>riskreduc_peace_contents</vt:lpstr>
      <vt:lpstr>riskreduc_peace_contextualized</vt:lpstr>
      <vt:lpstr>riskreduc_peace_iped</vt:lpstr>
      <vt:lpstr>riskreduc_peace_sped</vt:lpstr>
      <vt:lpstr>riskreduc_teacher_effectiveness_survey_f</vt:lpstr>
      <vt:lpstr>riskreduc_teacher_effectiveness_survey_m</vt:lpstr>
      <vt:lpstr>safelearn_alloted_maintenancebudget</vt:lpstr>
      <vt:lpstr>safelearn_facilities_instructional_safe</vt:lpstr>
      <vt:lpstr>safelearn_facilities_instructional_unsafe</vt:lpstr>
      <vt:lpstr>safelearn_facilities_noninstructional_safe</vt:lpstr>
      <vt:lpstr>safelearn_facilities_noninstructional_unsafe</vt:lpstr>
      <vt:lpstr>safelearn_firewall</vt:lpstr>
      <vt:lpstr>safelearn_floodwall</vt:lpstr>
      <vt:lpstr>safelearn_inspection_apr</vt:lpstr>
      <vt:lpstr>safelearn_inspection_aug</vt:lpstr>
      <vt:lpstr>safelearn_inspection_dec</vt:lpstr>
      <vt:lpstr>safelearn_inspection_feb</vt:lpstr>
      <vt:lpstr>safelearn_inspection_jan</vt:lpstr>
      <vt:lpstr>safelearn_inspection_july</vt:lpstr>
      <vt:lpstr>safelearn_inspection_jun</vt:lpstr>
      <vt:lpstr>safelearn_inspection_march</vt:lpstr>
      <vt:lpstr>safelearn_inspection_may</vt:lpstr>
      <vt:lpstr>safelearn_inspection_nov</vt:lpstr>
      <vt:lpstr>safelearn_inspection_oct</vt:lpstr>
      <vt:lpstr>safelearn_inspection_sep</vt:lpstr>
      <vt:lpstr>safelearn_nonstructural</vt:lpstr>
      <vt:lpstr>safelearn_others</vt:lpstr>
      <vt:lpstr>safelearn_others_nonstructural</vt:lpstr>
      <vt:lpstr>safelearn_others_nonstructural_specify</vt:lpstr>
      <vt:lpstr>safelearn_others_specify</vt:lpstr>
      <vt:lpstr>safelearn_porouslandscape</vt:lpstr>
      <vt:lpstr>safelearn_pruning</vt:lpstr>
      <vt:lpstr>safelearn_recons_instruct_basicfund</vt:lpstr>
      <vt:lpstr>safelearn_recons_instruct_external</vt:lpstr>
      <vt:lpstr>safelearn_recons_instruct_ndrrm</vt:lpstr>
      <vt:lpstr>safelearn_recons_instruct_qr</vt:lpstr>
      <vt:lpstr>safelearn_recons_noninstruct_basicfund</vt:lpstr>
      <vt:lpstr>safelearn_recons_noninstruct_external</vt:lpstr>
      <vt:lpstr>safelearn_recons_noninstruct_ndrrm</vt:lpstr>
      <vt:lpstr>safelearn_recons_noninstruct_qr</vt:lpstr>
      <vt:lpstr>safelearn_regular_facilities_inspection</vt:lpstr>
      <vt:lpstr>safelearn_repaired_instruct_basicfund</vt:lpstr>
      <vt:lpstr>safelearn_repaired_instruct_external</vt:lpstr>
      <vt:lpstr>safelearn_repaired_instruct_ndrrm</vt:lpstr>
      <vt:lpstr>safelearn_repaired_instruct_qr</vt:lpstr>
      <vt:lpstr>safelearn_repaired_noninstruct_basicfund</vt:lpstr>
      <vt:lpstr>safelearn_repaired_noninstruct_external</vt:lpstr>
      <vt:lpstr>safelearn_repaired_noninstruct_ndrrm</vt:lpstr>
      <vt:lpstr>safelearn_repaired_noninstruct_qr</vt:lpstr>
      <vt:lpstr>safelearn_resilient_instructional</vt:lpstr>
      <vt:lpstr>safelearn_resilient_noninstructional</vt:lpstr>
      <vt:lpstr>safelearn_retrofit_instructional</vt:lpstr>
      <vt:lpstr>safelearn_retrofit_noninstructional</vt:lpstr>
      <vt:lpstr>safelearn_safety_precautions</vt:lpstr>
      <vt:lpstr>safelearn_seawall</vt:lpstr>
      <vt:lpstr>safelearn_slopeprotection</vt:lpstr>
      <vt:lpstr>safelearn_undertaken_regular_repair</vt:lpstr>
      <vt:lpstr>safelearn_vegetation</vt:lpstr>
      <vt:lpstr>sch_add_brgy</vt:lpstr>
      <vt:lpstr>sch_add_mun_city</vt:lpstr>
      <vt:lpstr>sch_add_no</vt:lpstr>
      <vt:lpstr>sch_add_prov</vt:lpstr>
      <vt:lpstr>sch_add_street</vt:lpstr>
      <vt:lpstr>sch_add_zip</vt:lpstr>
      <vt:lpstr>sch_annex_ext_sch</vt:lpstr>
      <vt:lpstr>sch_ap_ccam_g10</vt:lpstr>
      <vt:lpstr>sch_ap_ccam_g7</vt:lpstr>
      <vt:lpstr>sch_ap_ccam_g8</vt:lpstr>
      <vt:lpstr>sch_ap_ccam_g9</vt:lpstr>
      <vt:lpstr>sch_ap_drrm_g10</vt:lpstr>
      <vt:lpstr>sch_ap_drrm_g7</vt:lpstr>
      <vt:lpstr>sch_ap_drrm_g8</vt:lpstr>
      <vt:lpstr>sch_ap_drrm_g9</vt:lpstr>
      <vt:lpstr>sch_ap_peacebuilding_g10</vt:lpstr>
      <vt:lpstr>sch_ap_peacebuilding_g7</vt:lpstr>
      <vt:lpstr>sch_ap_peacebuilding_g8</vt:lpstr>
      <vt:lpstr>sch_ap_peacebuilding_g9</vt:lpstr>
      <vt:lpstr>sch_assessed_competencies</vt:lpstr>
      <vt:lpstr>sch_avemonthlyexpense_others1</vt:lpstr>
      <vt:lpstr>sch_avemonthlyexpense_others2</vt:lpstr>
      <vt:lpstr>sch_avemonthlyexpense_others3</vt:lpstr>
      <vt:lpstr>sch_avemonthlyexpense_others4</vt:lpstr>
      <vt:lpstr>sch_avemonthlyexpense_others5</vt:lpstr>
      <vt:lpstr>sch_bully_afl_cybbully</vt:lpstr>
      <vt:lpstr>sch_bully_afl_g10</vt:lpstr>
      <vt:lpstr>sch_bully_afl_g7</vt:lpstr>
      <vt:lpstr>sch_bully_afl_g8</vt:lpstr>
      <vt:lpstr>sch_bully_afl_g9</vt:lpstr>
      <vt:lpstr>sch_bully_afl_genbully</vt:lpstr>
      <vt:lpstr>sch_bully_afl_phybully</vt:lpstr>
      <vt:lpstr>sch_bully_afl_socbully</vt:lpstr>
      <vt:lpstr>sch_bully_age_g10</vt:lpstr>
      <vt:lpstr>sch_bully_age_g7</vt:lpstr>
      <vt:lpstr>sch_bully_age_g8</vt:lpstr>
      <vt:lpstr>sch_bully_age_g9</vt:lpstr>
      <vt:lpstr>sch_bully_aml_cybbully</vt:lpstr>
      <vt:lpstr>sch_bully_aml_g10</vt:lpstr>
      <vt:lpstr>sch_bully_aml_g7</vt:lpstr>
      <vt:lpstr>sch_bully_aml_g8</vt:lpstr>
      <vt:lpstr>sch_bully_aml_g9</vt:lpstr>
      <vt:lpstr>sch_bully_aml_genbully</vt:lpstr>
      <vt:lpstr>sch_bully_aml_phybully</vt:lpstr>
      <vt:lpstr>sch_bully_aml_socbully</vt:lpstr>
      <vt:lpstr>sch_bully_dis_g10</vt:lpstr>
      <vt:lpstr>sch_bully_dis_g7</vt:lpstr>
      <vt:lpstr>sch_bully_dis_g8</vt:lpstr>
      <vt:lpstr>sch_bully_dis_g9</vt:lpstr>
      <vt:lpstr>sch_bully_eth_g10</vt:lpstr>
      <vt:lpstr>sch_bully_eth_g7</vt:lpstr>
      <vt:lpstr>sch_bully_eth_g8</vt:lpstr>
      <vt:lpstr>sch_bully_eth_g9</vt:lpstr>
      <vt:lpstr>sch_bully_gen_g10</vt:lpstr>
      <vt:lpstr>sch_bully_gen_g7</vt:lpstr>
      <vt:lpstr>sch_bully_gen_g8</vt:lpstr>
      <vt:lpstr>sch_bully_gen_g9</vt:lpstr>
      <vt:lpstr>sch_bully_oth_g10</vt:lpstr>
      <vt:lpstr>sch_bully_oth_g7</vt:lpstr>
      <vt:lpstr>sch_bully_oth_g8</vt:lpstr>
      <vt:lpstr>sch_bully_oth_g9</vt:lpstr>
      <vt:lpstr>sch_bully_phy_g10</vt:lpstr>
      <vt:lpstr>sch_bully_phy_g7</vt:lpstr>
      <vt:lpstr>sch_bully_phy_g8</vt:lpstr>
      <vt:lpstr>sch_bully_phy_g9</vt:lpstr>
      <vt:lpstr>sch_bully_rel_g10</vt:lpstr>
      <vt:lpstr>sch_bully_rel_g7</vt:lpstr>
      <vt:lpstr>sch_bully_rel_g8</vt:lpstr>
      <vt:lpstr>sch_bully_rel_g9</vt:lpstr>
      <vt:lpstr>sch_bully_skn_g10</vt:lpstr>
      <vt:lpstr>sch_bully_skn_g7</vt:lpstr>
      <vt:lpstr>sch_bully_skn_g8</vt:lpstr>
      <vt:lpstr>sch_bully_skn_g9</vt:lpstr>
      <vt:lpstr>sch_bully_stl_g10</vt:lpstr>
      <vt:lpstr>sch_bully_stl_g7</vt:lpstr>
      <vt:lpstr>sch_bully_stl_g8</vt:lpstr>
      <vt:lpstr>sch_bully_stl_g9</vt:lpstr>
      <vt:lpstr>sch_cgp_gc_yrs_assigned</vt:lpstr>
      <vt:lpstr>sch_cgp_guid_adv_yrs_assigned</vt:lpstr>
      <vt:lpstr>sch_childprotect_annually</vt:lpstr>
      <vt:lpstr>sch_childprotect_casesreported</vt:lpstr>
      <vt:lpstr>sch_childprotect_monthly</vt:lpstr>
      <vt:lpstr>sch_childprotect_others</vt:lpstr>
      <vt:lpstr>sch_childprotect_others_specify</vt:lpstr>
      <vt:lpstr>sch_childprotect_quarterly</vt:lpstr>
      <vt:lpstr>sch_childprotect_scc</vt:lpstr>
      <vt:lpstr>sch_childprotect_yes</vt:lpstr>
      <vt:lpstr>sch_clinic_bpa</vt:lpstr>
      <vt:lpstr>sch_clinic_first_aids</vt:lpstr>
      <vt:lpstr>sch_clinic_personnel_trained</vt:lpstr>
      <vt:lpstr>sch_clinic_scale_bathroom_unit</vt:lpstr>
      <vt:lpstr>sch_clinic_scale_beambalance_unit</vt:lpstr>
      <vt:lpstr>sch_clinic_scale_others_specify</vt:lpstr>
      <vt:lpstr>sch_clinic_scale_others_unit</vt:lpstr>
      <vt:lpstr>sch_clinic_teacher</vt:lpstr>
      <vt:lpstr>sch_clinic_thermometers</vt:lpstr>
      <vt:lpstr>sch_clinic_tools_height_others_specify</vt:lpstr>
      <vt:lpstr>sch_conduct_menttraining_learners_ifyes</vt:lpstr>
      <vt:lpstr>sch_conduct_menttraining_teachers_ifyes</vt:lpstr>
      <vt:lpstr>sch_conducted_brigadaeskuwela</vt:lpstr>
      <vt:lpstr>sch_conducted_brigadaeskuwela_aftermath</vt:lpstr>
      <vt:lpstr>sch_contingency_assesment_wbaseline</vt:lpstr>
      <vt:lpstr>sch_covid_management</vt:lpstr>
      <vt:lpstr>sch_date_est</vt:lpstr>
      <vt:lpstr>sch_depeddeveloped_drrm_ccam_peacebuilding</vt:lpstr>
      <vt:lpstr>sch_depeddeveloped_mhpssmanual</vt:lpstr>
      <vt:lpstr>sch_depeddeveloped_trainingmanual</vt:lpstr>
      <vt:lpstr>sch_developed_DRRM_comm</vt:lpstr>
      <vt:lpstr>sch_division</vt:lpstr>
      <vt:lpstr>sch_drrm_developed_iec</vt:lpstr>
      <vt:lpstr>sch_drrm_updated_iec</vt:lpstr>
      <vt:lpstr>sch_drrmteam_wroles</vt:lpstr>
      <vt:lpstr>sch_drugprevention_bkd</vt:lpstr>
      <vt:lpstr>sch_drugprevention_educprog_currintegration</vt:lpstr>
      <vt:lpstr>sch_drugprevention_educprog_extracurri</vt:lpstr>
      <vt:lpstr>sch_drugprevention_educprog_other</vt:lpstr>
      <vt:lpstr>sch_drugprevention_educprog_otherspecify</vt:lpstr>
      <vt:lpstr>sch_drugprevention_educprog_partnerbrgy</vt:lpstr>
      <vt:lpstr>sch_drugprevention_implementation</vt:lpstr>
      <vt:lpstr>sch_drugprevention_learners_bkdmembers_g10</vt:lpstr>
      <vt:lpstr>sch_drugprevention_learners_bkdmembers_g7</vt:lpstr>
      <vt:lpstr>sch_drugprevention_learners_bkdmembers_g8</vt:lpstr>
      <vt:lpstr>sch_drugprevention_learners_bkdmembers_g9</vt:lpstr>
      <vt:lpstr>sch_drugprevention_learners_trained_g10</vt:lpstr>
      <vt:lpstr>sch_drugprevention_learners_trained_g7</vt:lpstr>
      <vt:lpstr>sch_drugprevention_learners_trained_g8</vt:lpstr>
      <vt:lpstr>sch_drugprevention_learners_trained_g9</vt:lpstr>
      <vt:lpstr>sch_drugprevention_ndep</vt:lpstr>
      <vt:lpstr>sch_drugprevention_ndep_corners</vt:lpstr>
      <vt:lpstr>sch_earthquakedrill_lrnrs_apr</vt:lpstr>
      <vt:lpstr>sch_earthquakedrill_lrnrs_aug</vt:lpstr>
      <vt:lpstr>sch_earthquakedrill_lrnrs_dec</vt:lpstr>
      <vt:lpstr>sch_earthquakedrill_lrnrs_feb</vt:lpstr>
      <vt:lpstr>sch_earthquakedrill_lrnrs_jan</vt:lpstr>
      <vt:lpstr>sch_earthquakedrill_lrnrs_jul</vt:lpstr>
      <vt:lpstr>sch_earthquakedrill_lrnrs_jun</vt:lpstr>
      <vt:lpstr>sch_earthquakedrill_lrnrs_mar</vt:lpstr>
      <vt:lpstr>sch_earthquakedrill_lrnrs_may</vt:lpstr>
      <vt:lpstr>sch_earthquakedrill_lrnrs_nov</vt:lpstr>
      <vt:lpstr>sch_earthquakedrill_lrnrs_oct</vt:lpstr>
      <vt:lpstr>sch_earthquakedrill_lrnrs_sept</vt:lpstr>
      <vt:lpstr>sch_email_add</vt:lpstr>
      <vt:lpstr>sch_epp_ccam_g10</vt:lpstr>
      <vt:lpstr>sch_epp_ccam_g7</vt:lpstr>
      <vt:lpstr>sch_epp_ccam_g8</vt:lpstr>
      <vt:lpstr>sch_epp_ccam_g9</vt:lpstr>
      <vt:lpstr>sch_epp_drrm_g10</vt:lpstr>
      <vt:lpstr>sch_epp_drrm_g7</vt:lpstr>
      <vt:lpstr>sch_epp_drrm_g8</vt:lpstr>
      <vt:lpstr>sch_epp_drrm_g9</vt:lpstr>
      <vt:lpstr>sch_epp_peacebuilding_g10</vt:lpstr>
      <vt:lpstr>sch_epp_peacebuilding_g7</vt:lpstr>
      <vt:lpstr>sch_epp_peacebuilding_g8</vt:lpstr>
      <vt:lpstr>sch_epp_peacebuilding_g9</vt:lpstr>
      <vt:lpstr>sch_esp_ccam_g10</vt:lpstr>
      <vt:lpstr>sch_esp_ccam_g7</vt:lpstr>
      <vt:lpstr>sch_esp_ccam_g8</vt:lpstr>
      <vt:lpstr>sch_esp_ccam_g9</vt:lpstr>
      <vt:lpstr>sch_esp_drrm_g10</vt:lpstr>
      <vt:lpstr>sch_esp_drrm_g7</vt:lpstr>
      <vt:lpstr>sch_esp_drrm_g8</vt:lpstr>
      <vt:lpstr>sch_esp_drrm_g9</vt:lpstr>
      <vt:lpstr>sch_esp_peacebuilding_g10</vt:lpstr>
      <vt:lpstr>sch_esp_peacebuilding_g7</vt:lpstr>
      <vt:lpstr>sch_esp_peacebuilding_g8</vt:lpstr>
      <vt:lpstr>sch_esp_peacebuilding_g9</vt:lpstr>
      <vt:lpstr>sch_established_systemtracking</vt:lpstr>
      <vt:lpstr>sch_farm_sch</vt:lpstr>
      <vt:lpstr>sch_fax_no</vt:lpstr>
      <vt:lpstr>sch_feed_prog_agri_fishery_others_specify</vt:lpstr>
      <vt:lpstr>sch_feed_prog_agri_fishery_usedfp_yes_fundsource_others_specify</vt:lpstr>
      <vt:lpstr>sch_feed_prog_yes_fundsource_others_specify</vt:lpstr>
      <vt:lpstr>sch_firedrill_lrnrs_apr</vt:lpstr>
      <vt:lpstr>sch_firedrill_lrnrs_aug</vt:lpstr>
      <vt:lpstr>sch_firedrill_lrnrs_dec</vt:lpstr>
      <vt:lpstr>sch_firedrill_lrnrs_feb</vt:lpstr>
      <vt:lpstr>sch_firedrill_lrnrs_jan</vt:lpstr>
      <vt:lpstr>sch_firedrill_lrnrs_jul</vt:lpstr>
      <vt:lpstr>sch_firedrill_lrnrs_jun</vt:lpstr>
      <vt:lpstr>sch_firedrill_lrnrs_mar</vt:lpstr>
      <vt:lpstr>sch_firedrill_lrnrs_may</vt:lpstr>
      <vt:lpstr>sch_firedrill_lrnrs_nov</vt:lpstr>
      <vt:lpstr>sch_firedrill_lrnrs_oct</vt:lpstr>
      <vt:lpstr>sch_firedrill_lrnrs_sept</vt:lpstr>
      <vt:lpstr>sch_floodevacdrill_lrnrs_apr</vt:lpstr>
      <vt:lpstr>sch_floodevacdrill_lrnrs_aug</vt:lpstr>
      <vt:lpstr>sch_floodevacdrill_lrnrs_dec</vt:lpstr>
      <vt:lpstr>sch_floodevacdrill_lrnrs_feb</vt:lpstr>
      <vt:lpstr>sch_floodevacdrill_lrnrs_jan</vt:lpstr>
      <vt:lpstr>sch_floodevacdrill_lrnrs_jul</vt:lpstr>
      <vt:lpstr>sch_floodevacdrill_lrnrs_jun</vt:lpstr>
      <vt:lpstr>sch_floodevacdrill_lrnrs_mar</vt:lpstr>
      <vt:lpstr>sch_floodevacdrill_lrnrs_may</vt:lpstr>
      <vt:lpstr>sch_floodevacdrill_lrnrs_nov</vt:lpstr>
      <vt:lpstr>sch_floodevacdrill_lrnrs_oct</vt:lpstr>
      <vt:lpstr>sch_floodevacdrill_lrnrs_sep</vt:lpstr>
      <vt:lpstr>sch_food_hndlg_canteen_mngd_others_sanitary</vt:lpstr>
      <vt:lpstr>sch_food_hndlg_canteen_mngd_others_specify</vt:lpstr>
      <vt:lpstr>sch_food_hndlg_canteen_mngd_others_validity</vt:lpstr>
      <vt:lpstr>sch_food_hndlg_canteen_mngd_sch_sanitary</vt:lpstr>
      <vt:lpstr>sch_food_hndlg_canteen_mngd_sch_validity</vt:lpstr>
      <vt:lpstr>sch_food_hndlg_canteen_mngd_tchcoop_sanitary</vt:lpstr>
      <vt:lpstr>sch_food_hndlg_canteen_mngd_tchcoop_validity</vt:lpstr>
      <vt:lpstr>sch_functional_earlywarningsystem</vt:lpstr>
      <vt:lpstr>sch_health_ccam_g10</vt:lpstr>
      <vt:lpstr>sch_health_ccam_g7</vt:lpstr>
      <vt:lpstr>sch_health_ccam_g8</vt:lpstr>
      <vt:lpstr>sch_health_ccam_g9</vt:lpstr>
      <vt:lpstr>sch_health_drrm_g10</vt:lpstr>
      <vt:lpstr>sch_health_drrm_g7</vt:lpstr>
      <vt:lpstr>sch_health_drrm_g8</vt:lpstr>
      <vt:lpstr>sch_health_drrm_g9</vt:lpstr>
      <vt:lpstr>sch_health_learners_dewormed_g10_f</vt:lpstr>
      <vt:lpstr>sch_health_learners_dewormed_g10_m</vt:lpstr>
      <vt:lpstr>sch_health_learners_dewormed_g7_f</vt:lpstr>
      <vt:lpstr>sch_health_learners_dewormed_g7_m</vt:lpstr>
      <vt:lpstr>sch_health_learners_dewormed_g8_f</vt:lpstr>
      <vt:lpstr>sch_health_learners_dewormed_g8_m</vt:lpstr>
      <vt:lpstr>sch_health_learners_dewormed_g9_f</vt:lpstr>
      <vt:lpstr>sch_health_learners_dewormed_g9_m</vt:lpstr>
      <vt:lpstr>sch_health_nsh_normal_g10_f</vt:lpstr>
      <vt:lpstr>sch_health_nsh_normal_g10_m</vt:lpstr>
      <vt:lpstr>sch_health_nsh_normal_g7_f</vt:lpstr>
      <vt:lpstr>sch_health_nsh_normal_g7_m</vt:lpstr>
      <vt:lpstr>sch_health_nsh_normal_g8_f</vt:lpstr>
      <vt:lpstr>sch_health_nsh_normal_g8_m</vt:lpstr>
      <vt:lpstr>sch_health_nsh_normal_g9_f</vt:lpstr>
      <vt:lpstr>sch_health_nsh_normal_g9_m</vt:lpstr>
      <vt:lpstr>sch_health_nsh_severelystunted_g10_f</vt:lpstr>
      <vt:lpstr>sch_health_nsh_severelystunted_g10_m</vt:lpstr>
      <vt:lpstr>sch_health_nsh_severelystunted_g7_f</vt:lpstr>
      <vt:lpstr>sch_health_nsh_severelystunted_g7_m</vt:lpstr>
      <vt:lpstr>sch_health_nsh_severelystunted_g8_f</vt:lpstr>
      <vt:lpstr>sch_health_nsh_severelystunted_g8_m</vt:lpstr>
      <vt:lpstr>sch_health_nsh_severelystunted_g9_f</vt:lpstr>
      <vt:lpstr>sch_health_nsh_severelystunted_g9_m</vt:lpstr>
      <vt:lpstr>sch_health_nsh_stunted_g10_f</vt:lpstr>
      <vt:lpstr>sch_health_nsh_stunted_g10_m</vt:lpstr>
      <vt:lpstr>sch_health_nsh_stunted_g7_f</vt:lpstr>
      <vt:lpstr>sch_health_nsh_stunted_g7_m</vt:lpstr>
      <vt:lpstr>sch_health_nsh_stunted_g8_f</vt:lpstr>
      <vt:lpstr>sch_health_nsh_stunted_g8_m</vt:lpstr>
      <vt:lpstr>sch_health_nsh_stunted_g9_f</vt:lpstr>
      <vt:lpstr>sch_health_nsh_stunted_g9_m</vt:lpstr>
      <vt:lpstr>sch_health_nsh_tall_g10_f</vt:lpstr>
      <vt:lpstr>sch_health_nsh_tall_g10_m</vt:lpstr>
      <vt:lpstr>sch_health_nsh_tall_g7_f</vt:lpstr>
      <vt:lpstr>sch_health_nsh_tall_g7_m</vt:lpstr>
      <vt:lpstr>sch_health_nsh_tall_g8_f</vt:lpstr>
      <vt:lpstr>sch_health_nsh_tall_g8_m</vt:lpstr>
      <vt:lpstr>sch_health_nsh_tall_g9_f</vt:lpstr>
      <vt:lpstr>sch_health_nsh_tall_g9_m</vt:lpstr>
      <vt:lpstr>sch_health_nsw_normal_g10_f</vt:lpstr>
      <vt:lpstr>sch_health_nsw_normal_g10_m</vt:lpstr>
      <vt:lpstr>sch_health_nsw_normal_g7_f</vt:lpstr>
      <vt:lpstr>sch_health_nsw_normal_g7_m</vt:lpstr>
      <vt:lpstr>sch_health_nsw_normal_g8_f</vt:lpstr>
      <vt:lpstr>sch_health_nsw_normal_g8_m</vt:lpstr>
      <vt:lpstr>sch_health_nsw_normal_g9_f</vt:lpstr>
      <vt:lpstr>sch_health_nsw_normal_g9_m</vt:lpstr>
      <vt:lpstr>sch_health_nsw_obese_g10_f</vt:lpstr>
      <vt:lpstr>sch_health_nsw_obese_g10_m</vt:lpstr>
      <vt:lpstr>sch_health_nsw_obese_g7_f</vt:lpstr>
      <vt:lpstr>sch_health_nsw_obese_g7_m</vt:lpstr>
      <vt:lpstr>sch_health_nsw_obese_g8_f</vt:lpstr>
      <vt:lpstr>sch_health_nsw_obese_g8_m</vt:lpstr>
      <vt:lpstr>sch_health_nsw_obese_g9_f</vt:lpstr>
      <vt:lpstr>sch_health_nsw_obese_g9_m</vt:lpstr>
      <vt:lpstr>sch_health_nsw_overweight_g10_f</vt:lpstr>
      <vt:lpstr>sch_health_nsw_overweight_g10_m</vt:lpstr>
      <vt:lpstr>sch_health_nsw_overweight_g7_f</vt:lpstr>
      <vt:lpstr>sch_health_nsw_overweight_g7_m</vt:lpstr>
      <vt:lpstr>sch_health_nsw_overweight_g8_f</vt:lpstr>
      <vt:lpstr>sch_health_nsw_overweight_g8_m</vt:lpstr>
      <vt:lpstr>sch_health_nsw_overweight_g9_f</vt:lpstr>
      <vt:lpstr>sch_health_nsw_overweight_g9_m</vt:lpstr>
      <vt:lpstr>sch_health_nsw_severelywasted_g10_f</vt:lpstr>
      <vt:lpstr>sch_health_nsw_severelywasted_g10_m</vt:lpstr>
      <vt:lpstr>sch_health_nsw_severelywasted_g7_f</vt:lpstr>
      <vt:lpstr>sch_health_nsw_severelywasted_g7_m</vt:lpstr>
      <vt:lpstr>sch_health_nsw_severelywasted_g8_f</vt:lpstr>
      <vt:lpstr>sch_health_nsw_severelywasted_g8_m</vt:lpstr>
      <vt:lpstr>sch_health_nsw_severelywasted_g9_f</vt:lpstr>
      <vt:lpstr>sch_health_nsw_severelywasted_g9_m</vt:lpstr>
      <vt:lpstr>sch_health_nsw_wasted_g10_f</vt:lpstr>
      <vt:lpstr>sch_health_nsw_wasted_g10_m</vt:lpstr>
      <vt:lpstr>sch_health_nsw_wasted_g7_f</vt:lpstr>
      <vt:lpstr>sch_health_nsw_wasted_g7_m</vt:lpstr>
      <vt:lpstr>sch_health_nsw_wasted_g8_f</vt:lpstr>
      <vt:lpstr>sch_health_nsw_wasted_g8_m</vt:lpstr>
      <vt:lpstr>sch_health_nsw_wasted_g9_f</vt:lpstr>
      <vt:lpstr>sch_health_nsw_wasted_g9_m</vt:lpstr>
      <vt:lpstr>sch_health_peacebuilding_g10</vt:lpstr>
      <vt:lpstr>sch_health_peacebuilding_g7</vt:lpstr>
      <vt:lpstr>sch_health_peacebuilding_g8</vt:lpstr>
      <vt:lpstr>sch_health_peacebuilding_g9</vt:lpstr>
      <vt:lpstr>sch_health_vacc_measles_g7_f</vt:lpstr>
      <vt:lpstr>sch_health_vacc_measles_g7_m</vt:lpstr>
      <vt:lpstr>sch_health_vacc_tetanus_g7_f</vt:lpstr>
      <vt:lpstr>sch_health_vacc_tetanus_g7_m</vt:lpstr>
      <vt:lpstr>sch_health_wifa_learners_consent_g10</vt:lpstr>
      <vt:lpstr>sch_health_wifa_learners_consent_g7</vt:lpstr>
      <vt:lpstr>sch_health_wifa_learners_consent_g8</vt:lpstr>
      <vt:lpstr>sch_health_wifa_learners_consent_g9</vt:lpstr>
      <vt:lpstr>sch_health_wifa_learners_given_jantomar2020_g10</vt:lpstr>
      <vt:lpstr>sch_health_wifa_learners_given_jantomar2020_g7</vt:lpstr>
      <vt:lpstr>sch_health_wifa_learners_given_jantomar2020_g8</vt:lpstr>
      <vt:lpstr>sch_health_wifa_learners_given_jantomar2020_g9</vt:lpstr>
      <vt:lpstr>sch_health_wifa_learners_given_jultosep2019_g10</vt:lpstr>
      <vt:lpstr>sch_health_wifa_learners_given_jultosep2019_g7</vt:lpstr>
      <vt:lpstr>sch_health_wifa_learners_given_jultosep2019_g8</vt:lpstr>
      <vt:lpstr>sch_health_wifa_learners_given_jultosep2019_g9</vt:lpstr>
      <vt:lpstr>sch_healthsafety_protocol</vt:lpstr>
      <vt:lpstr>sch_id</vt:lpstr>
      <vt:lpstr>sch_identified_evacctr</vt:lpstr>
      <vt:lpstr>sch_identified_quarantinefacility</vt:lpstr>
      <vt:lpstr>sch_implemented_classshifting</vt:lpstr>
      <vt:lpstr>sch_implemented_classshifting_days</vt:lpstr>
      <vt:lpstr>sch_implemented_eimpact</vt:lpstr>
      <vt:lpstr>sch_implemented_eimpact_days</vt:lpstr>
      <vt:lpstr>sch_implemented_homeschool</vt:lpstr>
      <vt:lpstr>sch_implemented_homeschool_days</vt:lpstr>
      <vt:lpstr>sch_implemented_makeupclass</vt:lpstr>
      <vt:lpstr>sch_implemented_makeupclass_days</vt:lpstr>
      <vt:lpstr>sch_implemented_misosa</vt:lpstr>
      <vt:lpstr>sch_implemented_misosa_days</vt:lpstr>
      <vt:lpstr>sch_implemented_modular</vt:lpstr>
      <vt:lpstr>sch_implemented_modular_days</vt:lpstr>
      <vt:lpstr>sch_implemented_nightschool</vt:lpstr>
      <vt:lpstr>sch_implemented_nightschool_days</vt:lpstr>
      <vt:lpstr>sch_implemented_online</vt:lpstr>
      <vt:lpstr>sch_implemented_onlinelearning_days</vt:lpstr>
      <vt:lpstr>sch_implemented_openhighschool</vt:lpstr>
      <vt:lpstr>sch_implemented_openhighschool_days</vt:lpstr>
      <vt:lpstr>sch_implemented_others</vt:lpstr>
      <vt:lpstr>sch_implemented_others_specify</vt:lpstr>
      <vt:lpstr>sch_implemented_peergroup</vt:lpstr>
      <vt:lpstr>sch_implemented_peergrouplearning_days</vt:lpstr>
      <vt:lpstr>sch_implemented_PPA_wprtnr</vt:lpstr>
      <vt:lpstr>sch_implemented_programmed</vt:lpstr>
      <vt:lpstr>sch_implemented_programmedteaching_days</vt:lpstr>
      <vt:lpstr>sch_intercon_isp_subscribe_adminuse_yes</vt:lpstr>
      <vt:lpstr>sch_intercon_isp_subscribe_clinstructionuse_yes</vt:lpstr>
      <vt:lpstr>sch_intercon_isp_subscribe_yes</vt:lpstr>
      <vt:lpstr>sch_intercon_isp_yes</vt:lpstr>
      <vt:lpstr>sch_intercon_isp_yes_bayantel</vt:lpstr>
      <vt:lpstr>sch_intercon_isp_yes_digitel</vt:lpstr>
      <vt:lpstr>sch_intercon_isp_yes_globe</vt:lpstr>
      <vt:lpstr>sch_intercon_isp_yes_other_specify</vt:lpstr>
      <vt:lpstr>sch_intercon_isp_yes_otherspec</vt:lpstr>
      <vt:lpstr>sch_intercon_isp_yes_pldt</vt:lpstr>
      <vt:lpstr>sch_intercon_isp_yes_smart</vt:lpstr>
      <vt:lpstr>sch_intercon_isp_yes_sun</vt:lpstr>
      <vt:lpstr>sch_intercon_isp_yes_witg</vt:lpstr>
      <vt:lpstr>sch_intercon_speedtest_datetested</vt:lpstr>
      <vt:lpstr>sch_intercon_speedtest_download_mbps</vt:lpstr>
      <vt:lpstr>sch_intercon_speedtest_ping_ms</vt:lpstr>
      <vt:lpstr>sch_intercon_speedtest_timetested</vt:lpstr>
      <vt:lpstr>sch_intercon_speedtest_upload_mbps</vt:lpstr>
      <vt:lpstr>sch_iu</vt:lpstr>
      <vt:lpstr>sch_learners_cancercases_cp_bnsc</vt:lpstr>
      <vt:lpstr>sch_learners_cancercases_cp_leuk</vt:lpstr>
      <vt:lpstr>sch_learners_cancercases_cp_othertypes</vt:lpstr>
      <vt:lpstr>sch_learners_cancercases_cs_bnsc</vt:lpstr>
      <vt:lpstr>sch_learners_cancercases_cs_leuk</vt:lpstr>
      <vt:lpstr>sch_learners_cancercases_cs_othertypes</vt:lpstr>
      <vt:lpstr>sch_learners_cancercases_ddc_bnsc</vt:lpstr>
      <vt:lpstr>sch_learners_cancercases_ddc_leuk</vt:lpstr>
      <vt:lpstr>sch_learners_cancercases_ddc_othertypes</vt:lpstr>
      <vt:lpstr>sch_learners_cancercases_lc_bnsc</vt:lpstr>
      <vt:lpstr>sch_learners_cancercases_lc_leuk</vt:lpstr>
      <vt:lpstr>sch_learners_cancercases_lc_othertypes</vt:lpstr>
      <vt:lpstr>sch_learners_impregnator_adm_g10</vt:lpstr>
      <vt:lpstr>sch_learners_impregnator_adm_g7</vt:lpstr>
      <vt:lpstr>sch_learners_impregnator_adm_g8</vt:lpstr>
      <vt:lpstr>sch_learners_impregnator_adm_g9</vt:lpstr>
      <vt:lpstr>sch_learners_impregnator_dropped_g10</vt:lpstr>
      <vt:lpstr>sch_learners_impregnator_dropped_g7</vt:lpstr>
      <vt:lpstr>sch_learners_impregnator_dropped_g8</vt:lpstr>
      <vt:lpstr>sch_learners_impregnator_dropped_g9</vt:lpstr>
      <vt:lpstr>sch_learners_impregnator_inschool_g10</vt:lpstr>
      <vt:lpstr>sch_learners_impregnator_inschool_g7</vt:lpstr>
      <vt:lpstr>sch_learners_impregnator_inschool_g8</vt:lpstr>
      <vt:lpstr>sch_learners_impregnator_inschool_g9</vt:lpstr>
      <vt:lpstr>sch_learners_impregnator_transferredin_g10</vt:lpstr>
      <vt:lpstr>sch_learners_impregnator_transferredin_g7</vt:lpstr>
      <vt:lpstr>sch_learners_impregnator_transferredin_g8</vt:lpstr>
      <vt:lpstr>sch_learners_impregnator_transferredin_g9</vt:lpstr>
      <vt:lpstr>sch_learners_impregnator_transferredout_g10</vt:lpstr>
      <vt:lpstr>sch_learners_impregnator_transferredout_g7</vt:lpstr>
      <vt:lpstr>sch_learners_impregnator_transferredout_g8</vt:lpstr>
      <vt:lpstr>sch_learners_impregnator_transferredout_g9</vt:lpstr>
      <vt:lpstr>sch_learners_pregnant_adm_g10</vt:lpstr>
      <vt:lpstr>sch_learners_pregnant_adm_g7</vt:lpstr>
      <vt:lpstr>sch_learners_pregnant_adm_g8</vt:lpstr>
      <vt:lpstr>sch_learners_pregnant_adm_g9</vt:lpstr>
      <vt:lpstr>sch_learners_pregnant_dropped_g10</vt:lpstr>
      <vt:lpstr>sch_learners_pregnant_dropped_g7</vt:lpstr>
      <vt:lpstr>sch_learners_pregnant_dropped_g8</vt:lpstr>
      <vt:lpstr>sch_learners_pregnant_dropped_g9</vt:lpstr>
      <vt:lpstr>sch_learners_pregnant_inschool_g10</vt:lpstr>
      <vt:lpstr>sch_learners_pregnant_inschool_g7</vt:lpstr>
      <vt:lpstr>sch_learners_pregnant_inschool_g8</vt:lpstr>
      <vt:lpstr>sch_learners_pregnant_inschool_g9</vt:lpstr>
      <vt:lpstr>sch_learners_pregnant_transferredin_g10</vt:lpstr>
      <vt:lpstr>sch_learners_pregnant_transferredin_g7</vt:lpstr>
      <vt:lpstr>sch_learners_pregnant_transferredin_g8</vt:lpstr>
      <vt:lpstr>sch_learners_pregnant_transferredin_g9</vt:lpstr>
      <vt:lpstr>sch_learners_pregnant_transferredout_g10</vt:lpstr>
      <vt:lpstr>sch_learners_pregnant_transferredout_g7</vt:lpstr>
      <vt:lpstr>sch_learners_pregnant_transferredout_g8</vt:lpstr>
      <vt:lpstr>sch_learners_pregnant_transferredout_g9</vt:lpstr>
      <vt:lpstr>sch_learners_repoductivehealth_training_arhc_g10</vt:lpstr>
      <vt:lpstr>sch_learners_repoductivehealth_training_arhc_g7</vt:lpstr>
      <vt:lpstr>sch_learners_repoductivehealth_training_arhc_g8</vt:lpstr>
      <vt:lpstr>sch_learners_repoductivehealth_training_arhc_g9</vt:lpstr>
      <vt:lpstr>sch_learners_repoductivehealth_training_asrh_g10</vt:lpstr>
      <vt:lpstr>sch_learners_repoductivehealth_training_asrh_g7</vt:lpstr>
      <vt:lpstr>sch_learners_repoductivehealth_training_asrh_g8</vt:lpstr>
      <vt:lpstr>sch_learners_repoductivehealth_training_asrh_g9</vt:lpstr>
      <vt:lpstr>sch_learners_repoductivehealth_training_ctc_g10</vt:lpstr>
      <vt:lpstr>sch_learners_repoductivehealth_training_ctc_g7</vt:lpstr>
      <vt:lpstr>sch_learners_repoductivehealth_training_ctc_g8</vt:lpstr>
      <vt:lpstr>sch_learners_repoductivehealth_training_ctc_g9</vt:lpstr>
      <vt:lpstr>sch_learners_repoductivehealth_training_hivaids_g10</vt:lpstr>
      <vt:lpstr>sch_learners_repoductivehealth_training_hivaids_g7</vt:lpstr>
      <vt:lpstr>sch_learners_repoductivehealth_training_hivaids_g8</vt:lpstr>
      <vt:lpstr>sch_learners_repoductivehealth_training_hivaids_g9</vt:lpstr>
      <vt:lpstr>sch_learners_repoductivehealth_training_rcy_g10</vt:lpstr>
      <vt:lpstr>sch_learners_repoductivehealth_training_rcy_g7</vt:lpstr>
      <vt:lpstr>sch_learners_repoductivehealth_training_rcy_g8</vt:lpstr>
      <vt:lpstr>sch_learners_repoductivehealth_training_rcy_g9</vt:lpstr>
      <vt:lpstr>sch_leg_dist</vt:lpstr>
      <vt:lpstr>sch_list_safetynemrgncy_supp</vt:lpstr>
      <vt:lpstr>sch_listofPPE</vt:lpstr>
      <vt:lpstr>sch_listofprtnrs_mobilized</vt:lpstr>
      <vt:lpstr>sch_loc_alongdhway</vt:lpstr>
      <vt:lpstr>sch_loc_bydhillside</vt:lpstr>
      <vt:lpstr>sch_loc_nearcoastline</vt:lpstr>
      <vt:lpstr>sch_loc_nearfaultline</vt:lpstr>
      <vt:lpstr>sch_loc_nearriverwaterway</vt:lpstr>
      <vt:lpstr>sch_loc_onsmallisland</vt:lpstr>
      <vt:lpstr>sch_loc_ontopmountain</vt:lpstr>
      <vt:lpstr>sch_loc_others</vt:lpstr>
      <vt:lpstr>sch_loc_others_specify</vt:lpstr>
      <vt:lpstr>sch_localgroups_mobilized</vt:lpstr>
      <vt:lpstr>sch_lockdown_protocol</vt:lpstr>
      <vt:lpstr>sch_lockdowndrill_apr</vt:lpstr>
      <vt:lpstr>sch_lockdowndrill_aug</vt:lpstr>
      <vt:lpstr>sch_lockdowndrill_dec</vt:lpstr>
      <vt:lpstr>sch_lockdowndrill_feb</vt:lpstr>
      <vt:lpstr>sch_lockdowndrill_jan</vt:lpstr>
      <vt:lpstr>sch_lockdowndrill_jul</vt:lpstr>
      <vt:lpstr>sch_lockdowndrill_jun</vt:lpstr>
      <vt:lpstr>sch_lockdowndrill_mar</vt:lpstr>
      <vt:lpstr>sch_lockdowndrill_may</vt:lpstr>
      <vt:lpstr>sch_lockdowndrill_nov</vt:lpstr>
      <vt:lpstr>sch_lockdowndrill_oct</vt:lpstr>
      <vt:lpstr>sch_lockdowndrill_sep</vt:lpstr>
      <vt:lpstr>sch_mednurservc_learners_examined_g10</vt:lpstr>
      <vt:lpstr>sch_mednurservc_learners_examined_g7</vt:lpstr>
      <vt:lpstr>sch_mednurservc_learners_examined_g8</vt:lpstr>
      <vt:lpstr>sch_mednurservc_learners_examined_g9</vt:lpstr>
      <vt:lpstr>sch_mednurservc_learners_given_internventions_g10</vt:lpstr>
      <vt:lpstr>sch_mednurservc_learners_given_internventions_g7</vt:lpstr>
      <vt:lpstr>sch_mednurservc_learners_given_internventions_g8</vt:lpstr>
      <vt:lpstr>sch_mednurservc_learners_given_internventions_g9</vt:lpstr>
      <vt:lpstr>sch_mednurservc_learners_referred_health_unitsnprofessionals_g10</vt:lpstr>
      <vt:lpstr>sch_mednurservc_learners_referred_health_unitsnprofessionals_g7</vt:lpstr>
      <vt:lpstr>sch_mednurservc_learners_referred_health_unitsnprofessionals_g8</vt:lpstr>
      <vt:lpstr>sch_mednurservc_learners_referred_health_unitsnprofessionals_g9</vt:lpstr>
      <vt:lpstr>sch_mednurservc_learners_wfindings_g10</vt:lpstr>
      <vt:lpstr>sch_mednurservc_learners_wfindings_g7</vt:lpstr>
      <vt:lpstr>sch_mednurservc_learners_wfindings_g8</vt:lpstr>
      <vt:lpstr>sch_mednurservc_learners_wfindings_g9</vt:lpstr>
      <vt:lpstr>sch_menshygiene_avail_sanpads_yes_others_specify</vt:lpstr>
      <vt:lpstr>sch_mh_atpsuicide_learners_aftersy_aug</vt:lpstr>
      <vt:lpstr>sch_mh_atpsuicide_learners_aftersy_jul</vt:lpstr>
      <vt:lpstr>sch_mh_atpsuicide_learners_aftersy_jun</vt:lpstr>
      <vt:lpstr>sch_mh_atpsuicide_learners_duringsy_aug</vt:lpstr>
      <vt:lpstr>sch_mh_atpsuicide_learners_duringsy_nov</vt:lpstr>
      <vt:lpstr>sch_mh_atpsuicide_learners_duringsy_oct</vt:lpstr>
      <vt:lpstr>sch_mh_atpsuicide_learners_duringsy_sep</vt:lpstr>
      <vt:lpstr>sch_mh_atpsuicide_learners_lastsy_apr</vt:lpstr>
      <vt:lpstr>sch_mh_atpsuicide_learners_lastsy_dec</vt:lpstr>
      <vt:lpstr>sch_mh_atpsuicide_learners_lastsy_feb</vt:lpstr>
      <vt:lpstr>sch_mh_atpsuicide_learners_lastsy_jan</vt:lpstr>
      <vt:lpstr>sch_mh_atpsuicide_learners_lastsy_jun</vt:lpstr>
      <vt:lpstr>sch_mh_atpsuicide_learners_lastsy_mar</vt:lpstr>
      <vt:lpstr>sch_mh_atpsuicide_learners_lastsy_may</vt:lpstr>
      <vt:lpstr>sch_mh_atpsuicide_personnel_aftersy_aug</vt:lpstr>
      <vt:lpstr>sch_mh_atpsuicide_personnel_aftersy_jul</vt:lpstr>
      <vt:lpstr>sch_mh_atpsuicide_personnel_aftersy_jun</vt:lpstr>
      <vt:lpstr>sch_mh_atpsuicide_personnel_duringsy_aug</vt:lpstr>
      <vt:lpstr>sch_mh_atpsuicide_personnel_duringsy_nov</vt:lpstr>
      <vt:lpstr>sch_mh_atpsuicide_personnel_duringsy_oct</vt:lpstr>
      <vt:lpstr>sch_mh_atpsuicide_personnel_duringsy_sep</vt:lpstr>
      <vt:lpstr>sch_mh_atpsuicide_personnel_lastsy_apr</vt:lpstr>
      <vt:lpstr>sch_mh_atpsuicide_personnel_lastsy_dec</vt:lpstr>
      <vt:lpstr>sch_mh_atpsuicide_personnel_lastsy_feb</vt:lpstr>
      <vt:lpstr>sch_mh_atpsuicide_personnel_lastsy_jan</vt:lpstr>
      <vt:lpstr>sch_mh_atpsuicide_personnel_lastsy_jun</vt:lpstr>
      <vt:lpstr>sch_mh_atpsuicide_personnel_lastsy_mar</vt:lpstr>
      <vt:lpstr>sch_mh_atpsuicide_personnel_lastsy_may</vt:lpstr>
      <vt:lpstr>sch_mh_celebrated_nmhw</vt:lpstr>
      <vt:lpstr>sch_mh_haveguidance_office</vt:lpstr>
      <vt:lpstr>sch_mh_learners_sought_counseling_g10</vt:lpstr>
      <vt:lpstr>sch_mh_learners_sought_counseling_g7</vt:lpstr>
      <vt:lpstr>sch_mh_learners_sought_counseling_g8</vt:lpstr>
      <vt:lpstr>sch_mh_learners_sought_counseling_g9</vt:lpstr>
      <vt:lpstr>sch_mh_learners_trainings_apb_g10</vt:lpstr>
      <vt:lpstr>sch_mh_learners_trainings_apb_g7</vt:lpstr>
      <vt:lpstr>sch_mh_learners_trainings_apb_g8</vt:lpstr>
      <vt:lpstr>sch_mh_learners_trainings_apb_g9</vt:lpstr>
      <vt:lpstr>sch_mh_learners_trainings_others_g10</vt:lpstr>
      <vt:lpstr>sch_mh_learners_trainings_others_g7</vt:lpstr>
      <vt:lpstr>sch_mh_learners_trainings_others_g8</vt:lpstr>
      <vt:lpstr>sch_mh_learners_trainings_others_g9</vt:lpstr>
      <vt:lpstr>sch_mh_learners_trainings_pfa_g10</vt:lpstr>
      <vt:lpstr>sch_mh_learners_trainings_pfa_g7</vt:lpstr>
      <vt:lpstr>sch_mh_learners_trainings_pfa_g8</vt:lpstr>
      <vt:lpstr>sch_mh_learners_trainings_pfa_g9</vt:lpstr>
      <vt:lpstr>sch_mh_learners_trainings_sc_g10</vt:lpstr>
      <vt:lpstr>sch_mh_learners_trainings_sc_g7</vt:lpstr>
      <vt:lpstr>sch_mh_learners_trainings_sc_g8</vt:lpstr>
      <vt:lpstr>sch_mh_learners_trainings_sc_g9</vt:lpstr>
      <vt:lpstr>sch_mh_learners_trainings_sild_g10</vt:lpstr>
      <vt:lpstr>sch_mh_learners_trainings_sild_g7</vt:lpstr>
      <vt:lpstr>sch_mh_learners_trainings_sild_g8</vt:lpstr>
      <vt:lpstr>sch_mh_learners_trainings_sild_g9</vt:lpstr>
      <vt:lpstr>sch_mh_learners_trainings_sp_g10</vt:lpstr>
      <vt:lpstr>sch_mh_learners_trainings_sp_g7</vt:lpstr>
      <vt:lpstr>sch_mh_learners_trainings_sp_g8</vt:lpstr>
      <vt:lpstr>sch_mh_learners_trainings_sp_g9</vt:lpstr>
      <vt:lpstr>sch_mh_regguidancecouncilor_incharge</vt:lpstr>
      <vt:lpstr>sch_mh_screeningtool_counseling</vt:lpstr>
      <vt:lpstr>sch_mh_suicide_learners_aftersy_aug</vt:lpstr>
      <vt:lpstr>sch_mh_suicide_learners_aftersy_jul</vt:lpstr>
      <vt:lpstr>sch_mh_suicide_learners_aftersy_jun</vt:lpstr>
      <vt:lpstr>sch_mh_suicide_learners_duringsy_aug</vt:lpstr>
      <vt:lpstr>sch_mh_suicide_learners_duringsy_nov</vt:lpstr>
      <vt:lpstr>sch_mh_suicide_learners_duringsy_oct</vt:lpstr>
      <vt:lpstr>sch_mh_suicide_learners_duringsy_sep</vt:lpstr>
      <vt:lpstr>sch_mh_suicide_learners_lastsy_apr</vt:lpstr>
      <vt:lpstr>sch_mh_suicide_learners_lastsy_dec</vt:lpstr>
      <vt:lpstr>sch_mh_suicide_learners_lastsy_feb</vt:lpstr>
      <vt:lpstr>sch_mh_suicide_learners_lastsy_jan</vt:lpstr>
      <vt:lpstr>sch_mh_suicide_learners_lastsy_jun</vt:lpstr>
      <vt:lpstr>sch_mh_suicide_learners_lastsy_mar</vt:lpstr>
      <vt:lpstr>sch_mh_suicide_learners_lastsy_may</vt:lpstr>
      <vt:lpstr>sch_mh_suicide_personnel_aftersy_aug</vt:lpstr>
      <vt:lpstr>sch_mh_suicide_personnel_aftersy_jul</vt:lpstr>
      <vt:lpstr>sch_mh_suicide_personnel_aftersy_jun</vt:lpstr>
      <vt:lpstr>sch_mh_suicide_personnel_duringsy_aug</vt:lpstr>
      <vt:lpstr>sch_mh_suicide_personnel_duringsy_nov</vt:lpstr>
      <vt:lpstr>sch_mh_suicide_personnel_duringsy_oct</vt:lpstr>
      <vt:lpstr>sch_mh_suicide_personnel_duringsy_sep</vt:lpstr>
      <vt:lpstr>sch_mh_suicide_personnel_lastsy_apr</vt:lpstr>
      <vt:lpstr>sch_mh_suicide_personnel_lastsy_dec</vt:lpstr>
      <vt:lpstr>sch_mh_suicide_personnel_lastsy_feb</vt:lpstr>
      <vt:lpstr>sch_mh_suicide_personnel_lastsy_jan</vt:lpstr>
      <vt:lpstr>sch_mh_suicide_personnel_lastsy_jun</vt:lpstr>
      <vt:lpstr>sch_mh_suicide_personnel_lastsy_mar</vt:lpstr>
      <vt:lpstr>sch_mh_suicide_personnel_lastsy_may</vt:lpstr>
      <vt:lpstr>sch_mh_teachers_trainings_apb_g10</vt:lpstr>
      <vt:lpstr>sch_mh_teachers_trainings_apb_g7</vt:lpstr>
      <vt:lpstr>sch_mh_teachers_trainings_apb_g8</vt:lpstr>
      <vt:lpstr>sch_mh_teachers_trainings_apb_g9</vt:lpstr>
      <vt:lpstr>sch_mh_teachers_trainings_others_g10</vt:lpstr>
      <vt:lpstr>sch_mh_teachers_trainings_others_g7</vt:lpstr>
      <vt:lpstr>sch_mh_teachers_trainings_others_g8</vt:lpstr>
      <vt:lpstr>sch_mh_teachers_trainings_others_g9</vt:lpstr>
      <vt:lpstr>sch_mh_teachers_trainings_pfa_g10</vt:lpstr>
      <vt:lpstr>sch_mh_teachers_trainings_pfa_g7</vt:lpstr>
      <vt:lpstr>sch_mh_teachers_trainings_pfa_g8</vt:lpstr>
      <vt:lpstr>sch_mh_teachers_trainings_pfa_g9</vt:lpstr>
      <vt:lpstr>sch_mh_teachers_trainings_sc_g10</vt:lpstr>
      <vt:lpstr>sch_mh_teachers_trainings_sc_g7</vt:lpstr>
      <vt:lpstr>sch_mh_teachers_trainings_sc_g8</vt:lpstr>
      <vt:lpstr>sch_mh_teachers_trainings_sc_g9</vt:lpstr>
      <vt:lpstr>sch_mh_teachers_trainings_sild_g10</vt:lpstr>
      <vt:lpstr>sch_mh_teachers_trainings_sild_g7</vt:lpstr>
      <vt:lpstr>sch_mh_teachers_trainings_sild_g8</vt:lpstr>
      <vt:lpstr>sch_mh_teachers_trainings_sild_g9</vt:lpstr>
      <vt:lpstr>sch_mh_teachers_trainings_sp_g10</vt:lpstr>
      <vt:lpstr>sch_mh_teachers_trainings_sp_g7</vt:lpstr>
      <vt:lpstr>sch_mh_teachers_trainings_sp_g8</vt:lpstr>
      <vt:lpstr>sch_mh_teachers_trainings_sp_g9</vt:lpstr>
      <vt:lpstr>sch_mhpss_inverventions</vt:lpstr>
      <vt:lpstr>sch_mob_no</vt:lpstr>
      <vt:lpstr>sch_moumoa_wlgudswd</vt:lpstr>
      <vt:lpstr>sch_name</vt:lpstr>
      <vt:lpstr>sch_night_cl</vt:lpstr>
      <vt:lpstr>sch_num_funct_computers_acad_desktop_depeddcp</vt:lpstr>
      <vt:lpstr>sch_num_funct_computers_acad_desktop_depednondcp</vt:lpstr>
      <vt:lpstr>sch_num_funct_computers_acad_desktop_lgusef</vt:lpstr>
      <vt:lpstr>sch_num_funct_computers_acad_desktop_othergov</vt:lpstr>
      <vt:lpstr>sch_num_funct_computers_acad_desktop_others</vt:lpstr>
      <vt:lpstr>sch_num_funct_computers_acad_desktop_privatedon</vt:lpstr>
      <vt:lpstr>sch_num_funct_computers_acad_desktop_pta</vt:lpstr>
      <vt:lpstr>sch_num_funct_computers_acad_dvt_depeddcp</vt:lpstr>
      <vt:lpstr>sch_num_funct_computers_acad_dvt_depednondcp</vt:lpstr>
      <vt:lpstr>sch_num_funct_computers_acad_dvt_lgusef</vt:lpstr>
      <vt:lpstr>sch_num_funct_computers_acad_dvt_othergov</vt:lpstr>
      <vt:lpstr>sch_num_funct_computers_acad_dvt_others</vt:lpstr>
      <vt:lpstr>sch_num_funct_computers_acad_dvt_privatedon</vt:lpstr>
      <vt:lpstr>sch_num_funct_computers_acad_dvt_pta</vt:lpstr>
      <vt:lpstr>sch_num_funct_computers_acad_lapel_depeddcp</vt:lpstr>
      <vt:lpstr>sch_num_funct_computers_acad_lapel_depednondcp</vt:lpstr>
      <vt:lpstr>sch_num_funct_computers_acad_lapel_lgusef</vt:lpstr>
      <vt:lpstr>sch_num_funct_computers_acad_lapel_othergov</vt:lpstr>
      <vt:lpstr>sch_num_funct_computers_acad_lapel_others</vt:lpstr>
      <vt:lpstr>sch_num_funct_computers_acad_lapel_privatedon</vt:lpstr>
      <vt:lpstr>sch_num_funct_computers_acad_lapel_pta</vt:lpstr>
      <vt:lpstr>sch_num_funct_computers_acad_ledtv_depeddcp</vt:lpstr>
      <vt:lpstr>sch_num_funct_computers_acad_ledtv_depednondcp</vt:lpstr>
      <vt:lpstr>sch_num_funct_computers_acad_ledtv_lgusef</vt:lpstr>
      <vt:lpstr>sch_num_funct_computers_acad_ledtv_othergov</vt:lpstr>
      <vt:lpstr>sch_num_funct_computers_acad_ledtv_others</vt:lpstr>
      <vt:lpstr>sch_num_funct_computers_acad_ledtv_privatedon</vt:lpstr>
      <vt:lpstr>sch_num_funct_computers_acad_ledtv_pta</vt:lpstr>
      <vt:lpstr>sch_num_funct_computers_acad_netswitch_depeddcp</vt:lpstr>
      <vt:lpstr>sch_num_funct_computers_acad_netswitch_depednondcp</vt:lpstr>
      <vt:lpstr>sch_num_funct_computers_acad_netswitch_lgusef</vt:lpstr>
      <vt:lpstr>sch_num_funct_computers_acad_netswitch_othergov</vt:lpstr>
      <vt:lpstr>sch_num_funct_computers_acad_netswitch_others</vt:lpstr>
      <vt:lpstr>sch_num_funct_computers_acad_netswitch_privatedon</vt:lpstr>
      <vt:lpstr>sch_num_funct_computers_acad_netswitch_pta</vt:lpstr>
      <vt:lpstr>sch_num_funct_computers_acad_notnetbook_depeddcp</vt:lpstr>
      <vt:lpstr>sch_num_funct_computers_acad_notnetbook_depednondcp</vt:lpstr>
      <vt:lpstr>sch_num_funct_computers_acad_notnetbook_lgusef</vt:lpstr>
      <vt:lpstr>sch_num_funct_computers_acad_notnetbook_othergov</vt:lpstr>
      <vt:lpstr>sch_num_funct_computers_acad_notnetbook_others</vt:lpstr>
      <vt:lpstr>sch_num_funct_computers_acad_notnetbook_privatedon</vt:lpstr>
      <vt:lpstr>sch_num_funct_computers_acad_notnetbook_pta</vt:lpstr>
      <vt:lpstr>sch_num_funct_computers_acad_printer_depeddcp</vt:lpstr>
      <vt:lpstr>sch_num_funct_computers_acad_printer_depednondcp</vt:lpstr>
      <vt:lpstr>sch_num_funct_computers_acad_printer_lgusef</vt:lpstr>
      <vt:lpstr>sch_num_funct_computers_acad_printer_othergov</vt:lpstr>
      <vt:lpstr>sch_num_funct_computers_acad_printer_others</vt:lpstr>
      <vt:lpstr>sch_num_funct_computers_acad_printer_privatedon</vt:lpstr>
      <vt:lpstr>sch_num_funct_computers_acad_printer_pta</vt:lpstr>
      <vt:lpstr>sch_num_funct_computers_acad_projector_depeddcp</vt:lpstr>
      <vt:lpstr>sch_num_funct_computers_acad_projector_depednondcp</vt:lpstr>
      <vt:lpstr>sch_num_funct_computers_acad_projector_lgusef</vt:lpstr>
      <vt:lpstr>sch_num_funct_computers_acad_projector_othergov</vt:lpstr>
      <vt:lpstr>sch_num_funct_computers_acad_projector_others</vt:lpstr>
      <vt:lpstr>sch_num_funct_computers_acad_projector_privatedon</vt:lpstr>
      <vt:lpstr>sch_num_funct_computers_acad_projector_pta</vt:lpstr>
      <vt:lpstr>sch_num_funct_computers_acad_router_depeddcp</vt:lpstr>
      <vt:lpstr>sch_num_funct_computers_acad_router_depednondcp</vt:lpstr>
      <vt:lpstr>sch_num_funct_computers_acad_router_lgusef</vt:lpstr>
      <vt:lpstr>sch_num_funct_computers_acad_router_othergov</vt:lpstr>
      <vt:lpstr>sch_num_funct_computers_acad_router_others</vt:lpstr>
      <vt:lpstr>sch_num_funct_computers_acad_router_privatedon</vt:lpstr>
      <vt:lpstr>sch_num_funct_computers_acad_router_pta</vt:lpstr>
      <vt:lpstr>sch_num_funct_computers_acad_tablet_depeddcp</vt:lpstr>
      <vt:lpstr>sch_num_funct_computers_acad_tablet_depednondcp</vt:lpstr>
      <vt:lpstr>sch_num_funct_computers_acad_tablet_lgusef</vt:lpstr>
      <vt:lpstr>sch_num_funct_computers_acad_tablet_othergov</vt:lpstr>
      <vt:lpstr>sch_num_funct_computers_acad_tablet_others</vt:lpstr>
      <vt:lpstr>sch_num_funct_computers_acad_tablet_privatedon</vt:lpstr>
      <vt:lpstr>sch_num_funct_computers_acad_tablet_pta</vt:lpstr>
      <vt:lpstr>sch_num_funct_computers_acad_tabletpc_depeddcp</vt:lpstr>
      <vt:lpstr>sch_num_funct_computers_acad_tabletpc_depednondcp</vt:lpstr>
      <vt:lpstr>sch_num_funct_computers_acad_tabletpc_lgusef</vt:lpstr>
      <vt:lpstr>sch_num_funct_computers_acad_tabletpc_othergov</vt:lpstr>
      <vt:lpstr>sch_num_funct_computers_acad_tabletpc_others</vt:lpstr>
      <vt:lpstr>sch_num_funct_computers_acad_tabletpc_privatedon</vt:lpstr>
      <vt:lpstr>sch_num_funct_computers_acad_tabletpc_pta</vt:lpstr>
      <vt:lpstr>sch_num_funct_computers_acad_ups_depeddcp</vt:lpstr>
      <vt:lpstr>sch_num_funct_computers_acad_ups_depednondcp</vt:lpstr>
      <vt:lpstr>sch_num_funct_computers_acad_ups_lgusef</vt:lpstr>
      <vt:lpstr>sch_num_funct_computers_acad_ups_othergov</vt:lpstr>
      <vt:lpstr>sch_num_funct_computers_acad_ups_others</vt:lpstr>
      <vt:lpstr>sch_num_funct_computers_acad_ups_privatedon</vt:lpstr>
      <vt:lpstr>sch_num_funct_computers_acad_ups_pta</vt:lpstr>
      <vt:lpstr>sch_num_funct_computers_admin_desktop_depeddcp</vt:lpstr>
      <vt:lpstr>sch_num_funct_computers_admin_desktop_depednondcp</vt:lpstr>
      <vt:lpstr>sch_num_funct_computers_admin_desktop_lgusef</vt:lpstr>
      <vt:lpstr>sch_num_funct_computers_admin_desktop_othergov</vt:lpstr>
      <vt:lpstr>sch_num_funct_computers_admin_desktop_others</vt:lpstr>
      <vt:lpstr>sch_num_funct_computers_admin_desktop_privatedon</vt:lpstr>
      <vt:lpstr>sch_num_funct_computers_admin_desktop_pta</vt:lpstr>
      <vt:lpstr>sch_num_funct_computers_admin_dvt_depeddcp</vt:lpstr>
      <vt:lpstr>sch_num_funct_computers_admin_dvt_depednondcp</vt:lpstr>
      <vt:lpstr>sch_num_funct_computers_admin_dvt_lgusef</vt:lpstr>
      <vt:lpstr>sch_num_funct_computers_admin_dvt_othergov</vt:lpstr>
      <vt:lpstr>sch_num_funct_computers_admin_dvt_others</vt:lpstr>
      <vt:lpstr>sch_num_funct_computers_admin_dvt_privatedon</vt:lpstr>
      <vt:lpstr>sch_num_funct_computers_admin_dvt_pta</vt:lpstr>
      <vt:lpstr>sch_num_funct_computers_admin_ledtv_depeddcp</vt:lpstr>
      <vt:lpstr>sch_num_funct_computers_admin_ledtv_depednondcp</vt:lpstr>
      <vt:lpstr>sch_num_funct_computers_admin_ledtv_lgusef</vt:lpstr>
      <vt:lpstr>sch_num_funct_computers_admin_ledtv_othergov</vt:lpstr>
      <vt:lpstr>sch_num_funct_computers_admin_ledtv_others</vt:lpstr>
      <vt:lpstr>sch_num_funct_computers_admin_ledtv_privatedon</vt:lpstr>
      <vt:lpstr>sch_num_funct_computers_admin_ledtv_pta</vt:lpstr>
      <vt:lpstr>sch_num_funct_computers_admin_netswitch_depeddcp</vt:lpstr>
      <vt:lpstr>sch_num_funct_computers_admin_netswitch_depednondcp</vt:lpstr>
      <vt:lpstr>sch_num_funct_computers_admin_netswitch_lgusef</vt:lpstr>
      <vt:lpstr>sch_num_funct_computers_admin_netswitch_othergov</vt:lpstr>
      <vt:lpstr>sch_num_funct_computers_admin_netswitch_others</vt:lpstr>
      <vt:lpstr>sch_num_funct_computers_admin_netswitch_privatedon</vt:lpstr>
      <vt:lpstr>sch_num_funct_computers_admin_netswitch_pta</vt:lpstr>
      <vt:lpstr>sch_num_funct_computers_admin_notnetbook_depeddcp</vt:lpstr>
      <vt:lpstr>sch_num_funct_computers_admin_notnetbook_depednondcp</vt:lpstr>
      <vt:lpstr>sch_num_funct_computers_admin_notnetbook_lgusef</vt:lpstr>
      <vt:lpstr>sch_num_funct_computers_admin_notnetbook_othergov</vt:lpstr>
      <vt:lpstr>sch_num_funct_computers_admin_notnetbook_others</vt:lpstr>
      <vt:lpstr>sch_num_funct_computers_admin_notnetbook_privatedon</vt:lpstr>
      <vt:lpstr>sch_num_funct_computers_admin_notnetbook_pta</vt:lpstr>
      <vt:lpstr>sch_num_funct_computers_admin_printer_depeddcp</vt:lpstr>
      <vt:lpstr>sch_num_funct_computers_admin_printer_depednondcp</vt:lpstr>
      <vt:lpstr>sch_num_funct_computers_admin_printer_lgusef</vt:lpstr>
      <vt:lpstr>sch_num_funct_computers_admin_printer_othergov</vt:lpstr>
      <vt:lpstr>sch_num_funct_computers_admin_printer_others</vt:lpstr>
      <vt:lpstr>sch_num_funct_computers_admin_printer_privatedon</vt:lpstr>
      <vt:lpstr>sch_num_funct_computers_admin_printer_pta</vt:lpstr>
      <vt:lpstr>sch_num_funct_computers_admin_projector_depeddcp</vt:lpstr>
      <vt:lpstr>sch_num_funct_computers_admin_projector_depednondcp</vt:lpstr>
      <vt:lpstr>sch_num_funct_computers_admin_projector_lgusef</vt:lpstr>
      <vt:lpstr>sch_num_funct_computers_admin_projector_othergov</vt:lpstr>
      <vt:lpstr>sch_num_funct_computers_admin_projector_others</vt:lpstr>
      <vt:lpstr>sch_num_funct_computers_admin_projector_privatedon</vt:lpstr>
      <vt:lpstr>sch_num_funct_computers_admin_projector_pta</vt:lpstr>
      <vt:lpstr>sch_num_funct_computers_admin_router_depeddcp</vt:lpstr>
      <vt:lpstr>sch_num_funct_computers_admin_router_depednondcp</vt:lpstr>
      <vt:lpstr>sch_num_funct_computers_admin_router_lgusef</vt:lpstr>
      <vt:lpstr>sch_num_funct_computers_admin_router_othergov</vt:lpstr>
      <vt:lpstr>sch_num_funct_computers_admin_router_others</vt:lpstr>
      <vt:lpstr>sch_num_funct_computers_admin_router_privatedon</vt:lpstr>
      <vt:lpstr>sch_num_funct_computers_admin_router_pta</vt:lpstr>
      <vt:lpstr>sch_num_funct_computers_admin_tablet_depeddcp</vt:lpstr>
      <vt:lpstr>sch_num_funct_computers_admin_tablet_depednondcp</vt:lpstr>
      <vt:lpstr>sch_num_funct_computers_admin_tablet_lgusef</vt:lpstr>
      <vt:lpstr>sch_num_funct_computers_admin_tablet_othergov</vt:lpstr>
      <vt:lpstr>sch_num_funct_computers_admin_tablet_others</vt:lpstr>
      <vt:lpstr>sch_num_funct_computers_admin_tablet_privatedon</vt:lpstr>
      <vt:lpstr>sch_num_funct_computers_admin_tablet_pta</vt:lpstr>
      <vt:lpstr>sch_num_funct_computers_admin_tabletpc_depeddcp</vt:lpstr>
      <vt:lpstr>sch_num_funct_computers_admin_tabletpc_depednondcp</vt:lpstr>
      <vt:lpstr>sch_num_funct_computers_admin_tabletpc_lgusef</vt:lpstr>
      <vt:lpstr>sch_num_funct_computers_admin_tabletpc_othergov</vt:lpstr>
      <vt:lpstr>sch_num_funct_computers_admin_tabletpc_others</vt:lpstr>
      <vt:lpstr>sch_num_funct_computers_admin_tabletpc_privatedon</vt:lpstr>
      <vt:lpstr>sch_num_funct_computers_admin_tabletpc_pta</vt:lpstr>
      <vt:lpstr>sch_num_funct_computers_admin_ups_depeddcp</vt:lpstr>
      <vt:lpstr>sch_num_funct_computers_admin_ups_depednondcp</vt:lpstr>
      <vt:lpstr>sch_num_funct_computers_admin_ups_lgusef</vt:lpstr>
      <vt:lpstr>sch_num_funct_computers_admin_ups_othergov</vt:lpstr>
      <vt:lpstr>sch_num_funct_computers_admin_ups_others</vt:lpstr>
      <vt:lpstr>sch_num_funct_computers_admin_ups_privatedon</vt:lpstr>
      <vt:lpstr>sch_num_funct_computers_admin_ups_pta</vt:lpstr>
      <vt:lpstr>sch_number_PPA_partner</vt:lpstr>
      <vt:lpstr>sch_number_prtnrs_mobilized_armed</vt:lpstr>
      <vt:lpstr>sch_number_prtnrs_mobilized_disaster</vt:lpstr>
      <vt:lpstr>sch_number_training_personnel</vt:lpstr>
      <vt:lpstr>sch_oksadeped_fbpage_specify</vt:lpstr>
      <vt:lpstr>sch_oksadeped_fbpage_yes</vt:lpstr>
      <vt:lpstr>sch_oksadeped_prevsy</vt:lpstr>
      <vt:lpstr>sch_oksadeped_yes</vt:lpstr>
      <vt:lpstr>sch_opmaintsanitfac_sanitfacclean_avg_mthly_bills</vt:lpstr>
      <vt:lpstr>sch_opmaintsanitfac_sanitfacclean_pay_mthly_bills_others_specify</vt:lpstr>
      <vt:lpstr>sch_oral_health_learners_examined_g10</vt:lpstr>
      <vt:lpstr>sch_oral_health_learners_examined_g7</vt:lpstr>
      <vt:lpstr>sch_oral_health_learners_examined_g8</vt:lpstr>
      <vt:lpstr>sch_oral_health_learners_examined_g9</vt:lpstr>
      <vt:lpstr>sch_oral_health_learners_wdental_anomalies_g10</vt:lpstr>
      <vt:lpstr>sch_oral_health_learners_wdental_anomalies_g7</vt:lpstr>
      <vt:lpstr>sch_oral_health_learners_wdental_anomalies_g8</vt:lpstr>
      <vt:lpstr>sch_oral_health_learners_wdental_anomalies_g9</vt:lpstr>
      <vt:lpstr>sch_oral_health_learners_wdmft_permanent_g10</vt:lpstr>
      <vt:lpstr>sch_oral_health_learners_wdmft_permanent_g7</vt:lpstr>
      <vt:lpstr>sch_oral_health_learners_wdmft_permanent_g8</vt:lpstr>
      <vt:lpstr>sch_oral_health_learners_wdmft_permanent_g9</vt:lpstr>
      <vt:lpstr>sch_oral_health_learners_wdmft_temporary_g10</vt:lpstr>
      <vt:lpstr>sch_oral_health_learners_wdmft_temporary_g7</vt:lpstr>
      <vt:lpstr>sch_oral_health_learners_wdmft_temporary_g8</vt:lpstr>
      <vt:lpstr>sch_oral_health_learners_wdmft_temporary_g9</vt:lpstr>
      <vt:lpstr>sch_oral_health_learners_wgum_disease_g10</vt:lpstr>
      <vt:lpstr>sch_oral_health_learners_wgum_disease_g7</vt:lpstr>
      <vt:lpstr>sch_oral_health_learners_wgum_disease_g8</vt:lpstr>
      <vt:lpstr>sch_oral_health_learners_wgum_disease_g9</vt:lpstr>
      <vt:lpstr>sch_oral_health_num_dmft_permanent_g10</vt:lpstr>
      <vt:lpstr>sch_oral_health_num_dmft_permanent_g7</vt:lpstr>
      <vt:lpstr>sch_oral_health_num_dmft_permanent_g8</vt:lpstr>
      <vt:lpstr>sch_oral_health_num_dmft_permanent_g9</vt:lpstr>
      <vt:lpstr>sch_oral_health_num_dmft_temporary_g10</vt:lpstr>
      <vt:lpstr>sch_oral_health_num_dmft_temporary_g7</vt:lpstr>
      <vt:lpstr>sch_oral_health_num_dmft_temporary_g8</vt:lpstr>
      <vt:lpstr>sch_oral_health_num_dmft_temporary_g9</vt:lpstr>
      <vt:lpstr>sch_others_ccam_g10</vt:lpstr>
      <vt:lpstr>sch_others_ccam_g7</vt:lpstr>
      <vt:lpstr>sch_others_ccam_g8</vt:lpstr>
      <vt:lpstr>sch_others_ccam_g9</vt:lpstr>
      <vt:lpstr>sch_others_drrm_g10</vt:lpstr>
      <vt:lpstr>sch_others_drrm_g7</vt:lpstr>
      <vt:lpstr>sch_others_drrm_g8</vt:lpstr>
      <vt:lpstr>sch_others_drrm_g9</vt:lpstr>
      <vt:lpstr>sch_others_peacebuilding_g10</vt:lpstr>
      <vt:lpstr>sch_others_peacebuilding_g7</vt:lpstr>
      <vt:lpstr>sch_others_peacebuilding_g8</vt:lpstr>
      <vt:lpstr>sch_others_peacebuilding_g9</vt:lpstr>
      <vt:lpstr>sch_participated_diffdrrm</vt:lpstr>
      <vt:lpstr>sch_pe_ccam_g10</vt:lpstr>
      <vt:lpstr>sch_pe_ccam_g7</vt:lpstr>
      <vt:lpstr>sch_pe_ccam_g8</vt:lpstr>
      <vt:lpstr>sch_pe_ccam_g9</vt:lpstr>
      <vt:lpstr>sch_pe_drrm_g10</vt:lpstr>
      <vt:lpstr>sch_pe_drrm_g7</vt:lpstr>
      <vt:lpstr>sch_pe_drrm_g8</vt:lpstr>
      <vt:lpstr>sch_pe_drrm_g9</vt:lpstr>
      <vt:lpstr>sch_pe_peacebuilding_g10</vt:lpstr>
      <vt:lpstr>sch_pe_peacebuilding_g7</vt:lpstr>
      <vt:lpstr>sch_pe_peacebuilding_g8</vt:lpstr>
      <vt:lpstr>sch_pe_peacebuilding_g9</vt:lpstr>
      <vt:lpstr>sch_personnel_cancercases_cp_breast</vt:lpstr>
      <vt:lpstr>sch_personnel_cancercases_cp_lung</vt:lpstr>
      <vt:lpstr>sch_personnel_cancercases_cp_othertypes</vt:lpstr>
      <vt:lpstr>sch_personnel_cancercases_cs_breast</vt:lpstr>
      <vt:lpstr>sch_personnel_cancercases_cs_lung</vt:lpstr>
      <vt:lpstr>sch_personnel_cancercases_cs_othertypes</vt:lpstr>
      <vt:lpstr>sch_personnel_cancercases_ddc_breast</vt:lpstr>
      <vt:lpstr>sch_personnel_cancercases_ddc_lung</vt:lpstr>
      <vt:lpstr>sch_personnel_cancercases_ddc_othertypes</vt:lpstr>
      <vt:lpstr>sch_personnel_cancercases_lc_breast</vt:lpstr>
      <vt:lpstr>sch_personnel_cancercases_lc_lung</vt:lpstr>
      <vt:lpstr>sch_personnel_cancercases_lc_othertypes</vt:lpstr>
      <vt:lpstr>sch_planning_officer</vt:lpstr>
      <vt:lpstr>sch_presented_FEPPtoLGUPTA</vt:lpstr>
      <vt:lpstr>sch_prev_name</vt:lpstr>
      <vt:lpstr>sch_provided_safetysupp</vt:lpstr>
      <vt:lpstr>sch_RADAR_DRRMS</vt:lpstr>
      <vt:lpstr>sch_rcvd_feedback_mechanism</vt:lpstr>
      <vt:lpstr>sch_rcvd_replacement_dcp</vt:lpstr>
      <vt:lpstr>sch_rcvd_replacement_furniture</vt:lpstr>
      <vt:lpstr>sch_rcvd_replacement_learnresources</vt:lpstr>
      <vt:lpstr>sch_recovery_measures</vt:lpstr>
      <vt:lpstr>sch_region</vt:lpstr>
      <vt:lpstr>sch_resumption_strat_armedconflict</vt:lpstr>
      <vt:lpstr>sch_resumption_strat_nathazard</vt:lpstr>
      <vt:lpstr>sch_resumption_strats</vt:lpstr>
      <vt:lpstr>sch_sci_hs</vt:lpstr>
      <vt:lpstr>sch_science_ccam_g10</vt:lpstr>
      <vt:lpstr>sch_science_ccam_g7</vt:lpstr>
      <vt:lpstr>sch_science_ccam_g8</vt:lpstr>
      <vt:lpstr>sch_science_ccam_g9</vt:lpstr>
      <vt:lpstr>sch_science_drrm_g10</vt:lpstr>
      <vt:lpstr>sch_science_drrm_g7</vt:lpstr>
      <vt:lpstr>sch_science_drrm_g8</vt:lpstr>
      <vt:lpstr>sch_science_drrm_g9</vt:lpstr>
      <vt:lpstr>sch_science_peacebuilding_g10</vt:lpstr>
      <vt:lpstr>sch_science_peacebuilding_g7</vt:lpstr>
      <vt:lpstr>sch_science_peacebuilding_g8</vt:lpstr>
      <vt:lpstr>sch_science_peacebuilding_g9</vt:lpstr>
      <vt:lpstr>sch_sgp_ssgadviser_yes_yrs_advisers</vt:lpstr>
      <vt:lpstr>sch_sp_se_num_coaches_aerogymn</vt:lpstr>
      <vt:lpstr>sch_sp_se_num_coaches_archery</vt:lpstr>
      <vt:lpstr>sch_sp_se_num_coaches_arnis</vt:lpstr>
      <vt:lpstr>sch_sp_se_num_coaches_athlthrow</vt:lpstr>
      <vt:lpstr>sch_sp_se_num_coaches_athltrun</vt:lpstr>
      <vt:lpstr>sch_sp_se_num_coaches_badminton</vt:lpstr>
      <vt:lpstr>sch_sp_se_num_coaches_baseball</vt:lpstr>
      <vt:lpstr>sch_sp_se_num_coaches_basketball</vt:lpstr>
      <vt:lpstr>sch_sp_se_num_coaches_billard</vt:lpstr>
      <vt:lpstr>sch_sp_se_num_coaches_bocce</vt:lpstr>
      <vt:lpstr>sch_sp_se_num_coaches_boxing</vt:lpstr>
      <vt:lpstr>sch_sp_se_num_coaches_chess</vt:lpstr>
      <vt:lpstr>sch_sp_se_num_coaches_dancesports</vt:lpstr>
      <vt:lpstr>sch_sp_se_num_coaches_football</vt:lpstr>
      <vt:lpstr>sch_sp_se_num_coaches_futsal</vt:lpstr>
      <vt:lpstr>sch_sp_se_num_coaches_goalball</vt:lpstr>
      <vt:lpstr>sch_sp_se_num_coaches_mag</vt:lpstr>
      <vt:lpstr>sch_sp_se_num_coaches_pencaksilat</vt:lpstr>
      <vt:lpstr>sch_sp_se_num_coaches_rg</vt:lpstr>
      <vt:lpstr>sch_sp_se_num_coaches_sepaktakraw</vt:lpstr>
      <vt:lpstr>sch_sp_se_num_coaches_softball</vt:lpstr>
      <vt:lpstr>sch_sp_se_num_coaches_swimming</vt:lpstr>
      <vt:lpstr>sch_sp_se_num_coaches_tabletennis</vt:lpstr>
      <vt:lpstr>sch_sp_se_num_coaches_taekwondo</vt:lpstr>
      <vt:lpstr>sch_sp_se_num_coaches_tennis</vt:lpstr>
      <vt:lpstr>sch_sp_se_num_coaches_volleyball</vt:lpstr>
      <vt:lpstr>sch_sp_se_num_coaches_wag</vt:lpstr>
      <vt:lpstr>sch_sp_se_num_coaches_wrestling</vt:lpstr>
      <vt:lpstr>sch_sp_se_num_coaches_wushu</vt:lpstr>
      <vt:lpstr>sch_sp_se_num_nonpeteachss_aerogymn</vt:lpstr>
      <vt:lpstr>sch_sp_se_num_nonpeteachss_archery</vt:lpstr>
      <vt:lpstr>sch_sp_se_num_nonpeteachss_arnis</vt:lpstr>
      <vt:lpstr>sch_sp_se_num_nonpeteachss_athlthrow</vt:lpstr>
      <vt:lpstr>sch_sp_se_num_nonpeteachss_athltrun</vt:lpstr>
      <vt:lpstr>sch_sp_se_num_nonpeteachss_badminton</vt:lpstr>
      <vt:lpstr>sch_sp_se_num_nonpeteachss_baseball</vt:lpstr>
      <vt:lpstr>sch_sp_se_num_nonpeteachss_basketball</vt:lpstr>
      <vt:lpstr>sch_sp_se_num_nonpeteachss_billard</vt:lpstr>
      <vt:lpstr>sch_sp_se_num_nonpeteachss_bocce</vt:lpstr>
      <vt:lpstr>sch_sp_se_num_nonpeteachss_boxing</vt:lpstr>
      <vt:lpstr>sch_sp_se_num_nonpeteachss_chess</vt:lpstr>
      <vt:lpstr>sch_sp_se_num_nonpeteachss_dancesports</vt:lpstr>
      <vt:lpstr>sch_sp_se_num_nonpeteachss_football</vt:lpstr>
      <vt:lpstr>sch_sp_se_num_nonpeteachss_futsal</vt:lpstr>
      <vt:lpstr>sch_sp_se_num_nonpeteachss_goalball</vt:lpstr>
      <vt:lpstr>sch_sp_se_num_nonpeteachss_mag</vt:lpstr>
      <vt:lpstr>sch_sp_se_num_nonpeteachss_pencaksilat</vt:lpstr>
      <vt:lpstr>sch_sp_se_num_nonpeteachss_rg</vt:lpstr>
      <vt:lpstr>sch_sp_se_num_nonpeteachss_sepaktakraw</vt:lpstr>
      <vt:lpstr>sch_sp_se_num_nonpeteachss_softball</vt:lpstr>
      <vt:lpstr>sch_sp_se_num_nonpeteachss_swimming</vt:lpstr>
      <vt:lpstr>sch_sp_se_num_nonpeteachss_tabletennis</vt:lpstr>
      <vt:lpstr>sch_sp_se_num_nonpeteachss_taekwondo</vt:lpstr>
      <vt:lpstr>sch_sp_se_num_nonpeteachss_tennis</vt:lpstr>
      <vt:lpstr>sch_sp_se_num_nonpeteachss_volleyball</vt:lpstr>
      <vt:lpstr>sch_sp_se_num_nonpeteachss_wag</vt:lpstr>
      <vt:lpstr>sch_sp_se_num_nonpeteachss_wrestling</vt:lpstr>
      <vt:lpstr>sch_sp_se_num_nonpeteachss_wushu</vt:lpstr>
      <vt:lpstr>sch_sp_se_num_nonteachpss_aerogymn</vt:lpstr>
      <vt:lpstr>sch_sp_se_num_nonteachpss_archery</vt:lpstr>
      <vt:lpstr>sch_sp_se_num_nonteachpss_arnis</vt:lpstr>
      <vt:lpstr>sch_sp_se_num_nonteachpss_athlthrow</vt:lpstr>
      <vt:lpstr>sch_sp_se_num_nonteachpss_athltrun</vt:lpstr>
      <vt:lpstr>sch_sp_se_num_nonteachpss_badminton</vt:lpstr>
      <vt:lpstr>sch_sp_se_num_nonteachpss_baseball</vt:lpstr>
      <vt:lpstr>sch_sp_se_num_nonteachpss_basketball</vt:lpstr>
      <vt:lpstr>sch_sp_se_num_nonteachpss_billard</vt:lpstr>
      <vt:lpstr>sch_sp_se_num_nonteachpss_bocce</vt:lpstr>
      <vt:lpstr>sch_sp_se_num_nonteachpss_boxing</vt:lpstr>
      <vt:lpstr>sch_sp_se_num_nonteachpss_chess</vt:lpstr>
      <vt:lpstr>sch_sp_se_num_nonteachpss_dancesports</vt:lpstr>
      <vt:lpstr>sch_sp_se_num_nonteachpss_football</vt:lpstr>
      <vt:lpstr>sch_sp_se_num_nonteachpss_futsal</vt:lpstr>
      <vt:lpstr>sch_sp_se_num_nonteachpss_goalball</vt:lpstr>
      <vt:lpstr>sch_sp_se_num_nonteachpss_mag</vt:lpstr>
      <vt:lpstr>sch_sp_se_num_nonteachpss_pencaksilat</vt:lpstr>
      <vt:lpstr>sch_sp_se_num_nonteachpss_rg</vt:lpstr>
      <vt:lpstr>sch_sp_se_num_nonteachpss_sepaktakraw</vt:lpstr>
      <vt:lpstr>sch_sp_se_num_nonteachpss_softball</vt:lpstr>
      <vt:lpstr>sch_sp_se_num_nonteachpss_swimming</vt:lpstr>
      <vt:lpstr>sch_sp_se_num_nonteachpss_tabletennis</vt:lpstr>
      <vt:lpstr>sch_sp_se_num_nonteachpss_taekwondo</vt:lpstr>
      <vt:lpstr>sch_sp_se_num_nonteachpss_tennis</vt:lpstr>
      <vt:lpstr>sch_sp_se_num_nonteachpss_volleyball</vt:lpstr>
      <vt:lpstr>sch_sp_se_num_nonteachpss_wag</vt:lpstr>
      <vt:lpstr>sch_sp_se_num_nonteachpss_wrestling</vt:lpstr>
      <vt:lpstr>sch_sp_se_num_nonteachpss_wushu</vt:lpstr>
      <vt:lpstr>sch_sp_se_num_officials_aerogymn</vt:lpstr>
      <vt:lpstr>sch_sp_se_num_officials_archery</vt:lpstr>
      <vt:lpstr>sch_sp_se_num_officials_arnis</vt:lpstr>
      <vt:lpstr>sch_sp_se_num_officials_athlthrow</vt:lpstr>
      <vt:lpstr>sch_sp_se_num_officials_athltrun</vt:lpstr>
      <vt:lpstr>sch_sp_se_num_officials_badminton</vt:lpstr>
      <vt:lpstr>sch_sp_se_num_officials_baseball</vt:lpstr>
      <vt:lpstr>sch_sp_se_num_officials_basketball</vt:lpstr>
      <vt:lpstr>sch_sp_se_num_officials_billard</vt:lpstr>
      <vt:lpstr>sch_sp_se_num_officials_bocce</vt:lpstr>
      <vt:lpstr>sch_sp_se_num_officials_boxing</vt:lpstr>
      <vt:lpstr>sch_sp_se_num_officials_chess</vt:lpstr>
      <vt:lpstr>sch_sp_se_num_officials_dancesports</vt:lpstr>
      <vt:lpstr>sch_sp_se_num_officials_football</vt:lpstr>
      <vt:lpstr>sch_sp_se_num_officials_futsal</vt:lpstr>
      <vt:lpstr>sch_sp_se_num_officials_goalball</vt:lpstr>
      <vt:lpstr>sch_sp_se_num_officials_mag</vt:lpstr>
      <vt:lpstr>sch_sp_se_num_officials_pencaksilat</vt:lpstr>
      <vt:lpstr>sch_sp_se_num_officials_rg</vt:lpstr>
      <vt:lpstr>sch_sp_se_num_officials_sepaktakraw</vt:lpstr>
      <vt:lpstr>sch_sp_se_num_officials_softball</vt:lpstr>
      <vt:lpstr>sch_sp_se_num_officials_swimming</vt:lpstr>
      <vt:lpstr>sch_sp_se_num_officials_tabletennis</vt:lpstr>
      <vt:lpstr>sch_sp_se_num_officials_taekwondo</vt:lpstr>
      <vt:lpstr>sch_sp_se_num_officials_tennis</vt:lpstr>
      <vt:lpstr>sch_sp_se_num_officials_volleyball</vt:lpstr>
      <vt:lpstr>sch_sp_se_num_officials_wag</vt:lpstr>
      <vt:lpstr>sch_sp_se_num_officials_wrestling</vt:lpstr>
      <vt:lpstr>sch_sp_se_num_officials_wushu</vt:lpstr>
      <vt:lpstr>sch_sp_se_num_peteachss_aerogymn</vt:lpstr>
      <vt:lpstr>sch_sp_se_num_peteachss_archery</vt:lpstr>
      <vt:lpstr>sch_sp_se_num_peteachss_arnis</vt:lpstr>
      <vt:lpstr>sch_sp_se_num_peteachss_athlthrow</vt:lpstr>
      <vt:lpstr>sch_sp_se_num_peteachss_athltrun</vt:lpstr>
      <vt:lpstr>sch_sp_se_num_peteachss_badminton</vt:lpstr>
      <vt:lpstr>sch_sp_se_num_peteachss_baseball</vt:lpstr>
      <vt:lpstr>sch_sp_se_num_peteachss_basketball</vt:lpstr>
      <vt:lpstr>sch_sp_se_num_peteachss_billard</vt:lpstr>
      <vt:lpstr>sch_sp_se_num_peteachss_bocce</vt:lpstr>
      <vt:lpstr>sch_sp_se_num_peteachss_boxing</vt:lpstr>
      <vt:lpstr>sch_sp_se_num_peteachss_chess</vt:lpstr>
      <vt:lpstr>sch_sp_se_num_peteachss_dancesports</vt:lpstr>
      <vt:lpstr>sch_sp_se_num_peteachss_football</vt:lpstr>
      <vt:lpstr>sch_sp_se_num_peteachss_futsal</vt:lpstr>
      <vt:lpstr>sch_sp_se_num_peteachss_goalball</vt:lpstr>
      <vt:lpstr>sch_sp_se_num_peteachss_mag</vt:lpstr>
      <vt:lpstr>sch_sp_se_num_peteachss_pencaksilat</vt:lpstr>
      <vt:lpstr>sch_sp_se_num_peteachss_rg</vt:lpstr>
      <vt:lpstr>sch_sp_se_num_peteachss_sepaktakraw</vt:lpstr>
      <vt:lpstr>sch_sp_se_num_peteachss_softball</vt:lpstr>
      <vt:lpstr>sch_sp_se_num_peteachss_swimming</vt:lpstr>
      <vt:lpstr>sch_sp_se_num_peteachss_tabletennis</vt:lpstr>
      <vt:lpstr>sch_sp_se_num_peteachss_taekwondo</vt:lpstr>
      <vt:lpstr>sch_sp_se_num_peteachss_tennis</vt:lpstr>
      <vt:lpstr>sch_sp_se_num_peteachss_volleyball</vt:lpstr>
      <vt:lpstr>sch_sp_se_num_peteachss_wag</vt:lpstr>
      <vt:lpstr>sch_sp_se_num_peteachss_wrestling</vt:lpstr>
      <vt:lpstr>sch_sp_se_num_peteachss_wushu</vt:lpstr>
      <vt:lpstr>sch_ssgadviser_subjhandle_others_specify</vt:lpstr>
      <vt:lpstr>sch_standalone_tecvoc</vt:lpstr>
      <vt:lpstr>sch_stormsurgedrill_apr</vt:lpstr>
      <vt:lpstr>sch_stormsurgedrill_aug</vt:lpstr>
      <vt:lpstr>sch_stormsurgedrill_dec</vt:lpstr>
      <vt:lpstr>sch_stormsurgedrill_feb</vt:lpstr>
      <vt:lpstr>sch_stormsurgedrill_jan</vt:lpstr>
      <vt:lpstr>sch_stormsurgedrill_jul</vt:lpstr>
      <vt:lpstr>sch_stormsurgedrill_jun</vt:lpstr>
      <vt:lpstr>sch_stormsurgedrill_mar</vt:lpstr>
      <vt:lpstr>sch_stormsurgedrill_may</vt:lpstr>
      <vt:lpstr>sch_stormsurgedrill_nov</vt:lpstr>
      <vt:lpstr>sch_stormsurgedrill_oct</vt:lpstr>
      <vt:lpstr>sch_stormsurgedrill_sep</vt:lpstr>
      <vt:lpstr>sch_takenapproppriateactions_basedFEPP</vt:lpstr>
      <vt:lpstr>sch_teachers_repoductivehealth_training_adept_g10</vt:lpstr>
      <vt:lpstr>sch_teachers_repoductivehealth_training_adept_g7</vt:lpstr>
      <vt:lpstr>sch_teachers_repoductivehealth_training_adept_g8</vt:lpstr>
      <vt:lpstr>sch_teachers_repoductivehealth_training_adept_g9</vt:lpstr>
      <vt:lpstr>sch_teachers_repoductivehealth_training_aja_g10</vt:lpstr>
      <vt:lpstr>sch_teachers_repoductivehealth_training_aja_g7</vt:lpstr>
      <vt:lpstr>sch_teachers_repoductivehealth_training_aja_g8</vt:lpstr>
      <vt:lpstr>sch_teachers_repoductivehealth_training_aja_g9</vt:lpstr>
      <vt:lpstr>sch_teachers_repoductivehealth_training_hivaids_g10</vt:lpstr>
      <vt:lpstr>sch_teachers_repoductivehealth_training_hivaids_g7</vt:lpstr>
      <vt:lpstr>sch_teachers_repoductivehealth_training_hivaids_g8</vt:lpstr>
      <vt:lpstr>sch_teachers_repoductivehealth_training_hivaids_g9</vt:lpstr>
      <vt:lpstr>sch_teencenter_operational</vt:lpstr>
      <vt:lpstr>sch_tel_no</vt:lpstr>
      <vt:lpstr>sch_termsandconditions_covid</vt:lpstr>
      <vt:lpstr>sch_tsunamidrill_lrnrs_apr</vt:lpstr>
      <vt:lpstr>sch_tsunamidrill_lrnrs_aug</vt:lpstr>
      <vt:lpstr>sch_tsunamidrill_lrnrs_dec</vt:lpstr>
      <vt:lpstr>sch_tsunamidrill_lrnrs_feb</vt:lpstr>
      <vt:lpstr>sch_tsunamidrill_lrnrs_jan</vt:lpstr>
      <vt:lpstr>sch_tsunamidrill_lrnrs_jul</vt:lpstr>
      <vt:lpstr>sch_tsunamidrill_lrnrs_jun</vt:lpstr>
      <vt:lpstr>sch_tsunamidrill_lrnrs_mar</vt:lpstr>
      <vt:lpstr>sch_tsunamidrill_lrnrs_may</vt:lpstr>
      <vt:lpstr>sch_tsunamidrill_lrnrs_nov</vt:lpstr>
      <vt:lpstr>sch_tsunamidrill_lrnrs_oct</vt:lpstr>
      <vt:lpstr>sch_tsunamidrill_lrnrs_sep</vt:lpstr>
      <vt:lpstr>sch_vac_afl_okov</vt:lpstr>
      <vt:lpstr>sch_vac_afl_phyv</vt:lpstr>
      <vt:lpstr>sch_vac_afl_psyv</vt:lpstr>
      <vt:lpstr>sch_vac_afl_sexv</vt:lpstr>
      <vt:lpstr>sch_vac_aml_okov</vt:lpstr>
      <vt:lpstr>sch_vac_aml_phyv</vt:lpstr>
      <vt:lpstr>sch_vac_aml_psyv</vt:lpstr>
      <vt:lpstr>sch_vac_aml_sexv</vt:lpstr>
      <vt:lpstr>sch_vac_bygradelevel_f_g10</vt:lpstr>
      <vt:lpstr>sch_vac_bygradelevel_f_g7</vt:lpstr>
      <vt:lpstr>sch_vac_bygradelevel_f_g8</vt:lpstr>
      <vt:lpstr>sch_vac_bygradelevel_f_g9</vt:lpstr>
      <vt:lpstr>sch_vac_bygradelevel_m_g10</vt:lpstr>
      <vt:lpstr>sch_vac_bygradelevel_m_g7</vt:lpstr>
      <vt:lpstr>sch_vac_bygradelevel_m_g8</vt:lpstr>
      <vt:lpstr>sch_vac_bygradelevel_m_g9</vt:lpstr>
      <vt:lpstr>sch_vac_perpoutsider_okov</vt:lpstr>
      <vt:lpstr>sch_vac_perpoutsider_phyv</vt:lpstr>
      <vt:lpstr>sch_vac_perpoutsider_psyv</vt:lpstr>
      <vt:lpstr>sch_vac_perpoutsider_sexv</vt:lpstr>
      <vt:lpstr>sch_vac_perppersonel_okov</vt:lpstr>
      <vt:lpstr>sch_vac_perppersonel_phyv</vt:lpstr>
      <vt:lpstr>sch_vac_perppersonel_psyv</vt:lpstr>
      <vt:lpstr>sch_vac_perppersonel_sexv</vt:lpstr>
      <vt:lpstr>sch_washfacilities</vt:lpstr>
      <vt:lpstr>sch_web_add</vt:lpstr>
      <vt:lpstr>sch_wf_group_hw_no_water_outlets</vt:lpstr>
      <vt:lpstr>sch_wf_group_hw_nonfunctional</vt:lpstr>
      <vt:lpstr>sch_wf_group_hw_wosoap</vt:lpstr>
      <vt:lpstr>sch_wf_group_hw_wsoap</vt:lpstr>
      <vt:lpstr>sch_wf_individual_hw_no_water_outlets</vt:lpstr>
      <vt:lpstr>sch_wf_individual_hw_nonfunctional</vt:lpstr>
      <vt:lpstr>sch_wf_individual_hw_wosoap</vt:lpstr>
      <vt:lpstr>sch_wf_individual_hw_wsoap</vt:lpstr>
      <vt:lpstr>sch_yfcpdo_num_sch_visit</vt:lpstr>
      <vt:lpstr>schhead_identified_sch_evacctr</vt:lpstr>
      <vt:lpstr>schsite_ancesdom_cadt_yes</vt:lpstr>
      <vt:lpstr>schsite_ancesdom_usu_yes</vt:lpstr>
      <vt:lpstr>schsite_ancesland_calt_yes</vt:lpstr>
      <vt:lpstr>schsite_ancesland_usu_yes</vt:lpstr>
      <vt:lpstr>schsite_land_area</vt:lpstr>
      <vt:lpstr>schsite_leg_own_adverseclaim</vt:lpstr>
      <vt:lpstr>schsite_leg_own_encroach</vt:lpstr>
      <vt:lpstr>schsite_leg_own_others</vt:lpstr>
      <vt:lpstr>schsite_leg_own_others_specify</vt:lpstr>
      <vt:lpstr>schsite_leg_own_willegalsetler</vt:lpstr>
      <vt:lpstr>schsite_mode_cloa</vt:lpstr>
      <vt:lpstr>schsite_mode_donation</vt:lpstr>
      <vt:lpstr>schsite_mode_exchange_swapping</vt:lpstr>
      <vt:lpstr>schsite_mode_expropriation</vt:lpstr>
      <vt:lpstr>schsite_mode_others</vt:lpstr>
      <vt:lpstr>schsite_mode_others_specify</vt:lpstr>
      <vt:lpstr>schsite_mode_pres_proc</vt:lpstr>
      <vt:lpstr>schsite_mode_purchase</vt:lpstr>
      <vt:lpstr>schsite_mode_slup</vt:lpstr>
      <vt:lpstr>schsite_mode_spl_patent</vt:lpstr>
      <vt:lpstr>schsite_mode_usufruct_agree</vt:lpstr>
      <vt:lpstr>schsite_modeyr_cloa</vt:lpstr>
      <vt:lpstr>schsite_modeyr_donation</vt:lpstr>
      <vt:lpstr>schsite_modeyr_exchange_swapping</vt:lpstr>
      <vt:lpstr>schsite_modeyr_expropriation</vt:lpstr>
      <vt:lpstr>schsite_modeyr_others</vt:lpstr>
      <vt:lpstr>schsite_modeyr_pres_proc</vt:lpstr>
      <vt:lpstr>schsite_modeyr_purchase</vt:lpstr>
      <vt:lpstr>schsite_modeyr_slup</vt:lpstr>
      <vt:lpstr>schsite_modeyr_spl_patent</vt:lpstr>
      <vt:lpstr>schsite_modeyr_usufruct_agree</vt:lpstr>
      <vt:lpstr>schsite_ownership_deped</vt:lpstr>
      <vt:lpstr>schsite_ownership_lgu</vt:lpstr>
      <vt:lpstr>schsite_ownership_othergov</vt:lpstr>
      <vt:lpstr>schsite_ownership_prvt_ind</vt:lpstr>
      <vt:lpstr>schsite_ownership_wdocu_others_specify</vt:lpstr>
      <vt:lpstr>schsite_ownership_wdocu_yes</vt:lpstr>
      <vt:lpstr>schsite_ownership_wdocu_yes_cert_stew</vt:lpstr>
      <vt:lpstr>schsite_ownership_wdocu_yes_cloa</vt:lpstr>
      <vt:lpstr>schsite_ownership_wdocu_yes_deed_abso</vt:lpstr>
      <vt:lpstr>schsite_ownership_wdocu_yes_deed_donation</vt:lpstr>
      <vt:lpstr>schsite_ownership_wdocu_yes_FLAg</vt:lpstr>
      <vt:lpstr>schsite_ownership_wdocu_yes_lease</vt:lpstr>
      <vt:lpstr>schsite_ownership_wdocu_yes_moa</vt:lpstr>
      <vt:lpstr>schsite_ownership_wdocu_yes_oct</vt:lpstr>
      <vt:lpstr>schsite_ownership_wdocu_yes_others</vt:lpstr>
      <vt:lpstr>schsite_ownership_wdocu_yes_pres_proc</vt:lpstr>
      <vt:lpstr>schsite_ownership_wdocu_yes_slup</vt:lpstr>
      <vt:lpstr>schsite_ownership_wdocu_yes_spl_patent</vt:lpstr>
      <vt:lpstr>schsite_ownership_wdocu_yes_tax_dec</vt:lpstr>
      <vt:lpstr>schsite_ownership_wdocu_yes_tct</vt:lpstr>
      <vt:lpstr>schsite_ownership_wdocu_yes_usufruct</vt:lpstr>
      <vt:lpstr>schsite_protect_area</vt:lpstr>
      <vt:lpstr>schsite_timber_forest</vt:lpstr>
      <vt:lpstr>sciteach_bio_f</vt:lpstr>
      <vt:lpstr>sciteach_bio_m</vt:lpstr>
      <vt:lpstr>sciteach_chem_f</vt:lpstr>
      <vt:lpstr>sciteach_chem_m</vt:lpstr>
      <vt:lpstr>sciteach_gensci_f</vt:lpstr>
      <vt:lpstr>sciteach_gensci_m</vt:lpstr>
      <vt:lpstr>sciteach_others_f</vt:lpstr>
      <vt:lpstr>sciteach_others_m</vt:lpstr>
      <vt:lpstr>sciteach_phys_f</vt:lpstr>
      <vt:lpstr>sciteach_phys_m</vt:lpstr>
      <vt:lpstr>sdo_head_name</vt:lpstr>
      <vt:lpstr>sdo_pos_title</vt:lpstr>
      <vt:lpstr>sgp_ssgadviser_yes</vt:lpstr>
      <vt:lpstr>sgp_ssgcouncil_yes</vt:lpstr>
      <vt:lpstr>solidwm_compliant_eswma_yes</vt:lpstr>
      <vt:lpstr>solidwm_impl_swm_composting</vt:lpstr>
      <vt:lpstr>solidwm_impl_swm_des_trash_collect_pt</vt:lpstr>
      <vt:lpstr>solidwm_impl_swm_poster_slogan_contest</vt:lpstr>
      <vt:lpstr>solidwm_impl_swm_postsign</vt:lpstr>
      <vt:lpstr>solidwm_impl_swm_recycling_proj</vt:lpstr>
      <vt:lpstr>solidwm_impl_swm_schrep_brgy_swmc</vt:lpstr>
      <vt:lpstr>solidwm_impl_swm_use_paper_platesncups</vt:lpstr>
      <vt:lpstr>solidwm_impl_swm_use_recycled_mtrl</vt:lpstr>
      <vt:lpstr>solidwm_impl_swm_use_reusable_food_container</vt:lpstr>
      <vt:lpstr>solidwm_impl_swm_waste_seg</vt:lpstr>
      <vt:lpstr>ssg_budget_sipapp_inc_yes</vt:lpstr>
      <vt:lpstr>ssg_dedicated_rm_yes</vt:lpstr>
      <vt:lpstr>ssg_engspeakcamp_readtutorsrvc_yes</vt:lpstr>
      <vt:lpstr>ssg_joinsearch_best_ssgcoun_yes</vt:lpstr>
      <vt:lpstr>ssg_lead_learners_tchrmon_worldtchrday_yes</vt:lpstr>
      <vt:lpstr>ssg_part_learner_brigada_eskwela_yes</vt:lpstr>
      <vt:lpstr>ssg_part_learners_cocurr_actvty_yes</vt:lpstr>
      <vt:lpstr>ssg_prevent_learners_dropout_yes</vt:lpstr>
      <vt:lpstr>ssg_sch_collect_fees_yes</vt:lpstr>
      <vt:lpstr>ssg_sch_smoke_tobacoo_free_yes</vt:lpstr>
      <vt:lpstr>ssg_schlead_natl_green_prog_yes</vt:lpstr>
      <vt:lpstr>ssg_ssgadviser_cto_sat_yes</vt:lpstr>
      <vt:lpstr>ssg_support_antidrug_abuse_educ_camp_yes</vt:lpstr>
      <vt:lpstr>ssg_won_natlaward_yes</vt:lpstr>
      <vt:lpstr>ssgadviser_deload_yes</vt:lpstr>
      <vt:lpstr>ssgadviser_hiacaddegree_bachelor_degree</vt:lpstr>
      <vt:lpstr>ssgadviser_hiacaddegree_doctorate_degree</vt:lpstr>
      <vt:lpstr>ssgadviser_hiacaddegree_master_degree</vt:lpstr>
      <vt:lpstr>ssgadviser_hiacaddegree_wdoctorate_degree_units</vt:lpstr>
      <vt:lpstr>ssgadviser_hiacaddegree_wmaster_degree_units</vt:lpstr>
      <vt:lpstr>ssgadviser_subjhandle_ap</vt:lpstr>
      <vt:lpstr>ssgadviser_subjhandle_fil</vt:lpstr>
      <vt:lpstr>ssgadviser_subjhandle_math</vt:lpstr>
      <vt:lpstr>ssgadviser_subjhandle_others</vt:lpstr>
      <vt:lpstr>ssgadviser_subjhandle_sci</vt:lpstr>
      <vt:lpstr>stakeholder_art_nonteaching_f</vt:lpstr>
      <vt:lpstr>stakeholder_art_nonteaching_m</vt:lpstr>
      <vt:lpstr>stakeholder_art_teaching_f</vt:lpstr>
      <vt:lpstr>stakeholder_art_teaching_m</vt:lpstr>
      <vt:lpstr>stakeholder_BFA_nonteaching_f</vt:lpstr>
      <vt:lpstr>stakeholder_BFA_nonteaching_m</vt:lpstr>
      <vt:lpstr>stakeholder_BFA_teaching_f</vt:lpstr>
      <vt:lpstr>stakeholder_BFA_teaching_m</vt:lpstr>
      <vt:lpstr>stakeholder_caaas_nonteaching_f</vt:lpstr>
      <vt:lpstr>stakeholder_caaas_nonteaching_m</vt:lpstr>
      <vt:lpstr>stakeholder_caaas_teaching_f</vt:lpstr>
      <vt:lpstr>stakeholder_caaas_teaching_m</vt:lpstr>
      <vt:lpstr>stakeholder_ccamcamps_nonteaching_f</vt:lpstr>
      <vt:lpstr>stakeholder_ccamcamps_nonteaching_m</vt:lpstr>
      <vt:lpstr>stakeholder_ccamcamps_teaching_f</vt:lpstr>
      <vt:lpstr>stakeholder_ccamcamps_teaching_m</vt:lpstr>
      <vt:lpstr>stakeholder_ccamothersspecify</vt:lpstr>
      <vt:lpstr>stakeholder_ccamothersspecify_nonteaching_f</vt:lpstr>
      <vt:lpstr>stakeholder_ccamothersspecify_nonteaching_m</vt:lpstr>
      <vt:lpstr>stakeholder_ccamothersspecify_teaching_f</vt:lpstr>
      <vt:lpstr>stakeholder_ccamothersspecify_teaching_m</vt:lpstr>
      <vt:lpstr>stakeholder_celebevents_nonteaching_f</vt:lpstr>
      <vt:lpstr>stakeholder_celebevents_nonteaching_m</vt:lpstr>
      <vt:lpstr>stakeholder_celebevents_teaching_f</vt:lpstr>
      <vt:lpstr>stakeholder_celebevents_teaching_m</vt:lpstr>
      <vt:lpstr>stakeholder_celebratepeace_nonteaching_f</vt:lpstr>
      <vt:lpstr>stakeholder_celebratepeace_nonteaching_m</vt:lpstr>
      <vt:lpstr>stakeholder_celebratepeace_teaching_f</vt:lpstr>
      <vt:lpstr>stakeholder_celebratepeace_teaching_m</vt:lpstr>
      <vt:lpstr>stakeholder_change_nonteaching_f</vt:lpstr>
      <vt:lpstr>stakeholder_change_nonteaching_m</vt:lpstr>
      <vt:lpstr>stakeholder_change_teaching_f</vt:lpstr>
      <vt:lpstr>stakeholder_change_teaching_m</vt:lpstr>
      <vt:lpstr>stakeholder_contests_nonteaching_f</vt:lpstr>
      <vt:lpstr>stakeholder_contests_nonteaching_m</vt:lpstr>
      <vt:lpstr>stakeholder_contests_teaching_f</vt:lpstr>
      <vt:lpstr>stakeholder_contests_teaching_m</vt:lpstr>
      <vt:lpstr>stakeholder_drrmcamp_nonteaching_f</vt:lpstr>
      <vt:lpstr>stakeholder_drrmcamp_nonteaching_m</vt:lpstr>
      <vt:lpstr>stakeholder_drrmcamp_teaching_f</vt:lpstr>
      <vt:lpstr>stakeholder_drrmcamp_teaching_m</vt:lpstr>
      <vt:lpstr>stakeholder_drrmothers_nonteaching_f</vt:lpstr>
      <vt:lpstr>stakeholder_drrmothers_nonteaching_m</vt:lpstr>
      <vt:lpstr>stakeholder_drrmothers_specify</vt:lpstr>
      <vt:lpstr>stakeholder_drrmothers_teaching_f</vt:lpstr>
      <vt:lpstr>stakeholder_drrmothers_teaching_m</vt:lpstr>
      <vt:lpstr>stakeholder_drrmrelated_nonteaching_f</vt:lpstr>
      <vt:lpstr>stakeholder_drrmrelated_nonteaching_m</vt:lpstr>
      <vt:lpstr>stakeholder_drrmrelated_teaching_f</vt:lpstr>
      <vt:lpstr>stakeholder_drrmrelated_teaching_m</vt:lpstr>
      <vt:lpstr>stakeholder_drrmyac_nonteaching_f</vt:lpstr>
      <vt:lpstr>stakeholder_drrmyac_nonteaching_m</vt:lpstr>
      <vt:lpstr>stakeholder_drrmyac_teaching_f</vt:lpstr>
      <vt:lpstr>stakeholder_drrmyac_teaching_m</vt:lpstr>
      <vt:lpstr>stakeholder_drrmyouthcouncil_nonteaching_f</vt:lpstr>
      <vt:lpstr>stakeholder_drrmyouthcouncil_nonteaching_m</vt:lpstr>
      <vt:lpstr>stakeholder_drrmyouthcouncil_teaching_f</vt:lpstr>
      <vt:lpstr>stakeholder_drrmyouthcouncil_teaching_m</vt:lpstr>
      <vt:lpstr>stakeholder_FEP_nonteaching_f</vt:lpstr>
      <vt:lpstr>stakeholder_FEP_nonteaching_m</vt:lpstr>
      <vt:lpstr>stakeholder_FEP_teaching_f</vt:lpstr>
      <vt:lpstr>stakeholder_FEP_teaching_m</vt:lpstr>
      <vt:lpstr>stakeholder_gulayan_nonteaching_f</vt:lpstr>
      <vt:lpstr>stakeholder_gulayan_nonteaching_m</vt:lpstr>
      <vt:lpstr>stakeholder_gulayan_teaching_f</vt:lpstr>
      <vt:lpstr>stakeholder_gulayan_teaching_m</vt:lpstr>
      <vt:lpstr>stakeholder_hazmapping_nonteaching_f</vt:lpstr>
      <vt:lpstr>stakeholder_hazmapping_nonteaching_m</vt:lpstr>
      <vt:lpstr>stakeholder_hazmapping_teaching_f</vt:lpstr>
      <vt:lpstr>stakeholder_hazmapping_teaching_m</vt:lpstr>
      <vt:lpstr>stakeholder_impl_swm_brgy</vt:lpstr>
      <vt:lpstr>stakeholder_impl_swm_comm_lead</vt:lpstr>
      <vt:lpstr>stakeholder_impl_swm_loc_business_partners</vt:lpstr>
      <vt:lpstr>stakeholder_impl_swm_mun_city</vt:lpstr>
      <vt:lpstr>stakeholder_impl_swm_parents</vt:lpstr>
      <vt:lpstr>stakeholder_journalism_nonteaching_f</vt:lpstr>
      <vt:lpstr>stakeholder_journalism_nonteaching_m</vt:lpstr>
      <vt:lpstr>stakeholder_journalism_teaching_f</vt:lpstr>
      <vt:lpstr>stakeholder_journalism_teaching_m</vt:lpstr>
      <vt:lpstr>stakeholder_mrf_nonteaching_f</vt:lpstr>
      <vt:lpstr>stakeholder_mrf_nonteaching_m</vt:lpstr>
      <vt:lpstr>stakeholder_mrf_teaching_f</vt:lpstr>
      <vt:lpstr>stakeholder_mrf_teaching_m</vt:lpstr>
      <vt:lpstr>stakeholder_onlineteach_nonteaching_f</vt:lpstr>
      <vt:lpstr>stakeholder_onlineteach_nonteaching_m</vt:lpstr>
      <vt:lpstr>stakeholder_onlineteach_teaching_f</vt:lpstr>
      <vt:lpstr>stakeholder_onlineteach_teaching_m</vt:lpstr>
      <vt:lpstr>stakeholder_peacebuildingothers</vt:lpstr>
      <vt:lpstr>stakeholder_peacebuildingothers_nonteachers_f</vt:lpstr>
      <vt:lpstr>stakeholder_peacebuildingothers_nonteachers_m</vt:lpstr>
      <vt:lpstr>stakeholder_peacebuildingothers_teachers_f</vt:lpstr>
      <vt:lpstr>stakeholder_peacebuildingothers_teachers_m</vt:lpstr>
      <vt:lpstr>stakeholder_peaceconference_nonteaching_f</vt:lpstr>
      <vt:lpstr>stakeholder_peaceconference_nonteaching_m</vt:lpstr>
      <vt:lpstr>stakeholder_peaceconference_teaching_f</vt:lpstr>
      <vt:lpstr>stakeholder_peaceconference_teaching_m</vt:lpstr>
      <vt:lpstr>stakeholder_recycling_nonteaching_f</vt:lpstr>
      <vt:lpstr>stakeholder_recycling_nonteaching_m</vt:lpstr>
      <vt:lpstr>stakeholder_recycling_teaching_f</vt:lpstr>
      <vt:lpstr>stakeholder_recycling_teaching_m</vt:lpstr>
      <vt:lpstr>stakeholder_specialevent_nonteaching_f</vt:lpstr>
      <vt:lpstr>stakeholder_specialevent_nonteaching_m</vt:lpstr>
      <vt:lpstr>stakeholder_specialevent_teaching_f</vt:lpstr>
      <vt:lpstr>stakeholder_specialevent_teaching_m</vt:lpstr>
      <vt:lpstr>stakeholder_swm_nonteaching_f</vt:lpstr>
      <vt:lpstr>stakeholder_swm_nonteaching_m</vt:lpstr>
      <vt:lpstr>stakeholder_swm_teaching_f</vt:lpstr>
      <vt:lpstr>stakeholder_swm_teaching_m</vt:lpstr>
      <vt:lpstr>stakeholder_treeplanting_nonteaching_f</vt:lpstr>
      <vt:lpstr>stakeholder_treeplanting_nonteaching_m</vt:lpstr>
      <vt:lpstr>stakeholder_treeplanting_teaching_f</vt:lpstr>
      <vt:lpstr>stakeholder_treeplanting_teaching_m</vt:lpstr>
      <vt:lpstr>stakeholder_youthnetworks_nonteaching_f</vt:lpstr>
      <vt:lpstr>stakeholder_youthnetworks_nonteaching_m</vt:lpstr>
      <vt:lpstr>stakeholder_youthnetworks_teaching_f</vt:lpstr>
      <vt:lpstr>stakeholder_youthnetworks_teaching_m</vt:lpstr>
      <vt:lpstr>stakeholder_youthstrike_nonteaching_f</vt:lpstr>
      <vt:lpstr>stakeholder_youthstrike_nonteaching_m</vt:lpstr>
      <vt:lpstr>stakeholder_youthstrike_teaching_f</vt:lpstr>
      <vt:lpstr>stakeholder_youthstrike_teaching_m</vt:lpstr>
      <vt:lpstr>Table2!Table_13</vt:lpstr>
      <vt:lpstr>Table22!Table_13</vt:lpstr>
      <vt:lpstr>Table4!Table_13</vt:lpstr>
      <vt:lpstr>tchr_afa_agricrops_f_g10</vt:lpstr>
      <vt:lpstr>tchr_afa_agricrops_f_g7</vt:lpstr>
      <vt:lpstr>tchr_afa_agricrops_f_g8</vt:lpstr>
      <vt:lpstr>tchr_afa_agricrops_f_g9</vt:lpstr>
      <vt:lpstr>tchr_afa_agricrops_m_g10</vt:lpstr>
      <vt:lpstr>tchr_afa_agricrops_m_g7</vt:lpstr>
      <vt:lpstr>tchr_afa_agricrops_m_g8</vt:lpstr>
      <vt:lpstr>tchr_afa_agricrops_m_g9</vt:lpstr>
      <vt:lpstr>tchr_afa_animalprod_f_g10</vt:lpstr>
      <vt:lpstr>tchr_afa_animalprod_f_g7</vt:lpstr>
      <vt:lpstr>tchr_afa_animalprod_f_g8</vt:lpstr>
      <vt:lpstr>tchr_afa_animalprod_f_g9</vt:lpstr>
      <vt:lpstr>tchr_afa_animalprod_m_g10</vt:lpstr>
      <vt:lpstr>tchr_afa_animalprod_m_g7</vt:lpstr>
      <vt:lpstr>tchr_afa_animalprod_m_g8</vt:lpstr>
      <vt:lpstr>tchr_afa_animalprod_m_g9</vt:lpstr>
      <vt:lpstr>tchr_afa_aquaculture_f_g10</vt:lpstr>
      <vt:lpstr>tchr_afa_aquaculture_f_g7</vt:lpstr>
      <vt:lpstr>tchr_afa_aquaculture_f_g8</vt:lpstr>
      <vt:lpstr>tchr_afa_aquaculture_f_g9</vt:lpstr>
      <vt:lpstr>tchr_afa_aquaculture_m_g10</vt:lpstr>
      <vt:lpstr>tchr_afa_aquaculture_m_g7</vt:lpstr>
      <vt:lpstr>tchr_afa_aquaculture_m_g8</vt:lpstr>
      <vt:lpstr>tchr_afa_aquaculture_m_g9</vt:lpstr>
      <vt:lpstr>tchr_afa_fishprocessing_f_g10</vt:lpstr>
      <vt:lpstr>tchr_afa_fishprocessing_f_g7</vt:lpstr>
      <vt:lpstr>tchr_afa_fishprocessing_f_g8</vt:lpstr>
      <vt:lpstr>tchr_afa_fishprocessing_f_g9</vt:lpstr>
      <vt:lpstr>tchr_afa_fishprocessing_m_g10</vt:lpstr>
      <vt:lpstr>tchr_afa_fishprocessing_m_g7</vt:lpstr>
      <vt:lpstr>tchr_afa_fishprocessing_m_g8</vt:lpstr>
      <vt:lpstr>tchr_afa_fishprocessing_m_g9</vt:lpstr>
      <vt:lpstr>tchr_he_beautycare_f_g10</vt:lpstr>
      <vt:lpstr>tchr_he_beautycare_f_g7</vt:lpstr>
      <vt:lpstr>tchr_he_beautycare_f_g8</vt:lpstr>
      <vt:lpstr>tchr_he_beautycare_f_g9</vt:lpstr>
      <vt:lpstr>tchr_he_beautycare_m_g10</vt:lpstr>
      <vt:lpstr>tchr_he_beautycare_m_g7</vt:lpstr>
      <vt:lpstr>tchr_he_beautycare_m_g8</vt:lpstr>
      <vt:lpstr>tchr_he_beautycare_m_g9</vt:lpstr>
      <vt:lpstr>tchr_he_caregiving_f_g10</vt:lpstr>
      <vt:lpstr>tchr_he_caregiving_f_g7</vt:lpstr>
      <vt:lpstr>tchr_he_caregiving_f_g8</vt:lpstr>
      <vt:lpstr>tchr_he_caregiving_f_g9</vt:lpstr>
      <vt:lpstr>tchr_he_caregiving_m_g10</vt:lpstr>
      <vt:lpstr>tchr_he_caregiving_m_g7</vt:lpstr>
      <vt:lpstr>tchr_he_caregiving_m_g8</vt:lpstr>
      <vt:lpstr>tchr_he_caregiving_m_g9</vt:lpstr>
      <vt:lpstr>tchr_he_cookery_f_g10</vt:lpstr>
      <vt:lpstr>tchr_he_cookery_f_g7</vt:lpstr>
      <vt:lpstr>tchr_he_cookery_f_g8</vt:lpstr>
      <vt:lpstr>tchr_he_cookery_f_g9</vt:lpstr>
      <vt:lpstr>tchr_he_cookery_m_g10</vt:lpstr>
      <vt:lpstr>tchr_he_cookery_m_g7</vt:lpstr>
      <vt:lpstr>tchr_he_cookery_m_g8</vt:lpstr>
      <vt:lpstr>tchr_he_cookery_m_g9</vt:lpstr>
      <vt:lpstr>tchr_he_dressmaking_f_g10</vt:lpstr>
      <vt:lpstr>tchr_he_dressmaking_f_g7</vt:lpstr>
      <vt:lpstr>tchr_he_dressmaking_f_g8</vt:lpstr>
      <vt:lpstr>tchr_he_dressmaking_f_g9</vt:lpstr>
      <vt:lpstr>tchr_he_dressmaking_m_g10</vt:lpstr>
      <vt:lpstr>tchr_he_dressmaking_m_g7</vt:lpstr>
      <vt:lpstr>tchr_he_dressmaking_m_g8</vt:lpstr>
      <vt:lpstr>tchr_he_dressmaking_m_g9</vt:lpstr>
      <vt:lpstr>tchr_he_frontoffice_f_g10</vt:lpstr>
      <vt:lpstr>tchr_he_frontoffice_f_g7</vt:lpstr>
      <vt:lpstr>tchr_he_frontoffice_f_g8</vt:lpstr>
      <vt:lpstr>tchr_he_frontoffice_f_g9</vt:lpstr>
      <vt:lpstr>tchr_he_frontoffice_m_g10</vt:lpstr>
      <vt:lpstr>tchr_he_frontoffice_m_g7</vt:lpstr>
      <vt:lpstr>tchr_he_frontoffice_m_g8</vt:lpstr>
      <vt:lpstr>tchr_he_frontoffice_m_g9</vt:lpstr>
      <vt:lpstr>tchr_he_handicraft_f_g10</vt:lpstr>
      <vt:lpstr>tchr_he_handicraft_f_g7</vt:lpstr>
      <vt:lpstr>tchr_he_handicraft_f_g8</vt:lpstr>
      <vt:lpstr>tchr_he_handicraft_f_g9</vt:lpstr>
      <vt:lpstr>tchr_he_handicraft_m_g10</vt:lpstr>
      <vt:lpstr>tchr_he_handicraft_m_g7</vt:lpstr>
      <vt:lpstr>tchr_he_handicraft_m_g8</vt:lpstr>
      <vt:lpstr>tchr_he_handicraft_m_g9</vt:lpstr>
      <vt:lpstr>tchr_he_householdsrvc_f_g10</vt:lpstr>
      <vt:lpstr>tchr_he_householdsrvc_f_g7</vt:lpstr>
      <vt:lpstr>tchr_he_householdsrvc_f_g8</vt:lpstr>
      <vt:lpstr>tchr_he_householdsrvc_f_g9</vt:lpstr>
      <vt:lpstr>tchr_he_householdsrvc_m_g10</vt:lpstr>
      <vt:lpstr>tchr_he_householdsrvc_m_g7</vt:lpstr>
      <vt:lpstr>tchr_he_householdsrvc_m_g8</vt:lpstr>
      <vt:lpstr>tchr_he_householdsrvc_m_g9</vt:lpstr>
      <vt:lpstr>tchr_he_travelservices_f_g10</vt:lpstr>
      <vt:lpstr>tchr_he_travelservices_f_g7</vt:lpstr>
      <vt:lpstr>tchr_he_travelservices_f_g8</vt:lpstr>
      <vt:lpstr>tchr_he_travelservices_f_g9</vt:lpstr>
      <vt:lpstr>tchr_he_travelservices_m_g10</vt:lpstr>
      <vt:lpstr>tchr_he_travelservices_m_g7</vt:lpstr>
      <vt:lpstr>tchr_he_travelservices_m_g8</vt:lpstr>
      <vt:lpstr>tchr_he_travelservices_m_g9</vt:lpstr>
      <vt:lpstr>tchr_he_wellness_f_g10</vt:lpstr>
      <vt:lpstr>tchr_he_wellness_f_g7</vt:lpstr>
      <vt:lpstr>tchr_he_wellness_f_g8</vt:lpstr>
      <vt:lpstr>tchr_he_wellness_f_g9</vt:lpstr>
      <vt:lpstr>tchr_he_wellness_m_g10</vt:lpstr>
      <vt:lpstr>tchr_he_wellness_m_g7</vt:lpstr>
      <vt:lpstr>tchr_he_wellness_m_g8</vt:lpstr>
      <vt:lpstr>tchr_he_wellness_m_g9</vt:lpstr>
      <vt:lpstr>tchr_ia_automotiveservicing_f_g10</vt:lpstr>
      <vt:lpstr>tchr_ia_automotiveservicing_f_g7</vt:lpstr>
      <vt:lpstr>tchr_ia_automotiveservicing_f_g8</vt:lpstr>
      <vt:lpstr>tchr_ia_automotiveservicing_f_g9</vt:lpstr>
      <vt:lpstr>tchr_ia_automotiveservicing_m_g10</vt:lpstr>
      <vt:lpstr>tchr_ia_automotiveservicing_m_g7</vt:lpstr>
      <vt:lpstr>tchr_ia_automotiveservicing_m_g8</vt:lpstr>
      <vt:lpstr>tchr_ia_automotiveservicing_m_g9</vt:lpstr>
      <vt:lpstr>tchr_ia_carpentry_f_g10</vt:lpstr>
      <vt:lpstr>tchr_ia_carpentry_f_g7</vt:lpstr>
      <vt:lpstr>tchr_ia_carpentry_f_g8</vt:lpstr>
      <vt:lpstr>tchr_ia_carpentry_f_g9</vt:lpstr>
      <vt:lpstr>tchr_ia_carpentry_m_g10</vt:lpstr>
      <vt:lpstr>tchr_ia_carpentry_m_g7</vt:lpstr>
      <vt:lpstr>tchr_ia_carpentry_m_g8</vt:lpstr>
      <vt:lpstr>tchr_ia_carpentry_m_g9</vt:lpstr>
      <vt:lpstr>tchr_ia_elecinstallation_f_g10</vt:lpstr>
      <vt:lpstr>tchr_ia_elecinstallation_f_g7</vt:lpstr>
      <vt:lpstr>tchr_ia_elecinstallation_f_g8</vt:lpstr>
      <vt:lpstr>tchr_ia_elecinstallation_f_g9</vt:lpstr>
      <vt:lpstr>tchr_ia_elecinstallation_m_g10</vt:lpstr>
      <vt:lpstr>tchr_ia_elecinstallation_m_g7</vt:lpstr>
      <vt:lpstr>tchr_ia_elecinstallation_m_g8</vt:lpstr>
      <vt:lpstr>tchr_ia_elecinstallation_m_g9</vt:lpstr>
      <vt:lpstr>tchr_ia_elecproduction_f_g10</vt:lpstr>
      <vt:lpstr>tchr_ia_elecproduction_f_g7</vt:lpstr>
      <vt:lpstr>tchr_ia_elecproduction_f_g8</vt:lpstr>
      <vt:lpstr>tchr_ia_elecproduction_f_g9</vt:lpstr>
      <vt:lpstr>tchr_ia_elecproduction_m_g10</vt:lpstr>
      <vt:lpstr>tchr_ia_elecproduction_m_g7</vt:lpstr>
      <vt:lpstr>tchr_ia_elecproduction_m_g8</vt:lpstr>
      <vt:lpstr>tchr_ia_elecproduction_m_g9</vt:lpstr>
      <vt:lpstr>tchr_ia_masonry_f_g10</vt:lpstr>
      <vt:lpstr>tchr_ia_masonry_f_g7</vt:lpstr>
      <vt:lpstr>tchr_ia_masonry_f_g8</vt:lpstr>
      <vt:lpstr>tchr_ia_masonry_f_g9</vt:lpstr>
      <vt:lpstr>tchr_ia_masonry_m_g10</vt:lpstr>
      <vt:lpstr>tchr_ia_masonry_m_g7</vt:lpstr>
      <vt:lpstr>tchr_ia_masonry_m_g8</vt:lpstr>
      <vt:lpstr>tchr_ia_masonry_m_g9</vt:lpstr>
      <vt:lpstr>tchr_ia_plumbing_f_g10</vt:lpstr>
      <vt:lpstr>tchr_ia_plumbing_f_g7</vt:lpstr>
      <vt:lpstr>tchr_ia_plumbing_f_g8</vt:lpstr>
      <vt:lpstr>tchr_ia_plumbing_f_g9</vt:lpstr>
      <vt:lpstr>tchr_ia_plumbing_m_g10</vt:lpstr>
      <vt:lpstr>tchr_ia_plumbing_m_g7</vt:lpstr>
      <vt:lpstr>tchr_ia_plumbing_m_g8</vt:lpstr>
      <vt:lpstr>tchr_ia_plumbing_m_g9</vt:lpstr>
      <vt:lpstr>tchr_ia_refnairconditioning_f_g10</vt:lpstr>
      <vt:lpstr>tchr_ia_refnairconditioning_f_g7</vt:lpstr>
      <vt:lpstr>tchr_ia_refnairconditioning_f_g8</vt:lpstr>
      <vt:lpstr>tchr_ia_refnairconditioning_f_g9</vt:lpstr>
      <vt:lpstr>tchr_ia_refnairconditioning_m_g10</vt:lpstr>
      <vt:lpstr>tchr_ia_refnairconditioning_m_g7</vt:lpstr>
      <vt:lpstr>tchr_ia_refnairconditioning_m_g8</vt:lpstr>
      <vt:lpstr>tchr_ia_refnairconditioning_m_g9</vt:lpstr>
      <vt:lpstr>tchr_ia_shieldedmetalwelding_f_g10</vt:lpstr>
      <vt:lpstr>tchr_ia_shieldedmetalwelding_f_g7</vt:lpstr>
      <vt:lpstr>tchr_ia_shieldedmetalwelding_f_g8</vt:lpstr>
      <vt:lpstr>tchr_ia_shieldedmetalwelding_f_g9</vt:lpstr>
      <vt:lpstr>tchr_ia_shieldedmetalwelding_m_g10</vt:lpstr>
      <vt:lpstr>tchr_ia_shieldedmetalwelding_m_g7</vt:lpstr>
      <vt:lpstr>tchr_ia_shieldedmetalwelding_m_g8</vt:lpstr>
      <vt:lpstr>tchr_ia_shieldedmetalwelding_m_g9</vt:lpstr>
      <vt:lpstr>tchr_ict_compsystemservicing_f_g10</vt:lpstr>
      <vt:lpstr>tchr_ict_compsystemservicing_f_g7</vt:lpstr>
      <vt:lpstr>tchr_ict_compsystemservicing_f_g8</vt:lpstr>
      <vt:lpstr>tchr_ict_compsystemservicing_f_g9</vt:lpstr>
      <vt:lpstr>tchr_ict_compsystemservicing_m_g10</vt:lpstr>
      <vt:lpstr>tchr_ict_compsystemservicing_m_g7</vt:lpstr>
      <vt:lpstr>tchr_ict_compsystemservicing_m_g8</vt:lpstr>
      <vt:lpstr>tchr_ict_compsystemservicing_m_g9</vt:lpstr>
      <vt:lpstr>tchr_ict_contactcenterservices_f_g10</vt:lpstr>
      <vt:lpstr>tchr_ict_contactcenterservices_f_g7</vt:lpstr>
      <vt:lpstr>tchr_ict_contactcenterservices_f_g8</vt:lpstr>
      <vt:lpstr>tchr_ict_contactcenterservices_f_g9</vt:lpstr>
      <vt:lpstr>tchr_ict_contactcenterservices_m_g10</vt:lpstr>
      <vt:lpstr>tchr_ict_contactcenterservices_m_g7</vt:lpstr>
      <vt:lpstr>tchr_ict_contactcenterservices_m_g8</vt:lpstr>
      <vt:lpstr>tchr_ict_contactcenterservices_m_g9</vt:lpstr>
      <vt:lpstr>tchr_ict_illustration_f_g10</vt:lpstr>
      <vt:lpstr>tchr_ict_illustration_f_g7</vt:lpstr>
      <vt:lpstr>tchr_ict_illustration_f_g8</vt:lpstr>
      <vt:lpstr>tchr_ict_illustration_f_g9</vt:lpstr>
      <vt:lpstr>tchr_ict_illustration_m_g10</vt:lpstr>
      <vt:lpstr>tchr_ict_illustration_m_g7</vt:lpstr>
      <vt:lpstr>tchr_ict_illustration_m_g8</vt:lpstr>
      <vt:lpstr>tchr_ict_illustration_m_g9</vt:lpstr>
      <vt:lpstr>tchr_ict_techdrafting_f_g10</vt:lpstr>
      <vt:lpstr>tchr_ict_techdrafting_f_g7</vt:lpstr>
      <vt:lpstr>tchr_ict_techdrafting_f_g8</vt:lpstr>
      <vt:lpstr>tchr_ict_techdrafting_f_g9</vt:lpstr>
      <vt:lpstr>tchr_ict_techdrafting_m_g10</vt:lpstr>
      <vt:lpstr>tchr_ict_techdrafting_m_g7</vt:lpstr>
      <vt:lpstr>tchr_ict_techdrafting_m_g8</vt:lpstr>
      <vt:lpstr>tchr_ict_techdrafting_m_g9</vt:lpstr>
      <vt:lpstr>teach_assign_instructor1_fullt_ancilliary</vt:lpstr>
      <vt:lpstr>teach_assign_instructor1_fullt_ancilliary_addload</vt:lpstr>
      <vt:lpstr>teach_assign_instructor1_fullt_noancilliary</vt:lpstr>
      <vt:lpstr>teach_assign_instructor1_part_ancilliary_200min</vt:lpstr>
      <vt:lpstr>teach_assign_instructor1_part_ancilliary_less200min</vt:lpstr>
      <vt:lpstr>teach_assign_instructor2_fullt_ancilliary</vt:lpstr>
      <vt:lpstr>teach_assign_instructor2_fullt_ancilliary_addload</vt:lpstr>
      <vt:lpstr>teach_assign_instructor2_fullt_noancilliary</vt:lpstr>
      <vt:lpstr>teach_assign_instructor2_part_ancilliary_200min</vt:lpstr>
      <vt:lpstr>teach_assign_instructor2_part_ancilliary_less200min</vt:lpstr>
      <vt:lpstr>teach_assign_instructor3_fullt_ancilliary</vt:lpstr>
      <vt:lpstr>teach_assign_instructor3_fullt_ancilliary_addload</vt:lpstr>
      <vt:lpstr>teach_assign_instructor3_fullt_noancilliary</vt:lpstr>
      <vt:lpstr>teach_assign_instructor3_part_ancilliary_200min</vt:lpstr>
      <vt:lpstr>teach_assign_instructor3_part_ancilliary_less200min</vt:lpstr>
      <vt:lpstr>teach_assign_mt1_fullt_ancilliary</vt:lpstr>
      <vt:lpstr>teach_assign_mt1_fullt_ancilliary_addload</vt:lpstr>
      <vt:lpstr>teach_assign_mt1_fullt_noancilliary</vt:lpstr>
      <vt:lpstr>teach_assign_mt1_part_ancilliary_200min</vt:lpstr>
      <vt:lpstr>teach_assign_mt1_part_ancilliary_less200min</vt:lpstr>
      <vt:lpstr>teach_assign_mt2_fullt_ancilliary</vt:lpstr>
      <vt:lpstr>teach_assign_mt2_fullt_ancilliary_addload</vt:lpstr>
      <vt:lpstr>teach_assign_mt2_fullt_noancilliary</vt:lpstr>
      <vt:lpstr>teach_assign_mt2_part_ancilliary_200min</vt:lpstr>
      <vt:lpstr>teach_assign_mt2_part_ancilliary_less200min</vt:lpstr>
      <vt:lpstr>teach_assign_mt3_fullt_ancilliary</vt:lpstr>
      <vt:lpstr>teach_assign_mt3_fullt_ancilliary_addload</vt:lpstr>
      <vt:lpstr>teach_assign_mt3_fullt_noancilliary</vt:lpstr>
      <vt:lpstr>teach_assign_mt3_part_ancilliary_200min</vt:lpstr>
      <vt:lpstr>teach_assign_mt3_part_ancilliary_less200min</vt:lpstr>
      <vt:lpstr>teach_assign_mt4_fullt_ancilliary</vt:lpstr>
      <vt:lpstr>teach_assign_mt4_fullt_ancilliary_addload</vt:lpstr>
      <vt:lpstr>teach_assign_mt4_fullt_noancilliary</vt:lpstr>
      <vt:lpstr>teach_assign_mt4_part_ancilliary_200min</vt:lpstr>
      <vt:lpstr>teach_assign_mt4_part_ancilliary_less200min</vt:lpstr>
      <vt:lpstr>teach_assign_spedt1_fullt_ancilliary</vt:lpstr>
      <vt:lpstr>teach_assign_spedt1_fullt_ancilliary_addload</vt:lpstr>
      <vt:lpstr>teach_assign_spedt1_fullt_noancilliary</vt:lpstr>
      <vt:lpstr>teach_assign_spedt1_part_ancilliary_200min</vt:lpstr>
      <vt:lpstr>teach_assign_spedt1_part_ancilliary_less200min</vt:lpstr>
      <vt:lpstr>teach_assign_spedt2_fullt_ancilliary</vt:lpstr>
      <vt:lpstr>teach_assign_spedt2_fullt_ancilliary_addload</vt:lpstr>
      <vt:lpstr>teach_assign_spedt2_fullt_noancilliary</vt:lpstr>
      <vt:lpstr>teach_assign_spedt2_part_ancilliary_200min</vt:lpstr>
      <vt:lpstr>teach_assign_spedt2_part_ancilliary_less200min</vt:lpstr>
      <vt:lpstr>teach_assign_spedt3_fullt_ancilliary</vt:lpstr>
      <vt:lpstr>teach_assign_spedt3_fullt_ancilliary_addload</vt:lpstr>
      <vt:lpstr>teach_assign_spedt3_fullt_noancilliary</vt:lpstr>
      <vt:lpstr>teach_assign_spedt3_part_ancilliary_200min</vt:lpstr>
      <vt:lpstr>teach_assign_spedt3_part_ancilliary_less200min</vt:lpstr>
      <vt:lpstr>teach_assign_spedt4_fullt_ancilliary</vt:lpstr>
      <vt:lpstr>teach_assign_spedt4_fullt_ancilliary_addload</vt:lpstr>
      <vt:lpstr>teach_assign_spedt4_fullt_noancilliary</vt:lpstr>
      <vt:lpstr>teach_assign_spedt4_part_ancilliary_200min</vt:lpstr>
      <vt:lpstr>teach_assign_spedt4_part_ancilliary_less200min</vt:lpstr>
      <vt:lpstr>teach_assign_spedt5_fullt_ancilliary</vt:lpstr>
      <vt:lpstr>teach_assign_spedt5_fullt_ancilliary_addload</vt:lpstr>
      <vt:lpstr>teach_assign_spedt5_fullt_noancilliary</vt:lpstr>
      <vt:lpstr>teach_assign_spedt5_part_ancilliary_200min</vt:lpstr>
      <vt:lpstr>teach_assign_spedt5_part_ancilliary_less200min</vt:lpstr>
      <vt:lpstr>teach_assign_sst1_fullt_ancilliary</vt:lpstr>
      <vt:lpstr>teach_assign_sst1_fullt_ancilliary_addload</vt:lpstr>
      <vt:lpstr>teach_assign_sst1_fullt_noancilliary</vt:lpstr>
      <vt:lpstr>teach_assign_sst1_part_ancilliary_200min</vt:lpstr>
      <vt:lpstr>teach_assign_sst1_part_ancilliary_less200min</vt:lpstr>
      <vt:lpstr>teach_assign_t1_fullt_ancilliary</vt:lpstr>
      <vt:lpstr>teach_assign_t1_fullt_ancilliary_addload</vt:lpstr>
      <vt:lpstr>teach_assign_t1_fullt_noancilliary</vt:lpstr>
      <vt:lpstr>teach_assign_t1_part_ancilliary_200min</vt:lpstr>
      <vt:lpstr>teach_assign_t1_part_ancilliary_less200min</vt:lpstr>
      <vt:lpstr>teach_assign_t2_fullt_ancilliary</vt:lpstr>
      <vt:lpstr>teach_assign_t2_fullt_ancilliary_addload</vt:lpstr>
      <vt:lpstr>teach_assign_t2_fullt_noancilliary</vt:lpstr>
      <vt:lpstr>teach_assign_t2_part_ancilliary_200min</vt:lpstr>
      <vt:lpstr>teach_assign_t2_part_ancilliary_less200min</vt:lpstr>
      <vt:lpstr>teach_assign_t3_fullt_ancilliary</vt:lpstr>
      <vt:lpstr>teach_assign_t3_fullt_ancilliary_addload</vt:lpstr>
      <vt:lpstr>teach_assign_t3_fullt_noancilliary</vt:lpstr>
      <vt:lpstr>teach_assign_t3_part_ancilliary_200min</vt:lpstr>
      <vt:lpstr>teach_assign_t3_part_ancilliary_less200min</vt:lpstr>
      <vt:lpstr>teacher_foreignlang_chn_f</vt:lpstr>
      <vt:lpstr>teacher_foreignlang_chn_m</vt:lpstr>
      <vt:lpstr>teacher_foreignlang_fre_f</vt:lpstr>
      <vt:lpstr>teacher_foreignlang_fre_m</vt:lpstr>
      <vt:lpstr>teacher_foreignlang_ger_f</vt:lpstr>
      <vt:lpstr>teacher_foreignlang_ger_m</vt:lpstr>
      <vt:lpstr>teacher_foreignlang_jap_f</vt:lpstr>
      <vt:lpstr>teacher_foreignlang_jap_m</vt:lpstr>
      <vt:lpstr>teacher_foreignlang_kor_f</vt:lpstr>
      <vt:lpstr>teacher_foreignlang_kor_m</vt:lpstr>
      <vt:lpstr>teacher_foreignlang_spa_f</vt:lpstr>
      <vt:lpstr>teacher_foreignlang_spa_m</vt:lpstr>
      <vt:lpstr>teachers_ip_f_g10</vt:lpstr>
      <vt:lpstr>teachers_ip_f_g7</vt:lpstr>
      <vt:lpstr>teachers_ip_f_g8</vt:lpstr>
      <vt:lpstr>teachers_ip_f_g9</vt:lpstr>
      <vt:lpstr>teachers_ip_m_g10</vt:lpstr>
      <vt:lpstr>teachers_ip_m_g7</vt:lpstr>
      <vt:lpstr>teachers_ip_m_g8</vt:lpstr>
      <vt:lpstr>teachers_ip_m_g9</vt:lpstr>
      <vt:lpstr>teachers_iped_orientation_f</vt:lpstr>
      <vt:lpstr>teachers_iped_orientation_m</vt:lpstr>
      <vt:lpstr>teachers_iped_orientation_outdeped_f</vt:lpstr>
      <vt:lpstr>teachers_iped_orientation_outdeped_m</vt:lpstr>
      <vt:lpstr>teachers_trained_collaborative_female</vt:lpstr>
      <vt:lpstr>teachers_trained_collaborative_male</vt:lpstr>
      <vt:lpstr>teachers_trained_constructivist_female</vt:lpstr>
      <vt:lpstr>teachers_trained_constructivist_male</vt:lpstr>
      <vt:lpstr>teachers_trained_hardware_female</vt:lpstr>
      <vt:lpstr>teachers_trained_hardware_male</vt:lpstr>
      <vt:lpstr>teachers_trained_ictintegration_female</vt:lpstr>
      <vt:lpstr>teachers_trained_ictintegration_male</vt:lpstr>
      <vt:lpstr>teachers_trained_ictliteracy_female</vt:lpstr>
      <vt:lpstr>teachers_trained_ictliteracy_male</vt:lpstr>
      <vt:lpstr>teachers_trained_inclusiveeduc_female</vt:lpstr>
      <vt:lpstr>teachers_trained_inclusiveeduc_male</vt:lpstr>
      <vt:lpstr>teachers_trained_inquirybased_female</vt:lpstr>
      <vt:lpstr>teachers_trained_inquirybased_male</vt:lpstr>
      <vt:lpstr>teachers_trained_integratingdrrmccampeace_female</vt:lpstr>
      <vt:lpstr>teachers_trained_integratingdrrmccampeace_male</vt:lpstr>
      <vt:lpstr>teachers_trained_integrative_female</vt:lpstr>
      <vt:lpstr>teachers_trained_integrative_male</vt:lpstr>
      <vt:lpstr>teachers_trained_others_female</vt:lpstr>
      <vt:lpstr>teachers_trained_others_male</vt:lpstr>
      <vt:lpstr>teachers_trained_pedagogy_others_female</vt:lpstr>
      <vt:lpstr>teachers_trained_pedagogy_others_male</vt:lpstr>
      <vt:lpstr>teachers_trained_reflective_female</vt:lpstr>
      <vt:lpstr>teachers_trained_reflective_male</vt:lpstr>
      <vt:lpstr>teachers_trained_software_female</vt:lpstr>
      <vt:lpstr>teachers_trained_software_male</vt:lpstr>
      <vt:lpstr>teachers_trained_specialcpdeped_spa_f</vt:lpstr>
      <vt:lpstr>teachers_trained_specialcpdeped_spa_m</vt:lpstr>
      <vt:lpstr>teachers_trained_specialcpdeped_spfl_f</vt:lpstr>
      <vt:lpstr>teachers_trained_specialcpdeped_spfl_m</vt:lpstr>
      <vt:lpstr>teachers_trained_specialcpdeped_spj_f</vt:lpstr>
      <vt:lpstr>teachers_trained_specialcpdeped_spj_m</vt:lpstr>
      <vt:lpstr>teachers_trained_specialcpdeped_sps_f</vt:lpstr>
      <vt:lpstr>teachers_trained_specialcpdeped_sps_m</vt:lpstr>
      <vt:lpstr>teachers_trained_specialcpdeped_spste_f</vt:lpstr>
      <vt:lpstr>teachers_trained_specialcpdeped_spste_m</vt:lpstr>
      <vt:lpstr>teachers_trained_specialcpdeped_sptve_f</vt:lpstr>
      <vt:lpstr>teachers_trained_specialcpdeped_sptve_m</vt:lpstr>
      <vt:lpstr>teachers_trained_specialcpnondeped_spa_f</vt:lpstr>
      <vt:lpstr>teachers_trained_specialcpnondeped_spa_m</vt:lpstr>
      <vt:lpstr>teachers_trained_specialcpnondeped_spfl_f</vt:lpstr>
      <vt:lpstr>teachers_trained_specialcpnondeped_spfl_m</vt:lpstr>
      <vt:lpstr>teachers_trained_specialcpnondeped_spj_f</vt:lpstr>
      <vt:lpstr>teachers_trained_specialcpnondeped_spj_m</vt:lpstr>
      <vt:lpstr>teachers_trained_specialcpnondeped_sps_f</vt:lpstr>
      <vt:lpstr>teachers_trained_specialcpnondeped_sps_m</vt:lpstr>
      <vt:lpstr>teachers_trained_specialcpnondeped_spste_f</vt:lpstr>
      <vt:lpstr>teachers_trained_specialcpnondeped_spste_m</vt:lpstr>
      <vt:lpstr>teachers_trained_specialcpnondeped_sptve_f</vt:lpstr>
      <vt:lpstr>teachers_trained_specialcpnondeped_sptve_m</vt:lpstr>
      <vt:lpstr>tobaccoctrl_learners_notobacco_ends_g10</vt:lpstr>
      <vt:lpstr>tobaccoctrl_learners_notobacco_ends_g7</vt:lpstr>
      <vt:lpstr>tobaccoctrl_learners_notobacco_ends_g8</vt:lpstr>
      <vt:lpstr>tobaccoctrl_learners_notobacco_ends_g9</vt:lpstr>
      <vt:lpstr>tobaccoctrl_learners_tobacco_ends_g10</vt:lpstr>
      <vt:lpstr>tobaccoctrl_learners_tobacco_ends_g7</vt:lpstr>
      <vt:lpstr>tobaccoctrl_learners_tobacco_ends_g8</vt:lpstr>
      <vt:lpstr>tobaccoctrl_learners_tobacco_ends_g9</vt:lpstr>
      <vt:lpstr>tobaccoctrl_learners_tobacco_noends_g10</vt:lpstr>
      <vt:lpstr>tobaccoctrl_learners_tobacco_noends_g7</vt:lpstr>
      <vt:lpstr>tobaccoctrl_learners_tobacco_noends_g8</vt:lpstr>
      <vt:lpstr>tobaccoctrl_learners_tobacco_noends_g9</vt:lpstr>
      <vt:lpstr>tobaccoctrl_matii_partnership</vt:lpstr>
      <vt:lpstr>tobaccoctrl_matii_partnership_moa</vt:lpstr>
      <vt:lpstr>tobaccoctrl_matii_partnership_ppi</vt:lpstr>
      <vt:lpstr>tobaccoctrl_posters</vt:lpstr>
      <vt:lpstr>tobaccoctrl_sellcigshop</vt:lpstr>
      <vt:lpstr>tobaccoctrl_sellvapeshop</vt:lpstr>
      <vt:lpstr>tobaccoctrl_sh_notobacco_ends</vt:lpstr>
      <vt:lpstr>tobaccoctrl_sh_notobacco_noends</vt:lpstr>
      <vt:lpstr>tobaccoctrl_sh_tobacco_ends</vt:lpstr>
      <vt:lpstr>tobaccoctrl_sh_tobacco_noends</vt:lpstr>
      <vt:lpstr>tobaccoctrl_signages</vt:lpstr>
      <vt:lpstr>tobaccoctrl_teachers_notobacco_ends_g10</vt:lpstr>
      <vt:lpstr>tobaccoctrl_teachers_notobacco_ends_g7</vt:lpstr>
      <vt:lpstr>tobaccoctrl_teachers_notobacco_ends_g8</vt:lpstr>
      <vt:lpstr>tobaccoctrl_teachers_notobacco_ends_g9</vt:lpstr>
      <vt:lpstr>tobaccoctrl_teachers_tobacco_ends_g10</vt:lpstr>
      <vt:lpstr>tobaccoctrl_teachers_tobacco_ends_g7</vt:lpstr>
      <vt:lpstr>tobaccoctrl_teachers_tobacco_ends_g8</vt:lpstr>
      <vt:lpstr>tobaccoctrl_teachers_tobacco_ends_g9</vt:lpstr>
      <vt:lpstr>tobaccoctrl_teachers_tobacco_noends_g10</vt:lpstr>
      <vt:lpstr>tobaccoctrl_teachers_tobacco_noends_g7</vt:lpstr>
      <vt:lpstr>tobaccoctrl_teachers_tobacco_noends_g8</vt:lpstr>
      <vt:lpstr>tobaccoctrl_teachers_tobacco_noends_g9</vt:lpstr>
      <vt:lpstr>trained_mhpss_pfa_nonteaching_f</vt:lpstr>
      <vt:lpstr>trained_mhpss_pfa_nonteaching_m</vt:lpstr>
      <vt:lpstr>trained_mhpss_pfa_teaching_f</vt:lpstr>
      <vt:lpstr>trained_mhpss_pfa_teaching_m</vt:lpstr>
      <vt:lpstr>traininginservice_instructor1_female</vt:lpstr>
      <vt:lpstr>traininginservice_instructor1_male</vt:lpstr>
      <vt:lpstr>traininginservice_instructor2_female</vt:lpstr>
      <vt:lpstr>traininginservice_instructor2_male</vt:lpstr>
      <vt:lpstr>traininginservice_instructor3_female</vt:lpstr>
      <vt:lpstr>traininginservice_instructor3_male</vt:lpstr>
      <vt:lpstr>traininginservice_mteacher1_female</vt:lpstr>
      <vt:lpstr>traininginservice_mteacher1_male</vt:lpstr>
      <vt:lpstr>traininginservice_mteacher2_female</vt:lpstr>
      <vt:lpstr>traininginservice_mteacher2_male</vt:lpstr>
      <vt:lpstr>traininginservice_mteacher3_female</vt:lpstr>
      <vt:lpstr>traininginservice_mteacher3_male</vt:lpstr>
      <vt:lpstr>traininginservice_mteacher4_female</vt:lpstr>
      <vt:lpstr>traininginservice_mteacher4_male</vt:lpstr>
      <vt:lpstr>traininginservice_spedt1_female</vt:lpstr>
      <vt:lpstr>traininginservice_spedt1_male</vt:lpstr>
      <vt:lpstr>traininginservice_spedt2_female</vt:lpstr>
      <vt:lpstr>traininginservice_spedt2_male</vt:lpstr>
      <vt:lpstr>traininginservice_spedt3_female</vt:lpstr>
      <vt:lpstr>traininginservice_spedt3_male</vt:lpstr>
      <vt:lpstr>traininginservice_spedt4_female</vt:lpstr>
      <vt:lpstr>traininginservice_spedt4_male</vt:lpstr>
      <vt:lpstr>traininginservice_spedt5_female</vt:lpstr>
      <vt:lpstr>traininginservice_spedt5_male</vt:lpstr>
      <vt:lpstr>traininginservice_sst1_female</vt:lpstr>
      <vt:lpstr>traininginservice_sst1_male</vt:lpstr>
      <vt:lpstr>traininginservice_teacher1_female</vt:lpstr>
      <vt:lpstr>traininginservice_teacher1_male</vt:lpstr>
      <vt:lpstr>traininginservice_teacher2_female</vt:lpstr>
      <vt:lpstr>traininginservice_teacher2_male</vt:lpstr>
      <vt:lpstr>traininginservice_teacher3_female</vt:lpstr>
      <vt:lpstr>traininginservice_teacher3_male</vt:lpstr>
      <vt:lpstr>V</vt:lpstr>
      <vt:lpstr>VI</vt:lpstr>
      <vt:lpstr>VII</vt:lpstr>
      <vt:lpstr>VIII</vt:lpstr>
      <vt:lpstr>ws_drinking_yes</vt:lpstr>
      <vt:lpstr>ws_ifyes_fundsource_lgu</vt:lpstr>
      <vt:lpstr>ws_ifyes_fundsource_others</vt:lpstr>
      <vt:lpstr>ws_ifyes_fundsource_others_specify</vt:lpstr>
      <vt:lpstr>ws_ifyes_fundsource_private</vt:lpstr>
      <vt:lpstr>ws_ifyes_fundsource_pta</vt:lpstr>
      <vt:lpstr>ws_ifyes_fundsource_schcanteen</vt:lpstr>
      <vt:lpstr>ws_ifyes_fundsource_schmooe</vt:lpstr>
      <vt:lpstr>ws_ifyes_natural</vt:lpstr>
      <vt:lpstr>ws_ifyes_others</vt:lpstr>
      <vt:lpstr>ws_ifyes_others_specify</vt:lpstr>
      <vt:lpstr>ws_ifyes_pipe</vt:lpstr>
      <vt:lpstr>ws_ifyes_rainwater</vt:lpstr>
      <vt:lpstr>ws_ifyes_well</vt:lpstr>
      <vt:lpstr>ws_mechanism_safetodrink_yes</vt:lpstr>
      <vt:lpstr>ws_mechanism_safetodrink_yes_accessible_water</vt:lpstr>
      <vt:lpstr>ws_mechanism_safetodrink_yes_bring_water</vt:lpstr>
      <vt:lpstr>ws_mechanism_safetodrink_yes_others</vt:lpstr>
      <vt:lpstr>ws_mechanism_safetodrink_yes_others_specify</vt:lpstr>
      <vt:lpstr>ws_mechanism_safetodrink_yes_refillable_containers</vt:lpstr>
      <vt:lpstr>ws_water_iftested_safetodrink_yes</vt:lpstr>
      <vt:lpstr>ws_water_test_frequency_annually</vt:lpstr>
      <vt:lpstr>ws_water_test_frequency_monthly</vt:lpstr>
      <vt:lpstr>ws_water_test_frequency_others</vt:lpstr>
      <vt:lpstr>ws_water_test_frequency_others_specify</vt:lpstr>
      <vt:lpstr>ws_water_test_frequency_quarterly</vt:lpstr>
      <vt:lpstr>ws_water_tested_lastime</vt:lpstr>
      <vt:lpstr>ws_water_tested_yes</vt:lpstr>
      <vt:lpstr>ws_water_unavailable_yes</vt:lpstr>
      <vt:lpstr>ws_wsource_avg_cost</vt:lpstr>
      <vt:lpstr>ws_wsource_yes</vt:lpstr>
      <vt:lpstr>X</vt:lpstr>
      <vt:lpstr>XI</vt:lpstr>
      <vt:lpstr>XII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mpcastro</dc:creator>
  <cp:lastModifiedBy>User</cp:lastModifiedBy>
  <cp:lastPrinted>2023-04-11T10:08:14Z</cp:lastPrinted>
  <dcterms:created xsi:type="dcterms:W3CDTF">2011-05-02T10:56:41Z</dcterms:created>
  <dcterms:modified xsi:type="dcterms:W3CDTF">2023-04-13T13:36:05Z</dcterms:modified>
</cp:coreProperties>
</file>